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T:\Financials\LIFO\"/>
    </mc:Choice>
  </mc:AlternateContent>
  <xr:revisionPtr revIDLastSave="0" documentId="13_ncr:1_{3DED9ADC-9CB2-4248-80C5-A4B0D301181F}" xr6:coauthVersionLast="46" xr6:coauthVersionMax="46" xr10:uidLastSave="{00000000-0000-0000-0000-000000000000}"/>
  <bookViews>
    <workbookView xWindow="-110" yWindow="-110" windowWidth="19420" windowHeight="11020" xr2:uid="{30E2909A-824D-449B-91CE-987C6937DD59}"/>
  </bookViews>
  <sheets>
    <sheet name="12.31.2020 (final)" sheetId="11" r:id="rId1"/>
    <sheet name="12.31.2020" sheetId="10" r:id="rId2"/>
    <sheet name="12.30.2020 What if" sheetId="9" r:id="rId3"/>
    <sheet name="12.30.2020" sheetId="8" r:id="rId4"/>
    <sheet name="12.29.2020" sheetId="7" r:id="rId5"/>
    <sheet name="12.14.2020" sheetId="6" r:id="rId6"/>
    <sheet name="12.07.2020" sheetId="5" r:id="rId7"/>
    <sheet name="11.25.2020" sheetId="4" r:id="rId8"/>
    <sheet name="10.31.2020" sheetId="3" r:id="rId9"/>
    <sheet name="10.15.2020" sheetId="1" r:id="rId10"/>
    <sheet name="LIFO as of 12.31.19 (01.08.20)" sheetId="2" r:id="rId11"/>
  </sheets>
  <definedNames>
    <definedName name="_xlnm.Print_Area" localSheetId="9">'10.15.2020'!$A$1:$L$95</definedName>
    <definedName name="_xlnm.Print_Area" localSheetId="8">'10.31.2020'!$A$1:$J$95</definedName>
    <definedName name="_xlnm.Print_Area" localSheetId="7">'11.25.2020'!$A$1:$L$95</definedName>
    <definedName name="_xlnm.Print_Area" localSheetId="6">'12.07.2020'!$A$1:$L$95</definedName>
    <definedName name="_xlnm.Print_Area" localSheetId="5">'12.14.2020'!$A$1:$L$97</definedName>
    <definedName name="_xlnm.Print_Area" localSheetId="4">'12.29.2020'!$A$1:$L$97</definedName>
    <definedName name="_xlnm.Print_Area" localSheetId="3">'12.30.2020'!$A$1:$L$97</definedName>
    <definedName name="_xlnm.Print_Area" localSheetId="2">'12.30.2020 What if'!$AE$1:$AI$59</definedName>
    <definedName name="_xlnm.Print_Area" localSheetId="1">'12.31.2020'!$A$1:$L$97</definedName>
    <definedName name="_xlnm.Print_Area" localSheetId="0">'12.31.2020 (final)'!$A$1:$L$97</definedName>
    <definedName name="_xlnm.Print_Area" localSheetId="10">'LIFO as of 12.31.19 (01.08.20)'!$A$1:$AA$95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4" i="11" l="1"/>
  <c r="I45" i="11"/>
  <c r="I10" i="11" s="1"/>
  <c r="K10" i="11" s="1"/>
  <c r="I39" i="11"/>
  <c r="I24" i="11"/>
  <c r="I7" i="11" s="1"/>
  <c r="K7" i="11" s="1"/>
  <c r="I32" i="11"/>
  <c r="I8" i="11" s="1"/>
  <c r="K8" i="11" s="1"/>
  <c r="I50" i="11"/>
  <c r="K50" i="11"/>
  <c r="J10" i="11"/>
  <c r="K52" i="11"/>
  <c r="K45" i="11"/>
  <c r="K39" i="11"/>
  <c r="K32" i="11"/>
  <c r="K24" i="11"/>
  <c r="L98" i="11"/>
  <c r="K93" i="11"/>
  <c r="K98" i="11" s="1"/>
  <c r="K82" i="11" s="1"/>
  <c r="K83" i="11" s="1"/>
  <c r="K75" i="11"/>
  <c r="K74" i="11"/>
  <c r="K61" i="11"/>
  <c r="K11" i="11"/>
  <c r="K49" i="11"/>
  <c r="K48" i="11"/>
  <c r="K47" i="11"/>
  <c r="K44" i="11"/>
  <c r="K43" i="11"/>
  <c r="K42" i="11"/>
  <c r="K41" i="11"/>
  <c r="K36" i="11"/>
  <c r="K35" i="11"/>
  <c r="K34" i="11"/>
  <c r="K31" i="11"/>
  <c r="K30" i="11"/>
  <c r="I29" i="11"/>
  <c r="K29" i="11" s="1"/>
  <c r="I28" i="11"/>
  <c r="K28" i="11" s="1"/>
  <c r="K27" i="11"/>
  <c r="K26" i="11"/>
  <c r="E23" i="11"/>
  <c r="K22" i="11"/>
  <c r="C22" i="11"/>
  <c r="K21" i="11"/>
  <c r="C21" i="11"/>
  <c r="I20" i="11"/>
  <c r="K20" i="11" s="1"/>
  <c r="C20" i="11"/>
  <c r="K19" i="11"/>
  <c r="C19" i="11"/>
  <c r="K18" i="11"/>
  <c r="C18" i="11"/>
  <c r="C23" i="11" s="1"/>
  <c r="K14" i="11"/>
  <c r="K13" i="11"/>
  <c r="K51" i="11" s="1"/>
  <c r="J11" i="11"/>
  <c r="J9" i="11"/>
  <c r="I9" i="11"/>
  <c r="K9" i="11" s="1"/>
  <c r="J8" i="11"/>
  <c r="J7" i="11"/>
  <c r="K15" i="10"/>
  <c r="K51" i="10"/>
  <c r="K54" i="10"/>
  <c r="C22" i="10"/>
  <c r="C21" i="10"/>
  <c r="C20" i="10"/>
  <c r="C19" i="10"/>
  <c r="K48" i="10"/>
  <c r="K74" i="10"/>
  <c r="K12" i="11" l="1"/>
  <c r="K15" i="11" s="1"/>
  <c r="AF31" i="9"/>
  <c r="L98" i="10"/>
  <c r="K75" i="10"/>
  <c r="K61" i="10"/>
  <c r="I50" i="10"/>
  <c r="K49" i="10"/>
  <c r="K47" i="10"/>
  <c r="K50" i="10" s="1"/>
  <c r="I45" i="10"/>
  <c r="I10" i="10" s="1"/>
  <c r="K44" i="10"/>
  <c r="K43" i="10"/>
  <c r="K42" i="10"/>
  <c r="K41" i="10"/>
  <c r="I39" i="10"/>
  <c r="I9" i="10" s="1"/>
  <c r="K36" i="10"/>
  <c r="K35" i="10"/>
  <c r="K34" i="10"/>
  <c r="K31" i="10"/>
  <c r="K30" i="10"/>
  <c r="I29" i="10"/>
  <c r="K29" i="10" s="1"/>
  <c r="I28" i="10"/>
  <c r="K28" i="10" s="1"/>
  <c r="K27" i="10"/>
  <c r="K26" i="10"/>
  <c r="E23" i="10"/>
  <c r="K22" i="10"/>
  <c r="K21" i="10"/>
  <c r="I20" i="10"/>
  <c r="K20" i="10" s="1"/>
  <c r="K19" i="10"/>
  <c r="K18" i="10"/>
  <c r="C18" i="10"/>
  <c r="K14" i="10"/>
  <c r="K13" i="10"/>
  <c r="J11" i="10"/>
  <c r="K11" i="10" s="1"/>
  <c r="J10" i="10"/>
  <c r="J9" i="10"/>
  <c r="J8" i="10"/>
  <c r="J7" i="10"/>
  <c r="K59" i="11" l="1"/>
  <c r="C23" i="10"/>
  <c r="K39" i="10"/>
  <c r="K10" i="10"/>
  <c r="K45" i="10"/>
  <c r="K9" i="10"/>
  <c r="K32" i="10"/>
  <c r="K24" i="10"/>
  <c r="K52" i="10" s="1"/>
  <c r="K93" i="10"/>
  <c r="K98" i="10" s="1"/>
  <c r="I24" i="10"/>
  <c r="I32" i="10"/>
  <c r="AF21" i="9"/>
  <c r="K60" i="11" l="1"/>
  <c r="L60" i="11" s="1"/>
  <c r="K62" i="11"/>
  <c r="K68" i="11" s="1"/>
  <c r="K70" i="11" s="1"/>
  <c r="K85" i="11" s="1"/>
  <c r="K89" i="11" s="1"/>
  <c r="K82" i="10"/>
  <c r="K83" i="10" s="1"/>
  <c r="I8" i="10"/>
  <c r="K8" i="10" s="1"/>
  <c r="I7" i="10"/>
  <c r="K7" i="10" s="1"/>
  <c r="K12" i="10" s="1"/>
  <c r="AH14" i="9"/>
  <c r="K59" i="10" l="1"/>
  <c r="K60" i="10" s="1"/>
  <c r="K62" i="10" s="1"/>
  <c r="K68" i="10" s="1"/>
  <c r="K70" i="10" s="1"/>
  <c r="K85" i="10" s="1"/>
  <c r="K89" i="10" s="1"/>
  <c r="AF32" i="9"/>
  <c r="AN92" i="9" l="1"/>
  <c r="AA97" i="9"/>
  <c r="Z97" i="9"/>
  <c r="S97" i="9"/>
  <c r="R97" i="9"/>
  <c r="R81" i="9" s="1"/>
  <c r="R82" i="9" s="1"/>
  <c r="L97" i="9"/>
  <c r="K96" i="9"/>
  <c r="AH95" i="9"/>
  <c r="AH79" i="9" s="1"/>
  <c r="AH80" i="9" s="1"/>
  <c r="K94" i="9"/>
  <c r="K93" i="9"/>
  <c r="E85" i="9"/>
  <c r="E82" i="9"/>
  <c r="Z81" i="9"/>
  <c r="Z82" i="9" s="1"/>
  <c r="E80" i="9"/>
  <c r="B80" i="9"/>
  <c r="Z73" i="9"/>
  <c r="Z74" i="9" s="1"/>
  <c r="R73" i="9"/>
  <c r="R74" i="9" s="1"/>
  <c r="K73" i="9"/>
  <c r="K74" i="9" s="1"/>
  <c r="E73" i="9"/>
  <c r="E76" i="9" s="1"/>
  <c r="AH72" i="9"/>
  <c r="AH71" i="9"/>
  <c r="E71" i="9"/>
  <c r="B71" i="9"/>
  <c r="B63" i="9"/>
  <c r="E62" i="9"/>
  <c r="E64" i="9" s="1"/>
  <c r="E67" i="9" s="1"/>
  <c r="B62" i="9"/>
  <c r="K60" i="9"/>
  <c r="Z60" i="9" s="1"/>
  <c r="AH50" i="9"/>
  <c r="Z50" i="9"/>
  <c r="R50" i="9"/>
  <c r="E50" i="9"/>
  <c r="E53" i="9" s="1"/>
  <c r="AF49" i="9"/>
  <c r="AF11" i="9" s="1"/>
  <c r="AH11" i="9" s="1"/>
  <c r="X49" i="9"/>
  <c r="X11" i="9" s="1"/>
  <c r="Z11" i="9" s="1"/>
  <c r="P49" i="9"/>
  <c r="I49" i="9"/>
  <c r="AH48" i="9"/>
  <c r="Z48" i="9"/>
  <c r="R48" i="9"/>
  <c r="R49" i="9" s="1"/>
  <c r="K48" i="9"/>
  <c r="K49" i="9" s="1"/>
  <c r="AH47" i="9"/>
  <c r="Z47" i="9"/>
  <c r="Z49" i="9" s="1"/>
  <c r="R47" i="9"/>
  <c r="K47" i="9"/>
  <c r="X45" i="9"/>
  <c r="X10" i="9" s="1"/>
  <c r="R45" i="9"/>
  <c r="P45" i="9"/>
  <c r="P10" i="9" s="1"/>
  <c r="K45" i="9"/>
  <c r="I45" i="9"/>
  <c r="I10" i="9" s="1"/>
  <c r="AH44" i="9"/>
  <c r="Z44" i="9"/>
  <c r="R44" i="9"/>
  <c r="K44" i="9"/>
  <c r="AH43" i="9"/>
  <c r="Z43" i="9"/>
  <c r="Z45" i="9" s="1"/>
  <c r="R43" i="9"/>
  <c r="K43" i="9"/>
  <c r="AH42" i="9"/>
  <c r="Z42" i="9"/>
  <c r="R42" i="9"/>
  <c r="K42" i="9"/>
  <c r="AH41" i="9"/>
  <c r="AH45" i="9" s="1"/>
  <c r="Z41" i="9"/>
  <c r="R41" i="9"/>
  <c r="K41" i="9"/>
  <c r="AF39" i="9"/>
  <c r="Z39" i="9"/>
  <c r="X39" i="9"/>
  <c r="P39" i="9"/>
  <c r="I39" i="9"/>
  <c r="AH36" i="9"/>
  <c r="Z36" i="9"/>
  <c r="R36" i="9"/>
  <c r="K36" i="9"/>
  <c r="K39" i="9" s="1"/>
  <c r="AH35" i="9"/>
  <c r="Z35" i="9"/>
  <c r="R35" i="9"/>
  <c r="R39" i="9" s="1"/>
  <c r="K35" i="9"/>
  <c r="AH34" i="9"/>
  <c r="Z34" i="9"/>
  <c r="R34" i="9"/>
  <c r="K34" i="9"/>
  <c r="P32" i="9"/>
  <c r="P8" i="9" s="1"/>
  <c r="AH31" i="9"/>
  <c r="Z31" i="9"/>
  <c r="R31" i="9"/>
  <c r="K31" i="9"/>
  <c r="AH30" i="9"/>
  <c r="Z30" i="9"/>
  <c r="R30" i="9"/>
  <c r="K30" i="9"/>
  <c r="AH29" i="9"/>
  <c r="X29" i="9"/>
  <c r="Z29" i="9" s="1"/>
  <c r="P29" i="9"/>
  <c r="R29" i="9" s="1"/>
  <c r="I29" i="9"/>
  <c r="K29" i="9" s="1"/>
  <c r="AF28" i="9"/>
  <c r="AH28" i="9" s="1"/>
  <c r="X28" i="9"/>
  <c r="Z28" i="9" s="1"/>
  <c r="Z32" i="9" s="1"/>
  <c r="P28" i="9"/>
  <c r="R28" i="9" s="1"/>
  <c r="R32" i="9" s="1"/>
  <c r="I28" i="9"/>
  <c r="I32" i="9" s="1"/>
  <c r="I8" i="9" s="1"/>
  <c r="AH27" i="9"/>
  <c r="Z27" i="9"/>
  <c r="R27" i="9"/>
  <c r="K27" i="9"/>
  <c r="AH26" i="9"/>
  <c r="Z26" i="9"/>
  <c r="R26" i="9"/>
  <c r="K26" i="9"/>
  <c r="AF24" i="9"/>
  <c r="AF7" i="9" s="1"/>
  <c r="AH7" i="9" s="1"/>
  <c r="X24" i="9"/>
  <c r="X7" i="9" s="1"/>
  <c r="Z7" i="9" s="1"/>
  <c r="E23" i="9"/>
  <c r="AH22" i="9"/>
  <c r="Z22" i="9"/>
  <c r="R22" i="9"/>
  <c r="K22" i="9"/>
  <c r="AH21" i="9"/>
  <c r="Z21" i="9"/>
  <c r="P21" i="9"/>
  <c r="R21" i="9" s="1"/>
  <c r="K21" i="9"/>
  <c r="C21" i="9"/>
  <c r="K95" i="9" s="1"/>
  <c r="AF20" i="9"/>
  <c r="AH20" i="9" s="1"/>
  <c r="X20" i="9"/>
  <c r="Z20" i="9" s="1"/>
  <c r="Z24" i="9" s="1"/>
  <c r="P20" i="9"/>
  <c r="P24" i="9" s="1"/>
  <c r="P7" i="9" s="1"/>
  <c r="I20" i="9"/>
  <c r="K20" i="9" s="1"/>
  <c r="AH19" i="9"/>
  <c r="Z19" i="9"/>
  <c r="R19" i="9"/>
  <c r="K19" i="9"/>
  <c r="AH18" i="9"/>
  <c r="Z18" i="9"/>
  <c r="R18" i="9"/>
  <c r="K18" i="9"/>
  <c r="C18" i="9"/>
  <c r="K92" i="9" s="1"/>
  <c r="K97" i="9" s="1"/>
  <c r="K81" i="9" s="1"/>
  <c r="K82" i="9" s="1"/>
  <c r="D15" i="9"/>
  <c r="K14" i="9" s="1"/>
  <c r="C14" i="9"/>
  <c r="K13" i="9" s="1"/>
  <c r="K50" i="9" s="1"/>
  <c r="AG11" i="9"/>
  <c r="Y11" i="9"/>
  <c r="Q11" i="9"/>
  <c r="P11" i="9"/>
  <c r="R11" i="9" s="1"/>
  <c r="J11" i="9"/>
  <c r="K11" i="9" s="1"/>
  <c r="AG10" i="9"/>
  <c r="Y10" i="9"/>
  <c r="Q10" i="9"/>
  <c r="J10" i="9"/>
  <c r="AG9" i="9"/>
  <c r="AF9" i="9"/>
  <c r="AH9" i="9" s="1"/>
  <c r="Y9" i="9"/>
  <c r="Z9" i="9" s="1"/>
  <c r="X9" i="9"/>
  <c r="Q9" i="9"/>
  <c r="P9" i="9"/>
  <c r="R9" i="9" s="1"/>
  <c r="J9" i="9"/>
  <c r="I9" i="9"/>
  <c r="AG8" i="9"/>
  <c r="AF8" i="9"/>
  <c r="AH8" i="9" s="1"/>
  <c r="Y8" i="9"/>
  <c r="Q8" i="9"/>
  <c r="J8" i="9"/>
  <c r="AG7" i="9"/>
  <c r="Y7" i="9"/>
  <c r="Q7" i="9"/>
  <c r="J7" i="9"/>
  <c r="AH49" i="9" l="1"/>
  <c r="AH39" i="9"/>
  <c r="R10" i="9"/>
  <c r="R12" i="9" s="1"/>
  <c r="R15" i="9" s="1"/>
  <c r="Z10" i="9"/>
  <c r="K10" i="9"/>
  <c r="K9" i="9"/>
  <c r="R7" i="9"/>
  <c r="R8" i="9"/>
  <c r="K8" i="9"/>
  <c r="AH32" i="9"/>
  <c r="AH24" i="9"/>
  <c r="Z51" i="9"/>
  <c r="K24" i="9"/>
  <c r="K51" i="9" s="1"/>
  <c r="E55" i="9"/>
  <c r="E57" i="9"/>
  <c r="E58" i="9"/>
  <c r="K28" i="9"/>
  <c r="K32" i="9" s="1"/>
  <c r="X32" i="9"/>
  <c r="X8" i="9" s="1"/>
  <c r="Z8" i="9" s="1"/>
  <c r="C23" i="9"/>
  <c r="AF45" i="9"/>
  <c r="AF10" i="9" s="1"/>
  <c r="AH10" i="9" s="1"/>
  <c r="AH12" i="9" s="1"/>
  <c r="AH15" i="9" s="1"/>
  <c r="R60" i="9"/>
  <c r="I24" i="9"/>
  <c r="I7" i="9" s="1"/>
  <c r="K7" i="9" s="1"/>
  <c r="R20" i="9"/>
  <c r="R24" i="9" s="1"/>
  <c r="R51" i="9" s="1"/>
  <c r="D15" i="8"/>
  <c r="K14" i="8" s="1"/>
  <c r="C14" i="8"/>
  <c r="K13" i="8" s="1"/>
  <c r="K50" i="8" s="1"/>
  <c r="AH95" i="8"/>
  <c r="AH79" i="8" s="1"/>
  <c r="AH80" i="8" s="1"/>
  <c r="AH82" i="8" s="1"/>
  <c r="AA97" i="8"/>
  <c r="Z97" i="8"/>
  <c r="S97" i="8"/>
  <c r="R97" i="8"/>
  <c r="R81" i="8" s="1"/>
  <c r="R82" i="8" s="1"/>
  <c r="L97" i="8"/>
  <c r="K96" i="8"/>
  <c r="K94" i="8"/>
  <c r="K93" i="8"/>
  <c r="Z81" i="8"/>
  <c r="Z82" i="8" s="1"/>
  <c r="E80" i="8"/>
  <c r="E82" i="8" s="1"/>
  <c r="E85" i="8" s="1"/>
  <c r="B80" i="8"/>
  <c r="Z73" i="8"/>
  <c r="Z74" i="8" s="1"/>
  <c r="R73" i="8"/>
  <c r="R74" i="8" s="1"/>
  <c r="K73" i="8"/>
  <c r="K74" i="8" s="1"/>
  <c r="AH71" i="8"/>
  <c r="AH72" i="8" s="1"/>
  <c r="E71" i="8"/>
  <c r="E73" i="8" s="1"/>
  <c r="E76" i="8" s="1"/>
  <c r="B71" i="8"/>
  <c r="E64" i="8"/>
  <c r="E67" i="8" s="1"/>
  <c r="B63" i="8"/>
  <c r="E62" i="8"/>
  <c r="B62" i="8"/>
  <c r="K60" i="8"/>
  <c r="Z60" i="8" s="1"/>
  <c r="AH50" i="8"/>
  <c r="Z50" i="8"/>
  <c r="R50" i="8"/>
  <c r="E50" i="8"/>
  <c r="E53" i="8" s="1"/>
  <c r="AF49" i="8"/>
  <c r="AF11" i="8" s="1"/>
  <c r="X49" i="8"/>
  <c r="P49" i="8"/>
  <c r="I49" i="8"/>
  <c r="AH48" i="8"/>
  <c r="Z48" i="8"/>
  <c r="R48" i="8"/>
  <c r="K48" i="8"/>
  <c r="AH47" i="8"/>
  <c r="AH49" i="8" s="1"/>
  <c r="Z47" i="8"/>
  <c r="Z49" i="8" s="1"/>
  <c r="R47" i="8"/>
  <c r="R49" i="8" s="1"/>
  <c r="K47" i="8"/>
  <c r="K49" i="8" s="1"/>
  <c r="X45" i="8"/>
  <c r="P45" i="8"/>
  <c r="I45" i="8"/>
  <c r="I10" i="8" s="1"/>
  <c r="AH44" i="8"/>
  <c r="Z44" i="8"/>
  <c r="R44" i="8"/>
  <c r="K44" i="8"/>
  <c r="AH43" i="8"/>
  <c r="Z43" i="8"/>
  <c r="R43" i="8"/>
  <c r="K43" i="8"/>
  <c r="AF42" i="8"/>
  <c r="AF45" i="8" s="1"/>
  <c r="AF10" i="8" s="1"/>
  <c r="AH10" i="8" s="1"/>
  <c r="Z42" i="8"/>
  <c r="R42" i="8"/>
  <c r="R45" i="8" s="1"/>
  <c r="K42" i="8"/>
  <c r="K45" i="8" s="1"/>
  <c r="AH41" i="8"/>
  <c r="Z41" i="8"/>
  <c r="Z45" i="8" s="1"/>
  <c r="R41" i="8"/>
  <c r="K41" i="8"/>
  <c r="AF39" i="8"/>
  <c r="AF9" i="8" s="1"/>
  <c r="Z39" i="8"/>
  <c r="X39" i="8"/>
  <c r="X9" i="8" s="1"/>
  <c r="R39" i="8"/>
  <c r="P39" i="8"/>
  <c r="I39" i="8"/>
  <c r="AH36" i="8"/>
  <c r="Z36" i="8"/>
  <c r="R36" i="8"/>
  <c r="K36" i="8"/>
  <c r="AH35" i="8"/>
  <c r="Z35" i="8"/>
  <c r="R35" i="8"/>
  <c r="K35" i="8"/>
  <c r="K39" i="8" s="1"/>
  <c r="AH34" i="8"/>
  <c r="AH39" i="8" s="1"/>
  <c r="Z34" i="8"/>
  <c r="R34" i="8"/>
  <c r="K34" i="8"/>
  <c r="I32" i="8"/>
  <c r="I8" i="8" s="1"/>
  <c r="AH31" i="8"/>
  <c r="Z31" i="8"/>
  <c r="R31" i="8"/>
  <c r="K31" i="8"/>
  <c r="AH30" i="8"/>
  <c r="Z30" i="8"/>
  <c r="R30" i="8"/>
  <c r="K30" i="8"/>
  <c r="AH29" i="8"/>
  <c r="X29" i="8"/>
  <c r="X32" i="8" s="1"/>
  <c r="X8" i="8" s="1"/>
  <c r="P29" i="8"/>
  <c r="R29" i="8" s="1"/>
  <c r="K29" i="8"/>
  <c r="I29" i="8"/>
  <c r="AH28" i="8"/>
  <c r="AF28" i="8"/>
  <c r="AF32" i="8" s="1"/>
  <c r="AF8" i="8" s="1"/>
  <c r="X28" i="8"/>
  <c r="Z28" i="8" s="1"/>
  <c r="P28" i="8"/>
  <c r="R28" i="8" s="1"/>
  <c r="I28" i="8"/>
  <c r="K28" i="8" s="1"/>
  <c r="K32" i="8" s="1"/>
  <c r="AH27" i="8"/>
  <c r="Z27" i="8"/>
  <c r="R27" i="8"/>
  <c r="K27" i="8"/>
  <c r="AH26" i="8"/>
  <c r="AH32" i="8" s="1"/>
  <c r="Z26" i="8"/>
  <c r="R26" i="8"/>
  <c r="K26" i="8"/>
  <c r="AF24" i="8"/>
  <c r="AF7" i="8" s="1"/>
  <c r="AH7" i="8" s="1"/>
  <c r="X24" i="8"/>
  <c r="E23" i="8"/>
  <c r="AH22" i="8"/>
  <c r="Z22" i="8"/>
  <c r="R22" i="8"/>
  <c r="K22" i="8"/>
  <c r="AH21" i="8"/>
  <c r="Z21" i="8"/>
  <c r="P21" i="8"/>
  <c r="P24" i="8" s="1"/>
  <c r="P7" i="8" s="1"/>
  <c r="R7" i="8" s="1"/>
  <c r="K21" i="8"/>
  <c r="C21" i="8"/>
  <c r="K95" i="8" s="1"/>
  <c r="AH20" i="8"/>
  <c r="AF20" i="8"/>
  <c r="X20" i="8"/>
  <c r="Z20" i="8" s="1"/>
  <c r="P20" i="8"/>
  <c r="R20" i="8" s="1"/>
  <c r="I20" i="8"/>
  <c r="I24" i="8" s="1"/>
  <c r="I7" i="8" s="1"/>
  <c r="AH19" i="8"/>
  <c r="Z19" i="8"/>
  <c r="Z24" i="8" s="1"/>
  <c r="R19" i="8"/>
  <c r="K19" i="8"/>
  <c r="AH18" i="8"/>
  <c r="AH24" i="8" s="1"/>
  <c r="Z18" i="8"/>
  <c r="R18" i="8"/>
  <c r="K18" i="8"/>
  <c r="C18" i="8"/>
  <c r="C23" i="8" s="1"/>
  <c r="AG11" i="8"/>
  <c r="Y11" i="8"/>
  <c r="X11" i="8"/>
  <c r="Z11" i="8" s="1"/>
  <c r="Q11" i="8"/>
  <c r="R11" i="8" s="1"/>
  <c r="P11" i="8"/>
  <c r="J11" i="8"/>
  <c r="K11" i="8" s="1"/>
  <c r="AG10" i="8"/>
  <c r="Y10" i="8"/>
  <c r="X10" i="8"/>
  <c r="Q10" i="8"/>
  <c r="R10" i="8" s="1"/>
  <c r="P10" i="8"/>
  <c r="J10" i="8"/>
  <c r="AG9" i="8"/>
  <c r="Y9" i="8"/>
  <c r="Q9" i="8"/>
  <c r="R9" i="8" s="1"/>
  <c r="P9" i="8"/>
  <c r="J9" i="8"/>
  <c r="K9" i="8" s="1"/>
  <c r="I9" i="8"/>
  <c r="AG8" i="8"/>
  <c r="Y8" i="8"/>
  <c r="Q8" i="8"/>
  <c r="J8" i="8"/>
  <c r="AG7" i="8"/>
  <c r="Y7" i="8"/>
  <c r="X7" i="8"/>
  <c r="Z7" i="8" s="1"/>
  <c r="Q7" i="8"/>
  <c r="J7" i="8"/>
  <c r="Z12" i="9" l="1"/>
  <c r="Z15" i="9" s="1"/>
  <c r="Z53" i="9" s="1"/>
  <c r="Z58" i="9" s="1"/>
  <c r="Z59" i="9" s="1"/>
  <c r="Z61" i="9" s="1"/>
  <c r="Z67" i="9" s="1"/>
  <c r="Z69" i="9" s="1"/>
  <c r="Z84" i="9" s="1"/>
  <c r="Z88" i="9" s="1"/>
  <c r="K12" i="9"/>
  <c r="K15" i="9" s="1"/>
  <c r="K53" i="9" s="1"/>
  <c r="K58" i="9" s="1"/>
  <c r="K59" i="9" s="1"/>
  <c r="K61" i="9" s="1"/>
  <c r="K67" i="9" s="1"/>
  <c r="K69" i="9" s="1"/>
  <c r="K84" i="9" s="1"/>
  <c r="K88" i="9" s="1"/>
  <c r="R53" i="9"/>
  <c r="R58" i="9" s="1"/>
  <c r="R59" i="9" s="1"/>
  <c r="R61" i="9" s="1"/>
  <c r="R67" i="9" s="1"/>
  <c r="R69" i="9" s="1"/>
  <c r="R84" i="9" s="1"/>
  <c r="R88" i="9" s="1"/>
  <c r="AH51" i="9"/>
  <c r="AH53" i="9" s="1"/>
  <c r="AH56" i="9" s="1"/>
  <c r="AH57" i="9" s="1"/>
  <c r="AH59" i="9" s="1"/>
  <c r="AH65" i="9" s="1"/>
  <c r="AH67" i="9" s="1"/>
  <c r="AH82" i="9" s="1"/>
  <c r="AH86" i="9" s="1"/>
  <c r="E41" i="9"/>
  <c r="E43" i="9" s="1"/>
  <c r="AH11" i="8"/>
  <c r="Z10" i="8"/>
  <c r="K10" i="8"/>
  <c r="Z9" i="8"/>
  <c r="AH9" i="8"/>
  <c r="AH8" i="8"/>
  <c r="K8" i="8"/>
  <c r="Z8" i="8"/>
  <c r="K7" i="8"/>
  <c r="K12" i="8" s="1"/>
  <c r="K15" i="8" s="1"/>
  <c r="K53" i="8" s="1"/>
  <c r="K58" i="8" s="1"/>
  <c r="K59" i="8" s="1"/>
  <c r="K61" i="8" s="1"/>
  <c r="K67" i="8" s="1"/>
  <c r="K69" i="8" s="1"/>
  <c r="K84" i="8" s="1"/>
  <c r="K88" i="8" s="1"/>
  <c r="E58" i="8"/>
  <c r="E57" i="8"/>
  <c r="E55" i="8"/>
  <c r="R32" i="8"/>
  <c r="Z29" i="8"/>
  <c r="Z32" i="8" s="1"/>
  <c r="Z51" i="8" s="1"/>
  <c r="AH42" i="8"/>
  <c r="AH45" i="8" s="1"/>
  <c r="AH51" i="8" s="1"/>
  <c r="R60" i="8"/>
  <c r="K92" i="8"/>
  <c r="K97" i="8" s="1"/>
  <c r="K81" i="8" s="1"/>
  <c r="K82" i="8" s="1"/>
  <c r="K20" i="8"/>
  <c r="K24" i="8" s="1"/>
  <c r="K51" i="8" s="1"/>
  <c r="P32" i="8"/>
  <c r="P8" i="8" s="1"/>
  <c r="R8" i="8" s="1"/>
  <c r="R12" i="8" s="1"/>
  <c r="R15" i="8" s="1"/>
  <c r="R21" i="8"/>
  <c r="R24" i="8" s="1"/>
  <c r="R51" i="8" s="1"/>
  <c r="AH59" i="7"/>
  <c r="AH53" i="7"/>
  <c r="AH51" i="7"/>
  <c r="AH15" i="7"/>
  <c r="E42" i="9" l="1"/>
  <c r="E44" i="9" s="1"/>
  <c r="AH12" i="8"/>
  <c r="AH15" i="8" s="1"/>
  <c r="AH53" i="8" s="1"/>
  <c r="AH56" i="8" s="1"/>
  <c r="AH57" i="8" s="1"/>
  <c r="AH59" i="8" s="1"/>
  <c r="AH65" i="8" s="1"/>
  <c r="AH67" i="8" s="1"/>
  <c r="AH86" i="8" s="1"/>
  <c r="Z12" i="8"/>
  <c r="Z15" i="8" s="1"/>
  <c r="Z53" i="8" s="1"/>
  <c r="Z58" i="8" s="1"/>
  <c r="Z59" i="8" s="1"/>
  <c r="Z61" i="8" s="1"/>
  <c r="Z67" i="8" s="1"/>
  <c r="Z69" i="8" s="1"/>
  <c r="Z84" i="8" s="1"/>
  <c r="Z88" i="8" s="1"/>
  <c r="R53" i="8"/>
  <c r="R58" i="8" s="1"/>
  <c r="R59" i="8" s="1"/>
  <c r="R61" i="8" s="1"/>
  <c r="R67" i="8" s="1"/>
  <c r="R69" i="8" s="1"/>
  <c r="R84" i="8" s="1"/>
  <c r="R88" i="8" s="1"/>
  <c r="E41" i="8"/>
  <c r="E43" i="8" s="1"/>
  <c r="AH95" i="7"/>
  <c r="AH79" i="7" s="1"/>
  <c r="AH80" i="7" s="1"/>
  <c r="AH50" i="7"/>
  <c r="I78" i="2"/>
  <c r="I14" i="2"/>
  <c r="AH24" i="7"/>
  <c r="E50" i="7"/>
  <c r="E53" i="7" s="1"/>
  <c r="AF42" i="7"/>
  <c r="AF24" i="7"/>
  <c r="AF7" i="7" s="1"/>
  <c r="AA97" i="7"/>
  <c r="Z97" i="7"/>
  <c r="Z81" i="7" s="1"/>
  <c r="Z82" i="7" s="1"/>
  <c r="S97" i="7"/>
  <c r="R97" i="7"/>
  <c r="L97" i="7"/>
  <c r="K96" i="7"/>
  <c r="K94" i="7"/>
  <c r="K93" i="7"/>
  <c r="E82" i="7"/>
  <c r="E85" i="7" s="1"/>
  <c r="R81" i="7"/>
  <c r="R82" i="7" s="1"/>
  <c r="E80" i="7"/>
  <c r="B80" i="7"/>
  <c r="Z73" i="7"/>
  <c r="Z74" i="7" s="1"/>
  <c r="R73" i="7"/>
  <c r="R74" i="7" s="1"/>
  <c r="K73" i="7"/>
  <c r="K74" i="7" s="1"/>
  <c r="E73" i="7"/>
  <c r="E76" i="7" s="1"/>
  <c r="AH72" i="7"/>
  <c r="AH71" i="7"/>
  <c r="E71" i="7"/>
  <c r="B71" i="7"/>
  <c r="B63" i="7"/>
  <c r="E62" i="7"/>
  <c r="E64" i="7" s="1"/>
  <c r="E67" i="7" s="1"/>
  <c r="B62" i="7"/>
  <c r="K60" i="7"/>
  <c r="R60" i="7" s="1"/>
  <c r="Z50" i="7"/>
  <c r="R50" i="7"/>
  <c r="AF49" i="7"/>
  <c r="AF11" i="7" s="1"/>
  <c r="X49" i="7"/>
  <c r="P49" i="7"/>
  <c r="P11" i="7" s="1"/>
  <c r="K49" i="7"/>
  <c r="I49" i="7"/>
  <c r="AH48" i="7"/>
  <c r="Z48" i="7"/>
  <c r="R48" i="7"/>
  <c r="R49" i="7" s="1"/>
  <c r="K48" i="7"/>
  <c r="AH47" i="7"/>
  <c r="Z47" i="7"/>
  <c r="Z49" i="7" s="1"/>
  <c r="R47" i="7"/>
  <c r="K47" i="7"/>
  <c r="AF45" i="7"/>
  <c r="AF10" i="7" s="1"/>
  <c r="X45" i="7"/>
  <c r="X10" i="7" s="1"/>
  <c r="Z10" i="7" s="1"/>
  <c r="R45" i="7"/>
  <c r="P45" i="7"/>
  <c r="P10" i="7" s="1"/>
  <c r="R10" i="7" s="1"/>
  <c r="I45" i="7"/>
  <c r="AH44" i="7"/>
  <c r="Z44" i="7"/>
  <c r="R44" i="7"/>
  <c r="K44" i="7"/>
  <c r="AH43" i="7"/>
  <c r="Z43" i="7"/>
  <c r="Z45" i="7" s="1"/>
  <c r="R43" i="7"/>
  <c r="K43" i="7"/>
  <c r="AH42" i="7"/>
  <c r="AH45" i="7" s="1"/>
  <c r="Z42" i="7"/>
  <c r="R42" i="7"/>
  <c r="K42" i="7"/>
  <c r="AH41" i="7"/>
  <c r="Z41" i="7"/>
  <c r="R41" i="7"/>
  <c r="K41" i="7"/>
  <c r="K45" i="7" s="1"/>
  <c r="AF39" i="7"/>
  <c r="X39" i="7"/>
  <c r="P39" i="7"/>
  <c r="P9" i="7" s="1"/>
  <c r="I39" i="7"/>
  <c r="AH36" i="7"/>
  <c r="Z36" i="7"/>
  <c r="R36" i="7"/>
  <c r="K36" i="7"/>
  <c r="AH35" i="7"/>
  <c r="AH39" i="7" s="1"/>
  <c r="Z35" i="7"/>
  <c r="Z39" i="7" s="1"/>
  <c r="R35" i="7"/>
  <c r="K35" i="7"/>
  <c r="K39" i="7" s="1"/>
  <c r="AH34" i="7"/>
  <c r="Z34" i="7"/>
  <c r="R34" i="7"/>
  <c r="R39" i="7" s="1"/>
  <c r="K34" i="7"/>
  <c r="X32" i="7"/>
  <c r="X8" i="7" s="1"/>
  <c r="R32" i="7"/>
  <c r="AH31" i="7"/>
  <c r="Z31" i="7"/>
  <c r="R31" i="7"/>
  <c r="K31" i="7"/>
  <c r="AH30" i="7"/>
  <c r="Z30" i="7"/>
  <c r="R30" i="7"/>
  <c r="K30" i="7"/>
  <c r="AH29" i="7"/>
  <c r="Z29" i="7"/>
  <c r="X29" i="7"/>
  <c r="R29" i="7"/>
  <c r="P29" i="7"/>
  <c r="K29" i="7"/>
  <c r="I29" i="7"/>
  <c r="AF28" i="7"/>
  <c r="AF32" i="7" s="1"/>
  <c r="AF8" i="7" s="1"/>
  <c r="AH8" i="7" s="1"/>
  <c r="X28" i="7"/>
  <c r="Z28" i="7" s="1"/>
  <c r="Z32" i="7" s="1"/>
  <c r="R28" i="7"/>
  <c r="P28" i="7"/>
  <c r="P32" i="7" s="1"/>
  <c r="P8" i="7" s="1"/>
  <c r="K28" i="7"/>
  <c r="I28" i="7"/>
  <c r="I32" i="7" s="1"/>
  <c r="I8" i="7" s="1"/>
  <c r="K8" i="7" s="1"/>
  <c r="AH27" i="7"/>
  <c r="Z27" i="7"/>
  <c r="R27" i="7"/>
  <c r="K27" i="7"/>
  <c r="AH26" i="7"/>
  <c r="Z26" i="7"/>
  <c r="R26" i="7"/>
  <c r="K26" i="7"/>
  <c r="K32" i="7" s="1"/>
  <c r="I24" i="7"/>
  <c r="E23" i="7"/>
  <c r="AH22" i="7"/>
  <c r="Z22" i="7"/>
  <c r="R22" i="7"/>
  <c r="K22" i="7"/>
  <c r="AH21" i="7"/>
  <c r="Z21" i="7"/>
  <c r="P21" i="7"/>
  <c r="R21" i="7" s="1"/>
  <c r="K21" i="7"/>
  <c r="C21" i="7"/>
  <c r="K95" i="7" s="1"/>
  <c r="AF20" i="7"/>
  <c r="AH20" i="7" s="1"/>
  <c r="X20" i="7"/>
  <c r="X24" i="7" s="1"/>
  <c r="X7" i="7" s="1"/>
  <c r="R20" i="7"/>
  <c r="P20" i="7"/>
  <c r="P24" i="7" s="1"/>
  <c r="P7" i="7" s="1"/>
  <c r="K20" i="7"/>
  <c r="I20" i="7"/>
  <c r="AH19" i="7"/>
  <c r="Z19" i="7"/>
  <c r="R19" i="7"/>
  <c r="K19" i="7"/>
  <c r="AH18" i="7"/>
  <c r="Z18" i="7"/>
  <c r="R18" i="7"/>
  <c r="R24" i="7" s="1"/>
  <c r="R51" i="7" s="1"/>
  <c r="K18" i="7"/>
  <c r="K24" i="7" s="1"/>
  <c r="C18" i="7"/>
  <c r="C23" i="7" s="1"/>
  <c r="K14" i="7"/>
  <c r="K13" i="7"/>
  <c r="K50" i="7" s="1"/>
  <c r="AG11" i="7"/>
  <c r="Y11" i="7"/>
  <c r="Z11" i="7" s="1"/>
  <c r="X11" i="7"/>
  <c r="Q11" i="7"/>
  <c r="J11" i="7"/>
  <c r="K11" i="7" s="1"/>
  <c r="AG10" i="7"/>
  <c r="Y10" i="7"/>
  <c r="Q10" i="7"/>
  <c r="J10" i="7"/>
  <c r="I10" i="7"/>
  <c r="K10" i="7" s="1"/>
  <c r="AG9" i="7"/>
  <c r="AF9" i="7"/>
  <c r="Y9" i="7"/>
  <c r="Z9" i="7" s="1"/>
  <c r="X9" i="7"/>
  <c r="Q9" i="7"/>
  <c r="J9" i="7"/>
  <c r="I9" i="7"/>
  <c r="K9" i="7" s="1"/>
  <c r="AG8" i="7"/>
  <c r="Y8" i="7"/>
  <c r="Q8" i="7"/>
  <c r="J8" i="7"/>
  <c r="AG7" i="7"/>
  <c r="Y7" i="7"/>
  <c r="Q7" i="7"/>
  <c r="J7" i="7"/>
  <c r="I7" i="7"/>
  <c r="E42" i="8" l="1"/>
  <c r="E44" i="8" s="1"/>
  <c r="K51" i="7"/>
  <c r="R11" i="7"/>
  <c r="AH10" i="7"/>
  <c r="R9" i="7"/>
  <c r="AH9" i="7"/>
  <c r="R8" i="7"/>
  <c r="Z8" i="7"/>
  <c r="R7" i="7"/>
  <c r="Z7" i="7"/>
  <c r="Z12" i="7" s="1"/>
  <c r="Z15" i="7" s="1"/>
  <c r="K7" i="7"/>
  <c r="K12" i="7" s="1"/>
  <c r="K15" i="7" s="1"/>
  <c r="K53" i="7" s="1"/>
  <c r="K58" i="7" s="1"/>
  <c r="K59" i="7" s="1"/>
  <c r="K61" i="7" s="1"/>
  <c r="K67" i="7" s="1"/>
  <c r="K69" i="7" s="1"/>
  <c r="K84" i="7" s="1"/>
  <c r="K88" i="7" s="1"/>
  <c r="AH7" i="7"/>
  <c r="AH11" i="7"/>
  <c r="AH49" i="7"/>
  <c r="E55" i="7"/>
  <c r="E57" i="7"/>
  <c r="E58" i="7"/>
  <c r="Z20" i="7"/>
  <c r="Z24" i="7" s="1"/>
  <c r="Z51" i="7" s="1"/>
  <c r="K92" i="7"/>
  <c r="K97" i="7" s="1"/>
  <c r="K81" i="7" s="1"/>
  <c r="K82" i="7" s="1"/>
  <c r="AH28" i="7"/>
  <c r="AH32" i="7" s="1"/>
  <c r="Z60" i="7"/>
  <c r="AH79" i="4"/>
  <c r="I78" i="3"/>
  <c r="I79" i="3"/>
  <c r="I78" i="1"/>
  <c r="AH12" i="7" l="1"/>
  <c r="AH56" i="7" s="1"/>
  <c r="AH57" i="7" s="1"/>
  <c r="AH65" i="7" s="1"/>
  <c r="AH67" i="7" s="1"/>
  <c r="AH82" i="7" s="1"/>
  <c r="AH86" i="7" s="1"/>
  <c r="R12" i="7"/>
  <c r="R15" i="7" s="1"/>
  <c r="R53" i="7" s="1"/>
  <c r="R58" i="7" s="1"/>
  <c r="R59" i="7" s="1"/>
  <c r="R61" i="7" s="1"/>
  <c r="R67" i="7" s="1"/>
  <c r="R69" i="7" s="1"/>
  <c r="R84" i="7" s="1"/>
  <c r="R88" i="7" s="1"/>
  <c r="E41" i="7"/>
  <c r="E43" i="7" s="1"/>
  <c r="Z53" i="7"/>
  <c r="Z58" i="7" s="1"/>
  <c r="Z59" i="7" s="1"/>
  <c r="Z61" i="7" s="1"/>
  <c r="Z67" i="7" s="1"/>
  <c r="Z69" i="7" s="1"/>
  <c r="Z84" i="7" s="1"/>
  <c r="Z88" i="7" s="1"/>
  <c r="E64" i="6"/>
  <c r="E62" i="6"/>
  <c r="E42" i="6"/>
  <c r="E41" i="6"/>
  <c r="E55" i="6"/>
  <c r="E50" i="6"/>
  <c r="E53" i="6"/>
  <c r="E43" i="6" s="1"/>
  <c r="B80" i="6"/>
  <c r="B71" i="6"/>
  <c r="B62" i="6"/>
  <c r="I50" i="2"/>
  <c r="B63" i="6"/>
  <c r="E67" i="6"/>
  <c r="E48" i="5"/>
  <c r="E42" i="7" l="1"/>
  <c r="E44" i="7" s="1"/>
  <c r="E57" i="6"/>
  <c r="E44" i="6"/>
  <c r="E58" i="6"/>
  <c r="AH95" i="6"/>
  <c r="AH79" i="6" s="1"/>
  <c r="AH80" i="6" s="1"/>
  <c r="AA97" i="6"/>
  <c r="Z97" i="6"/>
  <c r="Z81" i="6" s="1"/>
  <c r="Z82" i="6" s="1"/>
  <c r="S97" i="6"/>
  <c r="R97" i="6"/>
  <c r="R81" i="6" s="1"/>
  <c r="R82" i="6" s="1"/>
  <c r="L97" i="6"/>
  <c r="K96" i="6"/>
  <c r="K94" i="6"/>
  <c r="K93" i="6"/>
  <c r="AH71" i="6"/>
  <c r="AH72" i="6" s="1"/>
  <c r="Z73" i="6"/>
  <c r="Z74" i="6" s="1"/>
  <c r="R73" i="6"/>
  <c r="R74" i="6" s="1"/>
  <c r="K73" i="6"/>
  <c r="K74" i="6" s="1"/>
  <c r="E80" i="6"/>
  <c r="E82" i="6" s="1"/>
  <c r="E85" i="6" s="1"/>
  <c r="E71" i="6"/>
  <c r="E73" i="6" s="1"/>
  <c r="E76" i="6" s="1"/>
  <c r="K60" i="6"/>
  <c r="Z60" i="6" s="1"/>
  <c r="AH58" i="6" s="1"/>
  <c r="AH50" i="6"/>
  <c r="Z50" i="6"/>
  <c r="R50" i="6"/>
  <c r="AF49" i="6"/>
  <c r="AF11" i="6" s="1"/>
  <c r="X49" i="6"/>
  <c r="X11" i="6" s="1"/>
  <c r="P49" i="6"/>
  <c r="P11" i="6" s="1"/>
  <c r="I49" i="6"/>
  <c r="AH48" i="6"/>
  <c r="Z48" i="6"/>
  <c r="R48" i="6"/>
  <c r="K48" i="6"/>
  <c r="AH47" i="6"/>
  <c r="Z47" i="6"/>
  <c r="R47" i="6"/>
  <c r="K47" i="6"/>
  <c r="AF45" i="6"/>
  <c r="X45" i="6"/>
  <c r="X10" i="6" s="1"/>
  <c r="P45" i="6"/>
  <c r="P10" i="6" s="1"/>
  <c r="I45" i="6"/>
  <c r="I10" i="6" s="1"/>
  <c r="AH44" i="6"/>
  <c r="Z44" i="6"/>
  <c r="R44" i="6"/>
  <c r="K44" i="6"/>
  <c r="AH43" i="6"/>
  <c r="Z43" i="6"/>
  <c r="R43" i="6"/>
  <c r="K43" i="6"/>
  <c r="AH42" i="6"/>
  <c r="Z42" i="6"/>
  <c r="R42" i="6"/>
  <c r="K42" i="6"/>
  <c r="AH41" i="6"/>
  <c r="Z41" i="6"/>
  <c r="R41" i="6"/>
  <c r="K41" i="6"/>
  <c r="AF39" i="6"/>
  <c r="AF9" i="6" s="1"/>
  <c r="X39" i="6"/>
  <c r="X9" i="6" s="1"/>
  <c r="P39" i="6"/>
  <c r="I39" i="6"/>
  <c r="AH36" i="6"/>
  <c r="Z36" i="6"/>
  <c r="R36" i="6"/>
  <c r="K36" i="6"/>
  <c r="AH35" i="6"/>
  <c r="Z35" i="6"/>
  <c r="R35" i="6"/>
  <c r="K35" i="6"/>
  <c r="AH34" i="6"/>
  <c r="Z34" i="6"/>
  <c r="R34" i="6"/>
  <c r="K34" i="6"/>
  <c r="AH31" i="6"/>
  <c r="Z31" i="6"/>
  <c r="R31" i="6"/>
  <c r="K31" i="6"/>
  <c r="AH30" i="6"/>
  <c r="Z30" i="6"/>
  <c r="R30" i="6"/>
  <c r="K30" i="6"/>
  <c r="AH29" i="6"/>
  <c r="X29" i="6"/>
  <c r="Z29" i="6" s="1"/>
  <c r="P29" i="6"/>
  <c r="R29" i="6" s="1"/>
  <c r="I29" i="6"/>
  <c r="K29" i="6" s="1"/>
  <c r="C29" i="6"/>
  <c r="AF28" i="6"/>
  <c r="AF32" i="6" s="1"/>
  <c r="AF8" i="6" s="1"/>
  <c r="X28" i="6"/>
  <c r="Z28" i="6" s="1"/>
  <c r="P28" i="6"/>
  <c r="R28" i="6" s="1"/>
  <c r="I28" i="6"/>
  <c r="K28" i="6" s="1"/>
  <c r="AH27" i="6"/>
  <c r="Z27" i="6"/>
  <c r="R27" i="6"/>
  <c r="K27" i="6"/>
  <c r="AH26" i="6"/>
  <c r="Z26" i="6"/>
  <c r="R26" i="6"/>
  <c r="K26" i="6"/>
  <c r="E23" i="6"/>
  <c r="AH22" i="6"/>
  <c r="Z22" i="6"/>
  <c r="R22" i="6"/>
  <c r="K22" i="6"/>
  <c r="AH21" i="6"/>
  <c r="Z21" i="6"/>
  <c r="P21" i="6"/>
  <c r="R21" i="6" s="1"/>
  <c r="K21" i="6"/>
  <c r="C21" i="6"/>
  <c r="K95" i="6" s="1"/>
  <c r="AF20" i="6"/>
  <c r="AF24" i="6" s="1"/>
  <c r="AF7" i="6" s="1"/>
  <c r="X20" i="6"/>
  <c r="Z20" i="6" s="1"/>
  <c r="P20" i="6"/>
  <c r="R20" i="6" s="1"/>
  <c r="I20" i="6"/>
  <c r="K20" i="6" s="1"/>
  <c r="AH19" i="6"/>
  <c r="Z19" i="6"/>
  <c r="R19" i="6"/>
  <c r="K19" i="6"/>
  <c r="AH18" i="6"/>
  <c r="Z18" i="6"/>
  <c r="R18" i="6"/>
  <c r="K18" i="6"/>
  <c r="C18" i="6"/>
  <c r="K14" i="6"/>
  <c r="K13" i="6"/>
  <c r="K50" i="6" s="1"/>
  <c r="AG11" i="6"/>
  <c r="Y11" i="6"/>
  <c r="Q11" i="6"/>
  <c r="J11" i="6"/>
  <c r="K11" i="6" s="1"/>
  <c r="AG10" i="6"/>
  <c r="AF10" i="6"/>
  <c r="Y10" i="6"/>
  <c r="Q10" i="6"/>
  <c r="J10" i="6"/>
  <c r="AG9" i="6"/>
  <c r="Y9" i="6"/>
  <c r="Q9" i="6"/>
  <c r="P9" i="6"/>
  <c r="R9" i="6" s="1"/>
  <c r="J9" i="6"/>
  <c r="I9" i="6"/>
  <c r="K9" i="6" s="1"/>
  <c r="AG8" i="6"/>
  <c r="Y8" i="6"/>
  <c r="Q8" i="6"/>
  <c r="J8" i="6"/>
  <c r="AG7" i="6"/>
  <c r="Y7" i="6"/>
  <c r="Q7" i="6"/>
  <c r="J7" i="6"/>
  <c r="C23" i="6" l="1"/>
  <c r="Z49" i="6"/>
  <c r="Z24" i="6"/>
  <c r="AH49" i="6"/>
  <c r="K39" i="6"/>
  <c r="K10" i="6"/>
  <c r="R11" i="6"/>
  <c r="I24" i="6"/>
  <c r="I7" i="6" s="1"/>
  <c r="K7" i="6" s="1"/>
  <c r="Z11" i="6"/>
  <c r="K49" i="6"/>
  <c r="AH11" i="6"/>
  <c r="R49" i="6"/>
  <c r="Z32" i="6"/>
  <c r="K92" i="6"/>
  <c r="K97" i="6" s="1"/>
  <c r="K81" i="6" s="1"/>
  <c r="K82" i="6" s="1"/>
  <c r="R32" i="6"/>
  <c r="Z9" i="6"/>
  <c r="Z39" i="6"/>
  <c r="Z10" i="6"/>
  <c r="AH39" i="6"/>
  <c r="AH9" i="6"/>
  <c r="K45" i="6"/>
  <c r="R45" i="6"/>
  <c r="Z45" i="6"/>
  <c r="AH10" i="6"/>
  <c r="R39" i="6"/>
  <c r="AH45" i="6"/>
  <c r="R10" i="6"/>
  <c r="AH8" i="6"/>
  <c r="AH7" i="6"/>
  <c r="K24" i="6"/>
  <c r="R24" i="6"/>
  <c r="K32" i="6"/>
  <c r="AH28" i="6"/>
  <c r="AH32" i="6" s="1"/>
  <c r="P24" i="6"/>
  <c r="P7" i="6" s="1"/>
  <c r="R7" i="6" s="1"/>
  <c r="R60" i="6"/>
  <c r="X24" i="6"/>
  <c r="X7" i="6" s="1"/>
  <c r="Z7" i="6" s="1"/>
  <c r="I32" i="6"/>
  <c r="I8" i="6" s="1"/>
  <c r="K8" i="6" s="1"/>
  <c r="X32" i="6"/>
  <c r="X8" i="6" s="1"/>
  <c r="Z8" i="6" s="1"/>
  <c r="AH20" i="6"/>
  <c r="AH24" i="6" s="1"/>
  <c r="P32" i="6"/>
  <c r="P8" i="6" s="1"/>
  <c r="R8" i="6" s="1"/>
  <c r="E89" i="5"/>
  <c r="E87" i="5"/>
  <c r="E86" i="5"/>
  <c r="E86" i="4"/>
  <c r="B60" i="5"/>
  <c r="E56" i="5"/>
  <c r="E55" i="5"/>
  <c r="E48" i="4"/>
  <c r="AH95" i="5"/>
  <c r="AH79" i="5" s="1"/>
  <c r="AH80" i="5" s="1"/>
  <c r="AA95" i="5"/>
  <c r="Z95" i="5"/>
  <c r="S95" i="5"/>
  <c r="R95" i="5"/>
  <c r="L95" i="5"/>
  <c r="K94" i="5"/>
  <c r="K92" i="5"/>
  <c r="K91" i="5"/>
  <c r="K90" i="5"/>
  <c r="Z80" i="5"/>
  <c r="Z79" i="5"/>
  <c r="R79" i="5"/>
  <c r="R80" i="5" s="1"/>
  <c r="B79" i="5"/>
  <c r="E78" i="5"/>
  <c r="E80" i="5" s="1"/>
  <c r="E83" i="5" s="1"/>
  <c r="B78" i="5"/>
  <c r="AH72" i="5"/>
  <c r="AH71" i="5"/>
  <c r="Z71" i="5"/>
  <c r="Z72" i="5" s="1"/>
  <c r="R71" i="5"/>
  <c r="R72" i="5" s="1"/>
  <c r="K71" i="5"/>
  <c r="K72" i="5" s="1"/>
  <c r="E69" i="5"/>
  <c r="E71" i="5" s="1"/>
  <c r="E74" i="5" s="1"/>
  <c r="B69" i="5"/>
  <c r="E60" i="5"/>
  <c r="E62" i="5" s="1"/>
  <c r="E65" i="5" s="1"/>
  <c r="K58" i="5"/>
  <c r="Z58" i="5" s="1"/>
  <c r="AH58" i="5" s="1"/>
  <c r="AH50" i="5"/>
  <c r="Z50" i="5"/>
  <c r="R50" i="5"/>
  <c r="K50" i="5"/>
  <c r="E50" i="5"/>
  <c r="E53" i="5" s="1"/>
  <c r="AH49" i="5"/>
  <c r="AF49" i="5"/>
  <c r="X49" i="5"/>
  <c r="X11" i="5" s="1"/>
  <c r="Z11" i="5" s="1"/>
  <c r="R49" i="5"/>
  <c r="P49" i="5"/>
  <c r="P11" i="5" s="1"/>
  <c r="R11" i="5" s="1"/>
  <c r="I49" i="5"/>
  <c r="AH48" i="5"/>
  <c r="Z48" i="5"/>
  <c r="R48" i="5"/>
  <c r="K48" i="5"/>
  <c r="AH47" i="5"/>
  <c r="Z47" i="5"/>
  <c r="Z49" i="5" s="1"/>
  <c r="R47" i="5"/>
  <c r="K47" i="5"/>
  <c r="K49" i="5" s="1"/>
  <c r="AF45" i="5"/>
  <c r="X45" i="5"/>
  <c r="P45" i="5"/>
  <c r="P10" i="5" s="1"/>
  <c r="I45" i="5"/>
  <c r="AH44" i="5"/>
  <c r="Z44" i="5"/>
  <c r="R44" i="5"/>
  <c r="K44" i="5"/>
  <c r="AH43" i="5"/>
  <c r="AH45" i="5" s="1"/>
  <c r="Z43" i="5"/>
  <c r="R43" i="5"/>
  <c r="K43" i="5"/>
  <c r="AH42" i="5"/>
  <c r="Z42" i="5"/>
  <c r="Z45" i="5" s="1"/>
  <c r="R42" i="5"/>
  <c r="K42" i="5"/>
  <c r="AH41" i="5"/>
  <c r="Z41" i="5"/>
  <c r="R41" i="5"/>
  <c r="R45" i="5" s="1"/>
  <c r="K41" i="5"/>
  <c r="K45" i="5" s="1"/>
  <c r="AF39" i="5"/>
  <c r="Z39" i="5"/>
  <c r="X39" i="5"/>
  <c r="P39" i="5"/>
  <c r="P9" i="5" s="1"/>
  <c r="I39" i="5"/>
  <c r="AH36" i="5"/>
  <c r="Z36" i="5"/>
  <c r="R36" i="5"/>
  <c r="K36" i="5"/>
  <c r="K39" i="5" s="1"/>
  <c r="AH35" i="5"/>
  <c r="AH39" i="5" s="1"/>
  <c r="Z35" i="5"/>
  <c r="R35" i="5"/>
  <c r="K35" i="5"/>
  <c r="AH34" i="5"/>
  <c r="Z34" i="5"/>
  <c r="R34" i="5"/>
  <c r="R39" i="5" s="1"/>
  <c r="K34" i="5"/>
  <c r="AH31" i="5"/>
  <c r="Z31" i="5"/>
  <c r="R31" i="5"/>
  <c r="K31" i="5"/>
  <c r="AH30" i="5"/>
  <c r="Z30" i="5"/>
  <c r="R30" i="5"/>
  <c r="K30" i="5"/>
  <c r="AH29" i="5"/>
  <c r="Z29" i="5"/>
  <c r="X29" i="5"/>
  <c r="P29" i="5"/>
  <c r="R29" i="5" s="1"/>
  <c r="K29" i="5"/>
  <c r="I29" i="5"/>
  <c r="I32" i="5" s="1"/>
  <c r="I8" i="5" s="1"/>
  <c r="C29" i="5"/>
  <c r="AF28" i="5"/>
  <c r="AF32" i="5" s="1"/>
  <c r="AF8" i="5" s="1"/>
  <c r="X28" i="5"/>
  <c r="X32" i="5" s="1"/>
  <c r="X8" i="5" s="1"/>
  <c r="P28" i="5"/>
  <c r="P32" i="5" s="1"/>
  <c r="P8" i="5" s="1"/>
  <c r="K28" i="5"/>
  <c r="I28" i="5"/>
  <c r="AH27" i="5"/>
  <c r="Z27" i="5"/>
  <c r="R27" i="5"/>
  <c r="K27" i="5"/>
  <c r="AH26" i="5"/>
  <c r="Z26" i="5"/>
  <c r="R26" i="5"/>
  <c r="K26" i="5"/>
  <c r="K32" i="5" s="1"/>
  <c r="P24" i="5"/>
  <c r="P7" i="5" s="1"/>
  <c r="R7" i="5" s="1"/>
  <c r="I24" i="5"/>
  <c r="E23" i="5"/>
  <c r="C23" i="5"/>
  <c r="AH22" i="5"/>
  <c r="Z22" i="5"/>
  <c r="R22" i="5"/>
  <c r="K22" i="5"/>
  <c r="AH21" i="5"/>
  <c r="Z21" i="5"/>
  <c r="P21" i="5"/>
  <c r="R21" i="5" s="1"/>
  <c r="K21" i="5"/>
  <c r="C21" i="5"/>
  <c r="K93" i="5" s="1"/>
  <c r="AF20" i="5"/>
  <c r="AF24" i="5" s="1"/>
  <c r="AF7" i="5" s="1"/>
  <c r="AH7" i="5" s="1"/>
  <c r="X20" i="5"/>
  <c r="X24" i="5" s="1"/>
  <c r="X7" i="5" s="1"/>
  <c r="Z7" i="5" s="1"/>
  <c r="P20" i="5"/>
  <c r="R20" i="5" s="1"/>
  <c r="K20" i="5"/>
  <c r="I20" i="5"/>
  <c r="AH19" i="5"/>
  <c r="Z19" i="5"/>
  <c r="R19" i="5"/>
  <c r="K19" i="5"/>
  <c r="AH18" i="5"/>
  <c r="Z18" i="5"/>
  <c r="R18" i="5"/>
  <c r="R24" i="5" s="1"/>
  <c r="K18" i="5"/>
  <c r="K24" i="5" s="1"/>
  <c r="C18" i="5"/>
  <c r="K14" i="5"/>
  <c r="K13" i="5"/>
  <c r="AG11" i="5"/>
  <c r="AH11" i="5" s="1"/>
  <c r="AF11" i="5"/>
  <c r="Y11" i="5"/>
  <c r="Q11" i="5"/>
  <c r="J11" i="5"/>
  <c r="K11" i="5" s="1"/>
  <c r="AG10" i="5"/>
  <c r="AH10" i="5" s="1"/>
  <c r="AF10" i="5"/>
  <c r="Y10" i="5"/>
  <c r="Z10" i="5" s="1"/>
  <c r="X10" i="5"/>
  <c r="Q10" i="5"/>
  <c r="J10" i="5"/>
  <c r="I10" i="5"/>
  <c r="K10" i="5" s="1"/>
  <c r="AG9" i="5"/>
  <c r="AH9" i="5" s="1"/>
  <c r="AF9" i="5"/>
  <c r="Y9" i="5"/>
  <c r="Z9" i="5" s="1"/>
  <c r="X9" i="5"/>
  <c r="Q9" i="5"/>
  <c r="J9" i="5"/>
  <c r="I9" i="5"/>
  <c r="AG8" i="5"/>
  <c r="Y8" i="5"/>
  <c r="Q8" i="5"/>
  <c r="J8" i="5"/>
  <c r="AG7" i="5"/>
  <c r="Y7" i="5"/>
  <c r="Q7" i="5"/>
  <c r="J7" i="5"/>
  <c r="I7" i="5"/>
  <c r="AH12" i="6" l="1"/>
  <c r="AH15" i="6" s="1"/>
  <c r="AH51" i="6"/>
  <c r="R51" i="6"/>
  <c r="Z51" i="6"/>
  <c r="R12" i="6"/>
  <c r="R15" i="6" s="1"/>
  <c r="K12" i="6"/>
  <c r="K15" i="6" s="1"/>
  <c r="Z12" i="6"/>
  <c r="Z15" i="6" s="1"/>
  <c r="Z53" i="6" s="1"/>
  <c r="Z58" i="6" s="1"/>
  <c r="Z59" i="6" s="1"/>
  <c r="Z61" i="6" s="1"/>
  <c r="Z67" i="6" s="1"/>
  <c r="Z69" i="6" s="1"/>
  <c r="Z84" i="6" s="1"/>
  <c r="Z88" i="6" s="1"/>
  <c r="K51" i="6"/>
  <c r="R10" i="5"/>
  <c r="R9" i="5"/>
  <c r="K9" i="5"/>
  <c r="R8" i="5"/>
  <c r="Z8" i="5"/>
  <c r="Z12" i="5" s="1"/>
  <c r="Z15" i="5" s="1"/>
  <c r="AH8" i="5"/>
  <c r="AH12" i="5" s="1"/>
  <c r="AH15" i="5" s="1"/>
  <c r="K8" i="5"/>
  <c r="K7" i="5"/>
  <c r="K95" i="5"/>
  <c r="K79" i="5" s="1"/>
  <c r="K80" i="5" s="1"/>
  <c r="K51" i="5"/>
  <c r="AH20" i="5"/>
  <c r="AH24" i="5" s="1"/>
  <c r="AH28" i="5"/>
  <c r="AH32" i="5" s="1"/>
  <c r="Z28" i="5"/>
  <c r="Z32" i="5" s="1"/>
  <c r="Z20" i="5"/>
  <c r="Z24" i="5" s="1"/>
  <c r="Z51" i="5" s="1"/>
  <c r="R58" i="5"/>
  <c r="R28" i="5"/>
  <c r="R32" i="5" s="1"/>
  <c r="R51" i="5" s="1"/>
  <c r="B79" i="4"/>
  <c r="B78" i="4"/>
  <c r="B69" i="4"/>
  <c r="B60" i="4"/>
  <c r="E87" i="4"/>
  <c r="AH95" i="4"/>
  <c r="AH58" i="4"/>
  <c r="AG11" i="4"/>
  <c r="E78" i="4"/>
  <c r="E80" i="4" s="1"/>
  <c r="E83" i="4" s="1"/>
  <c r="AG10" i="4"/>
  <c r="AG9" i="4"/>
  <c r="AG8" i="4"/>
  <c r="AG7" i="4"/>
  <c r="AH72" i="4"/>
  <c r="AH71" i="4"/>
  <c r="AH50" i="4"/>
  <c r="AF49" i="4"/>
  <c r="AH48" i="4"/>
  <c r="AH47" i="4"/>
  <c r="AH49" i="4" s="1"/>
  <c r="AF45" i="4"/>
  <c r="AF10" i="4" s="1"/>
  <c r="AH44" i="4"/>
  <c r="AH43" i="4"/>
  <c r="AH45" i="4" s="1"/>
  <c r="AH42" i="4"/>
  <c r="AH41" i="4"/>
  <c r="AF39" i="4"/>
  <c r="AH36" i="4"/>
  <c r="AH35" i="4"/>
  <c r="AH34" i="4"/>
  <c r="AH39" i="4" s="1"/>
  <c r="AF32" i="4"/>
  <c r="AF8" i="4" s="1"/>
  <c r="AH31" i="4"/>
  <c r="AH30" i="4"/>
  <c r="AH29" i="4"/>
  <c r="AH28" i="4"/>
  <c r="AF28" i="4"/>
  <c r="AH27" i="4"/>
  <c r="AH26" i="4"/>
  <c r="AH22" i="4"/>
  <c r="AH21" i="4"/>
  <c r="AF20" i="4"/>
  <c r="AH20" i="4" s="1"/>
  <c r="AH19" i="4"/>
  <c r="AH18" i="4"/>
  <c r="AF11" i="4"/>
  <c r="AH11" i="4" s="1"/>
  <c r="AF9" i="4"/>
  <c r="X7" i="4"/>
  <c r="Y10" i="4"/>
  <c r="Y11" i="4"/>
  <c r="Z11" i="4" s="1"/>
  <c r="Z10" i="4"/>
  <c r="Y9" i="4"/>
  <c r="Z9" i="4" s="1"/>
  <c r="Y8" i="4"/>
  <c r="Z8" i="4" s="1"/>
  <c r="Y7" i="4"/>
  <c r="Q11" i="4"/>
  <c r="R11" i="4" s="1"/>
  <c r="Q10" i="4"/>
  <c r="R10" i="4" s="1"/>
  <c r="Q9" i="4"/>
  <c r="R9" i="4" s="1"/>
  <c r="Q8" i="4"/>
  <c r="R8" i="4" s="1"/>
  <c r="Q7" i="4"/>
  <c r="R7" i="4" s="1"/>
  <c r="P11" i="4"/>
  <c r="P10" i="4"/>
  <c r="P9" i="4"/>
  <c r="P8" i="4"/>
  <c r="P7" i="4"/>
  <c r="P31" i="4"/>
  <c r="R31" i="4" s="1"/>
  <c r="X11" i="4"/>
  <c r="X10" i="4"/>
  <c r="X9" i="4"/>
  <c r="X8" i="4"/>
  <c r="Z7" i="4"/>
  <c r="E71" i="4"/>
  <c r="E74" i="4" s="1"/>
  <c r="E69" i="4"/>
  <c r="E60" i="4"/>
  <c r="E62" i="4"/>
  <c r="E65" i="4" s="1"/>
  <c r="Z58" i="4"/>
  <c r="AA95" i="4"/>
  <c r="Z95" i="4"/>
  <c r="Z79" i="4" s="1"/>
  <c r="Z80" i="4" s="1"/>
  <c r="Z72" i="4"/>
  <c r="Z71" i="4"/>
  <c r="Z49" i="4"/>
  <c r="X49" i="4"/>
  <c r="Z48" i="4"/>
  <c r="Z47" i="4"/>
  <c r="X45" i="4"/>
  <c r="Z44" i="4"/>
  <c r="Z43" i="4"/>
  <c r="Z42" i="4"/>
  <c r="Z41" i="4"/>
  <c r="Z45" i="4" s="1"/>
  <c r="X39" i="4"/>
  <c r="Z36" i="4"/>
  <c r="Z35" i="4"/>
  <c r="Z39" i="4" s="1"/>
  <c r="Z34" i="4"/>
  <c r="Z31" i="4"/>
  <c r="Z30" i="4"/>
  <c r="X29" i="4"/>
  <c r="Z29" i="4" s="1"/>
  <c r="X28" i="4"/>
  <c r="Z28" i="4" s="1"/>
  <c r="Z27" i="4"/>
  <c r="Z26" i="4"/>
  <c r="Z32" i="4" s="1"/>
  <c r="Z22" i="4"/>
  <c r="Z21" i="4"/>
  <c r="X20" i="4"/>
  <c r="X24" i="4" s="1"/>
  <c r="Z19" i="4"/>
  <c r="Z18" i="4"/>
  <c r="Z50" i="4"/>
  <c r="R58" i="4"/>
  <c r="S95" i="4"/>
  <c r="R95" i="4"/>
  <c r="R79" i="4" s="1"/>
  <c r="R80" i="4" s="1"/>
  <c r="R71" i="4"/>
  <c r="R72" i="4" s="1"/>
  <c r="P49" i="4"/>
  <c r="R48" i="4"/>
  <c r="R47" i="4"/>
  <c r="R49" i="4" s="1"/>
  <c r="R45" i="4"/>
  <c r="P45" i="4"/>
  <c r="R44" i="4"/>
  <c r="R43" i="4"/>
  <c r="R42" i="4"/>
  <c r="R41" i="4"/>
  <c r="P39" i="4"/>
  <c r="R36" i="4"/>
  <c r="R35" i="4"/>
  <c r="R34" i="4"/>
  <c r="R39" i="4" s="1"/>
  <c r="P32" i="4"/>
  <c r="R30" i="4"/>
  <c r="P29" i="4"/>
  <c r="R29" i="4" s="1"/>
  <c r="P28" i="4"/>
  <c r="R28" i="4" s="1"/>
  <c r="R27" i="4"/>
  <c r="R26" i="4"/>
  <c r="P24" i="4"/>
  <c r="R22" i="4"/>
  <c r="R21" i="4"/>
  <c r="R24" i="4" s="1"/>
  <c r="P21" i="4"/>
  <c r="R20" i="4"/>
  <c r="P20" i="4"/>
  <c r="R19" i="4"/>
  <c r="R18" i="4"/>
  <c r="R50" i="4"/>
  <c r="E55" i="4"/>
  <c r="E53" i="4"/>
  <c r="E50" i="4"/>
  <c r="G8" i="2"/>
  <c r="E39" i="2"/>
  <c r="L95" i="4"/>
  <c r="K94" i="4"/>
  <c r="K92" i="4"/>
  <c r="K91" i="4"/>
  <c r="K71" i="4"/>
  <c r="K72" i="4" s="1"/>
  <c r="K58" i="4"/>
  <c r="I49" i="4"/>
  <c r="K48" i="4"/>
  <c r="K47" i="4"/>
  <c r="K49" i="4" s="1"/>
  <c r="I45" i="4"/>
  <c r="I10" i="4" s="1"/>
  <c r="K44" i="4"/>
  <c r="K43" i="4"/>
  <c r="K42" i="4"/>
  <c r="K41" i="4"/>
  <c r="K45" i="4" s="1"/>
  <c r="I39" i="4"/>
  <c r="I9" i="4" s="1"/>
  <c r="K9" i="4" s="1"/>
  <c r="K36" i="4"/>
  <c r="K35" i="4"/>
  <c r="K34" i="4"/>
  <c r="K39" i="4" s="1"/>
  <c r="K30" i="4"/>
  <c r="I29" i="4"/>
  <c r="K29" i="4" s="1"/>
  <c r="C29" i="4"/>
  <c r="I28" i="4"/>
  <c r="K27" i="4"/>
  <c r="K26" i="4"/>
  <c r="E23" i="4"/>
  <c r="K22" i="4"/>
  <c r="K21" i="4"/>
  <c r="C21" i="4"/>
  <c r="K93" i="4" s="1"/>
  <c r="I20" i="4"/>
  <c r="I24" i="4" s="1"/>
  <c r="I7" i="4" s="1"/>
  <c r="K7" i="4" s="1"/>
  <c r="K19" i="4"/>
  <c r="K18" i="4"/>
  <c r="C18" i="4"/>
  <c r="C23" i="4" s="1"/>
  <c r="K14" i="4"/>
  <c r="K13" i="4"/>
  <c r="K50" i="4" s="1"/>
  <c r="J11" i="4"/>
  <c r="K11" i="4" s="1"/>
  <c r="J10" i="4"/>
  <c r="J9" i="4"/>
  <c r="J8" i="4"/>
  <c r="J7" i="4"/>
  <c r="AH53" i="6" l="1"/>
  <c r="AH56" i="6" s="1"/>
  <c r="AH57" i="6" s="1"/>
  <c r="AH59" i="6" s="1"/>
  <c r="AH65" i="6" s="1"/>
  <c r="AH67" i="6" s="1"/>
  <c r="AH82" i="6" s="1"/>
  <c r="AH86" i="6" s="1"/>
  <c r="K53" i="6"/>
  <c r="K58" i="6" s="1"/>
  <c r="K59" i="6" s="1"/>
  <c r="K61" i="6" s="1"/>
  <c r="K67" i="6" s="1"/>
  <c r="K69" i="6" s="1"/>
  <c r="K84" i="6" s="1"/>
  <c r="K88" i="6" s="1"/>
  <c r="R53" i="6"/>
  <c r="R58" i="6" s="1"/>
  <c r="R59" i="6" s="1"/>
  <c r="R61" i="6" s="1"/>
  <c r="R67" i="6" s="1"/>
  <c r="R69" i="6" s="1"/>
  <c r="R84" i="6" s="1"/>
  <c r="R88" i="6" s="1"/>
  <c r="R12" i="5"/>
  <c r="R15" i="5" s="1"/>
  <c r="R53" i="5" s="1"/>
  <c r="R56" i="5" s="1"/>
  <c r="R57" i="5" s="1"/>
  <c r="R59" i="5" s="1"/>
  <c r="R65" i="5" s="1"/>
  <c r="R67" i="5" s="1"/>
  <c r="R82" i="5" s="1"/>
  <c r="R86" i="5" s="1"/>
  <c r="K12" i="5"/>
  <c r="K15" i="5" s="1"/>
  <c r="K53" i="5" s="1"/>
  <c r="K56" i="5" s="1"/>
  <c r="K57" i="5" s="1"/>
  <c r="K59" i="5" s="1"/>
  <c r="K65" i="5" s="1"/>
  <c r="K67" i="5" s="1"/>
  <c r="K82" i="5" s="1"/>
  <c r="K86" i="5" s="1"/>
  <c r="AH51" i="5"/>
  <c r="AH53" i="5" s="1"/>
  <c r="AH56" i="5" s="1"/>
  <c r="AH57" i="5" s="1"/>
  <c r="AH59" i="5" s="1"/>
  <c r="AH65" i="5" s="1"/>
  <c r="AH67" i="5" s="1"/>
  <c r="AH82" i="5" s="1"/>
  <c r="AH86" i="5" s="1"/>
  <c r="Z53" i="5"/>
  <c r="Z56" i="5" s="1"/>
  <c r="Z57" i="5" s="1"/>
  <c r="Z59" i="5" s="1"/>
  <c r="Z65" i="5" s="1"/>
  <c r="Z67" i="5" s="1"/>
  <c r="Z82" i="5" s="1"/>
  <c r="Z86" i="5" s="1"/>
  <c r="AH80" i="4"/>
  <c r="AH32" i="4"/>
  <c r="AH24" i="4"/>
  <c r="AH10" i="4"/>
  <c r="AH9" i="4"/>
  <c r="AH8" i="4"/>
  <c r="AF24" i="4"/>
  <c r="AF7" i="4" s="1"/>
  <c r="R32" i="4"/>
  <c r="R51" i="4" s="1"/>
  <c r="Z12" i="4"/>
  <c r="Z15" i="4" s="1"/>
  <c r="Z20" i="4"/>
  <c r="Z24" i="4" s="1"/>
  <c r="Z51" i="4" s="1"/>
  <c r="X32" i="4"/>
  <c r="R12" i="4"/>
  <c r="R15" i="4" s="1"/>
  <c r="K28" i="4"/>
  <c r="K20" i="4"/>
  <c r="K24" i="4" s="1"/>
  <c r="K10" i="4"/>
  <c r="K90" i="4"/>
  <c r="K95" i="4" s="1"/>
  <c r="K79" i="4" s="1"/>
  <c r="K80" i="4" s="1"/>
  <c r="G21" i="3"/>
  <c r="G9" i="3"/>
  <c r="I94" i="3"/>
  <c r="I91" i="3"/>
  <c r="I92" i="3"/>
  <c r="I93" i="3"/>
  <c r="C18" i="3"/>
  <c r="AH7" i="4" l="1"/>
  <c r="AH12" i="4" s="1"/>
  <c r="AH51" i="4"/>
  <c r="Z53" i="4"/>
  <c r="Z56" i="4" s="1"/>
  <c r="Z57" i="4" s="1"/>
  <c r="Z59" i="4" s="1"/>
  <c r="Z65" i="4" s="1"/>
  <c r="Z67" i="4" s="1"/>
  <c r="Z82" i="4" s="1"/>
  <c r="Z86" i="4" s="1"/>
  <c r="R53" i="4"/>
  <c r="R56" i="4" s="1"/>
  <c r="R57" i="4" s="1"/>
  <c r="R59" i="4" s="1"/>
  <c r="R65" i="4" s="1"/>
  <c r="R67" i="4" s="1"/>
  <c r="R82" i="4" s="1"/>
  <c r="R86" i="4" s="1"/>
  <c r="I70" i="3"/>
  <c r="C21" i="3"/>
  <c r="AH15" i="4" l="1"/>
  <c r="AH53" i="4" s="1"/>
  <c r="AH56" i="4" s="1"/>
  <c r="AH57" i="4" s="1"/>
  <c r="AH59" i="4" s="1"/>
  <c r="AH65" i="4" s="1"/>
  <c r="AH67" i="4" s="1"/>
  <c r="AH82" i="4" s="1"/>
  <c r="AH86" i="4" s="1"/>
  <c r="I14" i="3"/>
  <c r="I13" i="3"/>
  <c r="I13" i="2"/>
  <c r="J94" i="3"/>
  <c r="I90" i="3"/>
  <c r="I89" i="3"/>
  <c r="I71" i="3"/>
  <c r="I57" i="3"/>
  <c r="I49" i="3"/>
  <c r="G48" i="3"/>
  <c r="I47" i="3"/>
  <c r="I48" i="3" s="1"/>
  <c r="I46" i="3"/>
  <c r="G44" i="3"/>
  <c r="G10" i="3" s="1"/>
  <c r="I43" i="3"/>
  <c r="I44" i="3" s="1"/>
  <c r="I42" i="3"/>
  <c r="I41" i="3"/>
  <c r="I40" i="3"/>
  <c r="G38" i="3"/>
  <c r="I35" i="3"/>
  <c r="I34" i="3"/>
  <c r="I33" i="3"/>
  <c r="G31" i="3"/>
  <c r="I30" i="3"/>
  <c r="I29" i="3"/>
  <c r="G29" i="3"/>
  <c r="C29" i="3"/>
  <c r="G28" i="3"/>
  <c r="I28" i="3" s="1"/>
  <c r="I27" i="3"/>
  <c r="I26" i="3"/>
  <c r="I31" i="3" s="1"/>
  <c r="G24" i="3"/>
  <c r="G7" i="3" s="1"/>
  <c r="E23" i="3"/>
  <c r="C23" i="3"/>
  <c r="I22" i="3"/>
  <c r="I21" i="3"/>
  <c r="G20" i="3"/>
  <c r="I20" i="3" s="1"/>
  <c r="I19" i="3"/>
  <c r="I18" i="3"/>
  <c r="H11" i="3"/>
  <c r="I11" i="3" s="1"/>
  <c r="H10" i="3"/>
  <c r="H9" i="3"/>
  <c r="I9" i="3" s="1"/>
  <c r="H8" i="3"/>
  <c r="G8" i="3"/>
  <c r="H7" i="3"/>
  <c r="I24" i="3" l="1"/>
  <c r="I38" i="3"/>
  <c r="I8" i="3"/>
  <c r="I10" i="3"/>
  <c r="I7" i="3"/>
  <c r="I14" i="1"/>
  <c r="I50" i="3" l="1"/>
  <c r="I12" i="3"/>
  <c r="I15" i="3" s="1"/>
  <c r="P190" i="2"/>
  <c r="P191" i="2" s="1"/>
  <c r="P188" i="2"/>
  <c r="O188" i="2"/>
  <c r="O190" i="2" s="1"/>
  <c r="O191" i="2" s="1"/>
  <c r="B119" i="2"/>
  <c r="B121" i="2" s="1"/>
  <c r="J93" i="2"/>
  <c r="R92" i="2"/>
  <c r="I92" i="2"/>
  <c r="Z92" i="2" s="1"/>
  <c r="I91" i="2"/>
  <c r="Y91" i="2" s="1"/>
  <c r="Y90" i="2"/>
  <c r="Q90" i="2"/>
  <c r="I90" i="2"/>
  <c r="Z90" i="2" s="1"/>
  <c r="I89" i="2"/>
  <c r="Z89" i="2" s="1"/>
  <c r="Z78" i="2"/>
  <c r="Z79" i="2" s="1"/>
  <c r="Y78" i="2"/>
  <c r="X78" i="2"/>
  <c r="R78" i="2"/>
  <c r="Q78" i="2"/>
  <c r="P78" i="2"/>
  <c r="Z77" i="2"/>
  <c r="Y77" i="2"/>
  <c r="X77" i="2"/>
  <c r="R77" i="2"/>
  <c r="Q77" i="2"/>
  <c r="P77" i="2"/>
  <c r="Z76" i="2"/>
  <c r="Y76" i="2"/>
  <c r="X76" i="2"/>
  <c r="R76" i="2"/>
  <c r="Q76" i="2"/>
  <c r="P76" i="2"/>
  <c r="Z75" i="2"/>
  <c r="Y75" i="2"/>
  <c r="X75" i="2"/>
  <c r="R75" i="2"/>
  <c r="Q75" i="2"/>
  <c r="P75" i="2"/>
  <c r="Z74" i="2"/>
  <c r="Y74" i="2"/>
  <c r="Y79" i="2" s="1"/>
  <c r="X74" i="2"/>
  <c r="X79" i="2" s="1"/>
  <c r="R74" i="2"/>
  <c r="R79" i="2" s="1"/>
  <c r="P74" i="2"/>
  <c r="I74" i="2"/>
  <c r="I79" i="2" s="1"/>
  <c r="X70" i="2"/>
  <c r="X71" i="2" s="1"/>
  <c r="I70" i="2"/>
  <c r="Q70" i="2" s="1"/>
  <c r="Z69" i="2"/>
  <c r="Y69" i="2"/>
  <c r="X69" i="2"/>
  <c r="R69" i="2"/>
  <c r="Q69" i="2"/>
  <c r="P69" i="2"/>
  <c r="Z57" i="2"/>
  <c r="Y57" i="2"/>
  <c r="X57" i="2"/>
  <c r="R57" i="2"/>
  <c r="Q57" i="2"/>
  <c r="P57" i="2"/>
  <c r="O57" i="2"/>
  <c r="W57" i="2" s="1"/>
  <c r="J57" i="2"/>
  <c r="I57" i="2"/>
  <c r="AG49" i="2"/>
  <c r="X49" i="2"/>
  <c r="AE48" i="2"/>
  <c r="N48" i="2"/>
  <c r="G48" i="2"/>
  <c r="AJ47" i="2"/>
  <c r="AI47" i="2"/>
  <c r="AK47" i="2" s="1"/>
  <c r="AL47" i="2" s="1"/>
  <c r="AG47" i="2"/>
  <c r="X47" i="2"/>
  <c r="P47" i="2"/>
  <c r="I47" i="2"/>
  <c r="AJ46" i="2"/>
  <c r="AI46" i="2"/>
  <c r="AK46" i="2" s="1"/>
  <c r="AG46" i="2"/>
  <c r="AG48" i="2" s="1"/>
  <c r="V46" i="2"/>
  <c r="X46" i="2" s="1"/>
  <c r="X48" i="2" s="1"/>
  <c r="P46" i="2"/>
  <c r="P48" i="2" s="1"/>
  <c r="I46" i="2"/>
  <c r="I48" i="2" s="1"/>
  <c r="AI44" i="2"/>
  <c r="AE44" i="2"/>
  <c r="P44" i="2"/>
  <c r="R44" i="2" s="1"/>
  <c r="N44" i="2"/>
  <c r="G44" i="2"/>
  <c r="G10" i="2" s="1"/>
  <c r="I10" i="2" s="1"/>
  <c r="AK43" i="2"/>
  <c r="AL43" i="2" s="1"/>
  <c r="AI43" i="2"/>
  <c r="AG43" i="2"/>
  <c r="X43" i="2"/>
  <c r="P43" i="2"/>
  <c r="I43" i="2"/>
  <c r="AI42" i="2"/>
  <c r="AG42" i="2"/>
  <c r="X42" i="2"/>
  <c r="P42" i="2"/>
  <c r="I42" i="2"/>
  <c r="AI41" i="2"/>
  <c r="AG41" i="2"/>
  <c r="X41" i="2"/>
  <c r="P41" i="2"/>
  <c r="I41" i="2"/>
  <c r="AJ40" i="2"/>
  <c r="AJ41" i="2" s="1"/>
  <c r="AI40" i="2"/>
  <c r="AK40" i="2" s="1"/>
  <c r="AG40" i="2"/>
  <c r="AG44" i="2" s="1"/>
  <c r="X40" i="2"/>
  <c r="X44" i="2" s="1"/>
  <c r="V40" i="2"/>
  <c r="V44" i="2" s="1"/>
  <c r="P40" i="2"/>
  <c r="I40" i="2"/>
  <c r="I44" i="2" s="1"/>
  <c r="N38" i="2"/>
  <c r="N9" i="2" s="1"/>
  <c r="G38" i="2"/>
  <c r="X36" i="2"/>
  <c r="V36" i="2"/>
  <c r="AJ35" i="2"/>
  <c r="AE35" i="2"/>
  <c r="AI35" i="2" s="1"/>
  <c r="AK35" i="2" s="1"/>
  <c r="V35" i="2"/>
  <c r="V38" i="2" s="1"/>
  <c r="V9" i="2" s="1"/>
  <c r="P35" i="2"/>
  <c r="N35" i="2"/>
  <c r="I35" i="2"/>
  <c r="AJ34" i="2"/>
  <c r="AI34" i="2"/>
  <c r="AK34" i="2" s="1"/>
  <c r="AL34" i="2" s="1"/>
  <c r="AG34" i="2"/>
  <c r="X34" i="2"/>
  <c r="P34" i="2"/>
  <c r="I34" i="2"/>
  <c r="AJ33" i="2"/>
  <c r="AI33" i="2"/>
  <c r="AK33" i="2" s="1"/>
  <c r="AG33" i="2"/>
  <c r="X33" i="2"/>
  <c r="P33" i="2"/>
  <c r="P38" i="2" s="1"/>
  <c r="I33" i="2"/>
  <c r="I38" i="2" s="1"/>
  <c r="AE31" i="2"/>
  <c r="G31" i="2"/>
  <c r="AI30" i="2"/>
  <c r="AG30" i="2"/>
  <c r="V30" i="2"/>
  <c r="X30" i="2" s="1"/>
  <c r="P30" i="2"/>
  <c r="I30" i="2"/>
  <c r="AJ29" i="2"/>
  <c r="AG29" i="2"/>
  <c r="AE29" i="2"/>
  <c r="AI29" i="2" s="1"/>
  <c r="AK29" i="2" s="1"/>
  <c r="AL29" i="2" s="1"/>
  <c r="V29" i="2"/>
  <c r="X29" i="2" s="1"/>
  <c r="N29" i="2"/>
  <c r="P29" i="2" s="1"/>
  <c r="G29" i="2"/>
  <c r="I29" i="2" s="1"/>
  <c r="AJ28" i="2"/>
  <c r="AG28" i="2"/>
  <c r="AE28" i="2"/>
  <c r="AI28" i="2" s="1"/>
  <c r="V28" i="2"/>
  <c r="X28" i="2" s="1"/>
  <c r="N28" i="2"/>
  <c r="N31" i="2" s="1"/>
  <c r="N8" i="2" s="1"/>
  <c r="G28" i="2"/>
  <c r="I28" i="2" s="1"/>
  <c r="AJ27" i="2"/>
  <c r="AI27" i="2"/>
  <c r="AK27" i="2" s="1"/>
  <c r="AL27" i="2" s="1"/>
  <c r="AG27" i="2"/>
  <c r="AG31" i="2" s="1"/>
  <c r="X27" i="2"/>
  <c r="P27" i="2"/>
  <c r="I27" i="2"/>
  <c r="C27" i="2"/>
  <c r="AJ26" i="2"/>
  <c r="AJ30" i="2" s="1"/>
  <c r="AK30" i="2" s="1"/>
  <c r="AL30" i="2" s="1"/>
  <c r="AI26" i="2"/>
  <c r="AK26" i="2" s="1"/>
  <c r="AG26" i="2"/>
  <c r="X26" i="2"/>
  <c r="P26" i="2"/>
  <c r="I26" i="2"/>
  <c r="I31" i="2" s="1"/>
  <c r="AI24" i="2"/>
  <c r="AG24" i="2"/>
  <c r="AE24" i="2"/>
  <c r="N24" i="2"/>
  <c r="G24" i="2"/>
  <c r="AL23" i="2"/>
  <c r="AK23" i="2"/>
  <c r="AI23" i="2"/>
  <c r="AG23" i="2"/>
  <c r="X23" i="2"/>
  <c r="P23" i="2"/>
  <c r="I23" i="2"/>
  <c r="AK22" i="2"/>
  <c r="AL22" i="2" s="1"/>
  <c r="AI22" i="2"/>
  <c r="AG22" i="2"/>
  <c r="V22" i="2"/>
  <c r="X22" i="2" s="1"/>
  <c r="P22" i="2"/>
  <c r="I22" i="2"/>
  <c r="E22" i="2"/>
  <c r="C22" i="2"/>
  <c r="AI21" i="2"/>
  <c r="AG21" i="2"/>
  <c r="AE21" i="2"/>
  <c r="V21" i="2"/>
  <c r="X21" i="2" s="1"/>
  <c r="P21" i="2"/>
  <c r="N21" i="2"/>
  <c r="G21" i="2"/>
  <c r="I21" i="2" s="1"/>
  <c r="AI20" i="2"/>
  <c r="AG20" i="2"/>
  <c r="AE20" i="2"/>
  <c r="V20" i="2"/>
  <c r="V24" i="2" s="1"/>
  <c r="V7" i="2" s="1"/>
  <c r="P20" i="2"/>
  <c r="N20" i="2"/>
  <c r="G20" i="2"/>
  <c r="I20" i="2" s="1"/>
  <c r="AI19" i="2"/>
  <c r="AG19" i="2"/>
  <c r="X19" i="2"/>
  <c r="P19" i="2"/>
  <c r="P24" i="2" s="1"/>
  <c r="I19" i="2"/>
  <c r="AJ18" i="2"/>
  <c r="AJ21" i="2" s="1"/>
  <c r="AI18" i="2"/>
  <c r="AK18" i="2" s="1"/>
  <c r="AG18" i="2"/>
  <c r="X18" i="2"/>
  <c r="P18" i="2"/>
  <c r="I18" i="2"/>
  <c r="AG14" i="2"/>
  <c r="AL14" i="2" s="1"/>
  <c r="Z14" i="2"/>
  <c r="Y14" i="2"/>
  <c r="X14" i="2"/>
  <c r="R14" i="2"/>
  <c r="Q14" i="2"/>
  <c r="P14" i="2"/>
  <c r="AL13" i="2"/>
  <c r="Z13" i="2"/>
  <c r="Z49" i="2" s="1"/>
  <c r="Y13" i="2"/>
  <c r="Y49" i="2" s="1"/>
  <c r="X13" i="2"/>
  <c r="R13" i="2"/>
  <c r="R49" i="2" s="1"/>
  <c r="Q13" i="2"/>
  <c r="Q49" i="2" s="1"/>
  <c r="P13" i="2"/>
  <c r="P49" i="2" s="1"/>
  <c r="I49" i="2"/>
  <c r="AG11" i="2"/>
  <c r="Z11" i="2"/>
  <c r="Y11" i="2"/>
  <c r="X11" i="2"/>
  <c r="W11" i="2"/>
  <c r="R11" i="2"/>
  <c r="Q11" i="2"/>
  <c r="P11" i="2"/>
  <c r="O11" i="2"/>
  <c r="H11" i="2"/>
  <c r="I11" i="2" s="1"/>
  <c r="AG10" i="2"/>
  <c r="Z10" i="2"/>
  <c r="X10" i="2"/>
  <c r="W10" i="2"/>
  <c r="Y10" i="2" s="1"/>
  <c r="Q10" i="2"/>
  <c r="P10" i="2"/>
  <c r="O10" i="2"/>
  <c r="R10" i="2" s="1"/>
  <c r="H10" i="2"/>
  <c r="W9" i="2"/>
  <c r="O9" i="2"/>
  <c r="Q9" i="2" s="1"/>
  <c r="H9" i="2"/>
  <c r="I9" i="2" s="1"/>
  <c r="AE8" i="2"/>
  <c r="AG8" i="2" s="1"/>
  <c r="W8" i="2"/>
  <c r="O8" i="2"/>
  <c r="H8" i="2"/>
  <c r="I8" i="2"/>
  <c r="AE7" i="2"/>
  <c r="AG7" i="2" s="1"/>
  <c r="W7" i="2"/>
  <c r="O7" i="2"/>
  <c r="R5" i="2" s="1"/>
  <c r="N7" i="2"/>
  <c r="P7" i="2" s="1"/>
  <c r="H7" i="2"/>
  <c r="G7" i="2"/>
  <c r="I7" i="2" s="1"/>
  <c r="J94" i="1"/>
  <c r="I92" i="1"/>
  <c r="I90" i="1"/>
  <c r="I91" i="1"/>
  <c r="I93" i="1"/>
  <c r="I89" i="1"/>
  <c r="J57" i="1"/>
  <c r="I57" i="1"/>
  <c r="C23" i="1"/>
  <c r="P79" i="2" l="1"/>
  <c r="X31" i="2"/>
  <c r="Z31" i="2" s="1"/>
  <c r="Y7" i="2"/>
  <c r="I52" i="3"/>
  <c r="I55" i="3" s="1"/>
  <c r="I56" i="3" s="1"/>
  <c r="I58" i="3" s="1"/>
  <c r="I64" i="3" s="1"/>
  <c r="I66" i="3" s="1"/>
  <c r="I81" i="3" s="1"/>
  <c r="I85" i="3" s="1"/>
  <c r="P50" i="2"/>
  <c r="R24" i="2"/>
  <c r="Q24" i="2"/>
  <c r="Z9" i="2"/>
  <c r="Y9" i="2"/>
  <c r="X9" i="2"/>
  <c r="R48" i="2"/>
  <c r="Q48" i="2"/>
  <c r="Z8" i="2"/>
  <c r="Z48" i="2"/>
  <c r="Y48" i="2"/>
  <c r="Q71" i="2"/>
  <c r="R8" i="2"/>
  <c r="Q8" i="2"/>
  <c r="P8" i="2"/>
  <c r="P12" i="2" s="1"/>
  <c r="P15" i="2" s="1"/>
  <c r="P52" i="2" s="1"/>
  <c r="P55" i="2" s="1"/>
  <c r="P56" i="2" s="1"/>
  <c r="P58" i="2" s="1"/>
  <c r="P64" i="2" s="1"/>
  <c r="P66" i="2" s="1"/>
  <c r="AL26" i="2"/>
  <c r="AL31" i="2" s="1"/>
  <c r="AK28" i="2"/>
  <c r="AL28" i="2" s="1"/>
  <c r="AI31" i="2"/>
  <c r="AG50" i="2"/>
  <c r="AK44" i="2"/>
  <c r="AL40" i="2"/>
  <c r="AL44" i="2" s="1"/>
  <c r="AL33" i="2"/>
  <c r="AK38" i="2"/>
  <c r="AK48" i="2"/>
  <c r="AL46" i="2"/>
  <c r="AL48" i="2" s="1"/>
  <c r="I12" i="2"/>
  <c r="I15" i="2" s="1"/>
  <c r="E38" i="2" s="1"/>
  <c r="E40" i="2" s="1"/>
  <c r="E42" i="2" s="1"/>
  <c r="I24" i="2"/>
  <c r="AK21" i="2"/>
  <c r="AL21" i="2" s="1"/>
  <c r="X24" i="2"/>
  <c r="X7" i="2"/>
  <c r="Z7" i="2"/>
  <c r="P9" i="2"/>
  <c r="R9" i="2"/>
  <c r="AK41" i="2"/>
  <c r="AL41" i="2" s="1"/>
  <c r="AL18" i="2"/>
  <c r="R38" i="2"/>
  <c r="Q38" i="2"/>
  <c r="Z44" i="2"/>
  <c r="Y44" i="2"/>
  <c r="P28" i="2"/>
  <c r="P31" i="2" s="1"/>
  <c r="V31" i="2"/>
  <c r="V8" i="2" s="1"/>
  <c r="X8" i="2" s="1"/>
  <c r="AE38" i="2"/>
  <c r="AE9" i="2" s="1"/>
  <c r="AG9" i="2" s="1"/>
  <c r="AG12" i="2" s="1"/>
  <c r="AG15" i="2" s="1"/>
  <c r="AG52" i="2" s="1"/>
  <c r="AG55" i="2" s="1"/>
  <c r="AG56" i="2" s="1"/>
  <c r="AG58" i="2" s="1"/>
  <c r="R70" i="2"/>
  <c r="R71" i="2" s="1"/>
  <c r="P90" i="2"/>
  <c r="Z91" i="2"/>
  <c r="Z93" i="2" s="1"/>
  <c r="AI38" i="2"/>
  <c r="Y70" i="2"/>
  <c r="Y71" i="2" s="1"/>
  <c r="Q74" i="2"/>
  <c r="Q79" i="2" s="1"/>
  <c r="R90" i="2"/>
  <c r="P92" i="2"/>
  <c r="X20" i="2"/>
  <c r="AJ42" i="2"/>
  <c r="AK42" i="2" s="1"/>
  <c r="AL42" i="2" s="1"/>
  <c r="V48" i="2"/>
  <c r="Z70" i="2"/>
  <c r="Z71" i="2" s="1"/>
  <c r="X90" i="2"/>
  <c r="Q92" i="2"/>
  <c r="AJ19" i="2"/>
  <c r="AK19" i="2" s="1"/>
  <c r="AJ20" i="2"/>
  <c r="AK20" i="2" s="1"/>
  <c r="AL20" i="2" s="1"/>
  <c r="X35" i="2"/>
  <c r="X38" i="2" s="1"/>
  <c r="Q44" i="2"/>
  <c r="I71" i="2"/>
  <c r="P89" i="2"/>
  <c r="X92" i="2"/>
  <c r="Q7" i="2"/>
  <c r="Q89" i="2"/>
  <c r="Y92" i="2"/>
  <c r="R7" i="2"/>
  <c r="AG35" i="2"/>
  <c r="AG38" i="2" s="1"/>
  <c r="R89" i="2"/>
  <c r="P91" i="2"/>
  <c r="Q5" i="2"/>
  <c r="X89" i="2"/>
  <c r="X93" i="2" s="1"/>
  <c r="Q91" i="2"/>
  <c r="I93" i="2"/>
  <c r="AI48" i="2"/>
  <c r="Y89" i="2"/>
  <c r="Y93" i="2" s="1"/>
  <c r="R91" i="2"/>
  <c r="Y5" i="2"/>
  <c r="P70" i="2"/>
  <c r="P71" i="2" s="1"/>
  <c r="X91" i="2"/>
  <c r="Z5" i="2"/>
  <c r="I94" i="1"/>
  <c r="P81" i="2" l="1"/>
  <c r="P85" i="2" s="1"/>
  <c r="Y31" i="2"/>
  <c r="X12" i="2"/>
  <c r="X15" i="2" s="1"/>
  <c r="Z12" i="2"/>
  <c r="Z15" i="2" s="1"/>
  <c r="Y8" i="2"/>
  <c r="Y12" i="2" s="1"/>
  <c r="Y15" i="2" s="1"/>
  <c r="AL19" i="2"/>
  <c r="AL24" i="2" s="1"/>
  <c r="AL50" i="2" s="1"/>
  <c r="AK24" i="2"/>
  <c r="Z38" i="2"/>
  <c r="Y38" i="2"/>
  <c r="Z24" i="2"/>
  <c r="Y24" i="2"/>
  <c r="X50" i="2"/>
  <c r="R93" i="2"/>
  <c r="R12" i="2"/>
  <c r="R15" i="2" s="1"/>
  <c r="I52" i="2"/>
  <c r="I55" i="2" s="1"/>
  <c r="I56" i="2" s="1"/>
  <c r="Q50" i="2"/>
  <c r="AK31" i="2"/>
  <c r="AL35" i="2"/>
  <c r="Q93" i="2"/>
  <c r="Q12" i="2"/>
  <c r="Q15" i="2" s="1"/>
  <c r="R31" i="2"/>
  <c r="R50" i="2" s="1"/>
  <c r="Q31" i="2"/>
  <c r="P93" i="2"/>
  <c r="AL38" i="2"/>
  <c r="X52" i="2" l="1"/>
  <c r="X55" i="2" s="1"/>
  <c r="X56" i="2" s="1"/>
  <c r="X58" i="2" s="1"/>
  <c r="X64" i="2" s="1"/>
  <c r="X66" i="2" s="1"/>
  <c r="X81" i="2" s="1"/>
  <c r="X85" i="2" s="1"/>
  <c r="R52" i="2"/>
  <c r="R55" i="2" s="1"/>
  <c r="R56" i="2" s="1"/>
  <c r="R58" i="2" s="1"/>
  <c r="R64" i="2" s="1"/>
  <c r="R66" i="2" s="1"/>
  <c r="R81" i="2" s="1"/>
  <c r="R85" i="2" s="1"/>
  <c r="AK50" i="2"/>
  <c r="I58" i="2"/>
  <c r="I64" i="2" s="1"/>
  <c r="I66" i="2" s="1"/>
  <c r="I81" i="2" s="1"/>
  <c r="I85" i="2" s="1"/>
  <c r="E70" i="2"/>
  <c r="E71" i="2" s="1"/>
  <c r="Y50" i="2"/>
  <c r="Y52" i="2" s="1"/>
  <c r="Y55" i="2" s="1"/>
  <c r="Y56" i="2" s="1"/>
  <c r="Y58" i="2" s="1"/>
  <c r="Y64" i="2" s="1"/>
  <c r="Y66" i="2" s="1"/>
  <c r="Y81" i="2" s="1"/>
  <c r="Y85" i="2" s="1"/>
  <c r="Q52" i="2"/>
  <c r="Q55" i="2" s="1"/>
  <c r="Q56" i="2" s="1"/>
  <c r="Q58" i="2" s="1"/>
  <c r="Q64" i="2" s="1"/>
  <c r="Q66" i="2" s="1"/>
  <c r="Q81" i="2" s="1"/>
  <c r="Q85" i="2" s="1"/>
  <c r="Z50" i="2"/>
  <c r="Z52" i="2" s="1"/>
  <c r="Z55" i="2" s="1"/>
  <c r="Z56" i="2" s="1"/>
  <c r="Z58" i="2" s="1"/>
  <c r="Z64" i="2" s="1"/>
  <c r="Z66" i="2" s="1"/>
  <c r="Z81" i="2" s="1"/>
  <c r="Z85" i="2" s="1"/>
  <c r="I18" i="1" l="1"/>
  <c r="I13" i="1"/>
  <c r="I49" i="1" s="1"/>
  <c r="H11" i="1"/>
  <c r="I11" i="1" s="1"/>
  <c r="H10" i="1"/>
  <c r="H9" i="1"/>
  <c r="I9" i="1" s="1"/>
  <c r="H8" i="1"/>
  <c r="H7" i="1"/>
  <c r="I71" i="1"/>
  <c r="G48" i="1"/>
  <c r="I47" i="1"/>
  <c r="I46" i="1"/>
  <c r="G44" i="1"/>
  <c r="G10" i="1" s="1"/>
  <c r="I43" i="1"/>
  <c r="I42" i="1"/>
  <c r="I41" i="1"/>
  <c r="I40" i="1"/>
  <c r="G38" i="1"/>
  <c r="I35" i="1"/>
  <c r="I34" i="1"/>
  <c r="I33" i="1"/>
  <c r="I30" i="1"/>
  <c r="G29" i="1"/>
  <c r="I29" i="1" s="1"/>
  <c r="G28" i="1"/>
  <c r="I27" i="1"/>
  <c r="I26" i="1"/>
  <c r="I23" i="1"/>
  <c r="I22" i="1"/>
  <c r="G21" i="1"/>
  <c r="I21" i="1" s="1"/>
  <c r="G20" i="1"/>
  <c r="I20" i="1" s="1"/>
  <c r="I19" i="1"/>
  <c r="L121" i="1"/>
  <c r="L123" i="1" s="1"/>
  <c r="C29" i="1"/>
  <c r="E23" i="1"/>
  <c r="G31" i="1" l="1"/>
  <c r="G8" i="1" s="1"/>
  <c r="I79" i="1"/>
  <c r="I48" i="1"/>
  <c r="I38" i="1"/>
  <c r="I44" i="1"/>
  <c r="G24" i="1"/>
  <c r="G7" i="1" s="1"/>
  <c r="I7" i="1" s="1"/>
  <c r="I10" i="1"/>
  <c r="I8" i="1"/>
  <c r="I24" i="1"/>
  <c r="I28" i="1"/>
  <c r="I31" i="1" s="1"/>
  <c r="I12" i="1" l="1"/>
  <c r="I15" i="1" s="1"/>
  <c r="I50" i="1"/>
  <c r="I52" i="1" l="1"/>
  <c r="I55" i="1" s="1"/>
  <c r="I56" i="1" s="1"/>
  <c r="I58" i="1" s="1"/>
  <c r="I64" i="1" s="1"/>
  <c r="I66" i="1" s="1"/>
  <c r="I81" i="1" s="1"/>
  <c r="I85" i="1" s="1"/>
  <c r="I8" i="4"/>
  <c r="K8" i="4"/>
  <c r="K12" i="4" s="1"/>
  <c r="K15" i="4" s="1"/>
  <c r="K31" i="4"/>
  <c r="K32" i="4" s="1"/>
  <c r="K51" i="4" s="1"/>
  <c r="I32" i="4"/>
  <c r="K53" i="4" l="1"/>
  <c r="K56" i="4" s="1"/>
  <c r="K57" i="4" s="1"/>
  <c r="K59" i="4" s="1"/>
  <c r="K65" i="4" s="1"/>
  <c r="K67" i="4" s="1"/>
  <c r="K82" i="4" s="1"/>
  <c r="K86" i="4" s="1"/>
  <c r="E56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ccullion</author>
  </authors>
  <commentList>
    <comment ref="J18" authorId="0" shapeId="0" xr:uid="{F69F9D08-F6B7-4E81-8DD6-05B2471FC27D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J19" authorId="0" shapeId="0" xr:uid="{EFD97CF7-75AA-4489-ABB0-A07DAA29BD12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ccullion</author>
  </authors>
  <commentList>
    <comment ref="H18" authorId="0" shapeId="0" xr:uid="{BFE54BBE-B9A8-403B-BFB6-00B328D3B6F4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H19" authorId="0" shapeId="0" xr:uid="{5F6E4892-FDA8-4C4E-A32E-6583E40235C7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ccullion</author>
  </authors>
  <commentList>
    <comment ref="H18" authorId="0" shapeId="0" xr:uid="{D5CE8717-8AA9-45AE-B666-7C898A3240DF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O18" authorId="0" shapeId="0" xr:uid="{EA6A0D23-3CAA-46F1-B5B7-EC866CC69613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W18" authorId="0" shapeId="0" xr:uid="{9B1C8C2A-0E2B-48CF-8229-32CB9A9F2824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AF18" authorId="0" shapeId="0" xr:uid="{2E3DA5D0-A222-4AE7-8231-C0B06B9995D6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H19" authorId="0" shapeId="0" xr:uid="{40E148C1-A40F-4DE7-BA8F-0C0AFB1AF306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O19" authorId="0" shapeId="0" xr:uid="{27D23949-1B63-428B-AC8D-0D3C68ED70C1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W19" authorId="0" shapeId="0" xr:uid="{2FBCB62F-C4B7-436F-BD3A-257C1E96D604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AF19" authorId="0" shapeId="0" xr:uid="{BB79CF08-3D81-4425-A855-9C181E3DDD0E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ccullion</author>
  </authors>
  <commentList>
    <comment ref="J18" authorId="0" shapeId="0" xr:uid="{B650BB89-57AF-48AC-9F50-B48FEC199653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J19" authorId="0" shapeId="0" xr:uid="{7C7B52FC-6302-4448-9891-2FB1E553AFB0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ccullion</author>
  </authors>
  <commentList>
    <comment ref="J18" authorId="0" shapeId="0" xr:uid="{4FF66BCE-5B88-417A-B3F9-F18ECB4A3203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Q18" authorId="0" shapeId="0" xr:uid="{29D9AD7D-A5E6-41E5-AD2E-46C47E1BBE5A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Y18" authorId="0" shapeId="0" xr:uid="{57025590-FB6B-4C45-A24A-7E6DF39D6BA1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AG18" authorId="0" shapeId="0" xr:uid="{8FA5B9B2-17AC-4B0B-A4E6-A81BE1370A84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J19" authorId="0" shapeId="0" xr:uid="{1112E9B7-7F6C-4AE1-8A87-0EBFFBFC1255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Q19" authorId="0" shapeId="0" xr:uid="{AD25E938-AB9B-45B4-86BB-544E4ED85480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Y19" authorId="0" shapeId="0" xr:uid="{040EC425-4485-4DBD-9F93-37E477C5DDDF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AG19" authorId="0" shapeId="0" xr:uid="{9773460A-AFA6-4886-8B2A-A8FBC630C645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ccullion</author>
  </authors>
  <commentList>
    <comment ref="J18" authorId="0" shapeId="0" xr:uid="{329E7421-2321-4999-8066-77487EA10B63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Q18" authorId="0" shapeId="0" xr:uid="{6B6CFFD5-433F-4FEF-9377-FD3CC7DA95DA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Y18" authorId="0" shapeId="0" xr:uid="{E85BCF45-8714-4A57-A9A7-9A14773F1E09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AG18" authorId="0" shapeId="0" xr:uid="{9EB7C69B-0A24-42CF-89EA-AFB610524383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J19" authorId="0" shapeId="0" xr:uid="{F3A61FC7-BE79-48B2-9CEA-7964DD5F9459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Q19" authorId="0" shapeId="0" xr:uid="{0F0B762A-E164-41F3-A8BE-D5039A62D585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Y19" authorId="0" shapeId="0" xr:uid="{44B28873-A39A-489A-BCC8-00167C55DB16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AG19" authorId="0" shapeId="0" xr:uid="{08631067-C037-44B6-B6EB-236CD1D63806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ccullion</author>
  </authors>
  <commentList>
    <comment ref="J18" authorId="0" shapeId="0" xr:uid="{A49A4A1D-3AAC-40A2-9C52-6992C5BF0088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Q18" authorId="0" shapeId="0" xr:uid="{B3BCDE2B-F43A-41B1-BB1E-116F83A1EF3F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Y18" authorId="0" shapeId="0" xr:uid="{F5AAB54D-D4C6-4345-BC8C-715980FEFEC1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AG18" authorId="0" shapeId="0" xr:uid="{439734D3-CA53-4039-8100-0FD8E161758F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J19" authorId="0" shapeId="0" xr:uid="{AB2A3FC9-77D1-44C7-B52F-CBAE15D5B4E5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Q19" authorId="0" shapeId="0" xr:uid="{62D981DA-66BA-4700-AA01-E5A62B278B00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Y19" authorId="0" shapeId="0" xr:uid="{08689192-975D-4111-AFE5-7EA7BF779519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AG19" authorId="0" shapeId="0" xr:uid="{6383DD5B-5D4A-4834-A01E-34BA08566AE4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ccullion</author>
  </authors>
  <commentList>
    <comment ref="J18" authorId="0" shapeId="0" xr:uid="{F666C1B8-FF55-47D3-9276-704A3CF0890C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Q18" authorId="0" shapeId="0" xr:uid="{91763D89-B0E2-40F4-9F4D-8307AE48D2FF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Y18" authorId="0" shapeId="0" xr:uid="{C738DF31-58E7-4191-8177-92038000457D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AG18" authorId="0" shapeId="0" xr:uid="{A669FDA9-61BA-43C8-873C-B00D99D4AD4F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J19" authorId="0" shapeId="0" xr:uid="{43B85086-055E-4ADE-8F6D-4962294E6987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Q19" authorId="0" shapeId="0" xr:uid="{0C5F00A9-CA51-4252-8416-8333CA28E632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Y19" authorId="0" shapeId="0" xr:uid="{2B00534D-8272-4370-B428-10DBBEC1EA01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AG19" authorId="0" shapeId="0" xr:uid="{ACEAD9B0-A2AD-42F4-A101-A09937BEF90F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ccullion</author>
  </authors>
  <commentList>
    <comment ref="J18" authorId="0" shapeId="0" xr:uid="{18899CB7-20DE-4FAE-9CBC-93156862A7D3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Q18" authorId="0" shapeId="0" xr:uid="{0600A99A-6CAD-42E2-A8D3-53D5CCDC220F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Y18" authorId="0" shapeId="0" xr:uid="{61907FE6-9307-48D7-8344-133FC20DCA5C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AG18" authorId="0" shapeId="0" xr:uid="{C56ABAE8-6F3D-4410-8A94-DB0DC9861E30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J19" authorId="0" shapeId="0" xr:uid="{BB473D02-5F42-45FB-B6C0-89592FC86491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Q19" authorId="0" shapeId="0" xr:uid="{6F9C4370-605C-489F-874B-D4454D919A13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Y19" authorId="0" shapeId="0" xr:uid="{B132C67B-473E-4AA8-9B7D-840AA25CFA9F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AG19" authorId="0" shapeId="0" xr:uid="{45EBB4A2-AC55-4B35-881F-28F25942E3C8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ccullion</author>
  </authors>
  <commentList>
    <comment ref="J18" authorId="0" shapeId="0" xr:uid="{8E75346A-39D2-4EC6-B1E5-F386073BE6BE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Q18" authorId="0" shapeId="0" xr:uid="{F3352A43-FEA9-4644-9FA9-018F502D3C87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Y18" authorId="0" shapeId="0" xr:uid="{9C5EA2F2-0508-4119-B10C-56F01324C984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AG18" authorId="0" shapeId="0" xr:uid="{213F73A2-60B8-42E3-8332-FFA0D601A71C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J19" authorId="0" shapeId="0" xr:uid="{BB77DC3A-E82D-4056-985C-39D927DE26AA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Q19" authorId="0" shapeId="0" xr:uid="{43C629FB-3E13-4287-9FFA-40F35F5E548A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Y19" authorId="0" shapeId="0" xr:uid="{8F86D67F-9266-4CA7-95C0-7FF8F0F9382A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AG19" authorId="0" shapeId="0" xr:uid="{B37EEC55-9D15-4270-B340-AED007F4119F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ccullion</author>
  </authors>
  <commentList>
    <comment ref="H18" authorId="0" shapeId="0" xr:uid="{2EFAC9CD-7BFE-4231-B234-AD8A73890ACA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  <comment ref="H19" authorId="0" shapeId="0" xr:uid="{52D288FB-7D85-4835-AA6F-FD492E6D4676}">
      <text>
        <r>
          <rPr>
            <i/>
            <sz val="9"/>
            <color indexed="81"/>
            <rFont val="Tahoma"/>
            <family val="2"/>
          </rPr>
          <t>if ownership position (ie ounces):
increased = use CY spot rate
decreased = use PY spot rate</t>
        </r>
      </text>
    </comment>
  </commentList>
</comments>
</file>

<file path=xl/sharedStrings.xml><?xml version="1.0" encoding="utf-8"?>
<sst xmlns="http://schemas.openxmlformats.org/spreadsheetml/2006/main" count="2975" uniqueCount="196">
  <si>
    <t>Option # 1</t>
  </si>
  <si>
    <t>Option # 2</t>
  </si>
  <si>
    <t>Option # 3</t>
  </si>
  <si>
    <t>Historical Data</t>
  </si>
  <si>
    <t>Date as of : 12.31.19</t>
  </si>
  <si>
    <t>Historical layers are met - Price is NY Spot</t>
  </si>
  <si>
    <t>Historical layers are met - Price is NY Spot with Range</t>
  </si>
  <si>
    <t>Historical layers are met - Price is NY Spot with Range and Added Additional Layers</t>
  </si>
  <si>
    <t>Range High %</t>
  </si>
  <si>
    <t>Range Low %</t>
  </si>
  <si>
    <t>FIFO - 2019</t>
  </si>
  <si>
    <t>Spot Price</t>
  </si>
  <si>
    <t>Additional Metal (oz)</t>
  </si>
  <si>
    <t>Ounces</t>
  </si>
  <si>
    <t>Price</t>
  </si>
  <si>
    <t>Extended Value</t>
  </si>
  <si>
    <t xml:space="preserve"> @ Spot</t>
  </si>
  <si>
    <t xml:space="preserve"> @ High Range</t>
  </si>
  <si>
    <t xml:space="preserve"> @ Low Range</t>
  </si>
  <si>
    <t>Gold:</t>
  </si>
  <si>
    <t>Silver:</t>
  </si>
  <si>
    <t>Platinum:</t>
  </si>
  <si>
    <t>Palladium:</t>
  </si>
  <si>
    <t>Rhodium:</t>
  </si>
  <si>
    <t>Spot Price is COMEX</t>
  </si>
  <si>
    <t>Premiums</t>
  </si>
  <si>
    <t>PREMIUMS</t>
  </si>
  <si>
    <t>House position and MLO/PAO open trades</t>
  </si>
  <si>
    <t>Unrealized Gains/(Loss)</t>
  </si>
  <si>
    <t>UNREALIZED GAIN OR LOSS</t>
  </si>
  <si>
    <t>Total</t>
  </si>
  <si>
    <t>Unrealized Gain/(loss) on Hedging Transactions</t>
  </si>
  <si>
    <t>LIFO - 2019</t>
  </si>
  <si>
    <t>PY</t>
  </si>
  <si>
    <t>Gold</t>
  </si>
  <si>
    <t>if ownership position (ie ounces):
increased = use CY spot rate
decreased = use PY spot rate</t>
  </si>
  <si>
    <t>FC Stone</t>
  </si>
  <si>
    <t>Futures Open Trade Equity</t>
  </si>
  <si>
    <t>FC Stone Ice</t>
  </si>
  <si>
    <t xml:space="preserve">AMRO </t>
  </si>
  <si>
    <t>Total Open Trade Equity</t>
  </si>
  <si>
    <t>Total Gain/(Loss)</t>
  </si>
  <si>
    <t>Jan 1 2019</t>
  </si>
  <si>
    <t>FC Stone: DB balance in entered as positive</t>
  </si>
  <si>
    <t>ICE: CR balance is entered as negative</t>
  </si>
  <si>
    <t>GOLD</t>
  </si>
  <si>
    <t>AMRO: CR balance is entered as positive</t>
  </si>
  <si>
    <t>Silver</t>
  </si>
  <si>
    <t>CNT Income/(Loss)</t>
  </si>
  <si>
    <t>Layer Price is London PM</t>
  </si>
  <si>
    <t>SILVER</t>
  </si>
  <si>
    <t>Platinum</t>
  </si>
  <si>
    <t>PT</t>
  </si>
  <si>
    <t>Palladium</t>
  </si>
  <si>
    <t>PD</t>
  </si>
  <si>
    <t>Rhodium</t>
  </si>
  <si>
    <t>Total difference from 2019 to Historical</t>
  </si>
  <si>
    <t>LIFO Reserve Balance at 12/31/18</t>
  </si>
  <si>
    <t>Estimated LIFO Reserve at 12/31/19</t>
  </si>
  <si>
    <t>Estimated LIFO Reserve Ba at 12/31/19</t>
  </si>
  <si>
    <t>Journal Entry to get LIFO Reserve Balance</t>
  </si>
  <si>
    <t>Estimated 12/31/19 Profit before LIFO</t>
  </si>
  <si>
    <t xml:space="preserve">YTD as of </t>
  </si>
  <si>
    <t>Projected Profit/(Loss) 2019 After LIFO</t>
  </si>
  <si>
    <t>Projected Profit 2019 After LIFO</t>
  </si>
  <si>
    <t>Tax Tie Out</t>
  </si>
  <si>
    <t>Input Data</t>
  </si>
  <si>
    <t>Net Income per Financial Statements</t>
  </si>
  <si>
    <t>State Tax per TB</t>
  </si>
  <si>
    <t>Pre Tax Book Income</t>
  </si>
  <si>
    <t>Permanent Differences</t>
  </si>
  <si>
    <t>Projected</t>
  </si>
  <si>
    <t xml:space="preserve">      Fines/Penalties</t>
  </si>
  <si>
    <t>Actual</t>
  </si>
  <si>
    <t xml:space="preserve">      Meals &amp; Entertainment (50%)</t>
  </si>
  <si>
    <t>Total Permanent Differences</t>
  </si>
  <si>
    <t>Timing Differences</t>
  </si>
  <si>
    <t xml:space="preserve">      Excess (Tax)/Book Depreciation</t>
  </si>
  <si>
    <t>Book: 1,285,994.93</t>
  </si>
  <si>
    <t xml:space="preserve">      Sec 267: Accrued S/H Loan Interest</t>
  </si>
  <si>
    <t>Tax:        745,838.19</t>
  </si>
  <si>
    <t xml:space="preserve">      Sec 267: Accrued Wages</t>
  </si>
  <si>
    <t>Book/Tax</t>
  </si>
  <si>
    <t xml:space="preserve">      Accrued Legal &amp; Accounting</t>
  </si>
  <si>
    <t xml:space="preserve">      Unrealized Gain on Hedging Transactions</t>
  </si>
  <si>
    <t>Total Timing Differences</t>
  </si>
  <si>
    <t>State Taxable Income</t>
  </si>
  <si>
    <t>State Tax Liability</t>
  </si>
  <si>
    <t>Federal Taxable Income</t>
  </si>
  <si>
    <t>Loss is add back to Book Income</t>
  </si>
  <si>
    <t>DB balance in entered as positive</t>
  </si>
  <si>
    <t>CR balance is entered as negative</t>
  </si>
  <si>
    <t>CR balance is entered as positive</t>
  </si>
  <si>
    <t>Spot Prices</t>
  </si>
  <si>
    <t>AMRO</t>
  </si>
  <si>
    <t>ICE</t>
  </si>
  <si>
    <t>Ownership Positions</t>
  </si>
  <si>
    <t>Unrealized Gains/(Losses)</t>
  </si>
  <si>
    <t>Review</t>
  </si>
  <si>
    <t>FIFO - 2020</t>
  </si>
  <si>
    <t>LIFO - 2020</t>
  </si>
  <si>
    <t>as of 09.30.2020</t>
  </si>
  <si>
    <t xml:space="preserve">From EOM Sept - Inventory All Tab </t>
  </si>
  <si>
    <t>ADM</t>
  </si>
  <si>
    <t>Estimated for EOY</t>
  </si>
  <si>
    <t>ADM: ??</t>
  </si>
  <si>
    <t xml:space="preserve">Book: </t>
  </si>
  <si>
    <t xml:space="preserve">Tax:        </t>
  </si>
  <si>
    <t>Date as of : 10.09.2020</t>
  </si>
  <si>
    <t>LIFO Reserve Balance at 12/31/19</t>
  </si>
  <si>
    <t>Estimated LIFO Reserve at 12/31/20</t>
  </si>
  <si>
    <t>Estimated 12/31/20 Profit before LIFO</t>
  </si>
  <si>
    <t>Projected Profit/(Loss) 2020 After LIFO</t>
  </si>
  <si>
    <t>Jan 1 2020</t>
  </si>
  <si>
    <t>Date as of : 10.31.2020</t>
  </si>
  <si>
    <t>Spot Price is NY Spot</t>
  </si>
  <si>
    <t>as of 10.31.2020</t>
  </si>
  <si>
    <t>Open Trade Equity</t>
  </si>
  <si>
    <t>Future Open Trade Equity</t>
  </si>
  <si>
    <t>As of 10.31.2020</t>
  </si>
  <si>
    <t>DB balance  as positive - CR as negative</t>
  </si>
  <si>
    <t>Total Open Trade Equity Future</t>
  </si>
  <si>
    <t>`</t>
  </si>
  <si>
    <t>Spot Prices @ EOM</t>
  </si>
  <si>
    <t>ADM - DB balance  as positive - CR as negative</t>
  </si>
  <si>
    <t>FC Stone: DB balance as positive - CR as negative</t>
  </si>
  <si>
    <t>ICE: DB balance as positive - CR as negative</t>
  </si>
  <si>
    <t>AMRO: CR balance as positive - DB as negative</t>
  </si>
  <si>
    <t>Date as of : 11.25.2020</t>
  </si>
  <si>
    <t>Needed $</t>
  </si>
  <si>
    <t>LOC used 2019</t>
  </si>
  <si>
    <t>CNT $ 2019 Equity</t>
  </si>
  <si>
    <t>CNT $ 2020 additional Equity</t>
  </si>
  <si>
    <t>CNT cash Available</t>
  </si>
  <si>
    <t>Needed $ 2020</t>
  </si>
  <si>
    <t>Equity 2019</t>
  </si>
  <si>
    <t>Additional Equity 2020</t>
  </si>
  <si>
    <t>Needed to maintain current layers</t>
  </si>
  <si>
    <t>LOC available Dec 15 - Jan 15</t>
  </si>
  <si>
    <t>Cash available to purchase additional layers</t>
  </si>
  <si>
    <t>LOC available / silver spot for total silver FTO  we can purchase</t>
  </si>
  <si>
    <t>LOC available / Gold spot for total silver FTO  we can purchase</t>
  </si>
  <si>
    <t>Adding Silver</t>
  </si>
  <si>
    <t>Gold - adding layer</t>
  </si>
  <si>
    <t>Silver - adding layer</t>
  </si>
  <si>
    <t>Cash available</t>
  </si>
  <si>
    <t>Adding Gold</t>
  </si>
  <si>
    <t>Mixed Gold and Silver - adding layer</t>
  </si>
  <si>
    <t>Adding Mix Silver &amp; Gold</t>
  </si>
  <si>
    <t>Gold FTO</t>
  </si>
  <si>
    <t>Silver FTO</t>
  </si>
  <si>
    <t>Date as of : 12.07.2020</t>
  </si>
  <si>
    <t>Date as of : 12.14.2020</t>
  </si>
  <si>
    <t xml:space="preserve">Spot Price is NY Spot </t>
  </si>
  <si>
    <t>Mix of 2/3 Gold &amp; I/3 Silver Additional Layer</t>
  </si>
  <si>
    <t>Available for Gold &amp; Silver Mix</t>
  </si>
  <si>
    <t xml:space="preserve">Cash needed to maintain LIFO Layers </t>
  </si>
  <si>
    <t xml:space="preserve">Gold Value @ 2/3 of available cash </t>
  </si>
  <si>
    <t>Silver value @ 1/3 of available cash</t>
  </si>
  <si>
    <t>Gold FTO for additional layer</t>
  </si>
  <si>
    <t>Silver FTO for Additional layer</t>
  </si>
  <si>
    <t>$5,000,000 reserve</t>
  </si>
  <si>
    <t>Cash needed to fund LIFO add layers</t>
  </si>
  <si>
    <t>Date as of : 12.29.2020</t>
  </si>
  <si>
    <t>As of 11.30.2020</t>
  </si>
  <si>
    <t>11.30.2020</t>
  </si>
  <si>
    <t>Premiums (as of 11.30.2020)</t>
  </si>
  <si>
    <t>Unrealized Gains/(Loss) as of 11.30.2020</t>
  </si>
  <si>
    <t>As of 11.29.2020</t>
  </si>
  <si>
    <t>Premiums as of 12.29.2020</t>
  </si>
  <si>
    <t>As of 12.29.2020</t>
  </si>
  <si>
    <t>DB balance  as negative - CR as positive</t>
  </si>
  <si>
    <t>Unrealized Gains/(Loss) as of 12.29.2020</t>
  </si>
  <si>
    <t>Date as of : 12.31.2020</t>
  </si>
  <si>
    <t>Gold Ownership Position</t>
  </si>
  <si>
    <t>Silver Ownership Position</t>
  </si>
  <si>
    <t>Platinum Ownership Position</t>
  </si>
  <si>
    <t>Spot Price is Comex</t>
  </si>
  <si>
    <t>New Layer Pricing for 2020</t>
  </si>
  <si>
    <t>Palladium Ownership Position</t>
  </si>
  <si>
    <t>Rhodium Ownership Position</t>
  </si>
  <si>
    <t>As of 11.31.2020</t>
  </si>
  <si>
    <t>Rhodium Layer pricing</t>
  </si>
  <si>
    <t>StoneX</t>
  </si>
  <si>
    <t>StoneX - ICE</t>
  </si>
  <si>
    <t>StoneX- ICE</t>
  </si>
  <si>
    <t>Open Trade Equity Future</t>
  </si>
  <si>
    <t xml:space="preserve">ABN-AMRO </t>
  </si>
  <si>
    <t>Open trade Equity Futures</t>
  </si>
  <si>
    <t>Historical layers are met - Price is Comex</t>
  </si>
  <si>
    <t>Total difference from 2020 to Historical</t>
  </si>
  <si>
    <t>Premiums as of 12.31.2020</t>
  </si>
  <si>
    <t>12.31.2020</t>
  </si>
  <si>
    <t>Unrealized Gain/Loss as of 12.31.2020</t>
  </si>
  <si>
    <t>12/31/20 Profit before LIFO</t>
  </si>
  <si>
    <t xml:space="preserve">variance to DPCO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</si>
</sst>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_);_(* \(#,##0\);_(* &quot;-&quot;??_);_(@_)"/>
    <numFmt numFmtId="166" formatCode="_(* #,##0.0000_);_(* \(#,##0.0000\);_(* &quot;-&quot;??_);_(@_)"/>
    <numFmt numFmtId="167" formatCode="_(&quot;$&quot;* #,##0.000_);_(&quot;$&quot;* \(#,##0.000\);_(&quot;$&quot;* &quot;-&quot;??_);_(@_)"/>
    <numFmt numFmtId="168" formatCode="0.000%"/>
    <numFmt numFmtId="169" formatCode="0.00000"/>
    <numFmt numFmtId="170" formatCode="_(* #,##0.00000_);_(* \(#,##0.00000\);_(* &quot;-&quot;??_);_(@_)"/>
    <numFmt numFmtId="171" formatCode="0.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Light"/>
      <family val="1"/>
      <scheme val="major"/>
    </font>
    <font>
      <b/>
      <sz val="11"/>
      <color theme="1"/>
      <name val="Calibri Light"/>
      <family val="2"/>
      <scheme val="major"/>
    </font>
    <font>
      <b/>
      <sz val="11"/>
      <color theme="1"/>
      <name val="Calibri Light"/>
      <family val="1"/>
      <scheme val="major"/>
    </font>
    <font>
      <sz val="11"/>
      <color rgb="FFFF0000"/>
      <name val="Calibri Light"/>
      <family val="1"/>
      <scheme val="major"/>
    </font>
    <font>
      <i/>
      <sz val="8"/>
      <color rgb="FFFF0000"/>
      <name val="Calibri Light"/>
      <family val="1"/>
      <scheme val="major"/>
    </font>
    <font>
      <b/>
      <sz val="11"/>
      <color rgb="FFC00000"/>
      <name val="Calibri Light"/>
      <family val="2"/>
      <scheme val="major"/>
    </font>
    <font>
      <b/>
      <sz val="11"/>
      <color rgb="FFFF0000"/>
      <name val="Calibri Light"/>
      <family val="2"/>
      <scheme val="major"/>
    </font>
    <font>
      <sz val="8"/>
      <color rgb="FFFF0000"/>
      <name val="Calibri Light"/>
      <family val="1"/>
      <scheme val="major"/>
    </font>
    <font>
      <b/>
      <sz val="11"/>
      <name val="Calibri Light"/>
      <family val="2"/>
      <scheme val="major"/>
    </font>
    <font>
      <b/>
      <i/>
      <sz val="8"/>
      <color rgb="FFFF0000"/>
      <name val="Calibri Light"/>
      <family val="2"/>
      <scheme val="major"/>
    </font>
    <font>
      <sz val="11"/>
      <color theme="1"/>
      <name val="Calibri Light"/>
      <family val="2"/>
      <scheme val="major"/>
    </font>
    <font>
      <u/>
      <sz val="11"/>
      <color theme="1"/>
      <name val="Calibri"/>
      <family val="2"/>
      <scheme val="minor"/>
    </font>
    <font>
      <sz val="8"/>
      <color rgb="FFC00000"/>
      <name val="Calibri Light"/>
      <family val="1"/>
      <scheme val="major"/>
    </font>
    <font>
      <sz val="11"/>
      <name val="Calibri Light"/>
      <family val="1"/>
      <scheme val="major"/>
    </font>
    <font>
      <b/>
      <sz val="20"/>
      <color theme="1"/>
      <name val="Calibri"/>
      <family val="2"/>
      <scheme val="minor"/>
    </font>
    <font>
      <i/>
      <sz val="9"/>
      <color indexed="81"/>
      <name val="Tahoma"/>
      <family val="2"/>
    </font>
    <font>
      <b/>
      <sz val="14"/>
      <color theme="1"/>
      <name val="Calibri Light"/>
      <family val="2"/>
      <scheme val="major"/>
    </font>
    <font>
      <sz val="8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6D050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6CF51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90">
    <xf numFmtId="0" fontId="0" fillId="0" borderId="0" xfId="0"/>
    <xf numFmtId="0" fontId="0" fillId="0" borderId="1" xfId="0" applyBorder="1"/>
    <xf numFmtId="0" fontId="3" fillId="0" borderId="0" xfId="0" applyFont="1"/>
    <xf numFmtId="0" fontId="0" fillId="0" borderId="2" xfId="0" applyBorder="1"/>
    <xf numFmtId="0" fontId="4" fillId="2" borderId="3" xfId="0" applyFont="1" applyFill="1" applyBorder="1" applyAlignment="1">
      <alignment horizontal="right" vertical="center"/>
    </xf>
    <xf numFmtId="9" fontId="4" fillId="2" borderId="4" xfId="3" applyFont="1" applyFill="1" applyBorder="1" applyAlignment="1">
      <alignment vertical="center" wrapText="1"/>
    </xf>
    <xf numFmtId="0" fontId="4" fillId="2" borderId="4" xfId="0" applyFont="1" applyFill="1" applyBorder="1" applyAlignment="1">
      <alignment horizontal="right" vertical="center" wrapText="1"/>
    </xf>
    <xf numFmtId="0" fontId="5" fillId="0" borderId="3" xfId="0" applyFont="1" applyBorder="1" applyAlignment="1">
      <alignment horizontal="centerContinuous"/>
    </xf>
    <xf numFmtId="43" fontId="3" fillId="0" borderId="4" xfId="0" applyNumberFormat="1" applyFont="1" applyBorder="1" applyAlignment="1">
      <alignment horizontal="centerContinuous"/>
    </xf>
    <xf numFmtId="0" fontId="3" fillId="0" borderId="4" xfId="0" applyFont="1" applyBorder="1" applyAlignment="1">
      <alignment horizontal="centerContinuous"/>
    </xf>
    <xf numFmtId="43" fontId="4" fillId="0" borderId="4" xfId="0" applyNumberFormat="1" applyFont="1" applyBorder="1" applyAlignment="1">
      <alignment horizontal="center"/>
    </xf>
    <xf numFmtId="43" fontId="4" fillId="0" borderId="0" xfId="0" applyNumberFormat="1" applyFont="1" applyAlignment="1">
      <alignment horizontal="center"/>
    </xf>
    <xf numFmtId="0" fontId="3" fillId="0" borderId="5" xfId="0" applyFont="1" applyBorder="1" applyAlignment="1">
      <alignment horizontal="centerContinuous"/>
    </xf>
    <xf numFmtId="0" fontId="0" fillId="2" borderId="6" xfId="0" applyFill="1" applyBorder="1"/>
    <xf numFmtId="0" fontId="0" fillId="2" borderId="7" xfId="0" applyFill="1" applyBorder="1" applyAlignment="1">
      <alignment horizontal="center" wrapText="1"/>
    </xf>
    <xf numFmtId="0" fontId="0" fillId="2" borderId="7" xfId="0" applyFill="1" applyBorder="1"/>
    <xf numFmtId="0" fontId="0" fillId="2" borderId="8" xfId="0" applyFill="1" applyBorder="1" applyAlignment="1">
      <alignment horizontal="center" vertical="center" wrapText="1"/>
    </xf>
    <xf numFmtId="43" fontId="3" fillId="0" borderId="14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44" fontId="0" fillId="0" borderId="1" xfId="0" applyNumberFormat="1" applyBorder="1"/>
    <xf numFmtId="0" fontId="0" fillId="2" borderId="12" xfId="0" applyFill="1" applyBorder="1" applyAlignment="1">
      <alignment horizontal="right"/>
    </xf>
    <xf numFmtId="164" fontId="1" fillId="2" borderId="15" xfId="1" applyNumberFormat="1" applyFont="1" applyFill="1" applyBorder="1" applyAlignment="1"/>
    <xf numFmtId="0" fontId="0" fillId="2" borderId="0" xfId="0" applyFill="1"/>
    <xf numFmtId="165" fontId="1" fillId="2" borderId="16" xfId="1" applyNumberFormat="1" applyFont="1" applyFill="1" applyBorder="1" applyAlignment="1"/>
    <xf numFmtId="164" fontId="3" fillId="2" borderId="0" xfId="0" applyNumberFormat="1" applyFont="1" applyFill="1"/>
    <xf numFmtId="43" fontId="4" fillId="2" borderId="0" xfId="0" applyNumberFormat="1" applyFont="1" applyFill="1"/>
    <xf numFmtId="44" fontId="3" fillId="2" borderId="0" xfId="0" applyNumberFormat="1" applyFont="1" applyFill="1"/>
    <xf numFmtId="43" fontId="3" fillId="2" borderId="0" xfId="0" applyNumberFormat="1" applyFont="1" applyFill="1"/>
    <xf numFmtId="164" fontId="3" fillId="0" borderId="0" xfId="0" applyNumberFormat="1" applyFont="1"/>
    <xf numFmtId="43" fontId="4" fillId="0" borderId="0" xfId="0" applyNumberFormat="1" applyFont="1"/>
    <xf numFmtId="44" fontId="3" fillId="0" borderId="0" xfId="0" applyNumberFormat="1" applyFont="1"/>
    <xf numFmtId="0" fontId="0" fillId="3" borderId="12" xfId="0" applyFill="1" applyBorder="1" applyAlignment="1">
      <alignment horizontal="right"/>
    </xf>
    <xf numFmtId="164" fontId="1" fillId="3" borderId="17" xfId="1" applyNumberFormat="1" applyFont="1" applyFill="1" applyBorder="1" applyAlignment="1"/>
    <xf numFmtId="0" fontId="0" fillId="3" borderId="0" xfId="0" applyFill="1"/>
    <xf numFmtId="165" fontId="1" fillId="3" borderId="18" xfId="1" applyNumberFormat="1" applyFont="1" applyFill="1" applyBorder="1" applyAlignment="1"/>
    <xf numFmtId="164" fontId="3" fillId="3" borderId="0" xfId="0" applyNumberFormat="1" applyFont="1" applyFill="1"/>
    <xf numFmtId="164" fontId="4" fillId="3" borderId="0" xfId="0" applyNumberFormat="1" applyFont="1" applyFill="1"/>
    <xf numFmtId="44" fontId="3" fillId="3" borderId="0" xfId="0" applyNumberFormat="1" applyFont="1" applyFill="1"/>
    <xf numFmtId="43" fontId="3" fillId="3" borderId="0" xfId="0" applyNumberFormat="1" applyFont="1" applyFill="1"/>
    <xf numFmtId="164" fontId="4" fillId="0" borderId="0" xfId="0" applyNumberFormat="1" applyFont="1"/>
    <xf numFmtId="0" fontId="0" fillId="4" borderId="12" xfId="0" applyFill="1" applyBorder="1" applyAlignment="1">
      <alignment horizontal="right"/>
    </xf>
    <xf numFmtId="164" fontId="1" fillId="4" borderId="17" xfId="1" applyNumberFormat="1" applyFont="1" applyFill="1" applyBorder="1" applyAlignment="1"/>
    <xf numFmtId="0" fontId="0" fillId="4" borderId="0" xfId="0" applyFill="1"/>
    <xf numFmtId="165" fontId="1" fillId="4" borderId="18" xfId="1" applyNumberFormat="1" applyFont="1" applyFill="1" applyBorder="1" applyAlignment="1"/>
    <xf numFmtId="166" fontId="3" fillId="4" borderId="0" xfId="0" applyNumberFormat="1" applyFont="1" applyFill="1"/>
    <xf numFmtId="43" fontId="4" fillId="4" borderId="0" xfId="0" applyNumberFormat="1" applyFont="1" applyFill="1"/>
    <xf numFmtId="44" fontId="3" fillId="4" borderId="0" xfId="0" applyNumberFormat="1" applyFont="1" applyFill="1"/>
    <xf numFmtId="43" fontId="3" fillId="4" borderId="0" xfId="0" applyNumberFormat="1" applyFont="1" applyFill="1"/>
    <xf numFmtId="166" fontId="3" fillId="0" borderId="0" xfId="0" applyNumberFormat="1" applyFont="1"/>
    <xf numFmtId="0" fontId="0" fillId="5" borderId="12" xfId="0" applyFill="1" applyBorder="1" applyAlignment="1">
      <alignment horizontal="right"/>
    </xf>
    <xf numFmtId="164" fontId="1" fillId="5" borderId="17" xfId="1" applyNumberFormat="1" applyFont="1" applyFill="1" applyBorder="1" applyAlignment="1"/>
    <xf numFmtId="0" fontId="0" fillId="5" borderId="0" xfId="0" applyFill="1"/>
    <xf numFmtId="165" fontId="1" fillId="5" borderId="18" xfId="1" applyNumberFormat="1" applyFont="1" applyFill="1" applyBorder="1" applyAlignment="1"/>
    <xf numFmtId="43" fontId="3" fillId="5" borderId="0" xfId="0" applyNumberFormat="1" applyFont="1" applyFill="1"/>
    <xf numFmtId="43" fontId="4" fillId="5" borderId="0" xfId="0" applyNumberFormat="1" applyFont="1" applyFill="1"/>
    <xf numFmtId="44" fontId="3" fillId="5" borderId="0" xfId="0" applyNumberFormat="1" applyFont="1" applyFill="1"/>
    <xf numFmtId="43" fontId="3" fillId="0" borderId="0" xfId="0" applyNumberFormat="1" applyFont="1"/>
    <xf numFmtId="0" fontId="0" fillId="6" borderId="12" xfId="0" applyFill="1" applyBorder="1" applyAlignment="1">
      <alignment horizontal="right"/>
    </xf>
    <xf numFmtId="164" fontId="1" fillId="6" borderId="19" xfId="1" applyNumberFormat="1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" fillId="6" borderId="20" xfId="1" applyNumberFormat="1" applyFont="1" applyFill="1" applyBorder="1" applyAlignment="1">
      <alignment horizontal="center"/>
    </xf>
    <xf numFmtId="43" fontId="3" fillId="6" borderId="0" xfId="0" applyNumberFormat="1" applyFont="1" applyFill="1"/>
    <xf numFmtId="43" fontId="4" fillId="6" borderId="0" xfId="0" applyNumberFormat="1" applyFont="1" applyFill="1"/>
    <xf numFmtId="44" fontId="3" fillId="6" borderId="0" xfId="0" applyNumberFormat="1" applyFont="1" applyFill="1"/>
    <xf numFmtId="43" fontId="0" fillId="0" borderId="1" xfId="0" applyNumberFormat="1" applyBorder="1"/>
    <xf numFmtId="44" fontId="4" fillId="0" borderId="21" xfId="0" applyNumberFormat="1" applyFont="1" applyBorder="1"/>
    <xf numFmtId="44" fontId="3" fillId="0" borderId="22" xfId="0" applyNumberFormat="1" applyFont="1" applyBorder="1"/>
    <xf numFmtId="43" fontId="6" fillId="0" borderId="0" xfId="0" applyNumberFormat="1" applyFont="1"/>
    <xf numFmtId="44" fontId="3" fillId="7" borderId="0" xfId="0" applyNumberFormat="1" applyFont="1" applyFill="1"/>
    <xf numFmtId="43" fontId="6" fillId="7" borderId="0" xfId="0" applyNumberFormat="1" applyFont="1" applyFill="1"/>
    <xf numFmtId="0" fontId="7" fillId="0" borderId="0" xfId="0" applyFont="1"/>
    <xf numFmtId="0" fontId="6" fillId="0" borderId="0" xfId="0" applyFont="1"/>
    <xf numFmtId="44" fontId="6" fillId="0" borderId="0" xfId="0" applyNumberFormat="1" applyFont="1"/>
    <xf numFmtId="0" fontId="0" fillId="7" borderId="3" xfId="0" applyFill="1" applyBorder="1"/>
    <xf numFmtId="44" fontId="3" fillId="8" borderId="0" xfId="0" applyNumberFormat="1" applyFont="1" applyFill="1"/>
    <xf numFmtId="43" fontId="6" fillId="8" borderId="0" xfId="0" applyNumberFormat="1" applyFont="1" applyFill="1"/>
    <xf numFmtId="43" fontId="9" fillId="0" borderId="0" xfId="0" applyNumberFormat="1" applyFont="1" applyAlignment="1">
      <alignment horizontal="right"/>
    </xf>
    <xf numFmtId="43" fontId="10" fillId="8" borderId="0" xfId="0" applyNumberFormat="1" applyFont="1" applyFill="1"/>
    <xf numFmtId="8" fontId="11" fillId="0" borderId="0" xfId="0" applyNumberFormat="1" applyFont="1"/>
    <xf numFmtId="0" fontId="12" fillId="0" borderId="0" xfId="0" applyFont="1"/>
    <xf numFmtId="8" fontId="6" fillId="0" borderId="0" xfId="0" applyNumberFormat="1" applyFont="1"/>
    <xf numFmtId="0" fontId="0" fillId="8" borderId="3" xfId="0" applyFill="1" applyBorder="1"/>
    <xf numFmtId="43" fontId="1" fillId="8" borderId="4" xfId="1" applyFont="1" applyFill="1" applyBorder="1" applyAlignment="1"/>
    <xf numFmtId="43" fontId="3" fillId="0" borderId="0" xfId="0" applyNumberFormat="1" applyFont="1" applyAlignment="1">
      <alignment horizontal="centerContinuous"/>
    </xf>
    <xf numFmtId="44" fontId="3" fillId="0" borderId="23" xfId="2" applyFont="1" applyBorder="1" applyAlignment="1">
      <alignment horizontal="right"/>
    </xf>
    <xf numFmtId="43" fontId="1" fillId="0" borderId="0" xfId="1" applyFont="1" applyFill="1" applyBorder="1" applyAlignment="1"/>
    <xf numFmtId="44" fontId="3" fillId="0" borderId="4" xfId="2" applyFont="1" applyBorder="1" applyAlignment="1">
      <alignment horizontal="centerContinuous"/>
    </xf>
    <xf numFmtId="0" fontId="3" fillId="9" borderId="12" xfId="0" applyFont="1" applyFill="1" applyBorder="1" applyAlignment="1">
      <alignment horizontal="right"/>
    </xf>
    <xf numFmtId="165" fontId="3" fillId="9" borderId="0" xfId="1" applyNumberFormat="1" applyFont="1" applyFill="1" applyBorder="1"/>
    <xf numFmtId="0" fontId="3" fillId="9" borderId="0" xfId="0" applyFont="1" applyFill="1"/>
    <xf numFmtId="0" fontId="0" fillId="9" borderId="13" xfId="0" applyFill="1" applyBorder="1"/>
    <xf numFmtId="166" fontId="3" fillId="2" borderId="0" xfId="0" applyNumberFormat="1" applyFont="1" applyFill="1"/>
    <xf numFmtId="44" fontId="3" fillId="2" borderId="0" xfId="2" applyFont="1" applyFill="1" applyBorder="1"/>
    <xf numFmtId="0" fontId="3" fillId="0" borderId="0" xfId="0" applyFont="1" applyAlignment="1">
      <alignment horizontal="center"/>
    </xf>
    <xf numFmtId="166" fontId="3" fillId="10" borderId="0" xfId="0" applyNumberFormat="1" applyFont="1" applyFill="1"/>
    <xf numFmtId="44" fontId="3" fillId="10" borderId="0" xfId="2" applyFont="1" applyFill="1" applyBorder="1"/>
    <xf numFmtId="0" fontId="0" fillId="9" borderId="0" xfId="0" applyFill="1"/>
    <xf numFmtId="0" fontId="3" fillId="9" borderId="13" xfId="0" applyFont="1" applyFill="1" applyBorder="1"/>
    <xf numFmtId="43" fontId="3" fillId="9" borderId="0" xfId="1" applyFont="1" applyFill="1" applyBorder="1"/>
    <xf numFmtId="0" fontId="3" fillId="9" borderId="9" xfId="0" applyFont="1" applyFill="1" applyBorder="1" applyAlignment="1">
      <alignment horizontal="right"/>
    </xf>
    <xf numFmtId="165" fontId="3" fillId="9" borderId="25" xfId="1" applyNumberFormat="1" applyFont="1" applyFill="1" applyBorder="1"/>
    <xf numFmtId="0" fontId="0" fillId="9" borderId="10" xfId="0" applyFill="1" applyBorder="1"/>
    <xf numFmtId="0" fontId="3" fillId="9" borderId="11" xfId="0" applyFont="1" applyFill="1" applyBorder="1"/>
    <xf numFmtId="44" fontId="4" fillId="2" borderId="0" xfId="2" applyFont="1" applyFill="1" applyBorder="1"/>
    <xf numFmtId="0" fontId="4" fillId="0" borderId="0" xfId="0" applyFont="1" applyAlignment="1">
      <alignment horizontal="center"/>
    </xf>
    <xf numFmtId="44" fontId="4" fillId="10" borderId="0" xfId="2" applyFont="1" applyFill="1" applyBorder="1"/>
    <xf numFmtId="166" fontId="6" fillId="2" borderId="0" xfId="0" applyNumberFormat="1" applyFont="1" applyFill="1"/>
    <xf numFmtId="166" fontId="6" fillId="10" borderId="0" xfId="0" applyNumberFormat="1" applyFont="1" applyFill="1"/>
    <xf numFmtId="166" fontId="3" fillId="2" borderId="23" xfId="0" applyNumberFormat="1" applyFont="1" applyFill="1" applyBorder="1"/>
    <xf numFmtId="44" fontId="3" fillId="2" borderId="23" xfId="2" applyFont="1" applyFill="1" applyBorder="1"/>
    <xf numFmtId="44" fontId="3" fillId="0" borderId="23" xfId="2" applyFont="1" applyFill="1" applyBorder="1"/>
    <xf numFmtId="166" fontId="3" fillId="10" borderId="23" xfId="0" applyNumberFormat="1" applyFont="1" applyFill="1" applyBorder="1"/>
    <xf numFmtId="44" fontId="3" fillId="10" borderId="23" xfId="2" applyFont="1" applyFill="1" applyBorder="1"/>
    <xf numFmtId="167" fontId="3" fillId="10" borderId="23" xfId="2" applyNumberFormat="1" applyFont="1" applyFill="1" applyBorder="1"/>
    <xf numFmtId="0" fontId="3" fillId="10" borderId="0" xfId="0" applyFont="1" applyFill="1" applyAlignment="1">
      <alignment horizontal="center"/>
    </xf>
    <xf numFmtId="44" fontId="3" fillId="0" borderId="0" xfId="2" applyFont="1" applyFill="1"/>
    <xf numFmtId="166" fontId="3" fillId="3" borderId="0" xfId="1" applyNumberFormat="1" applyFont="1" applyFill="1"/>
    <xf numFmtId="44" fontId="3" fillId="3" borderId="0" xfId="2" applyFont="1" applyFill="1"/>
    <xf numFmtId="44" fontId="3" fillId="3" borderId="0" xfId="2" applyFont="1" applyFill="1" applyBorder="1"/>
    <xf numFmtId="0" fontId="3" fillId="11" borderId="3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43" fontId="3" fillId="10" borderId="14" xfId="1" applyFont="1" applyFill="1" applyBorder="1" applyAlignment="1">
      <alignment horizontal="center"/>
    </xf>
    <xf numFmtId="166" fontId="3" fillId="3" borderId="0" xfId="1" applyNumberFormat="1" applyFont="1" applyFill="1" applyBorder="1"/>
    <xf numFmtId="0" fontId="15" fillId="0" borderId="0" xfId="0" applyFont="1" applyAlignment="1">
      <alignment horizontal="center"/>
    </xf>
    <xf numFmtId="44" fontId="4" fillId="3" borderId="0" xfId="2" applyFont="1" applyFill="1"/>
    <xf numFmtId="164" fontId="3" fillId="3" borderId="23" xfId="1" applyNumberFormat="1" applyFont="1" applyFill="1" applyBorder="1"/>
    <xf numFmtId="0" fontId="3" fillId="3" borderId="0" xfId="0" applyFont="1" applyFill="1"/>
    <xf numFmtId="44" fontId="3" fillId="3" borderId="23" xfId="2" applyFont="1" applyFill="1" applyBorder="1"/>
    <xf numFmtId="44" fontId="3" fillId="0" borderId="0" xfId="0" applyNumberFormat="1" applyFont="1" applyAlignment="1">
      <alignment horizontal="center"/>
    </xf>
    <xf numFmtId="43" fontId="3" fillId="3" borderId="23" xfId="1" applyFont="1" applyFill="1" applyBorder="1"/>
    <xf numFmtId="0" fontId="3" fillId="3" borderId="0" xfId="0" applyFont="1" applyFill="1" applyAlignment="1">
      <alignment horizontal="center"/>
    </xf>
    <xf numFmtId="43" fontId="3" fillId="0" borderId="0" xfId="1" applyFont="1" applyBorder="1"/>
    <xf numFmtId="44" fontId="3" fillId="0" borderId="0" xfId="2" applyFont="1" applyBorder="1"/>
    <xf numFmtId="0" fontId="0" fillId="2" borderId="7" xfId="0" applyFill="1" applyBorder="1" applyAlignment="1">
      <alignment horizontal="center" wrapText="1"/>
    </xf>
    <xf numFmtId="166" fontId="16" fillId="4" borderId="0" xfId="1" applyNumberFormat="1" applyFont="1" applyFill="1" applyBorder="1"/>
    <xf numFmtId="44" fontId="3" fillId="4" borderId="0" xfId="2" applyFont="1" applyFill="1"/>
    <xf numFmtId="44" fontId="3" fillId="4" borderId="0" xfId="2" applyFont="1" applyFill="1" applyBorder="1"/>
    <xf numFmtId="166" fontId="3" fillId="4" borderId="0" xfId="1" applyNumberFormat="1" applyFont="1" applyFill="1" applyBorder="1"/>
    <xf numFmtId="43" fontId="3" fillId="4" borderId="0" xfId="1" applyFont="1" applyFill="1" applyBorder="1"/>
    <xf numFmtId="44" fontId="4" fillId="4" borderId="0" xfId="2" applyFont="1" applyFill="1"/>
    <xf numFmtId="166" fontId="3" fillId="4" borderId="23" xfId="2" applyNumberFormat="1" applyFont="1" applyFill="1" applyBorder="1"/>
    <xf numFmtId="44" fontId="3" fillId="4" borderId="23" xfId="2" applyFont="1" applyFill="1" applyBorder="1"/>
    <xf numFmtId="166" fontId="3" fillId="4" borderId="23" xfId="0" applyNumberFormat="1" applyFont="1" applyFill="1" applyBorder="1"/>
    <xf numFmtId="0" fontId="3" fillId="4" borderId="0" xfId="0" applyFont="1" applyFill="1"/>
    <xf numFmtId="0" fontId="3" fillId="4" borderId="0" xfId="0" applyFont="1" applyFill="1" applyAlignment="1">
      <alignment horizontal="center"/>
    </xf>
    <xf numFmtId="44" fontId="4" fillId="0" borderId="0" xfId="2" applyFont="1"/>
    <xf numFmtId="43" fontId="3" fillId="5" borderId="0" xfId="1" applyFont="1" applyFill="1" applyBorder="1"/>
    <xf numFmtId="44" fontId="4" fillId="5" borderId="0" xfId="2" applyFont="1" applyFill="1"/>
    <xf numFmtId="44" fontId="3" fillId="5" borderId="0" xfId="2" applyFont="1" applyFill="1" applyBorder="1"/>
    <xf numFmtId="44" fontId="3" fillId="5" borderId="0" xfId="2" applyFont="1" applyFill="1"/>
    <xf numFmtId="43" fontId="3" fillId="12" borderId="0" xfId="1" applyFont="1" applyFill="1" applyBorder="1"/>
    <xf numFmtId="44" fontId="6" fillId="5" borderId="0" xfId="2" applyFont="1" applyFill="1" applyBorder="1"/>
    <xf numFmtId="43" fontId="6" fillId="5" borderId="0" xfId="1" applyFont="1" applyFill="1" applyBorder="1"/>
    <xf numFmtId="43" fontId="3" fillId="5" borderId="23" xfId="2" applyNumberFormat="1" applyFont="1" applyFill="1" applyBorder="1"/>
    <xf numFmtId="44" fontId="3" fillId="5" borderId="23" xfId="2" applyFont="1" applyFill="1" applyBorder="1"/>
    <xf numFmtId="166" fontId="3" fillId="5" borderId="23" xfId="0" applyNumberFormat="1" applyFont="1" applyFill="1" applyBorder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43" fontId="3" fillId="6" borderId="0" xfId="1" applyFont="1" applyFill="1" applyBorder="1"/>
    <xf numFmtId="44" fontId="4" fillId="6" borderId="0" xfId="2" applyFont="1" applyFill="1" applyBorder="1"/>
    <xf numFmtId="44" fontId="3" fillId="6" borderId="0" xfId="2" applyFont="1" applyFill="1" applyBorder="1"/>
    <xf numFmtId="43" fontId="3" fillId="13" borderId="0" xfId="1" applyFont="1" applyFill="1" applyBorder="1"/>
    <xf numFmtId="44" fontId="4" fillId="13" borderId="0" xfId="2" applyFont="1" applyFill="1" applyBorder="1"/>
    <xf numFmtId="44" fontId="3" fillId="13" borderId="0" xfId="2" applyFont="1" applyFill="1" applyBorder="1"/>
    <xf numFmtId="43" fontId="3" fillId="6" borderId="23" xfId="1" applyFont="1" applyFill="1" applyBorder="1"/>
    <xf numFmtId="44" fontId="3" fillId="6" borderId="23" xfId="2" applyFont="1" applyFill="1" applyBorder="1"/>
    <xf numFmtId="43" fontId="3" fillId="13" borderId="23" xfId="1" applyFont="1" applyFill="1" applyBorder="1"/>
    <xf numFmtId="44" fontId="3" fillId="13" borderId="23" xfId="2" applyFont="1" applyFill="1" applyBorder="1"/>
    <xf numFmtId="166" fontId="3" fillId="13" borderId="23" xfId="0" applyNumberFormat="1" applyFont="1" applyFill="1" applyBorder="1"/>
    <xf numFmtId="0" fontId="3" fillId="13" borderId="0" xfId="0" applyFont="1" applyFill="1"/>
    <xf numFmtId="43" fontId="6" fillId="0" borderId="0" xfId="1" applyFont="1" applyBorder="1"/>
    <xf numFmtId="44" fontId="6" fillId="0" borderId="0" xfId="2" applyFont="1" applyBorder="1"/>
    <xf numFmtId="0" fontId="7" fillId="7" borderId="0" xfId="0" applyFont="1" applyFill="1"/>
    <xf numFmtId="44" fontId="3" fillId="7" borderId="21" xfId="2" applyFont="1" applyFill="1" applyBorder="1"/>
    <xf numFmtId="44" fontId="3" fillId="0" borderId="21" xfId="2" applyFont="1" applyBorder="1"/>
    <xf numFmtId="0" fontId="6" fillId="0" borderId="0" xfId="0" applyFont="1" applyAlignment="1">
      <alignment horizontal="center"/>
    </xf>
    <xf numFmtId="44" fontId="3" fillId="0" borderId="0" xfId="2" applyFont="1" applyBorder="1" applyAlignment="1">
      <alignment horizontal="right"/>
    </xf>
    <xf numFmtId="44" fontId="16" fillId="0" borderId="27" xfId="2" applyFont="1" applyBorder="1" applyAlignment="1">
      <alignment horizontal="right"/>
    </xf>
    <xf numFmtId="43" fontId="16" fillId="0" borderId="0" xfId="0" applyNumberFormat="1" applyFont="1"/>
    <xf numFmtId="7" fontId="16" fillId="0" borderId="0" xfId="0" applyNumberFormat="1" applyFont="1"/>
    <xf numFmtId="0" fontId="4" fillId="0" borderId="0" xfId="0" applyFont="1"/>
    <xf numFmtId="44" fontId="4" fillId="0" borderId="21" xfId="2" applyFont="1" applyBorder="1"/>
    <xf numFmtId="44" fontId="4" fillId="0" borderId="0" xfId="2" applyFont="1" applyBorder="1"/>
    <xf numFmtId="44" fontId="3" fillId="10" borderId="21" xfId="2" applyFont="1" applyFill="1" applyBorder="1"/>
    <xf numFmtId="44" fontId="4" fillId="11" borderId="21" xfId="0" applyNumberFormat="1" applyFont="1" applyFill="1" applyBorder="1"/>
    <xf numFmtId="44" fontId="4" fillId="0" borderId="0" xfId="0" applyNumberFormat="1" applyFont="1"/>
    <xf numFmtId="0" fontId="3" fillId="0" borderId="1" xfId="0" applyFont="1" applyBorder="1"/>
    <xf numFmtId="0" fontId="3" fillId="0" borderId="2" xfId="0" applyFont="1" applyBorder="1"/>
    <xf numFmtId="0" fontId="3" fillId="14" borderId="14" xfId="0" applyFont="1" applyFill="1" applyBorder="1" applyAlignment="1">
      <alignment horizontal="center"/>
    </xf>
    <xf numFmtId="43" fontId="3" fillId="14" borderId="0" xfId="1" applyFont="1" applyFill="1"/>
    <xf numFmtId="43" fontId="3" fillId="0" borderId="0" xfId="1" applyFont="1"/>
    <xf numFmtId="44" fontId="0" fillId="0" borderId="0" xfId="0" applyNumberFormat="1"/>
    <xf numFmtId="44" fontId="3" fillId="0" borderId="10" xfId="0" applyNumberFormat="1" applyFont="1" applyBorder="1"/>
    <xf numFmtId="43" fontId="0" fillId="0" borderId="0" xfId="1" applyFont="1"/>
    <xf numFmtId="43" fontId="0" fillId="0" borderId="0" xfId="0" applyNumberFormat="1"/>
    <xf numFmtId="44" fontId="3" fillId="0" borderId="21" xfId="0" applyNumberFormat="1" applyFont="1" applyBorder="1"/>
    <xf numFmtId="168" fontId="3" fillId="0" borderId="0" xfId="3" applyNumberFormat="1" applyFont="1"/>
    <xf numFmtId="44" fontId="3" fillId="0" borderId="23" xfId="0" applyNumberFormat="1" applyFont="1" applyBorder="1"/>
    <xf numFmtId="0" fontId="3" fillId="0" borderId="0" xfId="0" applyFont="1" applyAlignment="1">
      <alignment horizontal="right"/>
    </xf>
    <xf numFmtId="165" fontId="3" fillId="0" borderId="0" xfId="1" applyNumberFormat="1" applyFont="1"/>
    <xf numFmtId="165" fontId="3" fillId="0" borderId="22" xfId="1" applyNumberFormat="1" applyFont="1" applyBorder="1"/>
    <xf numFmtId="0" fontId="0" fillId="10" borderId="1" xfId="0" applyFill="1" applyBorder="1"/>
    <xf numFmtId="0" fontId="0" fillId="10" borderId="2" xfId="0" applyFill="1" applyBorder="1"/>
    <xf numFmtId="0" fontId="0" fillId="10" borderId="0" xfId="0" applyFill="1"/>
    <xf numFmtId="0" fontId="3" fillId="10" borderId="0" xfId="0" applyFont="1" applyFill="1"/>
    <xf numFmtId="0" fontId="17" fillId="2" borderId="6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7" fillId="2" borderId="1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wrapText="1"/>
    </xf>
    <xf numFmtId="0" fontId="3" fillId="0" borderId="0" xfId="0" applyFont="1" applyAlignment="1">
      <alignment horizontal="right"/>
    </xf>
    <xf numFmtId="0" fontId="0" fillId="2" borderId="8" xfId="0" applyFill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0" fillId="2" borderId="8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wrapText="1"/>
    </xf>
    <xf numFmtId="0" fontId="3" fillId="0" borderId="0" xfId="0" applyFont="1" applyAlignment="1">
      <alignment horizontal="right"/>
    </xf>
    <xf numFmtId="0" fontId="0" fillId="2" borderId="12" xfId="0" applyFill="1" applyBorder="1" applyAlignment="1">
      <alignment horizontal="center"/>
    </xf>
    <xf numFmtId="0" fontId="0" fillId="0" borderId="0" xfId="0" applyAlignment="1">
      <alignment horizontal="right"/>
    </xf>
    <xf numFmtId="44" fontId="0" fillId="0" borderId="0" xfId="2" applyFont="1"/>
    <xf numFmtId="0" fontId="0" fillId="0" borderId="0" xfId="0" applyBorder="1"/>
    <xf numFmtId="0" fontId="0" fillId="3" borderId="31" xfId="0" applyFill="1" applyBorder="1"/>
    <xf numFmtId="0" fontId="0" fillId="3" borderId="32" xfId="0" applyFill="1" applyBorder="1"/>
    <xf numFmtId="0" fontId="0" fillId="3" borderId="32" xfId="0" applyFill="1" applyBorder="1" applyAlignment="1">
      <alignment horizontal="right"/>
    </xf>
    <xf numFmtId="43" fontId="0" fillId="3" borderId="33" xfId="1" applyFont="1" applyFill="1" applyBorder="1"/>
    <xf numFmtId="0" fontId="0" fillId="2" borderId="34" xfId="0" applyFill="1" applyBorder="1" applyAlignment="1">
      <alignment horizontal="right"/>
    </xf>
    <xf numFmtId="0" fontId="0" fillId="2" borderId="25" xfId="0" applyFill="1" applyBorder="1"/>
    <xf numFmtId="0" fontId="0" fillId="2" borderId="25" xfId="0" applyFill="1" applyBorder="1" applyAlignment="1">
      <alignment horizontal="right"/>
    </xf>
    <xf numFmtId="43" fontId="0" fillId="2" borderId="35" xfId="1" applyFont="1" applyFill="1" applyBorder="1"/>
    <xf numFmtId="167" fontId="3" fillId="3" borderId="0" xfId="2" applyNumberFormat="1" applyFont="1" applyFill="1"/>
    <xf numFmtId="167" fontId="4" fillId="3" borderId="0" xfId="2" applyNumberFormat="1" applyFont="1" applyFill="1"/>
    <xf numFmtId="165" fontId="3" fillId="0" borderId="0" xfId="0" applyNumberFormat="1" applyFont="1"/>
    <xf numFmtId="0" fontId="0" fillId="3" borderId="0" xfId="0" applyFill="1" applyBorder="1"/>
    <xf numFmtId="0" fontId="0" fillId="3" borderId="0" xfId="0" applyFill="1" applyBorder="1" applyAlignment="1">
      <alignment horizontal="right"/>
    </xf>
    <xf numFmtId="0" fontId="3" fillId="0" borderId="0" xfId="0" applyFont="1" applyBorder="1"/>
    <xf numFmtId="0" fontId="0" fillId="3" borderId="6" xfId="0" applyFill="1" applyBorder="1"/>
    <xf numFmtId="0" fontId="0" fillId="3" borderId="7" xfId="0" applyFill="1" applyBorder="1"/>
    <xf numFmtId="0" fontId="0" fillId="3" borderId="7" xfId="0" applyFill="1" applyBorder="1" applyAlignment="1">
      <alignment horizontal="right"/>
    </xf>
    <xf numFmtId="44" fontId="0" fillId="3" borderId="8" xfId="2" applyFont="1" applyFill="1" applyBorder="1"/>
    <xf numFmtId="0" fontId="0" fillId="3" borderId="12" xfId="0" applyFill="1" applyBorder="1"/>
    <xf numFmtId="44" fontId="0" fillId="3" borderId="13" xfId="2" applyFont="1" applyFill="1" applyBorder="1"/>
    <xf numFmtId="0" fontId="0" fillId="3" borderId="9" xfId="0" applyFill="1" applyBorder="1"/>
    <xf numFmtId="0" fontId="0" fillId="3" borderId="10" xfId="0" applyFill="1" applyBorder="1"/>
    <xf numFmtId="0" fontId="0" fillId="3" borderId="10" xfId="0" applyFill="1" applyBorder="1" applyAlignment="1">
      <alignment horizontal="right"/>
    </xf>
    <xf numFmtId="44" fontId="0" fillId="3" borderId="11" xfId="2" applyFont="1" applyFill="1" applyBorder="1"/>
    <xf numFmtId="0" fontId="0" fillId="2" borderId="7" xfId="0" applyFill="1" applyBorder="1" applyAlignment="1">
      <alignment horizontal="right"/>
    </xf>
    <xf numFmtId="44" fontId="0" fillId="2" borderId="8" xfId="2" applyFont="1" applyFill="1" applyBorder="1"/>
    <xf numFmtId="0" fontId="0" fillId="2" borderId="12" xfId="0" applyFill="1" applyBorder="1"/>
    <xf numFmtId="0" fontId="0" fillId="2" borderId="0" xfId="0" applyFill="1" applyBorder="1"/>
    <xf numFmtId="0" fontId="0" fillId="2" borderId="0" xfId="0" applyFill="1" applyBorder="1" applyAlignment="1">
      <alignment horizontal="right"/>
    </xf>
    <xf numFmtId="44" fontId="0" fillId="2" borderId="13" xfId="2" applyFont="1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0" xfId="0" applyFill="1" applyBorder="1" applyAlignment="1">
      <alignment horizontal="right"/>
    </xf>
    <xf numFmtId="44" fontId="0" fillId="2" borderId="11" xfId="2" applyFont="1" applyFill="1" applyBorder="1"/>
    <xf numFmtId="0" fontId="0" fillId="9" borderId="6" xfId="0" applyFill="1" applyBorder="1"/>
    <xf numFmtId="0" fontId="0" fillId="9" borderId="7" xfId="0" applyFill="1" applyBorder="1"/>
    <xf numFmtId="0" fontId="0" fillId="9" borderId="7" xfId="0" applyFill="1" applyBorder="1" applyAlignment="1">
      <alignment horizontal="right"/>
    </xf>
    <xf numFmtId="44" fontId="0" fillId="9" borderId="8" xfId="2" applyFont="1" applyFill="1" applyBorder="1"/>
    <xf numFmtId="0" fontId="0" fillId="9" borderId="12" xfId="0" applyFill="1" applyBorder="1"/>
    <xf numFmtId="0" fontId="0" fillId="9" borderId="0" xfId="0" applyFill="1" applyBorder="1"/>
    <xf numFmtId="0" fontId="0" fillId="9" borderId="0" xfId="0" applyFill="1" applyBorder="1" applyAlignment="1">
      <alignment horizontal="right"/>
    </xf>
    <xf numFmtId="44" fontId="0" fillId="9" borderId="13" xfId="2" applyFont="1" applyFill="1" applyBorder="1"/>
    <xf numFmtId="0" fontId="0" fillId="9" borderId="9" xfId="0" applyFill="1" applyBorder="1"/>
    <xf numFmtId="0" fontId="0" fillId="9" borderId="10" xfId="0" applyFill="1" applyBorder="1" applyAlignment="1">
      <alignment horizontal="right"/>
    </xf>
    <xf numFmtId="44" fontId="0" fillId="9" borderId="11" xfId="2" applyFont="1" applyFill="1" applyBorder="1"/>
    <xf numFmtId="166" fontId="0" fillId="3" borderId="12" xfId="0" applyNumberFormat="1" applyFill="1" applyBorder="1"/>
    <xf numFmtId="166" fontId="0" fillId="2" borderId="12" xfId="0" applyNumberFormat="1" applyFill="1" applyBorder="1"/>
    <xf numFmtId="166" fontId="0" fillId="9" borderId="12" xfId="0" applyNumberFormat="1" applyFill="1" applyBorder="1"/>
    <xf numFmtId="0" fontId="0" fillId="9" borderId="12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3" fillId="0" borderId="0" xfId="0" applyFont="1" applyAlignment="1">
      <alignment horizontal="right"/>
    </xf>
    <xf numFmtId="0" fontId="0" fillId="2" borderId="8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wrapText="1"/>
    </xf>
    <xf numFmtId="0" fontId="0" fillId="2" borderId="12" xfId="0" applyFill="1" applyBorder="1" applyAlignment="1">
      <alignment horizontal="center"/>
    </xf>
    <xf numFmtId="0" fontId="0" fillId="2" borderId="8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wrapText="1"/>
    </xf>
    <xf numFmtId="0" fontId="3" fillId="0" borderId="0" xfId="0" applyFont="1" applyAlignment="1">
      <alignment horizontal="right"/>
    </xf>
    <xf numFmtId="0" fontId="0" fillId="2" borderId="12" xfId="0" applyFill="1" applyBorder="1" applyAlignment="1">
      <alignment horizontal="center"/>
    </xf>
    <xf numFmtId="0" fontId="2" fillId="9" borderId="3" xfId="0" applyFont="1" applyFill="1" applyBorder="1"/>
    <xf numFmtId="0" fontId="2" fillId="9" borderId="4" xfId="0" applyFont="1" applyFill="1" applyBorder="1"/>
    <xf numFmtId="0" fontId="2" fillId="9" borderId="5" xfId="0" applyFont="1" applyFill="1" applyBorder="1"/>
    <xf numFmtId="0" fontId="0" fillId="7" borderId="6" xfId="0" applyFill="1" applyBorder="1"/>
    <xf numFmtId="0" fontId="0" fillId="7" borderId="7" xfId="0" applyFill="1" applyBorder="1" applyAlignment="1">
      <alignment horizontal="right"/>
    </xf>
    <xf numFmtId="44" fontId="0" fillId="7" borderId="8" xfId="2" applyFont="1" applyFill="1" applyBorder="1"/>
    <xf numFmtId="44" fontId="16" fillId="0" borderId="0" xfId="2" applyFont="1" applyBorder="1" applyAlignment="1">
      <alignment horizontal="right"/>
    </xf>
    <xf numFmtId="165" fontId="1" fillId="2" borderId="13" xfId="1" applyNumberFormat="1" applyFont="1" applyFill="1" applyBorder="1" applyAlignment="1"/>
    <xf numFmtId="165" fontId="1" fillId="3" borderId="13" xfId="1" applyNumberFormat="1" applyFont="1" applyFill="1" applyBorder="1" applyAlignment="1"/>
    <xf numFmtId="0" fontId="0" fillId="4" borderId="0" xfId="0" applyFill="1" applyBorder="1"/>
    <xf numFmtId="165" fontId="1" fillId="4" borderId="13" xfId="1" applyNumberFormat="1" applyFont="1" applyFill="1" applyBorder="1" applyAlignment="1"/>
    <xf numFmtId="0" fontId="0" fillId="5" borderId="0" xfId="0" applyFill="1" applyBorder="1"/>
    <xf numFmtId="165" fontId="1" fillId="5" borderId="13" xfId="1" applyNumberFormat="1" applyFont="1" applyFill="1" applyBorder="1" applyAlignment="1"/>
    <xf numFmtId="0" fontId="0" fillId="6" borderId="9" xfId="0" applyFill="1" applyBorder="1" applyAlignment="1">
      <alignment horizontal="right"/>
    </xf>
    <xf numFmtId="0" fontId="0" fillId="6" borderId="10" xfId="0" applyFill="1" applyBorder="1" applyAlignment="1">
      <alignment horizontal="center"/>
    </xf>
    <xf numFmtId="165" fontId="1" fillId="6" borderId="11" xfId="1" applyNumberFormat="1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0" fontId="0" fillId="2" borderId="7" xfId="0" applyFill="1" applyBorder="1" applyAlignment="1">
      <alignment horizont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/>
    </xf>
    <xf numFmtId="0" fontId="3" fillId="0" borderId="0" xfId="0" applyFont="1" applyAlignment="1">
      <alignment horizontal="right"/>
    </xf>
    <xf numFmtId="0" fontId="0" fillId="2" borderId="7" xfId="0" applyFill="1" applyBorder="1" applyAlignment="1">
      <alignment horizont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/>
    </xf>
    <xf numFmtId="0" fontId="0" fillId="2" borderId="8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wrapText="1"/>
    </xf>
    <xf numFmtId="0" fontId="3" fillId="0" borderId="0" xfId="0" applyFont="1" applyAlignment="1">
      <alignment horizontal="right"/>
    </xf>
    <xf numFmtId="0" fontId="0" fillId="2" borderId="12" xfId="0" applyFill="1" applyBorder="1" applyAlignment="1">
      <alignment horizontal="center"/>
    </xf>
    <xf numFmtId="0" fontId="3" fillId="0" borderId="0" xfId="0" applyFont="1" applyFill="1" applyAlignment="1">
      <alignment horizontal="right"/>
    </xf>
    <xf numFmtId="0" fontId="0" fillId="2" borderId="8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wrapText="1"/>
    </xf>
    <xf numFmtId="0" fontId="3" fillId="0" borderId="0" xfId="0" applyFont="1" applyAlignment="1">
      <alignment horizontal="right"/>
    </xf>
    <xf numFmtId="166" fontId="3" fillId="5" borderId="0" xfId="1" applyNumberFormat="1" applyFont="1" applyFill="1" applyBorder="1"/>
    <xf numFmtId="0" fontId="3" fillId="0" borderId="0" xfId="0" applyFont="1" applyAlignment="1">
      <alignment horizontal="right"/>
    </xf>
    <xf numFmtId="169" fontId="0" fillId="0" borderId="0" xfId="0" applyNumberFormat="1"/>
    <xf numFmtId="164" fontId="0" fillId="0" borderId="0" xfId="0" applyNumberFormat="1"/>
    <xf numFmtId="43" fontId="3" fillId="16" borderId="0" xfId="1" applyFont="1" applyFill="1" applyBorder="1"/>
    <xf numFmtId="170" fontId="3" fillId="5" borderId="23" xfId="2" applyNumberFormat="1" applyFont="1" applyFill="1" applyBorder="1"/>
    <xf numFmtId="171" fontId="0" fillId="0" borderId="0" xfId="0" applyNumberFormat="1"/>
    <xf numFmtId="164" fontId="3" fillId="5" borderId="0" xfId="1" applyNumberFormat="1" applyFont="1" applyFill="1" applyBorder="1"/>
    <xf numFmtId="0" fontId="13" fillId="0" borderId="0" xfId="0" applyFont="1" applyAlignment="1">
      <alignment horizontal="center"/>
    </xf>
    <xf numFmtId="43" fontId="13" fillId="2" borderId="0" xfId="0" applyNumberFormat="1" applyFont="1" applyFill="1"/>
    <xf numFmtId="164" fontId="13" fillId="3" borderId="0" xfId="0" applyNumberFormat="1" applyFont="1" applyFill="1"/>
    <xf numFmtId="43" fontId="13" fillId="4" borderId="0" xfId="0" applyNumberFormat="1" applyFont="1" applyFill="1"/>
    <xf numFmtId="43" fontId="13" fillId="5" borderId="0" xfId="0" applyNumberFormat="1" applyFont="1" applyFill="1"/>
    <xf numFmtId="43" fontId="13" fillId="6" borderId="0" xfId="0" applyNumberFormat="1" applyFont="1" applyFill="1"/>
    <xf numFmtId="0" fontId="0" fillId="2" borderId="8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wrapText="1"/>
    </xf>
    <xf numFmtId="0" fontId="3" fillId="0" borderId="0" xfId="0" applyFont="1" applyAlignment="1">
      <alignment horizontal="right"/>
    </xf>
    <xf numFmtId="164" fontId="3" fillId="6" borderId="0" xfId="0" applyNumberFormat="1" applyFont="1" applyFill="1"/>
    <xf numFmtId="0" fontId="4" fillId="8" borderId="3" xfId="0" applyFont="1" applyFill="1" applyBorder="1" applyAlignment="1">
      <alignment horizontal="center"/>
    </xf>
    <xf numFmtId="0" fontId="4" fillId="8" borderId="5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2" fillId="7" borderId="6" xfId="0" applyFont="1" applyFill="1" applyBorder="1" applyAlignment="1">
      <alignment horizontal="center" vertical="center" wrapText="1"/>
    </xf>
    <xf numFmtId="0" fontId="2" fillId="7" borderId="7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7" borderId="9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/>
    </xf>
    <xf numFmtId="0" fontId="3" fillId="6" borderId="4" xfId="0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/>
    </xf>
    <xf numFmtId="0" fontId="0" fillId="16" borderId="37" xfId="0" applyFill="1" applyBorder="1" applyAlignment="1">
      <alignment horizontal="center"/>
    </xf>
    <xf numFmtId="0" fontId="0" fillId="16" borderId="22" xfId="0" applyFill="1" applyBorder="1" applyAlignment="1">
      <alignment horizontal="center"/>
    </xf>
    <xf numFmtId="0" fontId="0" fillId="16" borderId="38" xfId="0" applyFill="1" applyBorder="1" applyAlignment="1">
      <alignment horizontal="center"/>
    </xf>
    <xf numFmtId="0" fontId="0" fillId="2" borderId="6" xfId="0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0" fontId="0" fillId="2" borderId="12" xfId="0" applyFill="1" applyBorder="1" applyAlignment="1">
      <alignment horizontal="center" wrapText="1"/>
    </xf>
    <xf numFmtId="0" fontId="0" fillId="2" borderId="0" xfId="0" applyFill="1" applyAlignment="1">
      <alignment horizontal="center" wrapText="1"/>
    </xf>
    <xf numFmtId="0" fontId="0" fillId="2" borderId="13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0" fontId="0" fillId="2" borderId="10" xfId="0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0" fontId="14" fillId="12" borderId="15" xfId="0" applyFont="1" applyFill="1" applyBorder="1" applyAlignment="1">
      <alignment horizontal="center" vertical="center" wrapText="1"/>
    </xf>
    <xf numFmtId="0" fontId="14" fillId="12" borderId="17" xfId="0" applyFont="1" applyFill="1" applyBorder="1" applyAlignment="1">
      <alignment horizontal="center" vertical="center" wrapText="1"/>
    </xf>
    <xf numFmtId="0" fontId="14" fillId="12" borderId="26" xfId="0" applyFont="1" applyFill="1" applyBorder="1" applyAlignment="1">
      <alignment horizontal="center" vertical="center" wrapText="1"/>
    </xf>
    <xf numFmtId="0" fontId="14" fillId="6" borderId="15" xfId="0" applyFont="1" applyFill="1" applyBorder="1" applyAlignment="1">
      <alignment horizontal="center" vertical="center" wrapText="1"/>
    </xf>
    <xf numFmtId="0" fontId="14" fillId="6" borderId="17" xfId="0" applyFont="1" applyFill="1" applyBorder="1" applyAlignment="1">
      <alignment horizontal="center" vertical="center" wrapText="1"/>
    </xf>
    <xf numFmtId="0" fontId="14" fillId="6" borderId="26" xfId="0" applyFont="1" applyFill="1" applyBorder="1" applyAlignment="1">
      <alignment horizontal="center" vertical="center" wrapText="1"/>
    </xf>
    <xf numFmtId="0" fontId="0" fillId="3" borderId="37" xfId="0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0" fontId="0" fillId="3" borderId="38" xfId="0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0" fillId="0" borderId="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8" borderId="28" xfId="0" applyFill="1" applyBorder="1" applyAlignment="1">
      <alignment horizontal="center" vertical="center" wrapText="1"/>
    </xf>
    <xf numFmtId="0" fontId="0" fillId="8" borderId="29" xfId="0" applyFill="1" applyBorder="1" applyAlignment="1">
      <alignment horizontal="center" vertical="center" wrapText="1"/>
    </xf>
    <xf numFmtId="0" fontId="0" fillId="8" borderId="30" xfId="0" applyFill="1" applyBorder="1" applyAlignment="1">
      <alignment horizontal="center" vertical="center" wrapText="1"/>
    </xf>
    <xf numFmtId="0" fontId="0" fillId="4" borderId="37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0" fillId="4" borderId="38" xfId="0" applyFill="1" applyBorder="1" applyAlignment="1">
      <alignment horizontal="center"/>
    </xf>
    <xf numFmtId="43" fontId="1" fillId="8" borderId="4" xfId="1" applyFont="1" applyFill="1" applyBorder="1" applyAlignment="1">
      <alignment horizontal="center"/>
    </xf>
    <xf numFmtId="43" fontId="1" fillId="8" borderId="5" xfId="1" applyFont="1" applyFill="1" applyBorder="1" applyAlignment="1">
      <alignment horizontal="center"/>
    </xf>
    <xf numFmtId="0" fontId="13" fillId="9" borderId="3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3" fillId="9" borderId="5" xfId="0" applyFont="1" applyFill="1" applyBorder="1" applyAlignment="1">
      <alignment horizontal="center"/>
    </xf>
    <xf numFmtId="0" fontId="14" fillId="2" borderId="2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26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/>
    </xf>
    <xf numFmtId="0" fontId="3" fillId="9" borderId="7" xfId="0" applyFont="1" applyFill="1" applyBorder="1" applyAlignment="1">
      <alignment horizontal="center"/>
    </xf>
    <xf numFmtId="0" fontId="3" fillId="9" borderId="8" xfId="0" applyFont="1" applyFill="1" applyBorder="1" applyAlignment="1">
      <alignment horizontal="center"/>
    </xf>
    <xf numFmtId="0" fontId="3" fillId="9" borderId="12" xfId="0" applyFont="1" applyFill="1" applyBorder="1" applyAlignment="1">
      <alignment horizontal="center"/>
    </xf>
    <xf numFmtId="0" fontId="3" fillId="9" borderId="0" xfId="0" applyFont="1" applyFill="1" applyBorder="1" applyAlignment="1">
      <alignment horizontal="center"/>
    </xf>
    <xf numFmtId="0" fontId="3" fillId="9" borderId="13" xfId="0" applyFont="1" applyFill="1" applyBorder="1" applyAlignment="1">
      <alignment horizontal="center"/>
    </xf>
    <xf numFmtId="0" fontId="14" fillId="3" borderId="36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 wrapText="1"/>
    </xf>
    <xf numFmtId="0" fontId="3" fillId="9" borderId="9" xfId="0" applyFont="1" applyFill="1" applyBorder="1" applyAlignment="1">
      <alignment horizontal="center"/>
    </xf>
    <xf numFmtId="0" fontId="3" fillId="9" borderId="10" xfId="0" applyFont="1" applyFill="1" applyBorder="1" applyAlignment="1">
      <alignment horizontal="center"/>
    </xf>
    <xf numFmtId="0" fontId="3" fillId="9" borderId="11" xfId="0" applyFont="1" applyFill="1" applyBorder="1" applyAlignment="1">
      <alignment horizontal="center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4" fillId="4" borderId="17" xfId="0" applyFont="1" applyFill="1" applyBorder="1" applyAlignment="1">
      <alignment horizontal="center" vertical="center" wrapText="1"/>
    </xf>
    <xf numFmtId="0" fontId="14" fillId="4" borderId="26" xfId="0" applyFont="1" applyFill="1" applyBorder="1" applyAlignment="1">
      <alignment horizontal="center" vertical="center" wrapText="1"/>
    </xf>
    <xf numFmtId="43" fontId="1" fillId="7" borderId="4" xfId="1" applyFont="1" applyFill="1" applyBorder="1" applyAlignment="1"/>
    <xf numFmtId="43" fontId="1" fillId="7" borderId="5" xfId="1" applyFont="1" applyFill="1" applyBorder="1" applyAlignment="1"/>
    <xf numFmtId="43" fontId="8" fillId="0" borderId="0" xfId="0" applyNumberFormat="1" applyFont="1" applyAlignment="1">
      <alignment horizontal="right"/>
    </xf>
    <xf numFmtId="0" fontId="19" fillId="15" borderId="28" xfId="0" applyFont="1" applyFill="1" applyBorder="1" applyAlignment="1">
      <alignment horizontal="center" vertical="center" wrapText="1"/>
    </xf>
    <xf numFmtId="0" fontId="19" fillId="15" borderId="30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0" fillId="2" borderId="37" xfId="0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4" fillId="8" borderId="6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14" fillId="6" borderId="1" xfId="0" applyFont="1" applyFill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 vertical="center" wrapText="1"/>
    </xf>
    <xf numFmtId="0" fontId="14" fillId="3" borderId="17" xfId="0" applyFont="1" applyFill="1" applyBorder="1" applyAlignment="1">
      <alignment horizontal="center" vertical="center" wrapText="1"/>
    </xf>
    <xf numFmtId="0" fontId="14" fillId="3" borderId="26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4" fillId="9" borderId="8" xfId="0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/>
    </xf>
    <xf numFmtId="0" fontId="4" fillId="9" borderId="11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14" fillId="3" borderId="24" xfId="0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14" fillId="13" borderId="0" xfId="0" applyFont="1" applyFill="1" applyAlignment="1">
      <alignment horizontal="center" vertical="center" wrapText="1"/>
    </xf>
    <xf numFmtId="0" fontId="0" fillId="8" borderId="28" xfId="0" applyFill="1" applyBorder="1" applyAlignment="1">
      <alignment horizontal="center" wrapText="1"/>
    </xf>
    <xf numFmtId="0" fontId="0" fillId="8" borderId="29" xfId="0" applyFill="1" applyBorder="1" applyAlignment="1">
      <alignment horizontal="center" wrapText="1"/>
    </xf>
    <xf numFmtId="0" fontId="0" fillId="8" borderId="30" xfId="0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14" fillId="12" borderId="0" xfId="0" applyFont="1" applyFill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0" fontId="14" fillId="10" borderId="0" xfId="0" applyFont="1" applyFill="1" applyAlignment="1">
      <alignment horizontal="center" vertical="center" wrapText="1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3" fillId="2" borderId="6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2" borderId="9" xfId="0" applyFont="1" applyFill="1" applyBorder="1" applyAlignment="1">
      <alignment horizontal="center" wrapText="1"/>
    </xf>
    <xf numFmtId="0" fontId="3" fillId="2" borderId="10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96CF51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40.png"/><Relationship Id="rId7" Type="http://schemas.openxmlformats.org/officeDocument/2006/relationships/image" Target="../media/image27.png"/><Relationship Id="rId12" Type="http://schemas.openxmlformats.org/officeDocument/2006/relationships/image" Target="../media/image2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26.png"/><Relationship Id="rId11" Type="http://schemas.openxmlformats.org/officeDocument/2006/relationships/image" Target="../media/image19.png"/><Relationship Id="rId5" Type="http://schemas.openxmlformats.org/officeDocument/2006/relationships/image" Target="../media/image25.png"/><Relationship Id="rId10" Type="http://schemas.openxmlformats.org/officeDocument/2006/relationships/image" Target="../media/image18.png"/><Relationship Id="rId4" Type="http://schemas.openxmlformats.org/officeDocument/2006/relationships/image" Target="../media/image9.png"/><Relationship Id="rId9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9.png"/><Relationship Id="rId7" Type="http://schemas.openxmlformats.org/officeDocument/2006/relationships/image" Target="../media/image16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27.png"/><Relationship Id="rId11" Type="http://schemas.openxmlformats.org/officeDocument/2006/relationships/image" Target="../media/image42.png"/><Relationship Id="rId5" Type="http://schemas.openxmlformats.org/officeDocument/2006/relationships/image" Target="../media/image26.png"/><Relationship Id="rId10" Type="http://schemas.openxmlformats.org/officeDocument/2006/relationships/image" Target="../media/image18.png"/><Relationship Id="rId4" Type="http://schemas.openxmlformats.org/officeDocument/2006/relationships/image" Target="../media/image25.png"/><Relationship Id="rId9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8.png"/><Relationship Id="rId7" Type="http://schemas.openxmlformats.org/officeDocument/2006/relationships/image" Target="cid:image003.png@01D6DE90.48ED0C80" TargetMode="External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10" Type="http://schemas.openxmlformats.org/officeDocument/2006/relationships/image" Target="../media/image24.png"/><Relationship Id="rId4" Type="http://schemas.openxmlformats.org/officeDocument/2006/relationships/image" Target="../media/image19.png"/><Relationship Id="rId9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8.png"/><Relationship Id="rId7" Type="http://schemas.openxmlformats.org/officeDocument/2006/relationships/image" Target="cid:image003.png@01D6DE90.48ED0C80" TargetMode="External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10" Type="http://schemas.openxmlformats.org/officeDocument/2006/relationships/image" Target="../media/image24.png"/><Relationship Id="rId4" Type="http://schemas.openxmlformats.org/officeDocument/2006/relationships/image" Target="../media/image19.png"/><Relationship Id="rId9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32.png"/><Relationship Id="rId18" Type="http://schemas.openxmlformats.org/officeDocument/2006/relationships/image" Target="../media/image37.png"/><Relationship Id="rId3" Type="http://schemas.openxmlformats.org/officeDocument/2006/relationships/image" Target="../media/image27.png"/><Relationship Id="rId7" Type="http://schemas.openxmlformats.org/officeDocument/2006/relationships/image" Target="../media/image19.png"/><Relationship Id="rId12" Type="http://schemas.openxmlformats.org/officeDocument/2006/relationships/image" Target="../media/image31.png"/><Relationship Id="rId17" Type="http://schemas.openxmlformats.org/officeDocument/2006/relationships/image" Target="../media/image36.png"/><Relationship Id="rId2" Type="http://schemas.openxmlformats.org/officeDocument/2006/relationships/image" Target="../media/image26.png"/><Relationship Id="rId16" Type="http://schemas.openxmlformats.org/officeDocument/2006/relationships/image" Target="../media/image35.png"/><Relationship Id="rId1" Type="http://schemas.openxmlformats.org/officeDocument/2006/relationships/image" Target="../media/image25.png"/><Relationship Id="rId6" Type="http://schemas.openxmlformats.org/officeDocument/2006/relationships/image" Target="../media/image18.png"/><Relationship Id="rId11" Type="http://schemas.openxmlformats.org/officeDocument/2006/relationships/image" Target="../media/image30.png"/><Relationship Id="rId5" Type="http://schemas.openxmlformats.org/officeDocument/2006/relationships/image" Target="../media/image17.png"/><Relationship Id="rId15" Type="http://schemas.openxmlformats.org/officeDocument/2006/relationships/image" Target="../media/image34.png"/><Relationship Id="rId10" Type="http://schemas.openxmlformats.org/officeDocument/2006/relationships/image" Target="../media/image29.png"/><Relationship Id="rId4" Type="http://schemas.openxmlformats.org/officeDocument/2006/relationships/image" Target="../media/image16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19.png"/><Relationship Id="rId12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18.png"/><Relationship Id="rId11" Type="http://schemas.openxmlformats.org/officeDocument/2006/relationships/image" Target="../media/image30.png"/><Relationship Id="rId5" Type="http://schemas.openxmlformats.org/officeDocument/2006/relationships/image" Target="../media/image17.png"/><Relationship Id="rId10" Type="http://schemas.openxmlformats.org/officeDocument/2006/relationships/image" Target="../media/image29.png"/><Relationship Id="rId4" Type="http://schemas.openxmlformats.org/officeDocument/2006/relationships/image" Target="../media/image16.png"/><Relationship Id="rId9" Type="http://schemas.openxmlformats.org/officeDocument/2006/relationships/image" Target="../media/image2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19.png"/><Relationship Id="rId12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18.png"/><Relationship Id="rId11" Type="http://schemas.openxmlformats.org/officeDocument/2006/relationships/image" Target="../media/image30.png"/><Relationship Id="rId5" Type="http://schemas.openxmlformats.org/officeDocument/2006/relationships/image" Target="../media/image17.png"/><Relationship Id="rId10" Type="http://schemas.openxmlformats.org/officeDocument/2006/relationships/image" Target="../media/image29.png"/><Relationship Id="rId4" Type="http://schemas.openxmlformats.org/officeDocument/2006/relationships/image" Target="../media/image16.png"/><Relationship Id="rId9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19.png"/><Relationship Id="rId12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18.png"/><Relationship Id="rId11" Type="http://schemas.openxmlformats.org/officeDocument/2006/relationships/image" Target="../media/image30.png"/><Relationship Id="rId5" Type="http://schemas.openxmlformats.org/officeDocument/2006/relationships/image" Target="../media/image17.png"/><Relationship Id="rId10" Type="http://schemas.openxmlformats.org/officeDocument/2006/relationships/image" Target="../media/image29.png"/><Relationship Id="rId4" Type="http://schemas.openxmlformats.org/officeDocument/2006/relationships/image" Target="../media/image16.png"/><Relationship Id="rId9" Type="http://schemas.openxmlformats.org/officeDocument/2006/relationships/image" Target="../media/image2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19.png"/><Relationship Id="rId12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18.png"/><Relationship Id="rId11" Type="http://schemas.openxmlformats.org/officeDocument/2006/relationships/image" Target="../media/image30.png"/><Relationship Id="rId5" Type="http://schemas.openxmlformats.org/officeDocument/2006/relationships/image" Target="../media/image17.png"/><Relationship Id="rId10" Type="http://schemas.openxmlformats.org/officeDocument/2006/relationships/image" Target="../media/image29.png"/><Relationship Id="rId4" Type="http://schemas.openxmlformats.org/officeDocument/2006/relationships/image" Target="../media/image16.png"/><Relationship Id="rId9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74083</xdr:colOff>
      <xdr:row>103</xdr:row>
      <xdr:rowOff>141709</xdr:rowOff>
    </xdr:from>
    <xdr:to>
      <xdr:col>11</xdr:col>
      <xdr:colOff>1693335</xdr:colOff>
      <xdr:row>111</xdr:row>
      <xdr:rowOff>169332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FBD3AD-9C74-4E8B-BE59-27E65A655C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88" t="13582" r="6760" b="59151"/>
        <a:stretch/>
      </xdr:blipFill>
      <xdr:spPr>
        <a:xfrm>
          <a:off x="5617633" y="20363284"/>
          <a:ext cx="9296401" cy="1551623"/>
        </a:xfrm>
        <a:prstGeom prst="rect">
          <a:avLst/>
        </a:prstGeom>
      </xdr:spPr>
    </xdr:pic>
    <xdr:clientData/>
  </xdr:twoCellAnchor>
  <xdr:twoCellAnchor editAs="oneCell">
    <xdr:from>
      <xdr:col>15</xdr:col>
      <xdr:colOff>10583</xdr:colOff>
      <xdr:row>3</xdr:row>
      <xdr:rowOff>73415</xdr:rowOff>
    </xdr:from>
    <xdr:to>
      <xdr:col>29</xdr:col>
      <xdr:colOff>244229</xdr:colOff>
      <xdr:row>55</xdr:row>
      <xdr:rowOff>181858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044CE7-DBC8-4EE4-A1FA-1C59F1E78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238" t="25209" r="35640" b="7910"/>
        <a:stretch/>
      </xdr:blipFill>
      <xdr:spPr>
        <a:xfrm>
          <a:off x="16955558" y="663965"/>
          <a:ext cx="8768046" cy="10306543"/>
        </a:xfrm>
        <a:prstGeom prst="rect">
          <a:avLst/>
        </a:prstGeom>
      </xdr:spPr>
    </xdr:pic>
    <xdr:clientData/>
  </xdr:twoCellAnchor>
  <xdr:twoCellAnchor editAs="oneCell">
    <xdr:from>
      <xdr:col>15</xdr:col>
      <xdr:colOff>201082</xdr:colOff>
      <xdr:row>59</xdr:row>
      <xdr:rowOff>0</xdr:rowOff>
    </xdr:from>
    <xdr:to>
      <xdr:col>28</xdr:col>
      <xdr:colOff>508000</xdr:colOff>
      <xdr:row>109</xdr:row>
      <xdr:rowOff>177528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253F4B-7593-4961-8D16-D584888BFC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2006" t="12347" r="35698" b="18303"/>
        <a:stretch/>
      </xdr:blipFill>
      <xdr:spPr>
        <a:xfrm>
          <a:off x="17146057" y="11544300"/>
          <a:ext cx="8231717" cy="9997803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232833</xdr:colOff>
      <xdr:row>113</xdr:row>
      <xdr:rowOff>21297</xdr:rowOff>
    </xdr:from>
    <xdr:to>
      <xdr:col>28</xdr:col>
      <xdr:colOff>254000</xdr:colOff>
      <xdr:row>164</xdr:row>
      <xdr:rowOff>31469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94B77B-ED41-4AFE-9CD6-6F84C0897B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1833" t="13582" r="35409" b="15319"/>
        <a:stretch/>
      </xdr:blipFill>
      <xdr:spPr>
        <a:xfrm>
          <a:off x="17177808" y="22147872"/>
          <a:ext cx="7945966" cy="9763772"/>
        </a:xfrm>
        <a:prstGeom prst="rect">
          <a:avLst/>
        </a:prstGeom>
      </xdr:spPr>
    </xdr:pic>
    <xdr:clientData/>
  </xdr:twoCellAnchor>
  <xdr:twoCellAnchor editAs="oneCell">
    <xdr:from>
      <xdr:col>6</xdr:col>
      <xdr:colOff>52916</xdr:colOff>
      <xdr:row>269</xdr:row>
      <xdr:rowOff>158750</xdr:rowOff>
    </xdr:from>
    <xdr:to>
      <xdr:col>11</xdr:col>
      <xdr:colOff>1460500</xdr:colOff>
      <xdr:row>303</xdr:row>
      <xdr:rowOff>146880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5D5ECC7-959C-4421-9E28-54B2F006D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3151" t="37145" r="27190"/>
        <a:stretch/>
      </xdr:blipFill>
      <xdr:spPr>
        <a:xfrm>
          <a:off x="5596466" y="52098575"/>
          <a:ext cx="9084733" cy="6465130"/>
        </a:xfrm>
        <a:prstGeom prst="rect">
          <a:avLst/>
        </a:prstGeom>
      </xdr:spPr>
    </xdr:pic>
    <xdr:clientData/>
  </xdr:twoCellAnchor>
  <xdr:twoCellAnchor editAs="oneCell">
    <xdr:from>
      <xdr:col>6</xdr:col>
      <xdr:colOff>10583</xdr:colOff>
      <xdr:row>304</xdr:row>
      <xdr:rowOff>10583</xdr:rowOff>
    </xdr:from>
    <xdr:to>
      <xdr:col>11</xdr:col>
      <xdr:colOff>1259417</xdr:colOff>
      <xdr:row>315</xdr:row>
      <xdr:rowOff>137583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F027FEE-981C-4A10-A2C1-DA6BB261F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3034" t="74289" r="28175" b="4103"/>
        <a:stretch/>
      </xdr:blipFill>
      <xdr:spPr>
        <a:xfrm>
          <a:off x="5554133" y="58617908"/>
          <a:ext cx="8925983" cy="2222500"/>
        </a:xfrm>
        <a:prstGeom prst="rect">
          <a:avLst/>
        </a:prstGeom>
      </xdr:spPr>
    </xdr:pic>
    <xdr:clientData/>
  </xdr:twoCellAnchor>
  <xdr:twoCellAnchor editAs="oneCell">
    <xdr:from>
      <xdr:col>15</xdr:col>
      <xdr:colOff>296334</xdr:colOff>
      <xdr:row>169</xdr:row>
      <xdr:rowOff>126999</xdr:rowOff>
    </xdr:from>
    <xdr:to>
      <xdr:col>29</xdr:col>
      <xdr:colOff>117897</xdr:colOff>
      <xdr:row>221</xdr:row>
      <xdr:rowOff>52916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83FC011-2644-461F-97BE-34F0F7B552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2122" t="14406" r="35698" b="18611"/>
        <a:stretch/>
      </xdr:blipFill>
      <xdr:spPr>
        <a:xfrm>
          <a:off x="17241309" y="32959674"/>
          <a:ext cx="8355963" cy="9850967"/>
        </a:xfrm>
        <a:prstGeom prst="rect">
          <a:avLst/>
        </a:prstGeom>
      </xdr:spPr>
    </xdr:pic>
    <xdr:clientData/>
  </xdr:twoCellAnchor>
  <xdr:twoCellAnchor editAs="oneCell">
    <xdr:from>
      <xdr:col>16</xdr:col>
      <xdr:colOff>42332</xdr:colOff>
      <xdr:row>224</xdr:row>
      <xdr:rowOff>137583</xdr:rowOff>
    </xdr:from>
    <xdr:to>
      <xdr:col>28</xdr:col>
      <xdr:colOff>349250</xdr:colOff>
      <xdr:row>273</xdr:row>
      <xdr:rowOff>107836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8A56224-3BED-4A51-9009-F594A18922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1948" t="12141" r="35988" b="18418"/>
        <a:stretch/>
      </xdr:blipFill>
      <xdr:spPr>
        <a:xfrm>
          <a:off x="17596907" y="43466808"/>
          <a:ext cx="7622118" cy="9342853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319</xdr:row>
      <xdr:rowOff>148166</xdr:rowOff>
    </xdr:from>
    <xdr:to>
      <xdr:col>14</xdr:col>
      <xdr:colOff>402168</xdr:colOff>
      <xdr:row>330</xdr:row>
      <xdr:rowOff>10582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7942701-F5ED-4F64-B316-B47DA7E3EF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5119" t="16333" r="2353" b="58538"/>
        <a:stretch/>
      </xdr:blipFill>
      <xdr:spPr>
        <a:xfrm>
          <a:off x="3927475" y="61632041"/>
          <a:ext cx="12810068" cy="1957916"/>
        </a:xfrm>
        <a:prstGeom prst="rect">
          <a:avLst/>
        </a:prstGeom>
      </xdr:spPr>
    </xdr:pic>
    <xdr:clientData/>
  </xdr:twoCellAnchor>
  <xdr:twoCellAnchor editAs="oneCell">
    <xdr:from>
      <xdr:col>7</xdr:col>
      <xdr:colOff>433916</xdr:colOff>
      <xdr:row>119</xdr:row>
      <xdr:rowOff>42334</xdr:rowOff>
    </xdr:from>
    <xdr:to>
      <xdr:col>11</xdr:col>
      <xdr:colOff>63499</xdr:colOff>
      <xdr:row>152</xdr:row>
      <xdr:rowOff>127001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101C290-0A65-4606-B4E2-8C0C4795F1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6347" t="16051" r="24990" b="22007"/>
        <a:stretch/>
      </xdr:blipFill>
      <xdr:spPr>
        <a:xfrm>
          <a:off x="6206066" y="23330959"/>
          <a:ext cx="7078132" cy="6371167"/>
        </a:xfrm>
        <a:prstGeom prst="rect">
          <a:avLst/>
        </a:prstGeom>
      </xdr:spPr>
    </xdr:pic>
    <xdr:clientData/>
  </xdr:twoCellAnchor>
  <xdr:twoCellAnchor editAs="oneCell">
    <xdr:from>
      <xdr:col>7</xdr:col>
      <xdr:colOff>116415</xdr:colOff>
      <xdr:row>158</xdr:row>
      <xdr:rowOff>21166</xdr:rowOff>
    </xdr:from>
    <xdr:to>
      <xdr:col>11</xdr:col>
      <xdr:colOff>604007</xdr:colOff>
      <xdr:row>195</xdr:row>
      <xdr:rowOff>148166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ADCF4BF-268D-41E0-988C-48F43C9E7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6579" t="15434" r="24990" b="22727"/>
        <a:stretch/>
      </xdr:blipFill>
      <xdr:spPr>
        <a:xfrm>
          <a:off x="5888565" y="30758341"/>
          <a:ext cx="7936141" cy="7175500"/>
        </a:xfrm>
        <a:prstGeom prst="rect">
          <a:avLst/>
        </a:prstGeom>
      </xdr:spPr>
    </xdr:pic>
    <xdr:clientData/>
  </xdr:twoCellAnchor>
  <xdr:twoCellAnchor editAs="oneCell">
    <xdr:from>
      <xdr:col>6</xdr:col>
      <xdr:colOff>105834</xdr:colOff>
      <xdr:row>198</xdr:row>
      <xdr:rowOff>82561</xdr:rowOff>
    </xdr:from>
    <xdr:to>
      <xdr:col>11</xdr:col>
      <xdr:colOff>762001</xdr:colOff>
      <xdr:row>228</xdr:row>
      <xdr:rowOff>119921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CCAFC6-C8E3-41E1-8732-F50312E585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3775" t="11317" r="17004" b="3692"/>
        <a:stretch/>
      </xdr:blipFill>
      <xdr:spPr>
        <a:xfrm>
          <a:off x="5649384" y="38458786"/>
          <a:ext cx="8333316" cy="5752360"/>
        </a:xfrm>
        <a:prstGeom prst="rect">
          <a:avLst/>
        </a:prstGeom>
      </xdr:spPr>
    </xdr:pic>
    <xdr:clientData/>
  </xdr:twoCellAnchor>
  <xdr:twoCellAnchor editAs="oneCell">
    <xdr:from>
      <xdr:col>4</xdr:col>
      <xdr:colOff>1208072</xdr:colOff>
      <xdr:row>231</xdr:row>
      <xdr:rowOff>169333</xdr:rowOff>
    </xdr:from>
    <xdr:to>
      <xdr:col>11</xdr:col>
      <xdr:colOff>1111250</xdr:colOff>
      <xdr:row>261</xdr:row>
      <xdr:rowOff>160436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17AA1EF-2FF1-48BB-89DF-330BEA01D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5685" t="12332" r="3750"/>
        <a:stretch/>
      </xdr:blipFill>
      <xdr:spPr>
        <a:xfrm>
          <a:off x="5008547" y="44851108"/>
          <a:ext cx="9323402" cy="5706103"/>
        </a:xfrm>
        <a:prstGeom prst="rect">
          <a:avLst/>
        </a:prstGeom>
      </xdr:spPr>
    </xdr:pic>
    <xdr:clientData/>
  </xdr:twoCellAnchor>
  <xdr:twoCellAnchor editAs="oneCell">
    <xdr:from>
      <xdr:col>16</xdr:col>
      <xdr:colOff>52917</xdr:colOff>
      <xdr:row>278</xdr:row>
      <xdr:rowOff>26250</xdr:rowOff>
    </xdr:from>
    <xdr:to>
      <xdr:col>28</xdr:col>
      <xdr:colOff>423335</xdr:colOff>
      <xdr:row>312</xdr:row>
      <xdr:rowOff>30463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BA30237-8B7D-43B9-91DE-F4B0A34341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5949" t="4001" r="19593"/>
        <a:stretch/>
      </xdr:blipFill>
      <xdr:spPr>
        <a:xfrm>
          <a:off x="17631834" y="53736667"/>
          <a:ext cx="7736418" cy="6481213"/>
        </a:xfrm>
        <a:prstGeom prst="rect">
          <a:avLst/>
        </a:prstGeom>
      </xdr:spPr>
    </xdr:pic>
    <xdr:clientData/>
  </xdr:twoCellAnchor>
  <xdr:twoCellAnchor editAs="oneCell">
    <xdr:from>
      <xdr:col>16</xdr:col>
      <xdr:colOff>105834</xdr:colOff>
      <xdr:row>316</xdr:row>
      <xdr:rowOff>119474</xdr:rowOff>
    </xdr:from>
    <xdr:to>
      <xdr:col>29</xdr:col>
      <xdr:colOff>287472</xdr:colOff>
      <xdr:row>339</xdr:row>
      <xdr:rowOff>137584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D6D1AB5-C583-4BE2-A73D-51D2BEDEC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3704"/>
        <a:stretch/>
      </xdr:blipFill>
      <xdr:spPr>
        <a:xfrm>
          <a:off x="17896417" y="61068891"/>
          <a:ext cx="8161472" cy="44207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100</xdr:row>
      <xdr:rowOff>179916</xdr:rowOff>
    </xdr:from>
    <xdr:to>
      <xdr:col>24</xdr:col>
      <xdr:colOff>54013</xdr:colOff>
      <xdr:row>131</xdr:row>
      <xdr:rowOff>116416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78AE13-1970-425F-B328-7DD3223BA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595" t="11113" r="31241" b="17273"/>
        <a:stretch/>
      </xdr:blipFill>
      <xdr:spPr>
        <a:xfrm>
          <a:off x="13694831" y="19896666"/>
          <a:ext cx="7420013" cy="584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191</xdr:row>
      <xdr:rowOff>190498</xdr:rowOff>
    </xdr:from>
    <xdr:to>
      <xdr:col>22</xdr:col>
      <xdr:colOff>359834</xdr:colOff>
      <xdr:row>235</xdr:row>
      <xdr:rowOff>146879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2CE122-B93C-4163-AB90-2F0B879C03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691" t="19108" r="52773" b="-922"/>
        <a:stretch/>
      </xdr:blipFill>
      <xdr:spPr>
        <a:xfrm>
          <a:off x="4843991" y="37233223"/>
          <a:ext cx="6505575" cy="8338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144</xdr:row>
      <xdr:rowOff>10584</xdr:rowOff>
    </xdr:from>
    <xdr:to>
      <xdr:col>32</xdr:col>
      <xdr:colOff>603250</xdr:colOff>
      <xdr:row>186</xdr:row>
      <xdr:rowOff>52917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7E4BC6C-FEB8-4274-B404-F055D117C6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454" t="11009" r="14110" b="10791"/>
        <a:stretch/>
      </xdr:blipFill>
      <xdr:spPr>
        <a:xfrm>
          <a:off x="13800665" y="28130501"/>
          <a:ext cx="12879917" cy="804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102</xdr:row>
      <xdr:rowOff>0</xdr:rowOff>
    </xdr:from>
    <xdr:to>
      <xdr:col>41</xdr:col>
      <xdr:colOff>484547</xdr:colOff>
      <xdr:row>124</xdr:row>
      <xdr:rowOff>31750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DB6521-1C57-4A55-9A53-C42D32A166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8946"/>
        <a:stretch/>
      </xdr:blipFill>
      <xdr:spPr>
        <a:xfrm>
          <a:off x="12211050" y="20050125"/>
          <a:ext cx="18294181" cy="42227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241</xdr:row>
      <xdr:rowOff>306916</xdr:rowOff>
    </xdr:from>
    <xdr:to>
      <xdr:col>23</xdr:col>
      <xdr:colOff>370415</xdr:colOff>
      <xdr:row>247</xdr:row>
      <xdr:rowOff>62849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5E3C725-4D52-4952-A4B2-AEDAA9CA53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341" t="68115" r="13068" b="10997"/>
        <a:stretch/>
      </xdr:blipFill>
      <xdr:spPr>
        <a:xfrm>
          <a:off x="13589001" y="46947666"/>
          <a:ext cx="7122582" cy="10132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248</xdr:row>
      <xdr:rowOff>95250</xdr:rowOff>
    </xdr:from>
    <xdr:to>
      <xdr:col>23</xdr:col>
      <xdr:colOff>557294</xdr:colOff>
      <xdr:row>254</xdr:row>
      <xdr:rowOff>84136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39827B-8EBE-4A0E-9CB3-1E2C919A3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077" t="46508" r="9827" b="30341"/>
        <a:stretch/>
      </xdr:blipFill>
      <xdr:spPr>
        <a:xfrm>
          <a:off x="13603206" y="48365833"/>
          <a:ext cx="7309461" cy="11318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256</xdr:row>
      <xdr:rowOff>10582</xdr:rowOff>
    </xdr:from>
    <xdr:to>
      <xdr:col>23</xdr:col>
      <xdr:colOff>550332</xdr:colOff>
      <xdr:row>261</xdr:row>
      <xdr:rowOff>112317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2A6420-747D-4E46-946B-15D2F77D2D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230" t="67807" r="6585" b="11099"/>
        <a:stretch/>
      </xdr:blipFill>
      <xdr:spPr>
        <a:xfrm>
          <a:off x="13694834" y="49805165"/>
          <a:ext cx="7302499" cy="105423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263</xdr:row>
      <xdr:rowOff>179917</xdr:rowOff>
    </xdr:from>
    <xdr:to>
      <xdr:col>23</xdr:col>
      <xdr:colOff>211666</xdr:colOff>
      <xdr:row>268</xdr:row>
      <xdr:rowOff>97298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E33EEFF-AFE4-440B-8B07-A193F90F39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9492" t="62457" r="6181" b="18817"/>
        <a:stretch/>
      </xdr:blipFill>
      <xdr:spPr>
        <a:xfrm>
          <a:off x="13800667" y="51308000"/>
          <a:ext cx="6963833" cy="8698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302</xdr:row>
      <xdr:rowOff>52917</xdr:rowOff>
    </xdr:from>
    <xdr:to>
      <xdr:col>22</xdr:col>
      <xdr:colOff>21167</xdr:colOff>
      <xdr:row>312</xdr:row>
      <xdr:rowOff>30463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5DEA2B-463E-42D3-8149-8FB9BD803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48964" t="12861" r="17352" b="68836"/>
        <a:stretch/>
      </xdr:blipFill>
      <xdr:spPr>
        <a:xfrm>
          <a:off x="4601633" y="58279242"/>
          <a:ext cx="6165850" cy="18825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366</xdr:row>
      <xdr:rowOff>0</xdr:rowOff>
    </xdr:from>
    <xdr:to>
      <xdr:col>8</xdr:col>
      <xdr:colOff>1656857</xdr:colOff>
      <xdr:row>414</xdr:row>
      <xdr:rowOff>132190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1D5AF2C-A77F-4132-816F-7D028A057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9075" y="70837425"/>
          <a:ext cx="12410582" cy="927619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1206499</xdr:colOff>
      <xdr:row>302</xdr:row>
      <xdr:rowOff>179917</xdr:rowOff>
    </xdr:from>
    <xdr:to>
      <xdr:col>9</xdr:col>
      <xdr:colOff>137584</xdr:colOff>
      <xdr:row>309</xdr:row>
      <xdr:rowOff>179916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7A656F9-CAA8-4835-BA8C-D15FC1C5DF8E}"/>
            </a:ext>
          </a:extLst>
        </xdr:cNvPr>
        <xdr:cNvPicPr/>
      </xdr:nvPicPr>
      <xdr:blipFill rotWithShape="1">
        <a:blip xmlns:r="http://schemas.openxmlformats.org/officeDocument/2006/relationships" r:embed="rId11"/>
        <a:srcRect l="23532" t="44611" r="23379" b="38307"/>
        <a:stretch/>
      </xdr:blipFill>
      <xdr:spPr bwMode="auto">
        <a:xfrm>
          <a:off x="5323416" y="58462334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10584</xdr:colOff>
      <xdr:row>324</xdr:row>
      <xdr:rowOff>169334</xdr:rowOff>
    </xdr:from>
    <xdr:to>
      <xdr:col>8</xdr:col>
      <xdr:colOff>1449917</xdr:colOff>
      <xdr:row>360</xdr:row>
      <xdr:rowOff>169334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13C18CD-2DEF-49C4-ADBB-FC17D7F53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2834" y="63552917"/>
          <a:ext cx="12192000" cy="6858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730248</xdr:colOff>
      <xdr:row>100</xdr:row>
      <xdr:rowOff>21167</xdr:rowOff>
    </xdr:from>
    <xdr:to>
      <xdr:col>9</xdr:col>
      <xdr:colOff>1502832</xdr:colOff>
      <xdr:row>138</xdr:row>
      <xdr:rowOff>148167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04BF87-BAEB-4CF2-B35A-50276BE8F4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595" t="11113" r="31241" b="17273"/>
        <a:stretch/>
      </xdr:blipFill>
      <xdr:spPr>
        <a:xfrm>
          <a:off x="2391831" y="19737917"/>
          <a:ext cx="9355668" cy="7366000"/>
        </a:xfrm>
        <a:prstGeom prst="rect">
          <a:avLst/>
        </a:prstGeom>
      </xdr:spPr>
    </xdr:pic>
    <xdr:clientData/>
  </xdr:twoCellAnchor>
  <xdr:twoCellAnchor editAs="oneCell">
    <xdr:from>
      <xdr:col>6</xdr:col>
      <xdr:colOff>52916</xdr:colOff>
      <xdr:row>191</xdr:row>
      <xdr:rowOff>190498</xdr:rowOff>
    </xdr:from>
    <xdr:to>
      <xdr:col>9</xdr:col>
      <xdr:colOff>1100666</xdr:colOff>
      <xdr:row>235</xdr:row>
      <xdr:rowOff>146879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5739EA-4DC9-4B6A-995B-305F0BEC4A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691" t="19108" r="52773" b="-922"/>
        <a:stretch/>
      </xdr:blipFill>
      <xdr:spPr>
        <a:xfrm>
          <a:off x="4843991" y="37233223"/>
          <a:ext cx="6505575" cy="8338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102</xdr:row>
      <xdr:rowOff>0</xdr:rowOff>
    </xdr:from>
    <xdr:to>
      <xdr:col>25</xdr:col>
      <xdr:colOff>463381</xdr:colOff>
      <xdr:row>124</xdr:row>
      <xdr:rowOff>31750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99E96F-D6E8-48C2-A65D-62FEA0242C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58946"/>
        <a:stretch/>
      </xdr:blipFill>
      <xdr:spPr>
        <a:xfrm>
          <a:off x="12211050" y="20050125"/>
          <a:ext cx="18294181" cy="42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169333</xdr:rowOff>
    </xdr:from>
    <xdr:to>
      <xdr:col>13</xdr:col>
      <xdr:colOff>2434167</xdr:colOff>
      <xdr:row>254</xdr:row>
      <xdr:rowOff>31750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A0C1D32-CEDD-45D2-9472-7677EDF3E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341" t="68115" r="13068" b="10997"/>
        <a:stretch/>
      </xdr:blipFill>
      <xdr:spPr>
        <a:xfrm>
          <a:off x="219075" y="46946608"/>
          <a:ext cx="15102417" cy="2148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84666</xdr:rowOff>
    </xdr:from>
    <xdr:to>
      <xdr:col>13</xdr:col>
      <xdr:colOff>2487083</xdr:colOff>
      <xdr:row>267</xdr:row>
      <xdr:rowOff>179917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240FCA8-4967-4F63-BA97-380835DDB8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77" t="46508" r="9827" b="30341"/>
        <a:stretch/>
      </xdr:blipFill>
      <xdr:spPr>
        <a:xfrm>
          <a:off x="0" y="49338441"/>
          <a:ext cx="15374408" cy="2381251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270</xdr:row>
      <xdr:rowOff>10582</xdr:rowOff>
    </xdr:from>
    <xdr:to>
      <xdr:col>13</xdr:col>
      <xdr:colOff>2561166</xdr:colOff>
      <xdr:row>281</xdr:row>
      <xdr:rowOff>84666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FEEB3B2-580B-4D8C-A21C-5981EC547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1230" t="67807" r="6585" b="11099"/>
        <a:stretch/>
      </xdr:blipFill>
      <xdr:spPr>
        <a:xfrm>
          <a:off x="420158" y="52121857"/>
          <a:ext cx="15028333" cy="2169584"/>
        </a:xfrm>
        <a:prstGeom prst="rect">
          <a:avLst/>
        </a:prstGeom>
      </xdr:spPr>
    </xdr:pic>
    <xdr:clientData/>
  </xdr:twoCellAnchor>
  <xdr:twoCellAnchor editAs="oneCell">
    <xdr:from>
      <xdr:col>0</xdr:col>
      <xdr:colOff>222249</xdr:colOff>
      <xdr:row>284</xdr:row>
      <xdr:rowOff>31750</xdr:rowOff>
    </xdr:from>
    <xdr:to>
      <xdr:col>14</xdr:col>
      <xdr:colOff>126999</xdr:colOff>
      <xdr:row>294</xdr:row>
      <xdr:rowOff>52916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CADE6E0-5672-4715-A28F-E18537DF03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492" t="62457" r="6181" b="18817"/>
        <a:stretch/>
      </xdr:blipFill>
      <xdr:spPr>
        <a:xfrm>
          <a:off x="222249" y="54810025"/>
          <a:ext cx="15420975" cy="1926166"/>
        </a:xfrm>
        <a:prstGeom prst="rect">
          <a:avLst/>
        </a:prstGeom>
      </xdr:spPr>
    </xdr:pic>
    <xdr:clientData/>
  </xdr:twoCellAnchor>
  <xdr:twoCellAnchor editAs="oneCell">
    <xdr:from>
      <xdr:col>5</xdr:col>
      <xdr:colOff>486833</xdr:colOff>
      <xdr:row>302</xdr:row>
      <xdr:rowOff>52917</xdr:rowOff>
    </xdr:from>
    <xdr:to>
      <xdr:col>9</xdr:col>
      <xdr:colOff>518583</xdr:colOff>
      <xdr:row>312</xdr:row>
      <xdr:rowOff>30463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5CDF24C-6DC3-4223-9AE2-29ED721E2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48964" t="12861" r="17352" b="68836"/>
        <a:stretch/>
      </xdr:blipFill>
      <xdr:spPr>
        <a:xfrm>
          <a:off x="4601633" y="58279242"/>
          <a:ext cx="6165850" cy="188254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318</xdr:row>
      <xdr:rowOff>105833</xdr:rowOff>
    </xdr:from>
    <xdr:to>
      <xdr:col>15</xdr:col>
      <xdr:colOff>603250</xdr:colOff>
      <xdr:row>360</xdr:row>
      <xdr:rowOff>148166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D172E47-6B25-417D-B155-AB84FD079C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604" t="11730" r="2997" b="10071"/>
        <a:stretch/>
      </xdr:blipFill>
      <xdr:spPr>
        <a:xfrm>
          <a:off x="190500" y="61399208"/>
          <a:ext cx="17262475" cy="804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12</xdr:col>
      <xdr:colOff>418607</xdr:colOff>
      <xdr:row>416</xdr:row>
      <xdr:rowOff>132190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6681646-EAE4-4A4C-BF8F-5F62FC364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9075" y="70837425"/>
          <a:ext cx="12410582" cy="9276190"/>
        </a:xfrm>
        <a:prstGeom prst="rect">
          <a:avLst/>
        </a:prstGeom>
      </xdr:spPr>
    </xdr:pic>
    <xdr:clientData/>
  </xdr:twoCellAnchor>
  <xdr:twoCellAnchor editAs="oneCell">
    <xdr:from>
      <xdr:col>4</xdr:col>
      <xdr:colOff>814917</xdr:colOff>
      <xdr:row>143</xdr:row>
      <xdr:rowOff>0</xdr:rowOff>
    </xdr:from>
    <xdr:to>
      <xdr:col>14</xdr:col>
      <xdr:colOff>402166</xdr:colOff>
      <xdr:row>186</xdr:row>
      <xdr:rowOff>116416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47927EF-9A98-4B2D-AE51-EB3BD28B36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9607" t="1" r="22039" b="19228"/>
        <a:stretch/>
      </xdr:blipFill>
      <xdr:spPr>
        <a:xfrm>
          <a:off x="3418417" y="27929417"/>
          <a:ext cx="12498916" cy="83079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74083</xdr:colOff>
      <xdr:row>103</xdr:row>
      <xdr:rowOff>141709</xdr:rowOff>
    </xdr:from>
    <xdr:to>
      <xdr:col>11</xdr:col>
      <xdr:colOff>1693334</xdr:colOff>
      <xdr:row>111</xdr:row>
      <xdr:rowOff>169332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F1A81EB-ED86-46D7-B31E-38937EC7F1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88" t="13582" r="6760" b="59151"/>
        <a:stretch/>
      </xdr:blipFill>
      <xdr:spPr>
        <a:xfrm>
          <a:off x="5630333" y="20514626"/>
          <a:ext cx="9292168" cy="1551623"/>
        </a:xfrm>
        <a:prstGeom prst="rect">
          <a:avLst/>
        </a:prstGeom>
      </xdr:spPr>
    </xdr:pic>
    <xdr:clientData/>
  </xdr:twoCellAnchor>
  <xdr:twoCellAnchor editAs="oneCell">
    <xdr:from>
      <xdr:col>15</xdr:col>
      <xdr:colOff>10583</xdr:colOff>
      <xdr:row>3</xdr:row>
      <xdr:rowOff>73415</xdr:rowOff>
    </xdr:from>
    <xdr:to>
      <xdr:col>29</xdr:col>
      <xdr:colOff>244229</xdr:colOff>
      <xdr:row>55</xdr:row>
      <xdr:rowOff>188208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095508D-577A-4438-89ED-7FB8C66BD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238" t="25209" r="35640" b="7910"/>
        <a:stretch/>
      </xdr:blipFill>
      <xdr:spPr>
        <a:xfrm>
          <a:off x="16584083" y="666082"/>
          <a:ext cx="8827313" cy="10338293"/>
        </a:xfrm>
        <a:prstGeom prst="rect">
          <a:avLst/>
        </a:prstGeom>
      </xdr:spPr>
    </xdr:pic>
    <xdr:clientData/>
  </xdr:twoCellAnchor>
  <xdr:twoCellAnchor editAs="oneCell">
    <xdr:from>
      <xdr:col>15</xdr:col>
      <xdr:colOff>201082</xdr:colOff>
      <xdr:row>59</xdr:row>
      <xdr:rowOff>0</xdr:rowOff>
    </xdr:from>
    <xdr:to>
      <xdr:col>28</xdr:col>
      <xdr:colOff>507999</xdr:colOff>
      <xdr:row>109</xdr:row>
      <xdr:rowOff>177528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DB531BC-C8F2-4786-82D9-19D9EEB8F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2006" t="12347" r="35698" b="18303"/>
        <a:stretch/>
      </xdr:blipFill>
      <xdr:spPr>
        <a:xfrm>
          <a:off x="17049749" y="11620500"/>
          <a:ext cx="8286751" cy="10009444"/>
        </a:xfrm>
        <a:prstGeom prst="rect">
          <a:avLst/>
        </a:prstGeom>
      </xdr:spPr>
    </xdr:pic>
    <xdr:clientData/>
  </xdr:twoCellAnchor>
  <xdr:twoCellAnchor editAs="oneCell">
    <xdr:from>
      <xdr:col>15</xdr:col>
      <xdr:colOff>232833</xdr:colOff>
      <xdr:row>113</xdr:row>
      <xdr:rowOff>21297</xdr:rowOff>
    </xdr:from>
    <xdr:to>
      <xdr:col>28</xdr:col>
      <xdr:colOff>253999</xdr:colOff>
      <xdr:row>164</xdr:row>
      <xdr:rowOff>31469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0C0B80D-BA9E-473E-8D76-BF2C00F46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1833" t="13582" r="35409" b="15319"/>
        <a:stretch/>
      </xdr:blipFill>
      <xdr:spPr>
        <a:xfrm>
          <a:off x="17197916" y="22299214"/>
          <a:ext cx="8001000" cy="9768006"/>
        </a:xfrm>
        <a:prstGeom prst="rect">
          <a:avLst/>
        </a:prstGeom>
      </xdr:spPr>
    </xdr:pic>
    <xdr:clientData/>
  </xdr:twoCellAnchor>
  <xdr:twoCellAnchor editAs="oneCell">
    <xdr:from>
      <xdr:col>6</xdr:col>
      <xdr:colOff>52916</xdr:colOff>
      <xdr:row>269</xdr:row>
      <xdr:rowOff>158750</xdr:rowOff>
    </xdr:from>
    <xdr:to>
      <xdr:col>11</xdr:col>
      <xdr:colOff>1460499</xdr:colOff>
      <xdr:row>303</xdr:row>
      <xdr:rowOff>146880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C837E44-586C-48DB-96D7-A00449420D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3151" t="37145" r="27190"/>
        <a:stretch/>
      </xdr:blipFill>
      <xdr:spPr>
        <a:xfrm>
          <a:off x="5609166" y="48810333"/>
          <a:ext cx="9080500" cy="6465130"/>
        </a:xfrm>
        <a:prstGeom prst="rect">
          <a:avLst/>
        </a:prstGeom>
      </xdr:spPr>
    </xdr:pic>
    <xdr:clientData/>
  </xdr:twoCellAnchor>
  <xdr:twoCellAnchor editAs="oneCell">
    <xdr:from>
      <xdr:col>6</xdr:col>
      <xdr:colOff>10583</xdr:colOff>
      <xdr:row>304</xdr:row>
      <xdr:rowOff>10583</xdr:rowOff>
    </xdr:from>
    <xdr:to>
      <xdr:col>11</xdr:col>
      <xdr:colOff>1259416</xdr:colOff>
      <xdr:row>315</xdr:row>
      <xdr:rowOff>137583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D65F09E-D8C3-40D1-B509-50E8EC6829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3034" t="74289" r="28175" b="4103"/>
        <a:stretch/>
      </xdr:blipFill>
      <xdr:spPr>
        <a:xfrm>
          <a:off x="5566833" y="55329666"/>
          <a:ext cx="8921750" cy="2222500"/>
        </a:xfrm>
        <a:prstGeom prst="rect">
          <a:avLst/>
        </a:prstGeom>
      </xdr:spPr>
    </xdr:pic>
    <xdr:clientData/>
  </xdr:twoCellAnchor>
  <xdr:twoCellAnchor editAs="oneCell">
    <xdr:from>
      <xdr:col>15</xdr:col>
      <xdr:colOff>296334</xdr:colOff>
      <xdr:row>169</xdr:row>
      <xdr:rowOff>126999</xdr:rowOff>
    </xdr:from>
    <xdr:to>
      <xdr:col>29</xdr:col>
      <xdr:colOff>117897</xdr:colOff>
      <xdr:row>221</xdr:row>
      <xdr:rowOff>52916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7F7FF8E-8C94-40D6-972B-6B22BB999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2122" t="14406" r="35698" b="18611"/>
        <a:stretch/>
      </xdr:blipFill>
      <xdr:spPr>
        <a:xfrm>
          <a:off x="17261417" y="33104666"/>
          <a:ext cx="8415230" cy="9853083"/>
        </a:xfrm>
        <a:prstGeom prst="rect">
          <a:avLst/>
        </a:prstGeom>
      </xdr:spPr>
    </xdr:pic>
    <xdr:clientData/>
  </xdr:twoCellAnchor>
  <xdr:twoCellAnchor editAs="oneCell">
    <xdr:from>
      <xdr:col>16</xdr:col>
      <xdr:colOff>42332</xdr:colOff>
      <xdr:row>224</xdr:row>
      <xdr:rowOff>137583</xdr:rowOff>
    </xdr:from>
    <xdr:to>
      <xdr:col>28</xdr:col>
      <xdr:colOff>349250</xdr:colOff>
      <xdr:row>273</xdr:row>
      <xdr:rowOff>107836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DE02796-B599-40C7-A634-313A83A7F4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1948" t="12141" r="35988" b="18418"/>
        <a:stretch/>
      </xdr:blipFill>
      <xdr:spPr>
        <a:xfrm>
          <a:off x="17621249" y="43264666"/>
          <a:ext cx="7672918" cy="9347087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319</xdr:row>
      <xdr:rowOff>148166</xdr:rowOff>
    </xdr:from>
    <xdr:to>
      <xdr:col>14</xdr:col>
      <xdr:colOff>402168</xdr:colOff>
      <xdr:row>330</xdr:row>
      <xdr:rowOff>10582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3B64DC1-2922-4802-8016-F0F716763F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5119" t="16333" r="2353" b="58538"/>
        <a:stretch/>
      </xdr:blipFill>
      <xdr:spPr>
        <a:xfrm>
          <a:off x="3937000" y="58144833"/>
          <a:ext cx="12816418" cy="1957916"/>
        </a:xfrm>
        <a:prstGeom prst="rect">
          <a:avLst/>
        </a:prstGeom>
      </xdr:spPr>
    </xdr:pic>
    <xdr:clientData/>
  </xdr:twoCellAnchor>
  <xdr:twoCellAnchor editAs="oneCell">
    <xdr:from>
      <xdr:col>7</xdr:col>
      <xdr:colOff>433916</xdr:colOff>
      <xdr:row>119</xdr:row>
      <xdr:rowOff>42334</xdr:rowOff>
    </xdr:from>
    <xdr:to>
      <xdr:col>11</xdr:col>
      <xdr:colOff>63498</xdr:colOff>
      <xdr:row>152</xdr:row>
      <xdr:rowOff>127001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9CB66FD-AA23-46BA-8632-F842AD59C4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6347" t="16051" r="24990" b="22007"/>
        <a:stretch/>
      </xdr:blipFill>
      <xdr:spPr>
        <a:xfrm>
          <a:off x="6222999" y="23473834"/>
          <a:ext cx="7069666" cy="6371167"/>
        </a:xfrm>
        <a:prstGeom prst="rect">
          <a:avLst/>
        </a:prstGeom>
      </xdr:spPr>
    </xdr:pic>
    <xdr:clientData/>
  </xdr:twoCellAnchor>
  <xdr:twoCellAnchor editAs="oneCell">
    <xdr:from>
      <xdr:col>7</xdr:col>
      <xdr:colOff>116415</xdr:colOff>
      <xdr:row>158</xdr:row>
      <xdr:rowOff>21166</xdr:rowOff>
    </xdr:from>
    <xdr:to>
      <xdr:col>11</xdr:col>
      <xdr:colOff>604006</xdr:colOff>
      <xdr:row>195</xdr:row>
      <xdr:rowOff>148166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D09243C-883F-40C3-AAF0-D7F71AE0CC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6579" t="15434" r="24990" b="22727"/>
        <a:stretch/>
      </xdr:blipFill>
      <xdr:spPr>
        <a:xfrm>
          <a:off x="5905498" y="30903333"/>
          <a:ext cx="7927675" cy="7175500"/>
        </a:xfrm>
        <a:prstGeom prst="rect">
          <a:avLst/>
        </a:prstGeom>
      </xdr:spPr>
    </xdr:pic>
    <xdr:clientData/>
  </xdr:twoCellAnchor>
  <xdr:twoCellAnchor editAs="oneCell">
    <xdr:from>
      <xdr:col>6</xdr:col>
      <xdr:colOff>105834</xdr:colOff>
      <xdr:row>198</xdr:row>
      <xdr:rowOff>82561</xdr:rowOff>
    </xdr:from>
    <xdr:to>
      <xdr:col>11</xdr:col>
      <xdr:colOff>762000</xdr:colOff>
      <xdr:row>228</xdr:row>
      <xdr:rowOff>119921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7F4621F-FB2E-4120-803B-7F58F5A91B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3775" t="11317" r="17004" b="3692"/>
        <a:stretch/>
      </xdr:blipFill>
      <xdr:spPr>
        <a:xfrm>
          <a:off x="5662084" y="38605894"/>
          <a:ext cx="8329083" cy="5752360"/>
        </a:xfrm>
        <a:prstGeom prst="rect">
          <a:avLst/>
        </a:prstGeom>
      </xdr:spPr>
    </xdr:pic>
    <xdr:clientData/>
  </xdr:twoCellAnchor>
  <xdr:twoCellAnchor editAs="oneCell">
    <xdr:from>
      <xdr:col>4</xdr:col>
      <xdr:colOff>1208072</xdr:colOff>
      <xdr:row>231</xdr:row>
      <xdr:rowOff>169333</xdr:rowOff>
    </xdr:from>
    <xdr:to>
      <xdr:col>11</xdr:col>
      <xdr:colOff>1111249</xdr:colOff>
      <xdr:row>261</xdr:row>
      <xdr:rowOff>160436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C3DFA94-3953-4E4A-9A7E-F269C0F913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5685" t="12332" r="3750"/>
        <a:stretch/>
      </xdr:blipFill>
      <xdr:spPr>
        <a:xfrm>
          <a:off x="5018072" y="45000333"/>
          <a:ext cx="9322344" cy="57061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278</xdr:row>
      <xdr:rowOff>179917</xdr:rowOff>
    </xdr:from>
    <xdr:to>
      <xdr:col>33</xdr:col>
      <xdr:colOff>1079500</xdr:colOff>
      <xdr:row>283</xdr:row>
      <xdr:rowOff>97298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BBE240-3B95-41F8-A6DB-854FAB0315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492" t="62457" r="6181" b="18817"/>
        <a:stretch/>
      </xdr:blipFill>
      <xdr:spPr>
        <a:xfrm>
          <a:off x="5543550" y="55320142"/>
          <a:ext cx="6965950" cy="8698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317</xdr:row>
      <xdr:rowOff>52917</xdr:rowOff>
    </xdr:from>
    <xdr:to>
      <xdr:col>33</xdr:col>
      <xdr:colOff>275167</xdr:colOff>
      <xdr:row>324</xdr:row>
      <xdr:rowOff>146879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0D5D6E-ED5A-4B7C-8F96-774527BBE4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8964" t="12861" r="17352" b="68836"/>
        <a:stretch/>
      </xdr:blipFill>
      <xdr:spPr>
        <a:xfrm>
          <a:off x="5543550" y="63089367"/>
          <a:ext cx="6161617" cy="18751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33</xdr:col>
      <xdr:colOff>1191191</xdr:colOff>
      <xdr:row>438</xdr:row>
      <xdr:rowOff>132190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C019D0-F114-4E69-83BE-DD9C293E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075" y="78990825"/>
          <a:ext cx="12402116" cy="927619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1206499</xdr:colOff>
      <xdr:row>318</xdr:row>
      <xdr:rowOff>179917</xdr:rowOff>
    </xdr:from>
    <xdr:to>
      <xdr:col>33</xdr:col>
      <xdr:colOff>486835</xdr:colOff>
      <xdr:row>323</xdr:row>
      <xdr:rowOff>253999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44CF42-3223-47B3-BB2B-C2A7679CAA3F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3532" t="44611" r="23379" b="38307"/>
        <a:stretch/>
      </xdr:blipFill>
      <xdr:spPr bwMode="auto">
        <a:xfrm>
          <a:off x="5543550" y="63406867"/>
          <a:ext cx="6373285" cy="13218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10584</xdr:colOff>
      <xdr:row>348</xdr:row>
      <xdr:rowOff>169334</xdr:rowOff>
    </xdr:from>
    <xdr:to>
      <xdr:col>33</xdr:col>
      <xdr:colOff>984251</xdr:colOff>
      <xdr:row>384</xdr:row>
      <xdr:rowOff>169334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41CEF1-3B84-46DB-AB83-F4C321900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9659" y="71140109"/>
          <a:ext cx="12184592" cy="6858000"/>
        </a:xfrm>
        <a:prstGeom prst="rect">
          <a:avLst/>
        </a:prstGeom>
      </xdr:spPr>
    </xdr:pic>
    <xdr:clientData/>
  </xdr:twoCellAnchor>
  <xdr:oneCellAnchor>
    <xdr:from>
      <xdr:col>14</xdr:col>
      <xdr:colOff>1206499</xdr:colOff>
      <xdr:row>318</xdr:row>
      <xdr:rowOff>179917</xdr:rowOff>
    </xdr:from>
    <xdr:ext cx="6371168" cy="1333499"/>
    <xdr:pic>
      <xdr:nvPicPr>
        <xdr:cNvPr id="7" name="Picture 6">
          <a:extLst>
            <a:ext uri="{FF2B5EF4-FFF2-40B4-BE49-F238E27FC236}">
              <a16:creationId xmlns:a16="http://schemas.microsoft.com/office/drawing/2014/main" id="{3CF4D87A-3BD8-4976-B004-EA23F9622AB5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3532" t="44611" r="23379" b="38307"/>
        <a:stretch/>
      </xdr:blipFill>
      <xdr:spPr bwMode="auto">
        <a:xfrm>
          <a:off x="5543550" y="63406867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22</xdr:col>
      <xdr:colOff>1206499</xdr:colOff>
      <xdr:row>318</xdr:row>
      <xdr:rowOff>179917</xdr:rowOff>
    </xdr:from>
    <xdr:ext cx="6371168" cy="1333499"/>
    <xdr:pic>
      <xdr:nvPicPr>
        <xdr:cNvPr id="8" name="Picture 7">
          <a:extLst>
            <a:ext uri="{FF2B5EF4-FFF2-40B4-BE49-F238E27FC236}">
              <a16:creationId xmlns:a16="http://schemas.microsoft.com/office/drawing/2014/main" id="{33878285-97E3-47EC-B064-BCDBB36A51D3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3532" t="44611" r="23379" b="38307"/>
        <a:stretch/>
      </xdr:blipFill>
      <xdr:spPr bwMode="auto">
        <a:xfrm>
          <a:off x="5543550" y="63406867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30</xdr:col>
      <xdr:colOff>1206499</xdr:colOff>
      <xdr:row>316</xdr:row>
      <xdr:rowOff>179917</xdr:rowOff>
    </xdr:from>
    <xdr:ext cx="6371168" cy="1333499"/>
    <xdr:pic>
      <xdr:nvPicPr>
        <xdr:cNvPr id="9" name="Picture 8">
          <a:extLst>
            <a:ext uri="{FF2B5EF4-FFF2-40B4-BE49-F238E27FC236}">
              <a16:creationId xmlns:a16="http://schemas.microsoft.com/office/drawing/2014/main" id="{860349AB-14F7-4505-B025-512F86E1D8DB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3532" t="44611" r="23379" b="38307"/>
        <a:stretch/>
      </xdr:blipFill>
      <xdr:spPr bwMode="auto">
        <a:xfrm>
          <a:off x="6978649" y="63025867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4</xdr:col>
      <xdr:colOff>63501</xdr:colOff>
      <xdr:row>158</xdr:row>
      <xdr:rowOff>116417</xdr:rowOff>
    </xdr:from>
    <xdr:to>
      <xdr:col>35</xdr:col>
      <xdr:colOff>215901</xdr:colOff>
      <xdr:row>184</xdr:row>
      <xdr:rowOff>169333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8DFDE100-79A4-450F-A556-7756AC39BB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r:link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07" b="26475"/>
        <a:stretch>
          <a:fillRect/>
        </a:stretch>
      </xdr:blipFill>
      <xdr:spPr bwMode="auto">
        <a:xfrm>
          <a:off x="3863976" y="31101242"/>
          <a:ext cx="11458575" cy="5015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10583</xdr:colOff>
      <xdr:row>190</xdr:row>
      <xdr:rowOff>95250</xdr:rowOff>
    </xdr:from>
    <xdr:to>
      <xdr:col>33</xdr:col>
      <xdr:colOff>1672166</xdr:colOff>
      <xdr:row>216</xdr:row>
      <xdr:rowOff>19881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938B1F7-1E32-4D98-9E42-51667C396F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4759" t="52230" r="45248"/>
        <a:stretch/>
      </xdr:blipFill>
      <xdr:spPr>
        <a:xfrm>
          <a:off x="5782733" y="37214175"/>
          <a:ext cx="7319433" cy="4887156"/>
        </a:xfrm>
        <a:prstGeom prst="rect">
          <a:avLst/>
        </a:prstGeom>
      </xdr:spPr>
    </xdr:pic>
    <xdr:clientData/>
  </xdr:twoCellAnchor>
  <xdr:twoCellAnchor editAs="oneCell">
    <xdr:from>
      <xdr:col>2</xdr:col>
      <xdr:colOff>709084</xdr:colOff>
      <xdr:row>100</xdr:row>
      <xdr:rowOff>12774</xdr:rowOff>
    </xdr:from>
    <xdr:to>
      <xdr:col>37</xdr:col>
      <xdr:colOff>105833</xdr:colOff>
      <xdr:row>111</xdr:row>
      <xdr:rowOff>84665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18EAF0F-DA90-48D4-B5A6-3F7D01B57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3069" r="9479" b="62030"/>
        <a:stretch/>
      </xdr:blipFill>
      <xdr:spPr>
        <a:xfrm>
          <a:off x="2366434" y="19834299"/>
          <a:ext cx="14065249" cy="2176916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169334</xdr:colOff>
      <xdr:row>118</xdr:row>
      <xdr:rowOff>42333</xdr:rowOff>
    </xdr:from>
    <xdr:to>
      <xdr:col>34</xdr:col>
      <xdr:colOff>719667</xdr:colOff>
      <xdr:row>127</xdr:row>
      <xdr:rowOff>190499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BBA182B-236B-4ADC-8296-513B9BC49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-20836" t="65032" r="54566" b="15699"/>
        <a:stretch/>
      </xdr:blipFill>
      <xdr:spPr>
        <a:xfrm>
          <a:off x="1826684" y="23340483"/>
          <a:ext cx="12113683" cy="18626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278</xdr:row>
      <xdr:rowOff>179917</xdr:rowOff>
    </xdr:from>
    <xdr:to>
      <xdr:col>33</xdr:col>
      <xdr:colOff>1079500</xdr:colOff>
      <xdr:row>283</xdr:row>
      <xdr:rowOff>97298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1361D86-C4A4-41D8-ACFC-4C2D678F2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492" t="62457" r="6181" b="18817"/>
        <a:stretch/>
      </xdr:blipFill>
      <xdr:spPr>
        <a:xfrm>
          <a:off x="5543550" y="55320142"/>
          <a:ext cx="6965950" cy="8698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317</xdr:row>
      <xdr:rowOff>52917</xdr:rowOff>
    </xdr:from>
    <xdr:to>
      <xdr:col>33</xdr:col>
      <xdr:colOff>275167</xdr:colOff>
      <xdr:row>324</xdr:row>
      <xdr:rowOff>146879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EA081F7-74AB-482D-A55D-C4A2EC3AC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8964" t="12861" r="17352" b="68836"/>
        <a:stretch/>
      </xdr:blipFill>
      <xdr:spPr>
        <a:xfrm>
          <a:off x="5543550" y="63089367"/>
          <a:ext cx="6161617" cy="18751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33</xdr:col>
      <xdr:colOff>1191191</xdr:colOff>
      <xdr:row>438</xdr:row>
      <xdr:rowOff>132190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43F6C6-B689-4E98-BC83-7B7A3FCC8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075" y="78990825"/>
          <a:ext cx="12402116" cy="927619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1206499</xdr:colOff>
      <xdr:row>318</xdr:row>
      <xdr:rowOff>179917</xdr:rowOff>
    </xdr:from>
    <xdr:to>
      <xdr:col>33</xdr:col>
      <xdr:colOff>486835</xdr:colOff>
      <xdr:row>323</xdr:row>
      <xdr:rowOff>253999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2E5EED9-6C33-45F0-98D3-32F5B384B9DF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3532" t="44611" r="23379" b="38307"/>
        <a:stretch/>
      </xdr:blipFill>
      <xdr:spPr bwMode="auto">
        <a:xfrm>
          <a:off x="5543550" y="63406867"/>
          <a:ext cx="6373285" cy="13218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10584</xdr:colOff>
      <xdr:row>348</xdr:row>
      <xdr:rowOff>169334</xdr:rowOff>
    </xdr:from>
    <xdr:to>
      <xdr:col>33</xdr:col>
      <xdr:colOff>984251</xdr:colOff>
      <xdr:row>384</xdr:row>
      <xdr:rowOff>169334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613C729-98F9-4D85-8DF0-D2BBD7ED2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9659" y="71140109"/>
          <a:ext cx="12184592" cy="6858000"/>
        </a:xfrm>
        <a:prstGeom prst="rect">
          <a:avLst/>
        </a:prstGeom>
      </xdr:spPr>
    </xdr:pic>
    <xdr:clientData/>
  </xdr:twoCellAnchor>
  <xdr:oneCellAnchor>
    <xdr:from>
      <xdr:col>14</xdr:col>
      <xdr:colOff>1206499</xdr:colOff>
      <xdr:row>318</xdr:row>
      <xdr:rowOff>179917</xdr:rowOff>
    </xdr:from>
    <xdr:ext cx="6371168" cy="1333499"/>
    <xdr:pic>
      <xdr:nvPicPr>
        <xdr:cNvPr id="15" name="Picture 14">
          <a:extLst>
            <a:ext uri="{FF2B5EF4-FFF2-40B4-BE49-F238E27FC236}">
              <a16:creationId xmlns:a16="http://schemas.microsoft.com/office/drawing/2014/main" id="{2335BD22-00DE-48FA-B62E-90684567278C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3532" t="44611" r="23379" b="38307"/>
        <a:stretch/>
      </xdr:blipFill>
      <xdr:spPr bwMode="auto">
        <a:xfrm>
          <a:off x="5543550" y="63406867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22</xdr:col>
      <xdr:colOff>1206499</xdr:colOff>
      <xdr:row>318</xdr:row>
      <xdr:rowOff>179917</xdr:rowOff>
    </xdr:from>
    <xdr:ext cx="6371168" cy="1333499"/>
    <xdr:pic>
      <xdr:nvPicPr>
        <xdr:cNvPr id="16" name="Picture 15">
          <a:extLst>
            <a:ext uri="{FF2B5EF4-FFF2-40B4-BE49-F238E27FC236}">
              <a16:creationId xmlns:a16="http://schemas.microsoft.com/office/drawing/2014/main" id="{011211BF-386F-4EAB-8BC0-DA1D3032C828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3532" t="44611" r="23379" b="38307"/>
        <a:stretch/>
      </xdr:blipFill>
      <xdr:spPr bwMode="auto">
        <a:xfrm>
          <a:off x="5543550" y="63406867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30</xdr:col>
      <xdr:colOff>1206499</xdr:colOff>
      <xdr:row>316</xdr:row>
      <xdr:rowOff>179917</xdr:rowOff>
    </xdr:from>
    <xdr:ext cx="6371168" cy="1333499"/>
    <xdr:pic>
      <xdr:nvPicPr>
        <xdr:cNvPr id="17" name="Picture 16">
          <a:extLst>
            <a:ext uri="{FF2B5EF4-FFF2-40B4-BE49-F238E27FC236}">
              <a16:creationId xmlns:a16="http://schemas.microsoft.com/office/drawing/2014/main" id="{C7201293-F8A0-4969-B1C4-0ADA355DF61F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3532" t="44611" r="23379" b="38307"/>
        <a:stretch/>
      </xdr:blipFill>
      <xdr:spPr bwMode="auto">
        <a:xfrm>
          <a:off x="6978649" y="63025867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4</xdr:col>
      <xdr:colOff>63501</xdr:colOff>
      <xdr:row>158</xdr:row>
      <xdr:rowOff>116417</xdr:rowOff>
    </xdr:from>
    <xdr:to>
      <xdr:col>35</xdr:col>
      <xdr:colOff>215901</xdr:colOff>
      <xdr:row>184</xdr:row>
      <xdr:rowOff>169333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C4243737-E1AE-4073-9101-31E7DE8DC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r:link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07" b="26475"/>
        <a:stretch>
          <a:fillRect/>
        </a:stretch>
      </xdr:blipFill>
      <xdr:spPr bwMode="auto">
        <a:xfrm>
          <a:off x="3873501" y="31178500"/>
          <a:ext cx="11455400" cy="501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10583</xdr:colOff>
      <xdr:row>190</xdr:row>
      <xdr:rowOff>95250</xdr:rowOff>
    </xdr:from>
    <xdr:to>
      <xdr:col>33</xdr:col>
      <xdr:colOff>1672166</xdr:colOff>
      <xdr:row>216</xdr:row>
      <xdr:rowOff>19881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7990A9E-1A7B-4957-963A-F6D86F66FB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4759" t="52230" r="45248"/>
        <a:stretch/>
      </xdr:blipFill>
      <xdr:spPr>
        <a:xfrm>
          <a:off x="5799666" y="37295667"/>
          <a:ext cx="7313083" cy="4888214"/>
        </a:xfrm>
        <a:prstGeom prst="rect">
          <a:avLst/>
        </a:prstGeom>
      </xdr:spPr>
    </xdr:pic>
    <xdr:clientData/>
  </xdr:twoCellAnchor>
  <xdr:twoCellAnchor editAs="oneCell">
    <xdr:from>
      <xdr:col>2</xdr:col>
      <xdr:colOff>709084</xdr:colOff>
      <xdr:row>100</xdr:row>
      <xdr:rowOff>12774</xdr:rowOff>
    </xdr:from>
    <xdr:to>
      <xdr:col>37</xdr:col>
      <xdr:colOff>105833</xdr:colOff>
      <xdr:row>111</xdr:row>
      <xdr:rowOff>84665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16B9BAD-AD53-4694-BC47-12FDB432D8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13069" r="9479" b="62030"/>
        <a:stretch/>
      </xdr:blipFill>
      <xdr:spPr>
        <a:xfrm>
          <a:off x="2370667" y="19898857"/>
          <a:ext cx="14075833" cy="2177975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169334</xdr:colOff>
      <xdr:row>118</xdr:row>
      <xdr:rowOff>42333</xdr:rowOff>
    </xdr:from>
    <xdr:to>
      <xdr:col>34</xdr:col>
      <xdr:colOff>719667</xdr:colOff>
      <xdr:row>127</xdr:row>
      <xdr:rowOff>190499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4A4311-D585-4097-A6BC-0902B6ED7A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-20836" t="65032" r="54566" b="15699"/>
        <a:stretch/>
      </xdr:blipFill>
      <xdr:spPr>
        <a:xfrm>
          <a:off x="1830917" y="23410333"/>
          <a:ext cx="12117917" cy="18626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256</xdr:row>
      <xdr:rowOff>306916</xdr:rowOff>
    </xdr:from>
    <xdr:to>
      <xdr:col>33</xdr:col>
      <xdr:colOff>1238249</xdr:colOff>
      <xdr:row>262</xdr:row>
      <xdr:rowOff>18399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064883-C30C-4970-91EB-B6FCBC134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41" t="68115" r="13068" b="10997"/>
        <a:stretch/>
      </xdr:blipFill>
      <xdr:spPr>
        <a:xfrm>
          <a:off x="5543550" y="50322691"/>
          <a:ext cx="7124699" cy="101640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263</xdr:row>
      <xdr:rowOff>95250</xdr:rowOff>
    </xdr:from>
    <xdr:to>
      <xdr:col>33</xdr:col>
      <xdr:colOff>1425128</xdr:colOff>
      <xdr:row>267</xdr:row>
      <xdr:rowOff>168803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40D44A-3424-4336-92AF-0F3CF2D179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077" t="46508" r="9827" b="30341"/>
        <a:stretch/>
      </xdr:blipFill>
      <xdr:spPr>
        <a:xfrm>
          <a:off x="5543550" y="52082700"/>
          <a:ext cx="7311578" cy="113082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271</xdr:row>
      <xdr:rowOff>10582</xdr:rowOff>
    </xdr:from>
    <xdr:to>
      <xdr:col>33</xdr:col>
      <xdr:colOff>1418166</xdr:colOff>
      <xdr:row>276</xdr:row>
      <xdr:rowOff>112317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664CDE-C365-4D41-A6F7-47DD3E519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230" t="67807" r="6585" b="11099"/>
        <a:stretch/>
      </xdr:blipFill>
      <xdr:spPr>
        <a:xfrm>
          <a:off x="5543550" y="53817307"/>
          <a:ext cx="7304616" cy="105423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278</xdr:row>
      <xdr:rowOff>179917</xdr:rowOff>
    </xdr:from>
    <xdr:to>
      <xdr:col>33</xdr:col>
      <xdr:colOff>1079500</xdr:colOff>
      <xdr:row>283</xdr:row>
      <xdr:rowOff>97298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ABBB1D8-15D8-4F30-997E-E61E742B9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9492" t="62457" r="6181" b="18817"/>
        <a:stretch/>
      </xdr:blipFill>
      <xdr:spPr>
        <a:xfrm>
          <a:off x="5543550" y="55320142"/>
          <a:ext cx="6965950" cy="8698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317</xdr:row>
      <xdr:rowOff>52917</xdr:rowOff>
    </xdr:from>
    <xdr:to>
      <xdr:col>33</xdr:col>
      <xdr:colOff>275167</xdr:colOff>
      <xdr:row>324</xdr:row>
      <xdr:rowOff>146879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96D1D3C-525A-467F-88ED-F0BD9FE347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964" t="12861" r="17352" b="68836"/>
        <a:stretch/>
      </xdr:blipFill>
      <xdr:spPr>
        <a:xfrm>
          <a:off x="5543550" y="63089367"/>
          <a:ext cx="6161617" cy="18751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33</xdr:col>
      <xdr:colOff>1191191</xdr:colOff>
      <xdr:row>438</xdr:row>
      <xdr:rowOff>132190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3AB5E8-0EFD-4C72-97EC-DB9D96A70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075" y="78990825"/>
          <a:ext cx="12402116" cy="927619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1206499</xdr:colOff>
      <xdr:row>318</xdr:row>
      <xdr:rowOff>179917</xdr:rowOff>
    </xdr:from>
    <xdr:to>
      <xdr:col>33</xdr:col>
      <xdr:colOff>486835</xdr:colOff>
      <xdr:row>323</xdr:row>
      <xdr:rowOff>253999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7C7BF75-AB39-4189-B92D-EDE3C66601B9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5543550" y="63406867"/>
          <a:ext cx="6373285" cy="132185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10584</xdr:colOff>
      <xdr:row>348</xdr:row>
      <xdr:rowOff>169334</xdr:rowOff>
    </xdr:from>
    <xdr:to>
      <xdr:col>33</xdr:col>
      <xdr:colOff>984251</xdr:colOff>
      <xdr:row>384</xdr:row>
      <xdr:rowOff>169334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F7F793F-C27B-4DF0-8786-42B86D01F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9659" y="71140109"/>
          <a:ext cx="12184592" cy="6858000"/>
        </a:xfrm>
        <a:prstGeom prst="rect">
          <a:avLst/>
        </a:prstGeom>
      </xdr:spPr>
    </xdr:pic>
    <xdr:clientData/>
  </xdr:twoCellAnchor>
  <xdr:twoCellAnchor editAs="oneCell">
    <xdr:from>
      <xdr:col>38</xdr:col>
      <xdr:colOff>278482</xdr:colOff>
      <xdr:row>116</xdr:row>
      <xdr:rowOff>105836</xdr:rowOff>
    </xdr:from>
    <xdr:to>
      <xdr:col>55</xdr:col>
      <xdr:colOff>381000</xdr:colOff>
      <xdr:row>126</xdr:row>
      <xdr:rowOff>95251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A2F6750-67E4-433F-9219-0E0AD07DD3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952" t="12450" r="9479" b="59563"/>
        <a:stretch/>
      </xdr:blipFill>
      <xdr:spPr>
        <a:xfrm>
          <a:off x="17232982" y="23092836"/>
          <a:ext cx="10537685" cy="1894415"/>
        </a:xfrm>
        <a:prstGeom prst="rect">
          <a:avLst/>
        </a:prstGeom>
      </xdr:spPr>
    </xdr:pic>
    <xdr:clientData/>
  </xdr:twoCellAnchor>
  <xdr:twoCellAnchor editAs="oneCell">
    <xdr:from>
      <xdr:col>39</xdr:col>
      <xdr:colOff>349250</xdr:colOff>
      <xdr:row>127</xdr:row>
      <xdr:rowOff>52918</xdr:rowOff>
    </xdr:from>
    <xdr:to>
      <xdr:col>56</xdr:col>
      <xdr:colOff>428625</xdr:colOff>
      <xdr:row>143</xdr:row>
      <xdr:rowOff>21168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9CB6BDD-9AC8-4C2D-B9A4-6DCEC6C48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9910" t="38688" r="22617" b="31576"/>
        <a:stretch/>
      </xdr:blipFill>
      <xdr:spPr>
        <a:xfrm>
          <a:off x="17917583" y="25135418"/>
          <a:ext cx="10514542" cy="3058583"/>
        </a:xfrm>
        <a:prstGeom prst="rect">
          <a:avLst/>
        </a:prstGeom>
      </xdr:spPr>
    </xdr:pic>
    <xdr:clientData/>
  </xdr:twoCellAnchor>
  <xdr:twoCellAnchor editAs="oneCell">
    <xdr:from>
      <xdr:col>36</xdr:col>
      <xdr:colOff>571501</xdr:colOff>
      <xdr:row>151</xdr:row>
      <xdr:rowOff>52914</xdr:rowOff>
    </xdr:from>
    <xdr:to>
      <xdr:col>55</xdr:col>
      <xdr:colOff>127001</xdr:colOff>
      <xdr:row>168</xdr:row>
      <xdr:rowOff>169331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6CA4688-82D7-4BEC-A927-366284949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5048" t="41157" r="23602" b="25814"/>
        <a:stretch/>
      </xdr:blipFill>
      <xdr:spPr>
        <a:xfrm>
          <a:off x="16298334" y="29749747"/>
          <a:ext cx="11218334" cy="3397251"/>
        </a:xfrm>
        <a:prstGeom prst="rect">
          <a:avLst/>
        </a:prstGeom>
      </xdr:spPr>
    </xdr:pic>
    <xdr:clientData/>
  </xdr:twoCellAnchor>
  <xdr:twoCellAnchor editAs="oneCell">
    <xdr:from>
      <xdr:col>44</xdr:col>
      <xdr:colOff>109519</xdr:colOff>
      <xdr:row>198</xdr:row>
      <xdr:rowOff>158751</xdr:rowOff>
    </xdr:from>
    <xdr:to>
      <xdr:col>62</xdr:col>
      <xdr:colOff>195793</xdr:colOff>
      <xdr:row>221</xdr:row>
      <xdr:rowOff>169334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0BB6D5F-FCD6-44C0-B246-84F792FF0C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5859" t="27781" r="7280" b="18303"/>
        <a:stretch/>
      </xdr:blipFill>
      <xdr:spPr>
        <a:xfrm>
          <a:off x="20747019" y="38893751"/>
          <a:ext cx="11135274" cy="4392083"/>
        </a:xfrm>
        <a:prstGeom prst="rect">
          <a:avLst/>
        </a:prstGeom>
      </xdr:spPr>
    </xdr:pic>
    <xdr:clientData/>
  </xdr:twoCellAnchor>
  <xdr:twoCellAnchor editAs="oneCell">
    <xdr:from>
      <xdr:col>36</xdr:col>
      <xdr:colOff>571500</xdr:colOff>
      <xdr:row>169</xdr:row>
      <xdr:rowOff>148166</xdr:rowOff>
    </xdr:from>
    <xdr:to>
      <xdr:col>55</xdr:col>
      <xdr:colOff>232832</xdr:colOff>
      <xdr:row>194</xdr:row>
      <xdr:rowOff>87365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B2F889F-3E54-4CBB-A0CC-8FFF5633CA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8219" r="21460" b="47627"/>
        <a:stretch/>
      </xdr:blipFill>
      <xdr:spPr>
        <a:xfrm>
          <a:off x="16298333" y="33316333"/>
          <a:ext cx="11324166" cy="4744032"/>
        </a:xfrm>
        <a:prstGeom prst="rect">
          <a:avLst/>
        </a:prstGeom>
      </xdr:spPr>
    </xdr:pic>
    <xdr:clientData/>
  </xdr:twoCellAnchor>
  <xdr:oneCellAnchor>
    <xdr:from>
      <xdr:col>14</xdr:col>
      <xdr:colOff>1206499</xdr:colOff>
      <xdr:row>318</xdr:row>
      <xdr:rowOff>179917</xdr:rowOff>
    </xdr:from>
    <xdr:ext cx="6371168" cy="1333499"/>
    <xdr:pic>
      <xdr:nvPicPr>
        <xdr:cNvPr id="15" name="Picture 14">
          <a:extLst>
            <a:ext uri="{FF2B5EF4-FFF2-40B4-BE49-F238E27FC236}">
              <a16:creationId xmlns:a16="http://schemas.microsoft.com/office/drawing/2014/main" id="{8DDD2AB5-7545-4AAC-B493-B2D47E56DFDD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5543550" y="63406867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22</xdr:col>
      <xdr:colOff>1206499</xdr:colOff>
      <xdr:row>318</xdr:row>
      <xdr:rowOff>179917</xdr:rowOff>
    </xdr:from>
    <xdr:ext cx="6371168" cy="1333499"/>
    <xdr:pic>
      <xdr:nvPicPr>
        <xdr:cNvPr id="16" name="Picture 15">
          <a:extLst>
            <a:ext uri="{FF2B5EF4-FFF2-40B4-BE49-F238E27FC236}">
              <a16:creationId xmlns:a16="http://schemas.microsoft.com/office/drawing/2014/main" id="{BB639D63-3296-43A5-9A87-960278BE3233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5543550" y="63406867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30</xdr:col>
      <xdr:colOff>1206499</xdr:colOff>
      <xdr:row>316</xdr:row>
      <xdr:rowOff>179917</xdr:rowOff>
    </xdr:from>
    <xdr:ext cx="6371168" cy="1333499"/>
    <xdr:pic>
      <xdr:nvPicPr>
        <xdr:cNvPr id="17" name="Picture 16">
          <a:extLst>
            <a:ext uri="{FF2B5EF4-FFF2-40B4-BE49-F238E27FC236}">
              <a16:creationId xmlns:a16="http://schemas.microsoft.com/office/drawing/2014/main" id="{137F2DAC-7C26-4CCF-AD7E-D66D6A43CC07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6978649" y="63025867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5</xdr:col>
      <xdr:colOff>52917</xdr:colOff>
      <xdr:row>115</xdr:row>
      <xdr:rowOff>63499</xdr:rowOff>
    </xdr:from>
    <xdr:to>
      <xdr:col>34</xdr:col>
      <xdr:colOff>663170</xdr:colOff>
      <xdr:row>130</xdr:row>
      <xdr:rowOff>63500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B3066CF-4424-4318-AA05-0C00BA194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5195" t="69659" r="22707" b="8950"/>
        <a:stretch/>
      </xdr:blipFill>
      <xdr:spPr>
        <a:xfrm>
          <a:off x="5376334" y="22849416"/>
          <a:ext cx="8516003" cy="2868084"/>
        </a:xfrm>
        <a:prstGeom prst="rect">
          <a:avLst/>
        </a:prstGeom>
      </xdr:spPr>
    </xdr:pic>
    <xdr:clientData/>
  </xdr:twoCellAnchor>
  <xdr:twoCellAnchor editAs="oneCell">
    <xdr:from>
      <xdr:col>5</xdr:col>
      <xdr:colOff>42333</xdr:colOff>
      <xdr:row>135</xdr:row>
      <xdr:rowOff>74083</xdr:rowOff>
    </xdr:from>
    <xdr:to>
      <xdr:col>34</xdr:col>
      <xdr:colOff>1227955</xdr:colOff>
      <xdr:row>150</xdr:row>
      <xdr:rowOff>105833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9616954-4360-4FFA-96EA-FBDB7B1BE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24835" t="36640" r="22977" b="43066"/>
        <a:stretch/>
      </xdr:blipFill>
      <xdr:spPr>
        <a:xfrm>
          <a:off x="5365750" y="26712333"/>
          <a:ext cx="9091372" cy="2899833"/>
        </a:xfrm>
        <a:prstGeom prst="rect">
          <a:avLst/>
        </a:prstGeom>
      </xdr:spPr>
    </xdr:pic>
    <xdr:clientData/>
  </xdr:twoCellAnchor>
  <xdr:twoCellAnchor editAs="oneCell">
    <xdr:from>
      <xdr:col>30</xdr:col>
      <xdr:colOff>116416</xdr:colOff>
      <xdr:row>157</xdr:row>
      <xdr:rowOff>84666</xdr:rowOff>
    </xdr:from>
    <xdr:to>
      <xdr:col>34</xdr:col>
      <xdr:colOff>1336601</xdr:colOff>
      <xdr:row>179</xdr:row>
      <xdr:rowOff>148167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EB5CA3F-E324-42C1-8284-12E2089B12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3903" t="12358" r="17017" b="27010"/>
        <a:stretch/>
      </xdr:blipFill>
      <xdr:spPr>
        <a:xfrm>
          <a:off x="5905499" y="30945666"/>
          <a:ext cx="8660269" cy="4275668"/>
        </a:xfrm>
        <a:prstGeom prst="rect">
          <a:avLst/>
        </a:prstGeom>
      </xdr:spPr>
    </xdr:pic>
    <xdr:clientData/>
  </xdr:twoCellAnchor>
  <xdr:twoCellAnchor editAs="oneCell">
    <xdr:from>
      <xdr:col>30</xdr:col>
      <xdr:colOff>878417</xdr:colOff>
      <xdr:row>99</xdr:row>
      <xdr:rowOff>1</xdr:rowOff>
    </xdr:from>
    <xdr:to>
      <xdr:col>33</xdr:col>
      <xdr:colOff>613835</xdr:colOff>
      <xdr:row>111</xdr:row>
      <xdr:rowOff>74751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C5885DA-9B8F-4775-9D01-CF037C4E4E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34090" t="36115" r="26380" b="32811"/>
        <a:stretch/>
      </xdr:blipFill>
      <xdr:spPr>
        <a:xfrm>
          <a:off x="6667500" y="19685001"/>
          <a:ext cx="5386918" cy="2381917"/>
        </a:xfrm>
        <a:prstGeom prst="rect">
          <a:avLst/>
        </a:prstGeom>
      </xdr:spPr>
    </xdr:pic>
    <xdr:clientData/>
  </xdr:twoCellAnchor>
  <xdr:twoCellAnchor editAs="oneCell">
    <xdr:from>
      <xdr:col>4</xdr:col>
      <xdr:colOff>999201</xdr:colOff>
      <xdr:row>190</xdr:row>
      <xdr:rowOff>10583</xdr:rowOff>
    </xdr:from>
    <xdr:to>
      <xdr:col>35</xdr:col>
      <xdr:colOff>560916</xdr:colOff>
      <xdr:row>227</xdr:row>
      <xdr:rowOff>52917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F1AB5B1-0A47-49A0-8272-5C6C039796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17595" t="13068" r="12895" b="6160"/>
        <a:stretch/>
      </xdr:blipFill>
      <xdr:spPr>
        <a:xfrm>
          <a:off x="4809201" y="37211000"/>
          <a:ext cx="10864715" cy="71014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256</xdr:row>
      <xdr:rowOff>306916</xdr:rowOff>
    </xdr:from>
    <xdr:to>
      <xdr:col>33</xdr:col>
      <xdr:colOff>1238249</xdr:colOff>
      <xdr:row>262</xdr:row>
      <xdr:rowOff>18399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10A1D5-502B-47A2-9AE4-BAF127956A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41" t="68115" r="13068" b="10997"/>
        <a:stretch/>
      </xdr:blipFill>
      <xdr:spPr>
        <a:xfrm>
          <a:off x="15563850" y="49455916"/>
          <a:ext cx="7128932" cy="101746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263</xdr:row>
      <xdr:rowOff>95250</xdr:rowOff>
    </xdr:from>
    <xdr:to>
      <xdr:col>33</xdr:col>
      <xdr:colOff>1425128</xdr:colOff>
      <xdr:row>267</xdr:row>
      <xdr:rowOff>168803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1D2C91-9E8E-46D9-8EEB-7D50EBE3F0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077" t="46508" r="9827" b="30341"/>
        <a:stretch/>
      </xdr:blipFill>
      <xdr:spPr>
        <a:xfrm>
          <a:off x="15563850" y="50730150"/>
          <a:ext cx="7315811" cy="113188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271</xdr:row>
      <xdr:rowOff>10582</xdr:rowOff>
    </xdr:from>
    <xdr:to>
      <xdr:col>33</xdr:col>
      <xdr:colOff>1418166</xdr:colOff>
      <xdr:row>276</xdr:row>
      <xdr:rowOff>112317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582BD7-ED03-4BC4-A62F-4C05AD931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230" t="67807" r="6585" b="11099"/>
        <a:stretch/>
      </xdr:blipFill>
      <xdr:spPr>
        <a:xfrm>
          <a:off x="15563850" y="52169482"/>
          <a:ext cx="7308849" cy="105423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278</xdr:row>
      <xdr:rowOff>179917</xdr:rowOff>
    </xdr:from>
    <xdr:to>
      <xdr:col>33</xdr:col>
      <xdr:colOff>1079500</xdr:colOff>
      <xdr:row>283</xdr:row>
      <xdr:rowOff>97298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A21F28-7651-4365-917C-D5C9F134B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9492" t="62457" r="6181" b="18817"/>
        <a:stretch/>
      </xdr:blipFill>
      <xdr:spPr>
        <a:xfrm>
          <a:off x="15563850" y="53672317"/>
          <a:ext cx="6970183" cy="8698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317</xdr:row>
      <xdr:rowOff>52917</xdr:rowOff>
    </xdr:from>
    <xdr:to>
      <xdr:col>33</xdr:col>
      <xdr:colOff>275167</xdr:colOff>
      <xdr:row>324</xdr:row>
      <xdr:rowOff>146879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B016A1A-95DD-47E7-BF4D-2C92F5956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964" t="12861" r="17352" b="68836"/>
        <a:stretch/>
      </xdr:blipFill>
      <xdr:spPr>
        <a:xfrm>
          <a:off x="15563850" y="61146267"/>
          <a:ext cx="6165850" cy="18825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33</xdr:col>
      <xdr:colOff>1191191</xdr:colOff>
      <xdr:row>438</xdr:row>
      <xdr:rowOff>132190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0EE193-27CA-4E45-80B6-7F1B7F366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075" y="73475850"/>
          <a:ext cx="12402116" cy="927619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1206499</xdr:colOff>
      <xdr:row>318</xdr:row>
      <xdr:rowOff>179917</xdr:rowOff>
    </xdr:from>
    <xdr:to>
      <xdr:col>33</xdr:col>
      <xdr:colOff>486835</xdr:colOff>
      <xdr:row>323</xdr:row>
      <xdr:rowOff>253999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596B432-37E5-4739-96CE-E1393676C67E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6978649" y="61463767"/>
          <a:ext cx="6379634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10584</xdr:colOff>
      <xdr:row>348</xdr:row>
      <xdr:rowOff>169334</xdr:rowOff>
    </xdr:from>
    <xdr:to>
      <xdr:col>33</xdr:col>
      <xdr:colOff>984251</xdr:colOff>
      <xdr:row>384</xdr:row>
      <xdr:rowOff>169334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F2ED8B0-3685-43EE-B8D3-749C5FE52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9659" y="65625134"/>
          <a:ext cx="12184592" cy="685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56232</xdr:colOff>
      <xdr:row>111</xdr:row>
      <xdr:rowOff>63502</xdr:rowOff>
    </xdr:from>
    <xdr:to>
      <xdr:col>34</xdr:col>
      <xdr:colOff>1174750</xdr:colOff>
      <xdr:row>121</xdr:row>
      <xdr:rowOff>10584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AE97873-083F-4A44-8794-0608E780BB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952" t="12450" r="9479" b="59563"/>
        <a:stretch/>
      </xdr:blipFill>
      <xdr:spPr>
        <a:xfrm>
          <a:off x="3856707" y="19780252"/>
          <a:ext cx="10538743" cy="1894415"/>
        </a:xfrm>
        <a:prstGeom prst="rect">
          <a:avLst/>
        </a:prstGeom>
      </xdr:spPr>
    </xdr:pic>
    <xdr:clientData/>
  </xdr:twoCellAnchor>
  <xdr:twoCellAnchor editAs="oneCell">
    <xdr:from>
      <xdr:col>4</xdr:col>
      <xdr:colOff>10583</xdr:colOff>
      <xdr:row>125</xdr:row>
      <xdr:rowOff>21168</xdr:rowOff>
    </xdr:from>
    <xdr:to>
      <xdr:col>34</xdr:col>
      <xdr:colOff>1105958</xdr:colOff>
      <xdr:row>140</xdr:row>
      <xdr:rowOff>179918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14EFA35-23BD-40ED-814C-CD0C9CF9C5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9910" t="38688" r="22617" b="31576"/>
        <a:stretch/>
      </xdr:blipFill>
      <xdr:spPr>
        <a:xfrm>
          <a:off x="3811058" y="22423968"/>
          <a:ext cx="10515600" cy="3058583"/>
        </a:xfrm>
        <a:prstGeom prst="rect">
          <a:avLst/>
        </a:prstGeom>
      </xdr:spPr>
    </xdr:pic>
    <xdr:clientData/>
  </xdr:twoCellAnchor>
  <xdr:twoCellAnchor editAs="oneCell">
    <xdr:from>
      <xdr:col>3</xdr:col>
      <xdr:colOff>455084</xdr:colOff>
      <xdr:row>145</xdr:row>
      <xdr:rowOff>52915</xdr:rowOff>
    </xdr:from>
    <xdr:to>
      <xdr:col>34</xdr:col>
      <xdr:colOff>973668</xdr:colOff>
      <xdr:row>162</xdr:row>
      <xdr:rowOff>169332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F76F271-67BB-4532-880F-797E96C6C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5048" t="41157" r="23602" b="25814"/>
        <a:stretch/>
      </xdr:blipFill>
      <xdr:spPr>
        <a:xfrm>
          <a:off x="2979209" y="26284765"/>
          <a:ext cx="11215159" cy="3397251"/>
        </a:xfrm>
        <a:prstGeom prst="rect">
          <a:avLst/>
        </a:prstGeom>
      </xdr:spPr>
    </xdr:pic>
    <xdr:clientData/>
  </xdr:twoCellAnchor>
  <xdr:twoCellAnchor editAs="oneCell">
    <xdr:from>
      <xdr:col>3</xdr:col>
      <xdr:colOff>321185</xdr:colOff>
      <xdr:row>201</xdr:row>
      <xdr:rowOff>10584</xdr:rowOff>
    </xdr:from>
    <xdr:to>
      <xdr:col>34</xdr:col>
      <xdr:colOff>756709</xdr:colOff>
      <xdr:row>224</xdr:row>
      <xdr:rowOff>21167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ED8FA1E-0191-490A-ACE8-85D36AC1DF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5859" t="27781" r="7280" b="18303"/>
        <a:stretch/>
      </xdr:blipFill>
      <xdr:spPr>
        <a:xfrm>
          <a:off x="2845310" y="36948534"/>
          <a:ext cx="11132099" cy="4392083"/>
        </a:xfrm>
        <a:prstGeom prst="rect">
          <a:avLst/>
        </a:prstGeom>
      </xdr:spPr>
    </xdr:pic>
    <xdr:clientData/>
  </xdr:twoCellAnchor>
  <xdr:twoCellAnchor editAs="oneCell">
    <xdr:from>
      <xdr:col>3</xdr:col>
      <xdr:colOff>402166</xdr:colOff>
      <xdr:row>167</xdr:row>
      <xdr:rowOff>74084</xdr:rowOff>
    </xdr:from>
    <xdr:to>
      <xdr:col>34</xdr:col>
      <xdr:colOff>1026582</xdr:colOff>
      <xdr:row>192</xdr:row>
      <xdr:rowOff>13283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77817DE-8AD6-446E-8B8F-780085FA30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8219" r="21460" b="47627"/>
        <a:stretch/>
      </xdr:blipFill>
      <xdr:spPr>
        <a:xfrm>
          <a:off x="2926291" y="30506459"/>
          <a:ext cx="11320991" cy="4742973"/>
        </a:xfrm>
        <a:prstGeom prst="rect">
          <a:avLst/>
        </a:prstGeom>
      </xdr:spPr>
    </xdr:pic>
    <xdr:clientData/>
  </xdr:twoCellAnchor>
  <xdr:oneCellAnchor>
    <xdr:from>
      <xdr:col>14</xdr:col>
      <xdr:colOff>1206499</xdr:colOff>
      <xdr:row>318</xdr:row>
      <xdr:rowOff>179917</xdr:rowOff>
    </xdr:from>
    <xdr:ext cx="6371168" cy="1333499"/>
    <xdr:pic>
      <xdr:nvPicPr>
        <xdr:cNvPr id="15" name="Picture 14">
          <a:extLst>
            <a:ext uri="{FF2B5EF4-FFF2-40B4-BE49-F238E27FC236}">
              <a16:creationId xmlns:a16="http://schemas.microsoft.com/office/drawing/2014/main" id="{3EAA6118-EDFC-4887-9460-6E4671AAEDF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16770349" y="61463767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22</xdr:col>
      <xdr:colOff>1206499</xdr:colOff>
      <xdr:row>318</xdr:row>
      <xdr:rowOff>179917</xdr:rowOff>
    </xdr:from>
    <xdr:ext cx="6371168" cy="1333499"/>
    <xdr:pic>
      <xdr:nvPicPr>
        <xdr:cNvPr id="16" name="Picture 15">
          <a:extLst>
            <a:ext uri="{FF2B5EF4-FFF2-40B4-BE49-F238E27FC236}">
              <a16:creationId xmlns:a16="http://schemas.microsoft.com/office/drawing/2014/main" id="{620A6140-EE3D-4B8D-B986-1A7B65EC1445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27171649" y="61463767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30</xdr:col>
      <xdr:colOff>1206499</xdr:colOff>
      <xdr:row>316</xdr:row>
      <xdr:rowOff>179917</xdr:rowOff>
    </xdr:from>
    <xdr:ext cx="6371168" cy="1333499"/>
    <xdr:pic>
      <xdr:nvPicPr>
        <xdr:cNvPr id="17" name="Picture 16">
          <a:extLst>
            <a:ext uri="{FF2B5EF4-FFF2-40B4-BE49-F238E27FC236}">
              <a16:creationId xmlns:a16="http://schemas.microsoft.com/office/drawing/2014/main" id="{63D811B0-42D8-4A01-A9A3-FD751F2F941D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37572949" y="61463767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254</xdr:row>
      <xdr:rowOff>306916</xdr:rowOff>
    </xdr:from>
    <xdr:to>
      <xdr:col>17</xdr:col>
      <xdr:colOff>1471082</xdr:colOff>
      <xdr:row>260</xdr:row>
      <xdr:rowOff>28982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44281B-16D3-4E1F-B470-E580918CB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41" t="68115" r="13068" b="10997"/>
        <a:stretch/>
      </xdr:blipFill>
      <xdr:spPr>
        <a:xfrm>
          <a:off x="15563850" y="49455916"/>
          <a:ext cx="7128932" cy="101746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261</xdr:row>
      <xdr:rowOff>95250</xdr:rowOff>
    </xdr:from>
    <xdr:to>
      <xdr:col>17</xdr:col>
      <xdr:colOff>1657961</xdr:colOff>
      <xdr:row>267</xdr:row>
      <xdr:rowOff>84136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0E504F-D776-4485-A6EB-2C53AF19B5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077" t="46508" r="9827" b="30341"/>
        <a:stretch/>
      </xdr:blipFill>
      <xdr:spPr>
        <a:xfrm>
          <a:off x="15563850" y="50730150"/>
          <a:ext cx="7315811" cy="113188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269</xdr:row>
      <xdr:rowOff>10582</xdr:rowOff>
    </xdr:from>
    <xdr:to>
      <xdr:col>17</xdr:col>
      <xdr:colOff>1650999</xdr:colOff>
      <xdr:row>274</xdr:row>
      <xdr:rowOff>112317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237ED7-5C90-4C32-9D37-3AC26AD505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230" t="67807" r="6585" b="11099"/>
        <a:stretch/>
      </xdr:blipFill>
      <xdr:spPr>
        <a:xfrm>
          <a:off x="15563850" y="52169482"/>
          <a:ext cx="7308849" cy="105423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276</xdr:row>
      <xdr:rowOff>179917</xdr:rowOff>
    </xdr:from>
    <xdr:to>
      <xdr:col>17</xdr:col>
      <xdr:colOff>1312333</xdr:colOff>
      <xdr:row>281</xdr:row>
      <xdr:rowOff>97298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C8289B-EEF3-4617-A212-113CFC9619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9492" t="62457" r="6181" b="18817"/>
        <a:stretch/>
      </xdr:blipFill>
      <xdr:spPr>
        <a:xfrm>
          <a:off x="15563850" y="53672317"/>
          <a:ext cx="6970183" cy="8698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315</xdr:row>
      <xdr:rowOff>52917</xdr:rowOff>
    </xdr:from>
    <xdr:to>
      <xdr:col>17</xdr:col>
      <xdr:colOff>508000</xdr:colOff>
      <xdr:row>325</xdr:row>
      <xdr:rowOff>30463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A0F4B70-F8D9-4EA5-96D6-2B369713E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964" t="12861" r="17352" b="68836"/>
        <a:stretch/>
      </xdr:blipFill>
      <xdr:spPr>
        <a:xfrm>
          <a:off x="15563850" y="61146267"/>
          <a:ext cx="6165850" cy="18825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10</xdr:col>
      <xdr:colOff>1191191</xdr:colOff>
      <xdr:row>427</xdr:row>
      <xdr:rowOff>132190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DDFDA6-E03E-4934-8E4E-042AF9CDA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075" y="73475850"/>
          <a:ext cx="12402116" cy="927619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1206499</xdr:colOff>
      <xdr:row>316</xdr:row>
      <xdr:rowOff>179917</xdr:rowOff>
    </xdr:from>
    <xdr:to>
      <xdr:col>11</xdr:col>
      <xdr:colOff>137583</xdr:colOff>
      <xdr:row>323</xdr:row>
      <xdr:rowOff>179916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794DEB0-E611-4A44-BA9F-3B6538609929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6978649" y="61463767"/>
          <a:ext cx="6379634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10584</xdr:colOff>
      <xdr:row>337</xdr:row>
      <xdr:rowOff>169334</xdr:rowOff>
    </xdr:from>
    <xdr:to>
      <xdr:col>10</xdr:col>
      <xdr:colOff>984251</xdr:colOff>
      <xdr:row>373</xdr:row>
      <xdr:rowOff>169334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B54B108-0A37-45FF-A46B-2902F9EAD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9659" y="65625134"/>
          <a:ext cx="12184592" cy="685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56232</xdr:colOff>
      <xdr:row>100</xdr:row>
      <xdr:rowOff>63502</xdr:rowOff>
    </xdr:from>
    <xdr:to>
      <xdr:col>11</xdr:col>
      <xdr:colOff>1174750</xdr:colOff>
      <xdr:row>110</xdr:row>
      <xdr:rowOff>52917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69E88EC-A3F0-4618-841F-BB70E8C7A7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952" t="12450" r="9479" b="59563"/>
        <a:stretch/>
      </xdr:blipFill>
      <xdr:spPr>
        <a:xfrm>
          <a:off x="3856707" y="19780252"/>
          <a:ext cx="10538743" cy="1894415"/>
        </a:xfrm>
        <a:prstGeom prst="rect">
          <a:avLst/>
        </a:prstGeom>
      </xdr:spPr>
    </xdr:pic>
    <xdr:clientData/>
  </xdr:twoCellAnchor>
  <xdr:twoCellAnchor editAs="oneCell">
    <xdr:from>
      <xdr:col>4</xdr:col>
      <xdr:colOff>10583</xdr:colOff>
      <xdr:row>114</xdr:row>
      <xdr:rowOff>21168</xdr:rowOff>
    </xdr:from>
    <xdr:to>
      <xdr:col>11</xdr:col>
      <xdr:colOff>1105958</xdr:colOff>
      <xdr:row>130</xdr:row>
      <xdr:rowOff>31751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618E4F9-88FC-4FF0-807F-D43AD362F6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9910" t="38688" r="22617" b="31576"/>
        <a:stretch/>
      </xdr:blipFill>
      <xdr:spPr>
        <a:xfrm>
          <a:off x="3811058" y="22423968"/>
          <a:ext cx="10515600" cy="3058583"/>
        </a:xfrm>
        <a:prstGeom prst="rect">
          <a:avLst/>
        </a:prstGeom>
      </xdr:spPr>
    </xdr:pic>
    <xdr:clientData/>
  </xdr:twoCellAnchor>
  <xdr:twoCellAnchor editAs="oneCell">
    <xdr:from>
      <xdr:col>3</xdr:col>
      <xdr:colOff>455084</xdr:colOff>
      <xdr:row>134</xdr:row>
      <xdr:rowOff>52915</xdr:rowOff>
    </xdr:from>
    <xdr:to>
      <xdr:col>11</xdr:col>
      <xdr:colOff>973668</xdr:colOff>
      <xdr:row>152</xdr:row>
      <xdr:rowOff>21166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7EEAE5E-71D2-4FA6-84D3-64A93512F3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5048" t="41157" r="23602" b="25814"/>
        <a:stretch/>
      </xdr:blipFill>
      <xdr:spPr>
        <a:xfrm>
          <a:off x="2979209" y="26284765"/>
          <a:ext cx="11215159" cy="3397251"/>
        </a:xfrm>
        <a:prstGeom prst="rect">
          <a:avLst/>
        </a:prstGeom>
      </xdr:spPr>
    </xdr:pic>
    <xdr:clientData/>
  </xdr:twoCellAnchor>
  <xdr:twoCellAnchor editAs="oneCell">
    <xdr:from>
      <xdr:col>3</xdr:col>
      <xdr:colOff>321185</xdr:colOff>
      <xdr:row>190</xdr:row>
      <xdr:rowOff>10584</xdr:rowOff>
    </xdr:from>
    <xdr:to>
      <xdr:col>11</xdr:col>
      <xdr:colOff>756709</xdr:colOff>
      <xdr:row>213</xdr:row>
      <xdr:rowOff>21167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46A9C32-25B0-4025-8537-B49250EBD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5859" t="27781" r="7280" b="18303"/>
        <a:stretch/>
      </xdr:blipFill>
      <xdr:spPr>
        <a:xfrm>
          <a:off x="2845310" y="36948534"/>
          <a:ext cx="11132099" cy="4392083"/>
        </a:xfrm>
        <a:prstGeom prst="rect">
          <a:avLst/>
        </a:prstGeom>
      </xdr:spPr>
    </xdr:pic>
    <xdr:clientData/>
  </xdr:twoCellAnchor>
  <xdr:twoCellAnchor editAs="oneCell">
    <xdr:from>
      <xdr:col>3</xdr:col>
      <xdr:colOff>402166</xdr:colOff>
      <xdr:row>156</xdr:row>
      <xdr:rowOff>74084</xdr:rowOff>
    </xdr:from>
    <xdr:to>
      <xdr:col>11</xdr:col>
      <xdr:colOff>1026582</xdr:colOff>
      <xdr:row>181</xdr:row>
      <xdr:rowOff>45032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53FDCD7-1FC9-4CA9-9E63-4B542A0FE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8219" r="21460" b="47627"/>
        <a:stretch/>
      </xdr:blipFill>
      <xdr:spPr>
        <a:xfrm>
          <a:off x="2926291" y="30506459"/>
          <a:ext cx="11320991" cy="4742973"/>
        </a:xfrm>
        <a:prstGeom prst="rect">
          <a:avLst/>
        </a:prstGeom>
      </xdr:spPr>
    </xdr:pic>
    <xdr:clientData/>
  </xdr:twoCellAnchor>
  <xdr:oneCellAnchor>
    <xdr:from>
      <xdr:col>14</xdr:col>
      <xdr:colOff>1206499</xdr:colOff>
      <xdr:row>316</xdr:row>
      <xdr:rowOff>179917</xdr:rowOff>
    </xdr:from>
    <xdr:ext cx="6371168" cy="1333499"/>
    <xdr:pic>
      <xdr:nvPicPr>
        <xdr:cNvPr id="15" name="Picture 14">
          <a:extLst>
            <a:ext uri="{FF2B5EF4-FFF2-40B4-BE49-F238E27FC236}">
              <a16:creationId xmlns:a16="http://schemas.microsoft.com/office/drawing/2014/main" id="{98290DFA-515D-4BF7-9452-139369AEAC46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16770349" y="61463767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22</xdr:col>
      <xdr:colOff>1206499</xdr:colOff>
      <xdr:row>316</xdr:row>
      <xdr:rowOff>179917</xdr:rowOff>
    </xdr:from>
    <xdr:ext cx="6371168" cy="1333499"/>
    <xdr:pic>
      <xdr:nvPicPr>
        <xdr:cNvPr id="16" name="Picture 15">
          <a:extLst>
            <a:ext uri="{FF2B5EF4-FFF2-40B4-BE49-F238E27FC236}">
              <a16:creationId xmlns:a16="http://schemas.microsoft.com/office/drawing/2014/main" id="{C26CB403-8836-452B-A602-FDB98F06EA7E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27171649" y="61463767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30</xdr:col>
      <xdr:colOff>1206499</xdr:colOff>
      <xdr:row>316</xdr:row>
      <xdr:rowOff>179917</xdr:rowOff>
    </xdr:from>
    <xdr:ext cx="6371168" cy="1333499"/>
    <xdr:pic>
      <xdr:nvPicPr>
        <xdr:cNvPr id="17" name="Picture 16">
          <a:extLst>
            <a:ext uri="{FF2B5EF4-FFF2-40B4-BE49-F238E27FC236}">
              <a16:creationId xmlns:a16="http://schemas.microsoft.com/office/drawing/2014/main" id="{DA421FB5-DEAC-4A8B-B15D-50007600E2F6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37572949" y="61463767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254</xdr:row>
      <xdr:rowOff>306916</xdr:rowOff>
    </xdr:from>
    <xdr:to>
      <xdr:col>17</xdr:col>
      <xdr:colOff>1471082</xdr:colOff>
      <xdr:row>260</xdr:row>
      <xdr:rowOff>28982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758157-2221-417A-A2E1-07AC62924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41" t="68115" r="13068" b="10997"/>
        <a:stretch/>
      </xdr:blipFill>
      <xdr:spPr>
        <a:xfrm>
          <a:off x="15106650" y="49274941"/>
          <a:ext cx="7076015" cy="101323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261</xdr:row>
      <xdr:rowOff>95250</xdr:rowOff>
    </xdr:from>
    <xdr:to>
      <xdr:col>17</xdr:col>
      <xdr:colOff>1657961</xdr:colOff>
      <xdr:row>267</xdr:row>
      <xdr:rowOff>84136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85AB1F-BFC6-479E-BADD-AE3B0BB1BA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077" t="46508" r="9827" b="30341"/>
        <a:stretch/>
      </xdr:blipFill>
      <xdr:spPr>
        <a:xfrm>
          <a:off x="15106650" y="50511075"/>
          <a:ext cx="7262894" cy="113188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269</xdr:row>
      <xdr:rowOff>10582</xdr:rowOff>
    </xdr:from>
    <xdr:to>
      <xdr:col>17</xdr:col>
      <xdr:colOff>1650999</xdr:colOff>
      <xdr:row>274</xdr:row>
      <xdr:rowOff>112317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5472CE-3959-4309-8725-053FB2CFE6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230" t="67807" r="6585" b="11099"/>
        <a:stretch/>
      </xdr:blipFill>
      <xdr:spPr>
        <a:xfrm>
          <a:off x="15106650" y="51950407"/>
          <a:ext cx="7255932" cy="105423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276</xdr:row>
      <xdr:rowOff>179917</xdr:rowOff>
    </xdr:from>
    <xdr:to>
      <xdr:col>17</xdr:col>
      <xdr:colOff>1312333</xdr:colOff>
      <xdr:row>281</xdr:row>
      <xdr:rowOff>97298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8A9651-65FB-4BCC-BCC2-216E8A2FBC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9492" t="62457" r="6181" b="18817"/>
        <a:stretch/>
      </xdr:blipFill>
      <xdr:spPr>
        <a:xfrm>
          <a:off x="15106650" y="53453242"/>
          <a:ext cx="6917266" cy="8698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315</xdr:row>
      <xdr:rowOff>52917</xdr:rowOff>
    </xdr:from>
    <xdr:to>
      <xdr:col>17</xdr:col>
      <xdr:colOff>508000</xdr:colOff>
      <xdr:row>325</xdr:row>
      <xdr:rowOff>30463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77D4450-400A-4921-9482-18A555E58F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964" t="12861" r="17352" b="68836"/>
        <a:stretch/>
      </xdr:blipFill>
      <xdr:spPr>
        <a:xfrm>
          <a:off x="15106650" y="60774792"/>
          <a:ext cx="6117167" cy="18825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10</xdr:col>
      <xdr:colOff>1191191</xdr:colOff>
      <xdr:row>427</xdr:row>
      <xdr:rowOff>132190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D29211-7E11-417D-BA52-1E4A30E0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075" y="72951975"/>
          <a:ext cx="12410582" cy="9276190"/>
        </a:xfrm>
        <a:prstGeom prst="rect">
          <a:avLst/>
        </a:prstGeom>
      </xdr:spPr>
    </xdr:pic>
    <xdr:clientData/>
  </xdr:twoCellAnchor>
  <xdr:twoCellAnchor editAs="oneCell">
    <xdr:from>
      <xdr:col>7</xdr:col>
      <xdr:colOff>1206499</xdr:colOff>
      <xdr:row>316</xdr:row>
      <xdr:rowOff>179917</xdr:rowOff>
    </xdr:from>
    <xdr:to>
      <xdr:col>11</xdr:col>
      <xdr:colOff>137583</xdr:colOff>
      <xdr:row>323</xdr:row>
      <xdr:rowOff>179916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822DF35-397C-42A3-AFAE-50CD0F8E730F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6521449" y="60901792"/>
          <a:ext cx="6379635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10584</xdr:colOff>
      <xdr:row>337</xdr:row>
      <xdr:rowOff>169334</xdr:rowOff>
    </xdr:from>
    <xdr:to>
      <xdr:col>10</xdr:col>
      <xdr:colOff>984251</xdr:colOff>
      <xdr:row>373</xdr:row>
      <xdr:rowOff>169334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4797A3-F245-4FCC-9ED8-D18EE0DF3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9659" y="65101259"/>
          <a:ext cx="12193058" cy="685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56232</xdr:colOff>
      <xdr:row>100</xdr:row>
      <xdr:rowOff>63502</xdr:rowOff>
    </xdr:from>
    <xdr:to>
      <xdr:col>11</xdr:col>
      <xdr:colOff>1174750</xdr:colOff>
      <xdr:row>110</xdr:row>
      <xdr:rowOff>52917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2875DB5-300E-4335-9DC5-4724AD7E0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952" t="12450" r="9479" b="59563"/>
        <a:stretch/>
      </xdr:blipFill>
      <xdr:spPr>
        <a:xfrm>
          <a:off x="3856707" y="19713577"/>
          <a:ext cx="10547210" cy="1894415"/>
        </a:xfrm>
        <a:prstGeom prst="rect">
          <a:avLst/>
        </a:prstGeom>
      </xdr:spPr>
    </xdr:pic>
    <xdr:clientData/>
  </xdr:twoCellAnchor>
  <xdr:twoCellAnchor editAs="oneCell">
    <xdr:from>
      <xdr:col>4</xdr:col>
      <xdr:colOff>10583</xdr:colOff>
      <xdr:row>114</xdr:row>
      <xdr:rowOff>21168</xdr:rowOff>
    </xdr:from>
    <xdr:to>
      <xdr:col>11</xdr:col>
      <xdr:colOff>1105958</xdr:colOff>
      <xdr:row>130</xdr:row>
      <xdr:rowOff>31751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56068AB-2E8E-46FA-81C2-AAB1B5C818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9910" t="38688" r="22617" b="31576"/>
        <a:stretch/>
      </xdr:blipFill>
      <xdr:spPr>
        <a:xfrm>
          <a:off x="3811058" y="22357293"/>
          <a:ext cx="10524067" cy="3058583"/>
        </a:xfrm>
        <a:prstGeom prst="rect">
          <a:avLst/>
        </a:prstGeom>
      </xdr:spPr>
    </xdr:pic>
    <xdr:clientData/>
  </xdr:twoCellAnchor>
  <xdr:twoCellAnchor editAs="oneCell">
    <xdr:from>
      <xdr:col>3</xdr:col>
      <xdr:colOff>455084</xdr:colOff>
      <xdr:row>134</xdr:row>
      <xdr:rowOff>52915</xdr:rowOff>
    </xdr:from>
    <xdr:to>
      <xdr:col>11</xdr:col>
      <xdr:colOff>973668</xdr:colOff>
      <xdr:row>152</xdr:row>
      <xdr:rowOff>21166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ED9A3C7-E72E-423F-B018-C46BDE83C7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5048" t="41157" r="23602" b="25814"/>
        <a:stretch/>
      </xdr:blipFill>
      <xdr:spPr>
        <a:xfrm>
          <a:off x="2979209" y="26218090"/>
          <a:ext cx="11223626" cy="3397251"/>
        </a:xfrm>
        <a:prstGeom prst="rect">
          <a:avLst/>
        </a:prstGeom>
      </xdr:spPr>
    </xdr:pic>
    <xdr:clientData/>
  </xdr:twoCellAnchor>
  <xdr:twoCellAnchor editAs="oneCell">
    <xdr:from>
      <xdr:col>3</xdr:col>
      <xdr:colOff>321185</xdr:colOff>
      <xdr:row>190</xdr:row>
      <xdr:rowOff>10584</xdr:rowOff>
    </xdr:from>
    <xdr:to>
      <xdr:col>11</xdr:col>
      <xdr:colOff>756709</xdr:colOff>
      <xdr:row>213</xdr:row>
      <xdr:rowOff>21167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36446B1-4B04-4C85-8F23-755BCC028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5859" t="27781" r="7280" b="18303"/>
        <a:stretch/>
      </xdr:blipFill>
      <xdr:spPr>
        <a:xfrm>
          <a:off x="2845310" y="36881859"/>
          <a:ext cx="11140566" cy="4392083"/>
        </a:xfrm>
        <a:prstGeom prst="rect">
          <a:avLst/>
        </a:prstGeom>
      </xdr:spPr>
    </xdr:pic>
    <xdr:clientData/>
  </xdr:twoCellAnchor>
  <xdr:twoCellAnchor editAs="oneCell">
    <xdr:from>
      <xdr:col>3</xdr:col>
      <xdr:colOff>402166</xdr:colOff>
      <xdr:row>156</xdr:row>
      <xdr:rowOff>74084</xdr:rowOff>
    </xdr:from>
    <xdr:to>
      <xdr:col>11</xdr:col>
      <xdr:colOff>1026582</xdr:colOff>
      <xdr:row>181</xdr:row>
      <xdr:rowOff>45032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8558415-A8AF-4566-A1B1-425BFBCDFF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8219" r="21460" b="47627"/>
        <a:stretch/>
      </xdr:blipFill>
      <xdr:spPr>
        <a:xfrm>
          <a:off x="2926291" y="30449309"/>
          <a:ext cx="11329458" cy="4744032"/>
        </a:xfrm>
        <a:prstGeom prst="rect">
          <a:avLst/>
        </a:prstGeom>
      </xdr:spPr>
    </xdr:pic>
    <xdr:clientData/>
  </xdr:twoCellAnchor>
  <xdr:oneCellAnchor>
    <xdr:from>
      <xdr:col>14</xdr:col>
      <xdr:colOff>1206499</xdr:colOff>
      <xdr:row>316</xdr:row>
      <xdr:rowOff>179917</xdr:rowOff>
    </xdr:from>
    <xdr:ext cx="6371168" cy="1333499"/>
    <xdr:pic>
      <xdr:nvPicPr>
        <xdr:cNvPr id="15" name="Picture 14">
          <a:extLst>
            <a:ext uri="{FF2B5EF4-FFF2-40B4-BE49-F238E27FC236}">
              <a16:creationId xmlns:a16="http://schemas.microsoft.com/office/drawing/2014/main" id="{DA2444C2-09EF-4FF1-8C22-8CD95210318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6529916" y="61468000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22</xdr:col>
      <xdr:colOff>1206499</xdr:colOff>
      <xdr:row>316</xdr:row>
      <xdr:rowOff>179917</xdr:rowOff>
    </xdr:from>
    <xdr:ext cx="6371168" cy="1333499"/>
    <xdr:pic>
      <xdr:nvPicPr>
        <xdr:cNvPr id="18" name="Picture 17">
          <a:extLst>
            <a:ext uri="{FF2B5EF4-FFF2-40B4-BE49-F238E27FC236}">
              <a16:creationId xmlns:a16="http://schemas.microsoft.com/office/drawing/2014/main" id="{ECF095F3-6CE0-4649-AC98-33A24E827E36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6529916" y="61468000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30</xdr:col>
      <xdr:colOff>1206499</xdr:colOff>
      <xdr:row>316</xdr:row>
      <xdr:rowOff>179917</xdr:rowOff>
    </xdr:from>
    <xdr:ext cx="6371168" cy="1333499"/>
    <xdr:pic>
      <xdr:nvPicPr>
        <xdr:cNvPr id="21" name="Picture 20">
          <a:extLst>
            <a:ext uri="{FF2B5EF4-FFF2-40B4-BE49-F238E27FC236}">
              <a16:creationId xmlns:a16="http://schemas.microsoft.com/office/drawing/2014/main" id="{E34697FC-8A93-483C-849D-2CEB25187E15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26257249" y="61499750"/>
          <a:ext cx="6371168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254</xdr:row>
      <xdr:rowOff>306916</xdr:rowOff>
    </xdr:from>
    <xdr:to>
      <xdr:col>23</xdr:col>
      <xdr:colOff>370415</xdr:colOff>
      <xdr:row>260</xdr:row>
      <xdr:rowOff>62849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1059C29-AAE8-4888-AA6B-A8CE302B6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41" t="68115" r="13068" b="10997"/>
        <a:stretch/>
      </xdr:blipFill>
      <xdr:spPr>
        <a:xfrm>
          <a:off x="14725650" y="46760341"/>
          <a:ext cx="7076015" cy="10132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261</xdr:row>
      <xdr:rowOff>95250</xdr:rowOff>
    </xdr:from>
    <xdr:to>
      <xdr:col>23</xdr:col>
      <xdr:colOff>557294</xdr:colOff>
      <xdr:row>267</xdr:row>
      <xdr:rowOff>84136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DBEA89D-F865-40C8-95B5-C210B6BE4C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077" t="46508" r="9827" b="30341"/>
        <a:stretch/>
      </xdr:blipFill>
      <xdr:spPr>
        <a:xfrm>
          <a:off x="14725650" y="47996475"/>
          <a:ext cx="7262894" cy="11318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269</xdr:row>
      <xdr:rowOff>10582</xdr:rowOff>
    </xdr:from>
    <xdr:to>
      <xdr:col>23</xdr:col>
      <xdr:colOff>550332</xdr:colOff>
      <xdr:row>274</xdr:row>
      <xdr:rowOff>112317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B1C9F1E-CFE0-449F-8E19-4E61D8E95F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230" t="67807" r="6585" b="11099"/>
        <a:stretch/>
      </xdr:blipFill>
      <xdr:spPr>
        <a:xfrm>
          <a:off x="14725650" y="49435807"/>
          <a:ext cx="7255932" cy="105423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276</xdr:row>
      <xdr:rowOff>179917</xdr:rowOff>
    </xdr:from>
    <xdr:to>
      <xdr:col>23</xdr:col>
      <xdr:colOff>211666</xdr:colOff>
      <xdr:row>281</xdr:row>
      <xdr:rowOff>97298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05B3510-F52C-43EE-AD76-706DEA599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9492" t="62457" r="6181" b="18817"/>
        <a:stretch/>
      </xdr:blipFill>
      <xdr:spPr>
        <a:xfrm>
          <a:off x="14725650" y="50938642"/>
          <a:ext cx="6917266" cy="8698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315</xdr:row>
      <xdr:rowOff>52917</xdr:rowOff>
    </xdr:from>
    <xdr:to>
      <xdr:col>22</xdr:col>
      <xdr:colOff>21167</xdr:colOff>
      <xdr:row>325</xdr:row>
      <xdr:rowOff>30463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307F379-7129-44C6-A154-13EE42DD17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964" t="12861" r="17352" b="68836"/>
        <a:stretch/>
      </xdr:blipFill>
      <xdr:spPr>
        <a:xfrm>
          <a:off x="14725650" y="58260192"/>
          <a:ext cx="6117167" cy="18825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8</xdr:col>
      <xdr:colOff>1656857</xdr:colOff>
      <xdr:row>427</xdr:row>
      <xdr:rowOff>132190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F17B334-BABF-4033-ACC8-07A707960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075" y="70437375"/>
          <a:ext cx="12410582" cy="9276190"/>
        </a:xfrm>
        <a:prstGeom prst="rect">
          <a:avLst/>
        </a:prstGeom>
      </xdr:spPr>
    </xdr:pic>
    <xdr:clientData/>
  </xdr:twoCellAnchor>
  <xdr:twoCellAnchor editAs="oneCell">
    <xdr:from>
      <xdr:col>5</xdr:col>
      <xdr:colOff>1206499</xdr:colOff>
      <xdr:row>315</xdr:row>
      <xdr:rowOff>179917</xdr:rowOff>
    </xdr:from>
    <xdr:to>
      <xdr:col>9</xdr:col>
      <xdr:colOff>137584</xdr:colOff>
      <xdr:row>322</xdr:row>
      <xdr:rowOff>179916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28DCC49-2AE1-43AE-BA0A-617EA0E4818A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23532" t="44611" r="23379" b="38307"/>
        <a:stretch/>
      </xdr:blipFill>
      <xdr:spPr bwMode="auto">
        <a:xfrm>
          <a:off x="6521449" y="58387192"/>
          <a:ext cx="6379635" cy="13334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10584</xdr:colOff>
      <xdr:row>337</xdr:row>
      <xdr:rowOff>169334</xdr:rowOff>
    </xdr:from>
    <xdr:to>
      <xdr:col>8</xdr:col>
      <xdr:colOff>1449917</xdr:colOff>
      <xdr:row>373</xdr:row>
      <xdr:rowOff>169334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329C822-37CD-4CDB-8379-6DE71FC7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9659" y="62586659"/>
          <a:ext cx="12193058" cy="685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56232</xdr:colOff>
      <xdr:row>100</xdr:row>
      <xdr:rowOff>63502</xdr:rowOff>
    </xdr:from>
    <xdr:to>
      <xdr:col>9</xdr:col>
      <xdr:colOff>1640417</xdr:colOff>
      <xdr:row>110</xdr:row>
      <xdr:rowOff>52917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1297445-EB40-4356-A28D-804F02AC24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952" t="12450" r="9479" b="59563"/>
        <a:stretch/>
      </xdr:blipFill>
      <xdr:spPr>
        <a:xfrm>
          <a:off x="3866232" y="19759085"/>
          <a:ext cx="10537685" cy="1894415"/>
        </a:xfrm>
        <a:prstGeom prst="rect">
          <a:avLst/>
        </a:prstGeom>
      </xdr:spPr>
    </xdr:pic>
    <xdr:clientData/>
  </xdr:twoCellAnchor>
  <xdr:twoCellAnchor editAs="oneCell">
    <xdr:from>
      <xdr:col>4</xdr:col>
      <xdr:colOff>10583</xdr:colOff>
      <xdr:row>114</xdr:row>
      <xdr:rowOff>21168</xdr:rowOff>
    </xdr:from>
    <xdr:to>
      <xdr:col>9</xdr:col>
      <xdr:colOff>1571625</xdr:colOff>
      <xdr:row>130</xdr:row>
      <xdr:rowOff>31751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662994B-11C2-4044-8BAE-F42C6A1632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9910" t="38688" r="22617" b="31576"/>
        <a:stretch/>
      </xdr:blipFill>
      <xdr:spPr>
        <a:xfrm>
          <a:off x="3820583" y="19907251"/>
          <a:ext cx="10509250" cy="3058583"/>
        </a:xfrm>
        <a:prstGeom prst="rect">
          <a:avLst/>
        </a:prstGeom>
      </xdr:spPr>
    </xdr:pic>
    <xdr:clientData/>
  </xdr:twoCellAnchor>
  <xdr:twoCellAnchor editAs="oneCell">
    <xdr:from>
      <xdr:col>3</xdr:col>
      <xdr:colOff>455084</xdr:colOff>
      <xdr:row>134</xdr:row>
      <xdr:rowOff>52915</xdr:rowOff>
    </xdr:from>
    <xdr:to>
      <xdr:col>9</xdr:col>
      <xdr:colOff>1439335</xdr:colOff>
      <xdr:row>152</xdr:row>
      <xdr:rowOff>21166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C4EF609-33DD-48AE-B549-1A9F753BC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5048" t="41157" r="23602" b="25814"/>
        <a:stretch/>
      </xdr:blipFill>
      <xdr:spPr>
        <a:xfrm>
          <a:off x="2984501" y="23770165"/>
          <a:ext cx="11218334" cy="3397251"/>
        </a:xfrm>
        <a:prstGeom prst="rect">
          <a:avLst/>
        </a:prstGeom>
      </xdr:spPr>
    </xdr:pic>
    <xdr:clientData/>
  </xdr:twoCellAnchor>
  <xdr:twoCellAnchor editAs="oneCell">
    <xdr:from>
      <xdr:col>3</xdr:col>
      <xdr:colOff>321185</xdr:colOff>
      <xdr:row>190</xdr:row>
      <xdr:rowOff>10584</xdr:rowOff>
    </xdr:from>
    <xdr:to>
      <xdr:col>9</xdr:col>
      <xdr:colOff>1222376</xdr:colOff>
      <xdr:row>213</xdr:row>
      <xdr:rowOff>21167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E9E6D9-7255-447D-9A1B-FCD9529E0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5859" t="27781" r="7280" b="18303"/>
        <a:stretch/>
      </xdr:blipFill>
      <xdr:spPr>
        <a:xfrm>
          <a:off x="2850602" y="36935834"/>
          <a:ext cx="11135274" cy="4392083"/>
        </a:xfrm>
        <a:prstGeom prst="rect">
          <a:avLst/>
        </a:prstGeom>
      </xdr:spPr>
    </xdr:pic>
    <xdr:clientData/>
  </xdr:twoCellAnchor>
  <xdr:twoCellAnchor editAs="oneCell">
    <xdr:from>
      <xdr:col>3</xdr:col>
      <xdr:colOff>402166</xdr:colOff>
      <xdr:row>156</xdr:row>
      <xdr:rowOff>74084</xdr:rowOff>
    </xdr:from>
    <xdr:to>
      <xdr:col>9</xdr:col>
      <xdr:colOff>1492249</xdr:colOff>
      <xdr:row>181</xdr:row>
      <xdr:rowOff>55616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582405-A7C5-463B-8F5A-6B8B7C6AA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8219" r="21460" b="47627"/>
        <a:stretch/>
      </xdr:blipFill>
      <xdr:spPr>
        <a:xfrm>
          <a:off x="2931583" y="30501167"/>
          <a:ext cx="11324166" cy="47440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45B25-2297-46CC-BE57-0A36DA0BF8C7}">
  <dimension ref="A1:AL318"/>
  <sheetViews>
    <sheetView tabSelected="1" topLeftCell="E40" zoomScale="90" zoomScaleNormal="90" workbookViewId="0">
      <selection activeCell="I62" sqref="I62"/>
    </sheetView>
  </sheetViews>
  <sheetFormatPr defaultRowHeight="14.5" x14ac:dyDescent="0.35"/>
  <cols>
    <col min="1" max="1" width="3.26953125" customWidth="1"/>
    <col min="2" max="2" width="21.54296875" bestFit="1" customWidth="1"/>
    <col min="3" max="3" width="16.1796875" bestFit="1" customWidth="1"/>
    <col min="4" max="4" width="19.1796875" customWidth="1"/>
    <col min="5" max="5" width="22.7265625" bestFit="1" customWidth="1"/>
    <col min="6" max="6" width="3.453125" style="1" customWidth="1"/>
    <col min="7" max="7" width="3.453125" style="3" customWidth="1"/>
    <col min="8" max="8" width="29.81640625" style="1" customWidth="1"/>
    <col min="9" max="9" width="39.453125" style="2" customWidth="1"/>
    <col min="10" max="10" width="15.54296875" style="2" customWidth="1"/>
    <col min="11" max="11" width="26.81640625" style="2" customWidth="1"/>
    <col min="12" max="12" width="28.26953125" style="2" customWidth="1"/>
    <col min="13" max="13" width="3.453125" style="1" customWidth="1"/>
    <col min="14" max="14" width="15" bestFit="1" customWidth="1"/>
    <col min="15" max="20" width="9.1796875" customWidth="1"/>
  </cols>
  <sheetData>
    <row r="1" spans="2:27" ht="15" thickBot="1" x14ac:dyDescent="0.4">
      <c r="C1" s="414">
        <v>2020</v>
      </c>
    </row>
    <row r="2" spans="2:27" ht="15.75" customHeight="1" thickBot="1" x14ac:dyDescent="0.4">
      <c r="C2" s="415"/>
      <c r="F2" s="224"/>
      <c r="H2"/>
      <c r="I2" s="416" t="s">
        <v>189</v>
      </c>
      <c r="J2" s="417"/>
      <c r="K2" s="417"/>
      <c r="L2" s="418"/>
      <c r="M2" s="224"/>
      <c r="R2" s="422" t="s">
        <v>174</v>
      </c>
      <c r="S2" s="423"/>
      <c r="T2" s="423"/>
      <c r="U2" s="423"/>
      <c r="V2" s="423"/>
      <c r="W2" s="423"/>
      <c r="X2" s="423"/>
      <c r="Y2" s="423"/>
      <c r="Z2" s="423"/>
      <c r="AA2" s="424"/>
    </row>
    <row r="3" spans="2:27" ht="15" customHeight="1" thickBot="1" x14ac:dyDescent="0.4">
      <c r="B3" s="399" t="s">
        <v>173</v>
      </c>
      <c r="C3" s="400"/>
      <c r="D3" s="400"/>
      <c r="E3" s="401"/>
      <c r="F3" s="224"/>
      <c r="H3"/>
      <c r="I3" s="419"/>
      <c r="J3" s="420"/>
      <c r="K3" s="420"/>
      <c r="L3" s="421"/>
      <c r="M3" s="224"/>
    </row>
    <row r="4" spans="2:27" ht="15.75" customHeight="1" thickBot="1" x14ac:dyDescent="0.4">
      <c r="B4" s="402"/>
      <c r="C4" s="403"/>
      <c r="D4" s="403"/>
      <c r="E4" s="404"/>
      <c r="H4"/>
    </row>
    <row r="5" spans="2:27" ht="15.75" customHeight="1" thickBot="1" x14ac:dyDescent="0.4">
      <c r="B5" s="405"/>
      <c r="C5" s="406"/>
      <c r="D5" s="406"/>
      <c r="E5" s="407"/>
      <c r="H5"/>
      <c r="I5" s="7" t="s">
        <v>99</v>
      </c>
      <c r="J5" s="8"/>
      <c r="K5" s="9"/>
      <c r="L5" s="9"/>
    </row>
    <row r="6" spans="2:27" ht="15.75" customHeight="1" thickBot="1" x14ac:dyDescent="0.4">
      <c r="B6" s="13"/>
      <c r="C6" s="330" t="s">
        <v>11</v>
      </c>
      <c r="D6" s="15"/>
      <c r="E6" s="329"/>
      <c r="F6" s="224"/>
      <c r="H6"/>
      <c r="I6" s="17" t="s">
        <v>13</v>
      </c>
      <c r="J6" s="17" t="s">
        <v>14</v>
      </c>
      <c r="K6" s="18" t="s">
        <v>15</v>
      </c>
    </row>
    <row r="7" spans="2:27" x14ac:dyDescent="0.35">
      <c r="B7" s="20" t="s">
        <v>19</v>
      </c>
      <c r="C7" s="21">
        <v>1893.1</v>
      </c>
      <c r="D7" s="252"/>
      <c r="E7" s="290"/>
      <c r="F7" s="224"/>
      <c r="H7"/>
      <c r="I7" s="91">
        <f>+I24</f>
        <v>28175.607400000001</v>
      </c>
      <c r="J7" s="324">
        <f>C7</f>
        <v>1893.1</v>
      </c>
      <c r="K7" s="26">
        <f>+I7*J7</f>
        <v>53339242.368939996</v>
      </c>
    </row>
    <row r="8" spans="2:27" x14ac:dyDescent="0.35">
      <c r="B8" s="31" t="s">
        <v>20</v>
      </c>
      <c r="C8" s="32">
        <v>26.332000000000001</v>
      </c>
      <c r="D8" s="236"/>
      <c r="E8" s="291"/>
      <c r="F8" s="224"/>
      <c r="H8"/>
      <c r="I8" s="35">
        <f>+I32</f>
        <v>3948521.6164000002</v>
      </c>
      <c r="J8" s="325">
        <f>C8</f>
        <v>26.332000000000001</v>
      </c>
      <c r="K8" s="37">
        <f>+I8*J8</f>
        <v>103972471.2030448</v>
      </c>
    </row>
    <row r="9" spans="2:27" x14ac:dyDescent="0.35">
      <c r="B9" s="40" t="s">
        <v>21</v>
      </c>
      <c r="C9" s="41">
        <v>1075.4000000000001</v>
      </c>
      <c r="D9" s="292"/>
      <c r="E9" s="293"/>
      <c r="F9" s="224"/>
      <c r="H9"/>
      <c r="I9" s="44">
        <f>I39</f>
        <v>176.6515</v>
      </c>
      <c r="J9" s="326">
        <f>C9</f>
        <v>1075.4000000000001</v>
      </c>
      <c r="K9" s="46">
        <f>+I9*J9</f>
        <v>189971.02310000002</v>
      </c>
      <c r="N9" s="317"/>
    </row>
    <row r="10" spans="2:27" ht="14.5" customHeight="1" x14ac:dyDescent="0.35">
      <c r="B10" s="49" t="s">
        <v>22</v>
      </c>
      <c r="C10" s="50">
        <v>2448.5</v>
      </c>
      <c r="D10" s="294"/>
      <c r="E10" s="295"/>
      <c r="F10" s="224"/>
      <c r="H10"/>
      <c r="I10" s="53">
        <f>I45</f>
        <v>289.08819999999997</v>
      </c>
      <c r="J10" s="327">
        <f>C10</f>
        <v>2448.5</v>
      </c>
      <c r="K10" s="55">
        <f>+I10*J10</f>
        <v>707832.45769999991</v>
      </c>
      <c r="N10" s="317"/>
    </row>
    <row r="11" spans="2:27" ht="15" thickBot="1" x14ac:dyDescent="0.4">
      <c r="B11" s="296" t="s">
        <v>23</v>
      </c>
      <c r="C11" s="58">
        <v>17000</v>
      </c>
      <c r="D11" s="297"/>
      <c r="E11" s="298"/>
      <c r="F11" s="224"/>
      <c r="H11"/>
      <c r="I11" s="332">
        <v>-1.6140000000000001</v>
      </c>
      <c r="J11" s="328">
        <f>C11</f>
        <v>17000</v>
      </c>
      <c r="K11" s="63">
        <f>+I11*J11</f>
        <v>-27438</v>
      </c>
      <c r="N11" s="317"/>
    </row>
    <row r="12" spans="2:27" ht="15" thickBot="1" x14ac:dyDescent="0.4">
      <c r="B12" s="405" t="s">
        <v>177</v>
      </c>
      <c r="C12" s="406"/>
      <c r="D12" s="406"/>
      <c r="E12" s="407"/>
      <c r="H12" s="65"/>
      <c r="I12" s="65"/>
      <c r="J12" s="56"/>
      <c r="K12" s="66">
        <f>SUM(K7:K11)</f>
        <v>158182079.0527848</v>
      </c>
      <c r="N12" s="317"/>
    </row>
    <row r="13" spans="2:27" ht="15" thickBot="1" x14ac:dyDescent="0.4">
      <c r="H13"/>
      <c r="I13" s="67"/>
      <c r="J13" s="67"/>
      <c r="K13" s="68">
        <f>C14</f>
        <v>333954.087</v>
      </c>
      <c r="L13" s="69" t="s">
        <v>25</v>
      </c>
      <c r="N13" s="317"/>
    </row>
    <row r="14" spans="2:27" ht="15" thickBot="1" x14ac:dyDescent="0.4">
      <c r="B14" s="73" t="s">
        <v>25</v>
      </c>
      <c r="C14" s="411">
        <v>333954.087</v>
      </c>
      <c r="D14" s="411"/>
      <c r="E14" s="412"/>
      <c r="H14"/>
      <c r="I14" s="413"/>
      <c r="J14" s="413"/>
      <c r="K14" s="74">
        <f>D15</f>
        <v>-2462403.56</v>
      </c>
      <c r="L14" s="75" t="s">
        <v>28</v>
      </c>
      <c r="N14" s="317"/>
    </row>
    <row r="15" spans="2:27" ht="15" thickBot="1" x14ac:dyDescent="0.4">
      <c r="B15" s="81" t="s">
        <v>28</v>
      </c>
      <c r="C15" s="82"/>
      <c r="D15" s="380">
        <v>-2462403.56</v>
      </c>
      <c r="E15" s="381"/>
      <c r="H15"/>
      <c r="I15" s="56" t="s">
        <v>30</v>
      </c>
      <c r="J15" s="83"/>
      <c r="K15" s="84">
        <f>+K12+K13+K14</f>
        <v>156053629.57978481</v>
      </c>
      <c r="N15" s="317"/>
    </row>
    <row r="16" spans="2:27" ht="15" thickBot="1" x14ac:dyDescent="0.4">
      <c r="C16" s="85"/>
      <c r="D16" s="85"/>
      <c r="E16" s="85"/>
      <c r="H16"/>
      <c r="I16" s="56"/>
      <c r="J16" s="56"/>
      <c r="N16" s="317"/>
    </row>
    <row r="17" spans="2:14" ht="15" thickBot="1" x14ac:dyDescent="0.4">
      <c r="B17" s="382" t="s">
        <v>31</v>
      </c>
      <c r="C17" s="383"/>
      <c r="D17" s="383"/>
      <c r="E17" s="384"/>
      <c r="H17"/>
      <c r="I17" s="7" t="s">
        <v>100</v>
      </c>
      <c r="J17" s="86"/>
      <c r="K17" s="86"/>
      <c r="L17" s="9"/>
      <c r="N17" s="317"/>
    </row>
    <row r="18" spans="2:14" ht="15" customHeight="1" x14ac:dyDescent="0.35">
      <c r="B18" s="87" t="s">
        <v>33</v>
      </c>
      <c r="C18" s="88">
        <f>-SUM('LIFO as of 12.31.19 (01.08.20)'!C19:C21)</f>
        <v>-3377592.5</v>
      </c>
      <c r="D18" s="89"/>
      <c r="E18" s="90"/>
      <c r="H18" s="385" t="s">
        <v>34</v>
      </c>
      <c r="I18" s="91">
        <v>635.15750000000003</v>
      </c>
      <c r="J18" s="92">
        <v>513</v>
      </c>
      <c r="K18" s="92">
        <f>+I18*J18</f>
        <v>325835.79749999999</v>
      </c>
      <c r="L18" s="93">
        <v>2005</v>
      </c>
      <c r="N18" s="317"/>
    </row>
    <row r="19" spans="2:14" x14ac:dyDescent="0.35">
      <c r="B19" s="87" t="s">
        <v>183</v>
      </c>
      <c r="C19" s="88">
        <f>K94</f>
        <v>-35945</v>
      </c>
      <c r="D19" s="96"/>
      <c r="E19" s="97" t="s">
        <v>118</v>
      </c>
      <c r="H19" s="386"/>
      <c r="I19" s="91">
        <v>8241.6015000000007</v>
      </c>
      <c r="J19" s="92">
        <v>635.70000000000005</v>
      </c>
      <c r="K19" s="92">
        <f t="shared" ref="K19:K22" si="0">+I19*J19</f>
        <v>5239186.0735500008</v>
      </c>
      <c r="L19" s="93">
        <v>2006</v>
      </c>
      <c r="N19" s="317"/>
    </row>
    <row r="20" spans="2:14" x14ac:dyDescent="0.35">
      <c r="B20" s="87" t="s">
        <v>185</v>
      </c>
      <c r="C20" s="98">
        <f>K95</f>
        <v>-5546</v>
      </c>
      <c r="D20" s="96"/>
      <c r="E20" s="97" t="s">
        <v>118</v>
      </c>
      <c r="H20" s="386"/>
      <c r="I20" s="91">
        <f>2706.7257-20.5754</f>
        <v>2686.1502999999998</v>
      </c>
      <c r="J20" s="92">
        <v>846.75</v>
      </c>
      <c r="K20" s="92">
        <f t="shared" si="0"/>
        <v>2274497.7665249999</v>
      </c>
      <c r="L20" s="93">
        <v>2008</v>
      </c>
      <c r="N20" s="317"/>
    </row>
    <row r="21" spans="2:14" x14ac:dyDescent="0.35">
      <c r="B21" s="87" t="s">
        <v>187</v>
      </c>
      <c r="C21" s="88">
        <f>K96</f>
        <v>-140510</v>
      </c>
      <c r="D21" s="96"/>
      <c r="E21" s="97" t="s">
        <v>188</v>
      </c>
      <c r="H21" s="386"/>
      <c r="I21" s="91">
        <v>16612.698100000001</v>
      </c>
      <c r="J21" s="92">
        <v>1527.1</v>
      </c>
      <c r="K21" s="92">
        <f t="shared" si="0"/>
        <v>25369251.268509999</v>
      </c>
      <c r="L21" s="323" t="s">
        <v>113</v>
      </c>
      <c r="N21" s="317"/>
    </row>
    <row r="22" spans="2:14" x14ac:dyDescent="0.35">
      <c r="B22" s="87" t="s">
        <v>103</v>
      </c>
      <c r="C22" s="88">
        <f>K97</f>
        <v>-192590</v>
      </c>
      <c r="D22" s="96"/>
      <c r="E22" s="97" t="s">
        <v>118</v>
      </c>
      <c r="H22" s="386"/>
      <c r="I22" s="91"/>
      <c r="J22" s="103"/>
      <c r="K22" s="92">
        <f t="shared" si="0"/>
        <v>0</v>
      </c>
      <c r="N22" s="317"/>
    </row>
    <row r="23" spans="2:14" ht="15" thickBot="1" x14ac:dyDescent="0.4">
      <c r="B23" s="99" t="s">
        <v>41</v>
      </c>
      <c r="C23" s="100">
        <f>SUM(C18:C22)</f>
        <v>-3752183.5</v>
      </c>
      <c r="D23" s="101"/>
      <c r="E23" s="102" t="str">
        <f>B3</f>
        <v>Date as of : 12.31.2020</v>
      </c>
      <c r="H23" s="386"/>
      <c r="I23" s="106"/>
      <c r="J23" s="92"/>
      <c r="K23" s="92"/>
      <c r="L23" s="93"/>
    </row>
    <row r="24" spans="2:14" ht="15" thickBot="1" x14ac:dyDescent="0.4">
      <c r="B24" s="388" t="s">
        <v>125</v>
      </c>
      <c r="C24" s="389"/>
      <c r="D24" s="389"/>
      <c r="E24" s="390"/>
      <c r="H24" s="387"/>
      <c r="I24" s="108">
        <f>SUM(I18:I23)</f>
        <v>28175.607400000001</v>
      </c>
      <c r="J24" s="92"/>
      <c r="K24" s="109">
        <f>SUM(K18:K23)</f>
        <v>33208770.906084999</v>
      </c>
      <c r="L24" s="93"/>
    </row>
    <row r="25" spans="2:14" ht="15" thickTop="1" x14ac:dyDescent="0.35">
      <c r="B25" s="388" t="s">
        <v>126</v>
      </c>
      <c r="C25" s="389"/>
      <c r="D25" s="389"/>
      <c r="E25" s="390"/>
      <c r="I25" s="56"/>
      <c r="J25" s="115"/>
      <c r="L25" s="93"/>
    </row>
    <row r="26" spans="2:14" ht="15" customHeight="1" x14ac:dyDescent="0.35">
      <c r="B26" s="391" t="s">
        <v>127</v>
      </c>
      <c r="C26" s="392"/>
      <c r="D26" s="392"/>
      <c r="E26" s="393"/>
      <c r="H26" s="394" t="s">
        <v>47</v>
      </c>
      <c r="I26" s="116">
        <v>981664.58790000004</v>
      </c>
      <c r="J26" s="233">
        <v>8.83</v>
      </c>
      <c r="K26" s="118">
        <f t="shared" ref="K26:K31" si="1">+I26*J26</f>
        <v>8668098.3111570012</v>
      </c>
      <c r="L26" s="93">
        <v>2005</v>
      </c>
    </row>
    <row r="27" spans="2:14" ht="15" thickBot="1" x14ac:dyDescent="0.4">
      <c r="B27" s="396" t="s">
        <v>124</v>
      </c>
      <c r="C27" s="397"/>
      <c r="D27" s="397"/>
      <c r="E27" s="398"/>
      <c r="H27" s="395"/>
      <c r="I27" s="116">
        <v>649.01480000000004</v>
      </c>
      <c r="J27" s="233">
        <v>14.93</v>
      </c>
      <c r="K27" s="118">
        <f t="shared" si="1"/>
        <v>9689.7909639999998</v>
      </c>
      <c r="L27" s="93">
        <v>2008</v>
      </c>
    </row>
    <row r="28" spans="2:14" ht="15" thickBot="1" x14ac:dyDescent="0.4">
      <c r="B28" s="93"/>
      <c r="C28" s="93"/>
      <c r="D28" s="93"/>
      <c r="E28" s="93"/>
      <c r="H28" s="395"/>
      <c r="I28" s="122">
        <f>213803.7135</f>
        <v>213803.71350000001</v>
      </c>
      <c r="J28" s="233">
        <v>11.08</v>
      </c>
      <c r="K28" s="118">
        <f t="shared" si="1"/>
        <v>2368945.1455800002</v>
      </c>
      <c r="L28" s="93">
        <v>2009</v>
      </c>
    </row>
    <row r="29" spans="2:14" ht="15" thickBot="1" x14ac:dyDescent="0.4">
      <c r="B29" s="119" t="s">
        <v>48</v>
      </c>
      <c r="C29" s="120" t="s">
        <v>192</v>
      </c>
      <c r="D29" s="120"/>
      <c r="E29" s="121">
        <v>31564580.690000001</v>
      </c>
      <c r="H29" s="395"/>
      <c r="I29" s="122">
        <f>1249196.5802-72195.341</f>
        <v>1177001.2392</v>
      </c>
      <c r="J29" s="233">
        <v>14</v>
      </c>
      <c r="K29" s="118">
        <f t="shared" si="1"/>
        <v>16478017.3488</v>
      </c>
      <c r="L29" s="93">
        <v>2016</v>
      </c>
    </row>
    <row r="30" spans="2:14" x14ac:dyDescent="0.35">
      <c r="B30" s="93"/>
      <c r="C30" s="93"/>
      <c r="D30" s="93"/>
      <c r="E30" s="93"/>
      <c r="H30" s="395"/>
      <c r="I30" s="122">
        <v>1047351.461</v>
      </c>
      <c r="J30" s="233">
        <v>15.44</v>
      </c>
      <c r="K30" s="118">
        <f t="shared" si="1"/>
        <v>16171106.557839999</v>
      </c>
      <c r="L30" s="93">
        <v>2016</v>
      </c>
    </row>
    <row r="31" spans="2:14" ht="15" thickBot="1" x14ac:dyDescent="0.4">
      <c r="B31" s="93"/>
      <c r="C31" s="93"/>
      <c r="D31" s="93"/>
      <c r="E31" s="123"/>
      <c r="H31" s="395"/>
      <c r="I31" s="122">
        <v>528051.6</v>
      </c>
      <c r="J31" s="233">
        <v>17.925000000000001</v>
      </c>
      <c r="K31" s="118">
        <f t="shared" si="1"/>
        <v>9465324.9299999997</v>
      </c>
      <c r="L31" s="323" t="s">
        <v>113</v>
      </c>
      <c r="N31" s="318"/>
    </row>
    <row r="32" spans="2:14" ht="15.75" customHeight="1" thickBot="1" x14ac:dyDescent="0.4">
      <c r="B32" s="399" t="s">
        <v>49</v>
      </c>
      <c r="C32" s="400"/>
      <c r="D32" s="400"/>
      <c r="E32" s="401"/>
      <c r="H32" s="395"/>
      <c r="I32" s="125">
        <f>SUM(I26:I31)</f>
        <v>3948521.6164000002</v>
      </c>
      <c r="J32" s="126"/>
      <c r="K32" s="127">
        <f>SUM(K26:K31)</f>
        <v>53161182.084340997</v>
      </c>
      <c r="L32" s="323"/>
      <c r="N32" s="194"/>
    </row>
    <row r="33" spans="2:14" ht="15" thickTop="1" x14ac:dyDescent="0.35">
      <c r="B33" s="402"/>
      <c r="C33" s="403"/>
      <c r="D33" s="403"/>
      <c r="E33" s="404"/>
      <c r="I33" s="131"/>
      <c r="K33" s="132"/>
      <c r="L33" s="323"/>
    </row>
    <row r="34" spans="2:14" ht="15" thickBot="1" x14ac:dyDescent="0.4">
      <c r="B34" s="405"/>
      <c r="C34" s="406"/>
      <c r="D34" s="406"/>
      <c r="E34" s="407"/>
      <c r="H34" s="408" t="s">
        <v>51</v>
      </c>
      <c r="I34" s="134">
        <v>176.6515</v>
      </c>
      <c r="J34" s="135">
        <v>987</v>
      </c>
      <c r="K34" s="136">
        <f>+I34*J34</f>
        <v>174355.03049999999</v>
      </c>
      <c r="L34" s="323" t="s">
        <v>113</v>
      </c>
    </row>
    <row r="35" spans="2:14" x14ac:dyDescent="0.35">
      <c r="B35" s="350" t="s">
        <v>35</v>
      </c>
      <c r="C35" s="351"/>
      <c r="D35" s="351"/>
      <c r="E35" s="352"/>
      <c r="H35" s="409"/>
      <c r="I35" s="137">
        <v>0</v>
      </c>
      <c r="J35" s="135"/>
      <c r="K35" s="136">
        <f>+I35*J35</f>
        <v>0</v>
      </c>
      <c r="L35" s="323"/>
    </row>
    <row r="36" spans="2:14" x14ac:dyDescent="0.35">
      <c r="B36" s="353"/>
      <c r="C36" s="354"/>
      <c r="D36" s="354"/>
      <c r="E36" s="355"/>
      <c r="H36" s="409"/>
      <c r="I36" s="137">
        <v>0</v>
      </c>
      <c r="J36" s="135"/>
      <c r="K36" s="136">
        <f>+I36*J36</f>
        <v>0</v>
      </c>
      <c r="L36" s="323"/>
    </row>
    <row r="37" spans="2:14" ht="15" thickBot="1" x14ac:dyDescent="0.4">
      <c r="B37" s="356"/>
      <c r="C37" s="357"/>
      <c r="D37" s="357"/>
      <c r="E37" s="358"/>
      <c r="H37" s="409"/>
      <c r="I37" s="138"/>
      <c r="J37" s="139"/>
      <c r="K37" s="136"/>
      <c r="L37" s="323"/>
    </row>
    <row r="38" spans="2:14" x14ac:dyDescent="0.35">
      <c r="H38" s="409"/>
      <c r="I38" s="138"/>
      <c r="J38" s="135"/>
      <c r="K38" s="136"/>
      <c r="L38" s="323"/>
    </row>
    <row r="39" spans="2:14" ht="15" thickBot="1" x14ac:dyDescent="0.4">
      <c r="B39" s="223"/>
      <c r="C39" s="223"/>
      <c r="D39" s="223"/>
      <c r="E39" s="223"/>
      <c r="H39" s="410"/>
      <c r="I39" s="140">
        <f>SUM(I34:I38)</f>
        <v>176.6515</v>
      </c>
      <c r="J39" s="136"/>
      <c r="K39" s="141">
        <f>SUM(K34:K38)</f>
        <v>174355.03049999999</v>
      </c>
      <c r="L39" s="323"/>
    </row>
    <row r="40" spans="2:14" ht="15" thickTop="1" x14ac:dyDescent="0.35">
      <c r="B40" s="223"/>
      <c r="C40" s="223"/>
      <c r="D40" s="223"/>
      <c r="E40" s="223"/>
      <c r="F40" s="224"/>
      <c r="I40" s="131"/>
      <c r="J40" s="145"/>
      <c r="K40" s="132"/>
      <c r="L40" s="323"/>
    </row>
    <row r="41" spans="2:14" x14ac:dyDescent="0.35">
      <c r="B41" s="223"/>
      <c r="C41" s="223"/>
      <c r="D41" s="223"/>
      <c r="E41" s="223"/>
      <c r="F41" s="224"/>
      <c r="H41" s="359" t="s">
        <v>53</v>
      </c>
      <c r="I41" s="322">
        <v>517.16899999999998</v>
      </c>
      <c r="J41" s="149">
        <v>1267</v>
      </c>
      <c r="K41" s="148">
        <f>+I41*J41</f>
        <v>655253.12300000002</v>
      </c>
      <c r="L41" s="323" t="s">
        <v>42</v>
      </c>
    </row>
    <row r="42" spans="2:14" x14ac:dyDescent="0.35">
      <c r="B42" s="223"/>
      <c r="C42" s="223"/>
      <c r="D42" s="223"/>
      <c r="E42" s="223"/>
      <c r="F42" s="224"/>
      <c r="H42" s="360"/>
      <c r="I42" s="146">
        <v>-228.08080000000001</v>
      </c>
      <c r="J42" s="149">
        <v>1267</v>
      </c>
      <c r="K42" s="148">
        <f>+I42*J42</f>
        <v>-288978.37359999999</v>
      </c>
      <c r="L42" s="323"/>
      <c r="N42" s="321"/>
    </row>
    <row r="43" spans="2:14" x14ac:dyDescent="0.35">
      <c r="B43" s="223"/>
      <c r="C43" s="223"/>
      <c r="D43" s="223"/>
      <c r="E43" s="223"/>
      <c r="F43" s="224"/>
      <c r="H43" s="360"/>
      <c r="I43" s="319"/>
      <c r="J43" s="151"/>
      <c r="K43" s="148">
        <f>+I43*J43</f>
        <v>0</v>
      </c>
      <c r="L43" s="323"/>
      <c r="N43" s="321"/>
    </row>
    <row r="44" spans="2:14" x14ac:dyDescent="0.35">
      <c r="B44" s="223"/>
      <c r="C44" s="223"/>
      <c r="D44" s="223"/>
      <c r="E44" s="223"/>
      <c r="F44" s="224"/>
      <c r="H44" s="360"/>
      <c r="I44" s="152">
        <v>0</v>
      </c>
      <c r="J44" s="151"/>
      <c r="K44" s="148">
        <f>+I44*J44</f>
        <v>0</v>
      </c>
      <c r="L44" s="323"/>
      <c r="N44" s="321"/>
    </row>
    <row r="45" spans="2:14" ht="15" thickBot="1" x14ac:dyDescent="0.4">
      <c r="B45" s="223"/>
      <c r="C45" s="223"/>
      <c r="D45" s="223"/>
      <c r="E45" s="223"/>
      <c r="H45" s="361"/>
      <c r="I45" s="320">
        <f>SUM(I41:I44)</f>
        <v>289.08819999999997</v>
      </c>
      <c r="J45" s="148"/>
      <c r="K45" s="154">
        <f>SUM(K41:K44)</f>
        <v>366274.74940000003</v>
      </c>
      <c r="L45" s="323"/>
      <c r="N45" s="321"/>
    </row>
    <row r="46" spans="2:14" ht="15" thickTop="1" x14ac:dyDescent="0.35">
      <c r="B46" s="223"/>
      <c r="C46" s="223"/>
      <c r="D46" s="223"/>
      <c r="E46" s="223"/>
      <c r="I46" s="131"/>
      <c r="J46" s="132"/>
      <c r="K46" s="132"/>
      <c r="L46" s="323"/>
    </row>
    <row r="47" spans="2:14" x14ac:dyDescent="0.35">
      <c r="B47" s="223"/>
      <c r="C47" s="223"/>
      <c r="D47" s="223"/>
      <c r="E47" s="223"/>
      <c r="H47" s="362" t="s">
        <v>55</v>
      </c>
      <c r="I47" s="158">
        <v>72.56</v>
      </c>
      <c r="J47" s="160">
        <v>2300</v>
      </c>
      <c r="K47" s="160">
        <f>+I47*J47</f>
        <v>166888</v>
      </c>
      <c r="L47" s="323" t="s">
        <v>42</v>
      </c>
    </row>
    <row r="48" spans="2:14" x14ac:dyDescent="0.35">
      <c r="B48" s="223"/>
      <c r="C48" s="223"/>
      <c r="D48" s="223"/>
      <c r="E48" s="223"/>
      <c r="H48" s="363"/>
      <c r="I48" s="158">
        <v>-72.56</v>
      </c>
      <c r="J48" s="160">
        <v>2300</v>
      </c>
      <c r="K48" s="160">
        <f>+I48*J48</f>
        <v>-166888</v>
      </c>
      <c r="L48" s="323" t="s">
        <v>42</v>
      </c>
      <c r="N48" s="194"/>
    </row>
    <row r="49" spans="1:27" x14ac:dyDescent="0.35">
      <c r="B49" s="223"/>
      <c r="C49" s="223"/>
      <c r="D49" s="223"/>
      <c r="E49" s="223"/>
      <c r="H49" s="363"/>
      <c r="I49" s="158">
        <v>0</v>
      </c>
      <c r="J49" s="160">
        <v>6050</v>
      </c>
      <c r="K49" s="160">
        <f>+I49*J49</f>
        <v>0</v>
      </c>
      <c r="L49" s="323" t="s">
        <v>113</v>
      </c>
    </row>
    <row r="50" spans="1:27" ht="15" thickBot="1" x14ac:dyDescent="0.4">
      <c r="B50" s="223"/>
      <c r="C50" s="223"/>
      <c r="D50" s="223"/>
      <c r="E50" s="223"/>
      <c r="H50" s="364"/>
      <c r="I50" s="164">
        <f>SUM(I47:I49)</f>
        <v>0</v>
      </c>
      <c r="J50" s="160"/>
      <c r="K50" s="165">
        <f>SUM(K47:K49)</f>
        <v>0</v>
      </c>
      <c r="L50" s="323"/>
    </row>
    <row r="51" spans="1:27" ht="15" thickTop="1" x14ac:dyDescent="0.35">
      <c r="B51" s="223"/>
      <c r="C51" s="223"/>
      <c r="D51" s="223"/>
      <c r="E51" s="223"/>
      <c r="I51" s="170"/>
      <c r="J51" s="171"/>
      <c r="K51" s="68">
        <f>+K13</f>
        <v>333954.087</v>
      </c>
      <c r="L51" s="69" t="s">
        <v>26</v>
      </c>
    </row>
    <row r="52" spans="1:27" ht="15" thickBot="1" x14ac:dyDescent="0.4">
      <c r="B52" s="223"/>
      <c r="C52" s="223"/>
      <c r="D52" s="223"/>
      <c r="E52" s="223"/>
      <c r="I52" s="56" t="s">
        <v>30</v>
      </c>
      <c r="J52" s="132"/>
      <c r="K52" s="84">
        <f>+K24+K32+K39+K45+K51+K50</f>
        <v>87244536.857326001</v>
      </c>
    </row>
    <row r="53" spans="1:27" ht="15" thickTop="1" x14ac:dyDescent="0.35">
      <c r="B53" s="223"/>
      <c r="C53" s="223"/>
      <c r="D53" s="223"/>
      <c r="E53" s="223"/>
      <c r="J53" s="132"/>
      <c r="K53" s="132"/>
    </row>
    <row r="54" spans="1:27" ht="15" thickBot="1" x14ac:dyDescent="0.4">
      <c r="B54" s="223"/>
      <c r="C54" s="223"/>
      <c r="D54" s="223"/>
      <c r="E54" s="223"/>
      <c r="I54" s="56" t="s">
        <v>190</v>
      </c>
      <c r="J54" s="132"/>
      <c r="K54" s="177">
        <f>+K15-K52</f>
        <v>68809092.72245881</v>
      </c>
    </row>
    <row r="55" spans="1:27" ht="15" thickTop="1" x14ac:dyDescent="0.35">
      <c r="B55" s="223"/>
      <c r="C55" s="223"/>
      <c r="D55" s="223"/>
      <c r="E55" s="223"/>
      <c r="I55" s="56"/>
      <c r="J55" s="132"/>
      <c r="K55" s="289"/>
    </row>
    <row r="56" spans="1:27" x14ac:dyDescent="0.35">
      <c r="B56" s="223"/>
      <c r="C56" s="223"/>
      <c r="D56" s="223"/>
      <c r="E56" s="223"/>
      <c r="I56" s="56"/>
      <c r="J56" s="132"/>
      <c r="K56" s="289"/>
    </row>
    <row r="57" spans="1:27" x14ac:dyDescent="0.35">
      <c r="B57" s="223"/>
      <c r="C57" s="223"/>
      <c r="D57" s="223"/>
      <c r="E57" s="223"/>
      <c r="J57" s="178"/>
      <c r="K57" s="179"/>
    </row>
    <row r="58" spans="1:27" x14ac:dyDescent="0.35">
      <c r="B58" s="223"/>
      <c r="C58" s="223"/>
      <c r="D58" s="223"/>
      <c r="E58" s="223"/>
      <c r="H58" s="224"/>
      <c r="I58" s="180" t="s">
        <v>109</v>
      </c>
      <c r="J58" s="178"/>
      <c r="K58" s="181">
        <v>30081777.469999999</v>
      </c>
      <c r="R58" s="365" t="s">
        <v>175</v>
      </c>
      <c r="S58" s="366"/>
      <c r="T58" s="366"/>
      <c r="U58" s="366"/>
      <c r="V58" s="366"/>
      <c r="W58" s="366"/>
      <c r="X58" s="366"/>
      <c r="Y58" s="366"/>
      <c r="Z58" s="366"/>
      <c r="AA58" s="367"/>
    </row>
    <row r="59" spans="1:27" x14ac:dyDescent="0.35">
      <c r="B59" s="223"/>
      <c r="C59" s="223"/>
      <c r="D59" s="223"/>
      <c r="E59" s="223"/>
      <c r="H59" s="224"/>
      <c r="I59" s="2" t="s">
        <v>110</v>
      </c>
      <c r="J59" s="56"/>
      <c r="K59" s="174">
        <f>+K54</f>
        <v>68809092.72245881</v>
      </c>
    </row>
    <row r="60" spans="1:27" x14ac:dyDescent="0.35">
      <c r="B60" s="223"/>
      <c r="C60" s="223"/>
      <c r="D60" s="223"/>
      <c r="E60" s="223"/>
      <c r="I60" s="2" t="s">
        <v>60</v>
      </c>
      <c r="J60" s="56"/>
      <c r="K60" s="183">
        <f>+K58-K59</f>
        <v>-38727315.252458811</v>
      </c>
      <c r="L60" s="30">
        <f>K60+38727315.76</f>
        <v>0.50754118710756302</v>
      </c>
      <c r="M60" s="372" t="s">
        <v>195</v>
      </c>
      <c r="N60" s="373"/>
    </row>
    <row r="61" spans="1:27" s="2" customFormat="1" x14ac:dyDescent="0.35">
      <c r="A61"/>
      <c r="B61" s="223"/>
      <c r="C61" s="223"/>
      <c r="D61" s="223"/>
      <c r="E61" s="223"/>
      <c r="F61" s="1"/>
      <c r="G61" s="3"/>
      <c r="H61" s="224"/>
      <c r="I61" s="2" t="s">
        <v>194</v>
      </c>
      <c r="J61" s="56"/>
      <c r="K61" s="184">
        <f>E29</f>
        <v>31564580.690000001</v>
      </c>
      <c r="M61" s="1"/>
    </row>
    <row r="62" spans="1:27" s="2" customFormat="1" ht="15" thickBot="1" x14ac:dyDescent="0.4">
      <c r="A62"/>
      <c r="B62" s="223"/>
      <c r="C62" s="223"/>
      <c r="D62" s="223"/>
      <c r="E62" s="223"/>
      <c r="F62" s="1"/>
      <c r="G62" s="3"/>
      <c r="H62" s="224"/>
      <c r="I62" s="2" t="s">
        <v>112</v>
      </c>
      <c r="J62" s="56"/>
      <c r="K62" s="177">
        <f>+K60+K61</f>
        <v>-7162734.5624588095</v>
      </c>
      <c r="M62" s="1"/>
    </row>
    <row r="63" spans="1:27" s="2" customFormat="1" ht="15" thickTop="1" x14ac:dyDescent="0.35">
      <c r="A63"/>
      <c r="B63" s="223"/>
      <c r="C63" s="223"/>
      <c r="D63" s="223"/>
      <c r="E63" s="223"/>
      <c r="F63" s="1"/>
      <c r="G63" s="3"/>
      <c r="H63" s="224"/>
      <c r="I63" s="56"/>
      <c r="J63" s="56"/>
      <c r="K63" s="30"/>
      <c r="M63" s="1"/>
    </row>
    <row r="64" spans="1:27" s="2" customFormat="1" ht="15" thickBot="1" x14ac:dyDescent="0.4">
      <c r="B64" s="223"/>
      <c r="C64" s="223"/>
      <c r="D64" s="223"/>
      <c r="E64" s="223"/>
      <c r="F64" s="1"/>
      <c r="G64" s="3"/>
      <c r="H64" s="238"/>
      <c r="I64" s="56"/>
      <c r="J64" s="56"/>
      <c r="M64" s="1"/>
    </row>
    <row r="65" spans="1:13" s="2" customFormat="1" ht="15" thickBot="1" x14ac:dyDescent="0.4">
      <c r="B65" s="223"/>
      <c r="C65" s="223"/>
      <c r="D65" s="223"/>
      <c r="E65" s="223"/>
      <c r="F65" s="1"/>
      <c r="G65" s="3"/>
      <c r="H65" s="238"/>
      <c r="I65" s="368" t="s">
        <v>65</v>
      </c>
      <c r="J65" s="369"/>
      <c r="K65" s="369"/>
      <c r="L65" s="370"/>
      <c r="M65" s="1"/>
    </row>
    <row r="66" spans="1:13" s="2" customFormat="1" ht="15" thickBot="1" x14ac:dyDescent="0.4">
      <c r="B66" s="223"/>
      <c r="C66" s="223"/>
      <c r="D66" s="223"/>
      <c r="E66" s="223"/>
      <c r="F66" s="1"/>
      <c r="G66" s="3"/>
      <c r="H66" s="238"/>
      <c r="I66" s="56"/>
      <c r="J66" s="56"/>
      <c r="M66" s="1"/>
    </row>
    <row r="67" spans="1:13" s="2" customFormat="1" ht="15" thickBot="1" x14ac:dyDescent="0.4">
      <c r="B67" s="223"/>
      <c r="C67" s="223"/>
      <c r="D67" s="223"/>
      <c r="E67" s="223"/>
      <c r="F67" s="1"/>
      <c r="G67" s="3"/>
      <c r="H67" s="238"/>
      <c r="I67" s="56"/>
      <c r="J67" s="56"/>
      <c r="L67" s="188" t="s">
        <v>66</v>
      </c>
      <c r="M67" s="1"/>
    </row>
    <row r="68" spans="1:13" x14ac:dyDescent="0.35">
      <c r="A68" s="2"/>
      <c r="B68" s="223"/>
      <c r="C68" s="223"/>
      <c r="D68" s="223"/>
      <c r="E68" s="223"/>
      <c r="H68" s="186"/>
      <c r="I68" s="56" t="s">
        <v>67</v>
      </c>
      <c r="J68" s="56"/>
      <c r="K68" s="30">
        <f>K62</f>
        <v>-7162734.5624588095</v>
      </c>
    </row>
    <row r="69" spans="1:13" x14ac:dyDescent="0.35">
      <c r="A69" s="2"/>
      <c r="B69" s="223"/>
      <c r="C69" s="223"/>
      <c r="D69" s="223"/>
      <c r="E69" s="223"/>
      <c r="H69" s="186"/>
      <c r="I69" s="56" t="s">
        <v>68</v>
      </c>
      <c r="J69" s="56"/>
      <c r="K69" s="189">
        <v>0</v>
      </c>
    </row>
    <row r="70" spans="1:13" ht="15" thickBot="1" x14ac:dyDescent="0.4">
      <c r="A70" s="2"/>
      <c r="B70" s="223"/>
      <c r="C70" s="223"/>
      <c r="D70" s="223"/>
      <c r="E70" s="223"/>
      <c r="H70" s="186"/>
      <c r="I70" s="56" t="s">
        <v>69</v>
      </c>
      <c r="J70" s="56"/>
      <c r="K70" s="192">
        <f>K68+K69</f>
        <v>-7162734.5624588095</v>
      </c>
    </row>
    <row r="71" spans="1:13" s="2" customFormat="1" x14ac:dyDescent="0.35">
      <c r="A71"/>
      <c r="B71" s="223"/>
      <c r="C71" s="223"/>
      <c r="D71" s="223"/>
      <c r="E71" s="223"/>
      <c r="F71" s="1"/>
      <c r="G71" s="3"/>
      <c r="H71" s="1"/>
      <c r="I71" s="56"/>
      <c r="J71" s="56"/>
      <c r="M71" s="1"/>
    </row>
    <row r="72" spans="1:13" s="2" customFormat="1" x14ac:dyDescent="0.35">
      <c r="A72"/>
      <c r="B72" s="223"/>
      <c r="C72" s="223"/>
      <c r="D72" s="223"/>
      <c r="E72" s="223"/>
      <c r="F72" s="1"/>
      <c r="G72" s="3"/>
      <c r="H72" s="1"/>
      <c r="I72" s="2" t="s">
        <v>70</v>
      </c>
      <c r="M72" s="1"/>
    </row>
    <row r="73" spans="1:13" s="2" customFormat="1" x14ac:dyDescent="0.35">
      <c r="A73"/>
      <c r="B73" s="223"/>
      <c r="C73" s="223"/>
      <c r="D73" s="223"/>
      <c r="E73" s="223"/>
      <c r="F73" s="1"/>
      <c r="G73" s="3"/>
      <c r="H73" s="1"/>
      <c r="I73" s="2" t="s">
        <v>72</v>
      </c>
      <c r="K73" s="189">
        <v>0</v>
      </c>
      <c r="M73" s="1"/>
    </row>
    <row r="74" spans="1:13" x14ac:dyDescent="0.35">
      <c r="A74" s="2"/>
      <c r="B74" s="223"/>
      <c r="C74" s="223"/>
      <c r="D74" s="223"/>
      <c r="E74" s="223"/>
      <c r="H74" s="186"/>
      <c r="I74" s="2" t="s">
        <v>74</v>
      </c>
      <c r="K74" s="189">
        <f>(1425.51+18951.49)/2</f>
        <v>10188.5</v>
      </c>
    </row>
    <row r="75" spans="1:13" ht="15" thickBot="1" x14ac:dyDescent="0.4">
      <c r="A75" s="2"/>
      <c r="B75" s="223"/>
      <c r="C75" s="223"/>
      <c r="D75" s="223"/>
      <c r="E75" s="223"/>
      <c r="H75" s="186"/>
      <c r="I75" s="2" t="s">
        <v>75</v>
      </c>
      <c r="K75" s="192">
        <f>SUM(K73:K74)</f>
        <v>10188.5</v>
      </c>
    </row>
    <row r="76" spans="1:13" x14ac:dyDescent="0.35">
      <c r="A76" s="2"/>
      <c r="B76" s="223"/>
      <c r="C76" s="223"/>
      <c r="D76" s="223"/>
      <c r="E76" s="223"/>
      <c r="H76" s="186"/>
      <c r="K76" s="56"/>
    </row>
    <row r="77" spans="1:13" x14ac:dyDescent="0.35">
      <c r="B77" s="223"/>
      <c r="C77" s="223"/>
      <c r="D77" s="223"/>
      <c r="E77" s="223"/>
      <c r="I77" s="2" t="s">
        <v>76</v>
      </c>
    </row>
    <row r="78" spans="1:13" x14ac:dyDescent="0.35">
      <c r="B78" s="223"/>
      <c r="C78" s="223"/>
      <c r="D78" s="223"/>
      <c r="E78" s="223"/>
      <c r="I78" s="2" t="s">
        <v>77</v>
      </c>
      <c r="K78" s="189">
        <v>0</v>
      </c>
      <c r="L78" s="2" t="s">
        <v>106</v>
      </c>
    </row>
    <row r="79" spans="1:13" x14ac:dyDescent="0.35">
      <c r="B79" s="223"/>
      <c r="C79" s="223"/>
      <c r="D79" s="223"/>
      <c r="E79" s="223"/>
      <c r="I79" s="2" t="s">
        <v>79</v>
      </c>
      <c r="K79" s="189">
        <v>0</v>
      </c>
      <c r="L79" s="2" t="s">
        <v>107</v>
      </c>
    </row>
    <row r="80" spans="1:13" x14ac:dyDescent="0.35">
      <c r="B80" s="223"/>
      <c r="C80" s="223"/>
      <c r="D80" s="223"/>
      <c r="E80" s="223"/>
      <c r="I80" s="2" t="s">
        <v>81</v>
      </c>
      <c r="K80" s="189">
        <v>0</v>
      </c>
      <c r="L80" s="2" t="s">
        <v>82</v>
      </c>
    </row>
    <row r="81" spans="2:12" x14ac:dyDescent="0.35">
      <c r="B81" s="223"/>
      <c r="C81" s="223"/>
      <c r="D81" s="223"/>
      <c r="E81" s="223"/>
      <c r="H81" s="1" t="s">
        <v>122</v>
      </c>
      <c r="I81" s="2" t="s">
        <v>83</v>
      </c>
      <c r="K81" s="189">
        <v>0</v>
      </c>
    </row>
    <row r="82" spans="2:12" x14ac:dyDescent="0.35">
      <c r="B82" s="223"/>
      <c r="C82" s="223"/>
      <c r="D82" s="223"/>
      <c r="E82" s="223"/>
      <c r="I82" s="2" t="s">
        <v>84</v>
      </c>
      <c r="K82" s="190">
        <f>K98</f>
        <v>-3752183.5</v>
      </c>
      <c r="L82" s="190"/>
    </row>
    <row r="83" spans="2:12" ht="15" thickBot="1" x14ac:dyDescent="0.4">
      <c r="B83" s="223"/>
      <c r="C83" s="223"/>
      <c r="D83" s="223"/>
      <c r="E83" s="223"/>
      <c r="I83" s="2" t="s">
        <v>85</v>
      </c>
      <c r="K83" s="192">
        <f>SUM(K78:K82)</f>
        <v>-3752183.5</v>
      </c>
      <c r="L83" s="190"/>
    </row>
    <row r="84" spans="2:12" x14ac:dyDescent="0.35">
      <c r="B84" s="223"/>
      <c r="C84" s="223"/>
      <c r="D84" s="223"/>
      <c r="E84" s="223"/>
      <c r="L84" s="190"/>
    </row>
    <row r="85" spans="2:12" x14ac:dyDescent="0.35">
      <c r="B85" s="223"/>
      <c r="C85" s="223"/>
      <c r="D85" s="223"/>
      <c r="E85" s="223"/>
      <c r="I85" s="2" t="s">
        <v>86</v>
      </c>
      <c r="K85" s="195">
        <f>K70+K75+K83</f>
        <v>-10904729.562458809</v>
      </c>
    </row>
    <row r="86" spans="2:12" x14ac:dyDescent="0.35">
      <c r="B86" s="223"/>
      <c r="C86" s="223"/>
      <c r="D86" s="223"/>
      <c r="E86" s="223"/>
      <c r="K86" s="196"/>
    </row>
    <row r="87" spans="2:12" x14ac:dyDescent="0.35">
      <c r="B87" s="223"/>
      <c r="C87" s="223"/>
      <c r="D87" s="223"/>
      <c r="E87" s="223"/>
      <c r="I87" s="2" t="s">
        <v>87</v>
      </c>
      <c r="K87" s="195">
        <v>0</v>
      </c>
    </row>
    <row r="88" spans="2:12" x14ac:dyDescent="0.35">
      <c r="B88" s="223"/>
      <c r="C88" s="223"/>
      <c r="D88" s="223"/>
      <c r="E88" s="223"/>
    </row>
    <row r="89" spans="2:12" ht="15" thickBot="1" x14ac:dyDescent="0.4">
      <c r="B89" s="223"/>
      <c r="C89" s="223"/>
      <c r="D89" s="223"/>
      <c r="E89" s="223"/>
      <c r="I89" s="2" t="s">
        <v>88</v>
      </c>
      <c r="K89" s="197">
        <f>K85-K87</f>
        <v>-10904729.562458809</v>
      </c>
    </row>
    <row r="90" spans="2:12" ht="21" customHeight="1" thickTop="1" x14ac:dyDescent="0.35">
      <c r="B90" s="223"/>
      <c r="C90" s="223"/>
      <c r="D90" s="223"/>
      <c r="E90" s="223"/>
    </row>
    <row r="91" spans="2:12" ht="21.75" customHeight="1" x14ac:dyDescent="0.35">
      <c r="B91" s="223"/>
      <c r="C91" s="223"/>
      <c r="D91" s="223"/>
      <c r="E91" s="223"/>
    </row>
    <row r="92" spans="2:12" ht="15" thickBot="1" x14ac:dyDescent="0.4">
      <c r="B92" s="223"/>
      <c r="C92" s="223"/>
      <c r="D92" s="223"/>
      <c r="E92" s="223"/>
      <c r="I92" s="371" t="s">
        <v>31</v>
      </c>
      <c r="J92" s="371"/>
    </row>
    <row r="93" spans="2:12" x14ac:dyDescent="0.35">
      <c r="B93" s="223"/>
      <c r="C93" s="223"/>
      <c r="D93" s="223"/>
      <c r="E93" s="223"/>
      <c r="H93" s="374" t="s">
        <v>89</v>
      </c>
      <c r="J93" s="331" t="s">
        <v>33</v>
      </c>
      <c r="K93" s="199">
        <f>C18</f>
        <v>-3377592.5</v>
      </c>
    </row>
    <row r="94" spans="2:12" x14ac:dyDescent="0.35">
      <c r="B94" s="223"/>
      <c r="C94" s="223"/>
      <c r="D94" s="223"/>
      <c r="E94" s="223"/>
      <c r="H94" s="375"/>
      <c r="I94" s="331" t="s">
        <v>120</v>
      </c>
      <c r="J94" s="331" t="s">
        <v>183</v>
      </c>
      <c r="K94" s="199">
        <v>-35945</v>
      </c>
      <c r="L94" s="2" t="s">
        <v>37</v>
      </c>
    </row>
    <row r="95" spans="2:12" ht="15" thickBot="1" x14ac:dyDescent="0.4">
      <c r="B95" s="223"/>
      <c r="C95" s="223"/>
      <c r="D95" s="223"/>
      <c r="E95" s="223"/>
      <c r="H95" s="376"/>
      <c r="I95" s="331" t="s">
        <v>120</v>
      </c>
      <c r="J95" s="331" t="s">
        <v>184</v>
      </c>
      <c r="K95" s="199">
        <v>-5546</v>
      </c>
      <c r="L95" s="2" t="s">
        <v>37</v>
      </c>
    </row>
    <row r="96" spans="2:12" x14ac:dyDescent="0.35">
      <c r="B96" s="223"/>
      <c r="C96" s="223"/>
      <c r="D96" s="223"/>
      <c r="E96" s="223"/>
      <c r="I96" s="331" t="s">
        <v>171</v>
      </c>
      <c r="J96" s="331" t="s">
        <v>187</v>
      </c>
      <c r="K96" s="199">
        <v>-140510</v>
      </c>
      <c r="L96" s="2" t="s">
        <v>186</v>
      </c>
    </row>
    <row r="97" spans="1:27" x14ac:dyDescent="0.35">
      <c r="B97" s="223"/>
      <c r="C97" s="223"/>
      <c r="D97" s="223"/>
      <c r="E97" s="223"/>
      <c r="I97" s="331" t="s">
        <v>171</v>
      </c>
      <c r="J97" s="331" t="s">
        <v>103</v>
      </c>
      <c r="K97" s="199">
        <v>-192590</v>
      </c>
      <c r="L97" s="2" t="s">
        <v>37</v>
      </c>
    </row>
    <row r="98" spans="1:27" x14ac:dyDescent="0.35">
      <c r="B98" s="223"/>
      <c r="C98" s="223"/>
      <c r="D98" s="223"/>
      <c r="E98" s="223"/>
      <c r="J98" s="331" t="s">
        <v>41</v>
      </c>
      <c r="K98" s="200">
        <f>SUM(K93:K97)</f>
        <v>-3752183.5</v>
      </c>
      <c r="L98" s="2" t="str">
        <f>B3</f>
        <v>Date as of : 12.31.2020</v>
      </c>
    </row>
    <row r="99" spans="1:27" x14ac:dyDescent="0.35">
      <c r="B99" s="223"/>
      <c r="C99" s="223"/>
      <c r="D99" s="223"/>
      <c r="E99" s="223"/>
    </row>
    <row r="100" spans="1:27" x14ac:dyDescent="0.35">
      <c r="B100" s="223"/>
      <c r="C100" s="223"/>
      <c r="D100" s="223"/>
      <c r="E100" s="223"/>
    </row>
    <row r="101" spans="1:27" ht="15" thickBot="1" x14ac:dyDescent="0.4">
      <c r="B101" s="223"/>
      <c r="C101" s="223"/>
      <c r="D101" s="223"/>
      <c r="E101" s="223"/>
    </row>
    <row r="102" spans="1:27" ht="15" thickBot="1" x14ac:dyDescent="0.4">
      <c r="B102" s="223"/>
      <c r="C102" s="223"/>
      <c r="D102" s="223"/>
      <c r="E102" s="223"/>
      <c r="I102" s="333" t="s">
        <v>123</v>
      </c>
      <c r="J102" s="334"/>
    </row>
    <row r="103" spans="1:27" x14ac:dyDescent="0.35">
      <c r="B103" s="223"/>
      <c r="C103" s="223"/>
      <c r="D103" s="223"/>
      <c r="E103" s="223"/>
    </row>
    <row r="104" spans="1:27" x14ac:dyDescent="0.35">
      <c r="B104" s="223"/>
      <c r="C104" s="223"/>
      <c r="D104" s="223"/>
      <c r="E104" s="223"/>
    </row>
    <row r="105" spans="1:27" x14ac:dyDescent="0.35">
      <c r="B105" s="223"/>
      <c r="C105" s="223"/>
      <c r="D105" s="223"/>
      <c r="E105" s="223"/>
    </row>
    <row r="106" spans="1:27" x14ac:dyDescent="0.35">
      <c r="B106" s="223"/>
      <c r="C106" s="223"/>
      <c r="D106" s="223"/>
      <c r="E106" s="223"/>
    </row>
    <row r="107" spans="1:27" x14ac:dyDescent="0.35">
      <c r="B107" s="223"/>
      <c r="C107" s="223"/>
      <c r="D107" s="223"/>
      <c r="E107" s="223"/>
    </row>
    <row r="108" spans="1:27" x14ac:dyDescent="0.35">
      <c r="B108" s="223"/>
      <c r="C108" s="223"/>
      <c r="D108" s="223"/>
      <c r="E108" s="223"/>
    </row>
    <row r="109" spans="1:27" x14ac:dyDescent="0.35">
      <c r="B109" s="223"/>
      <c r="C109" s="223"/>
      <c r="D109" s="223"/>
      <c r="E109" s="223"/>
    </row>
    <row r="110" spans="1:27" x14ac:dyDescent="0.35">
      <c r="B110" s="223"/>
      <c r="C110" s="223"/>
      <c r="D110" s="223"/>
      <c r="E110" s="223"/>
    </row>
    <row r="111" spans="1:27" s="2" customFormat="1" x14ac:dyDescent="0.35">
      <c r="A111"/>
      <c r="B111" s="223"/>
      <c r="C111" s="223"/>
      <c r="D111" s="223"/>
      <c r="E111" s="223"/>
      <c r="F111" s="1"/>
      <c r="G111" s="3"/>
      <c r="H111" s="1"/>
      <c r="M111" s="1"/>
    </row>
    <row r="112" spans="1:27" s="2" customFormat="1" x14ac:dyDescent="0.35">
      <c r="A112"/>
      <c r="B112" s="223"/>
      <c r="C112" s="223"/>
      <c r="D112" s="223"/>
      <c r="E112" s="223"/>
      <c r="F112" s="1"/>
      <c r="G112" s="3"/>
      <c r="H112" s="1"/>
      <c r="M112" s="1"/>
      <c r="R112" s="377" t="s">
        <v>176</v>
      </c>
      <c r="S112" s="378"/>
      <c r="T112" s="378"/>
      <c r="U112" s="378"/>
      <c r="V112" s="378"/>
      <c r="W112" s="378"/>
      <c r="X112" s="378"/>
      <c r="Y112" s="378"/>
      <c r="Z112" s="378"/>
      <c r="AA112" s="379"/>
    </row>
    <row r="113" spans="1:13" s="2" customFormat="1" x14ac:dyDescent="0.35">
      <c r="A113"/>
      <c r="B113" s="223"/>
      <c r="C113" s="223"/>
      <c r="D113" s="223"/>
      <c r="E113" s="223"/>
      <c r="F113" s="1"/>
      <c r="G113" s="3"/>
      <c r="H113" s="1"/>
      <c r="M113" s="1"/>
    </row>
    <row r="114" spans="1:13" s="2" customFormat="1" x14ac:dyDescent="0.35">
      <c r="B114" s="223"/>
      <c r="C114" s="223"/>
      <c r="D114" s="223"/>
      <c r="E114" s="223"/>
      <c r="F114" s="1"/>
      <c r="G114" s="3"/>
      <c r="H114" s="1"/>
      <c r="M114" s="1"/>
    </row>
    <row r="115" spans="1:13" s="2" customFormat="1" x14ac:dyDescent="0.35">
      <c r="B115" s="223"/>
      <c r="C115" s="223"/>
      <c r="D115" s="223"/>
      <c r="E115" s="223"/>
      <c r="F115" s="1"/>
      <c r="G115" s="3"/>
      <c r="H115" s="1"/>
      <c r="M115" s="1"/>
    </row>
    <row r="116" spans="1:13" ht="15" thickBot="1" x14ac:dyDescent="0.4">
      <c r="A116" s="2"/>
      <c r="B116" s="223"/>
      <c r="C116" s="223"/>
      <c r="D116" s="223"/>
      <c r="E116" s="223"/>
    </row>
    <row r="117" spans="1:13" ht="15" thickBot="1" x14ac:dyDescent="0.4">
      <c r="A117" s="2"/>
      <c r="B117" s="223"/>
      <c r="C117" s="223"/>
      <c r="D117" s="223"/>
      <c r="E117" s="223"/>
      <c r="I117" s="333" t="s">
        <v>183</v>
      </c>
      <c r="J117" s="334"/>
    </row>
    <row r="118" spans="1:13" x14ac:dyDescent="0.35">
      <c r="A118" s="2"/>
      <c r="B118" s="223"/>
      <c r="C118" s="223"/>
      <c r="D118" s="223"/>
      <c r="E118" s="223"/>
    </row>
    <row r="119" spans="1:13" x14ac:dyDescent="0.35">
      <c r="B119" s="223"/>
      <c r="C119" s="223"/>
      <c r="D119" s="223"/>
      <c r="E119" s="223"/>
    </row>
    <row r="120" spans="1:13" x14ac:dyDescent="0.35">
      <c r="B120" s="223"/>
      <c r="C120" s="223"/>
      <c r="D120" s="223"/>
      <c r="E120" s="223"/>
    </row>
    <row r="121" spans="1:13" x14ac:dyDescent="0.35">
      <c r="B121" s="223"/>
      <c r="C121" s="223"/>
      <c r="D121" s="223"/>
      <c r="E121" s="223"/>
    </row>
    <row r="122" spans="1:13" x14ac:dyDescent="0.35">
      <c r="B122" s="223"/>
      <c r="C122" s="223"/>
      <c r="D122" s="223"/>
      <c r="E122" s="223"/>
    </row>
    <row r="123" spans="1:13" x14ac:dyDescent="0.35">
      <c r="B123" s="223"/>
      <c r="C123" s="223"/>
      <c r="D123" s="223"/>
      <c r="E123" s="223"/>
    </row>
    <row r="124" spans="1:13" x14ac:dyDescent="0.35">
      <c r="B124" s="223"/>
      <c r="C124" s="223"/>
      <c r="D124" s="223"/>
      <c r="E124" s="223"/>
    </row>
    <row r="125" spans="1:13" x14ac:dyDescent="0.35">
      <c r="B125" s="223"/>
      <c r="C125" s="223"/>
      <c r="D125" s="223"/>
      <c r="E125" s="223"/>
    </row>
    <row r="126" spans="1:13" x14ac:dyDescent="0.35">
      <c r="B126" s="223"/>
      <c r="C126" s="223"/>
      <c r="D126" s="223"/>
      <c r="E126" s="223"/>
    </row>
    <row r="127" spans="1:13" x14ac:dyDescent="0.35">
      <c r="B127" s="223"/>
      <c r="C127" s="223"/>
      <c r="D127" s="223"/>
      <c r="E127" s="223"/>
    </row>
    <row r="128" spans="1:13" x14ac:dyDescent="0.35">
      <c r="B128" s="223"/>
      <c r="C128" s="223"/>
      <c r="D128" s="223"/>
      <c r="E128" s="223"/>
    </row>
    <row r="129" spans="2:5" x14ac:dyDescent="0.35">
      <c r="B129" s="223"/>
      <c r="C129" s="223"/>
      <c r="D129" s="223"/>
      <c r="E129" s="223"/>
    </row>
    <row r="130" spans="2:5" x14ac:dyDescent="0.35">
      <c r="B130" s="223"/>
      <c r="C130" s="223"/>
      <c r="D130" s="223"/>
      <c r="E130" s="223"/>
    </row>
    <row r="131" spans="2:5" x14ac:dyDescent="0.35">
      <c r="B131" s="223"/>
      <c r="C131" s="223"/>
      <c r="D131" s="223"/>
      <c r="E131" s="223"/>
    </row>
    <row r="132" spans="2:5" x14ac:dyDescent="0.35">
      <c r="B132" s="223"/>
      <c r="C132" s="223"/>
      <c r="D132" s="223"/>
      <c r="E132" s="223"/>
    </row>
    <row r="133" spans="2:5" x14ac:dyDescent="0.35">
      <c r="B133" s="223"/>
      <c r="C133" s="223"/>
      <c r="D133" s="223"/>
      <c r="E133" s="223"/>
    </row>
    <row r="134" spans="2:5" x14ac:dyDescent="0.35">
      <c r="B134" s="223"/>
      <c r="C134" s="223"/>
      <c r="D134" s="223"/>
      <c r="E134" s="223"/>
    </row>
    <row r="135" spans="2:5" x14ac:dyDescent="0.35">
      <c r="B135" s="223"/>
      <c r="C135" s="223"/>
      <c r="D135" s="223"/>
      <c r="E135" s="223"/>
    </row>
    <row r="136" spans="2:5" x14ac:dyDescent="0.35">
      <c r="B136" s="223"/>
      <c r="C136" s="223"/>
      <c r="D136" s="223"/>
      <c r="E136" s="223"/>
    </row>
    <row r="137" spans="2:5" x14ac:dyDescent="0.35">
      <c r="B137" s="223"/>
      <c r="C137" s="223"/>
      <c r="D137" s="223"/>
      <c r="E137" s="223"/>
    </row>
    <row r="138" spans="2:5" x14ac:dyDescent="0.35">
      <c r="B138" s="223"/>
      <c r="C138" s="223"/>
      <c r="D138" s="223"/>
      <c r="E138" s="223"/>
    </row>
    <row r="139" spans="2:5" x14ac:dyDescent="0.35">
      <c r="B139" s="223"/>
      <c r="C139" s="223"/>
      <c r="D139" s="223"/>
      <c r="E139" s="223"/>
    </row>
    <row r="140" spans="2:5" x14ac:dyDescent="0.35">
      <c r="B140" s="223"/>
      <c r="C140" s="223"/>
      <c r="D140" s="223"/>
      <c r="E140" s="223"/>
    </row>
    <row r="141" spans="2:5" x14ac:dyDescent="0.35">
      <c r="B141" s="223"/>
      <c r="C141" s="223"/>
      <c r="D141" s="223"/>
      <c r="E141" s="223"/>
    </row>
    <row r="142" spans="2:5" x14ac:dyDescent="0.35">
      <c r="B142" s="223"/>
      <c r="C142" s="223"/>
      <c r="D142" s="223"/>
      <c r="E142" s="223"/>
    </row>
    <row r="143" spans="2:5" x14ac:dyDescent="0.35">
      <c r="B143" s="223"/>
      <c r="C143" s="223"/>
      <c r="D143" s="223"/>
      <c r="E143" s="223"/>
    </row>
    <row r="144" spans="2:5" x14ac:dyDescent="0.35">
      <c r="B144" s="223"/>
      <c r="C144" s="223"/>
      <c r="D144" s="223"/>
      <c r="E144" s="223"/>
    </row>
    <row r="145" spans="2:10" x14ac:dyDescent="0.35">
      <c r="B145" s="223"/>
      <c r="C145" s="223"/>
      <c r="D145" s="223"/>
      <c r="E145" s="223"/>
    </row>
    <row r="146" spans="2:10" x14ac:dyDescent="0.35">
      <c r="B146" s="223"/>
      <c r="C146" s="223"/>
      <c r="D146" s="223"/>
      <c r="E146" s="223"/>
    </row>
    <row r="147" spans="2:10" x14ac:dyDescent="0.35">
      <c r="B147" s="223"/>
      <c r="C147" s="223"/>
      <c r="D147" s="223"/>
      <c r="E147" s="223"/>
    </row>
    <row r="148" spans="2:10" x14ac:dyDescent="0.35">
      <c r="B148" s="223"/>
      <c r="C148" s="223"/>
      <c r="D148" s="223"/>
      <c r="E148" s="223"/>
    </row>
    <row r="149" spans="2:10" x14ac:dyDescent="0.35">
      <c r="B149" s="223"/>
      <c r="C149" s="223"/>
      <c r="D149" s="223"/>
      <c r="E149" s="223"/>
    </row>
    <row r="150" spans="2:10" x14ac:dyDescent="0.35">
      <c r="B150" s="223"/>
      <c r="C150" s="223"/>
      <c r="D150" s="223"/>
      <c r="E150" s="223"/>
    </row>
    <row r="151" spans="2:10" x14ac:dyDescent="0.35">
      <c r="B151" s="223"/>
      <c r="C151" s="223"/>
      <c r="D151" s="223"/>
      <c r="E151" s="223"/>
    </row>
    <row r="152" spans="2:10" x14ac:dyDescent="0.35">
      <c r="B152" s="223"/>
      <c r="C152" s="223"/>
      <c r="D152" s="223"/>
      <c r="E152" s="223"/>
    </row>
    <row r="153" spans="2:10" x14ac:dyDescent="0.35">
      <c r="B153" s="223"/>
      <c r="C153" s="223"/>
      <c r="D153" s="223"/>
      <c r="E153" s="223"/>
    </row>
    <row r="154" spans="2:10" x14ac:dyDescent="0.35">
      <c r="B154" s="223"/>
      <c r="C154" s="223"/>
      <c r="D154" s="223"/>
      <c r="E154" s="223"/>
      <c r="G154"/>
    </row>
    <row r="155" spans="2:10" x14ac:dyDescent="0.35">
      <c r="B155" s="223"/>
      <c r="C155" s="223"/>
      <c r="D155" s="223"/>
      <c r="E155" s="223"/>
      <c r="G155"/>
    </row>
    <row r="156" spans="2:10" ht="15" thickBot="1" x14ac:dyDescent="0.4">
      <c r="B156" s="223"/>
      <c r="C156" s="223"/>
      <c r="D156" s="223"/>
      <c r="E156" s="223"/>
      <c r="G156"/>
    </row>
    <row r="157" spans="2:10" ht="15" thickBot="1" x14ac:dyDescent="0.4">
      <c r="B157" s="223"/>
      <c r="C157" s="223"/>
      <c r="D157" s="223"/>
      <c r="E157" s="223"/>
      <c r="G157"/>
      <c r="I157" s="333" t="s">
        <v>184</v>
      </c>
      <c r="J157" s="334"/>
    </row>
    <row r="158" spans="2:10" x14ac:dyDescent="0.35">
      <c r="B158" s="223"/>
      <c r="C158" s="223"/>
      <c r="D158" s="223"/>
      <c r="E158" s="223"/>
      <c r="G158"/>
    </row>
    <row r="159" spans="2:10" x14ac:dyDescent="0.35">
      <c r="B159" s="223"/>
      <c r="C159" s="223"/>
      <c r="D159" s="223"/>
      <c r="E159" s="223"/>
    </row>
    <row r="160" spans="2:10" x14ac:dyDescent="0.35">
      <c r="B160" s="223"/>
      <c r="C160" s="223"/>
      <c r="D160" s="223"/>
      <c r="E160" s="223"/>
    </row>
    <row r="161" spans="2:38" x14ac:dyDescent="0.35">
      <c r="B161" s="223"/>
      <c r="C161" s="223"/>
      <c r="D161" s="223"/>
      <c r="E161" s="223"/>
    </row>
    <row r="162" spans="2:38" x14ac:dyDescent="0.35">
      <c r="B162" s="223"/>
      <c r="C162" s="223"/>
      <c r="D162" s="223"/>
      <c r="E162" s="223"/>
    </row>
    <row r="163" spans="2:38" x14ac:dyDescent="0.35">
      <c r="B163" s="223"/>
      <c r="C163" s="223"/>
      <c r="D163" s="223"/>
      <c r="E163" s="223"/>
    </row>
    <row r="164" spans="2:38" x14ac:dyDescent="0.35">
      <c r="B164" s="223"/>
      <c r="C164" s="223"/>
      <c r="D164" s="223"/>
      <c r="E164" s="223"/>
    </row>
    <row r="165" spans="2:38" x14ac:dyDescent="0.35">
      <c r="B165" s="223"/>
      <c r="C165" s="223"/>
      <c r="D165" s="223"/>
      <c r="E165" s="223"/>
    </row>
    <row r="166" spans="2:38" x14ac:dyDescent="0.35">
      <c r="B166" s="223"/>
      <c r="C166" s="223"/>
      <c r="D166" s="223"/>
      <c r="E166" s="223"/>
    </row>
    <row r="167" spans="2:38" x14ac:dyDescent="0.35">
      <c r="B167" s="223"/>
      <c r="C167" s="223"/>
      <c r="D167" s="223"/>
      <c r="E167" s="223"/>
    </row>
    <row r="168" spans="2:38" x14ac:dyDescent="0.35">
      <c r="B168" s="223"/>
      <c r="C168" s="223"/>
      <c r="D168" s="223"/>
      <c r="E168" s="223"/>
    </row>
    <row r="169" spans="2:38" x14ac:dyDescent="0.35">
      <c r="B169" s="223"/>
      <c r="C169" s="223"/>
      <c r="D169" s="223"/>
      <c r="E169" s="223"/>
      <c r="R169" s="347" t="s">
        <v>179</v>
      </c>
      <c r="S169" s="348"/>
      <c r="T169" s="348"/>
      <c r="U169" s="348"/>
      <c r="V169" s="348"/>
      <c r="W169" s="348"/>
      <c r="X169" s="348"/>
      <c r="Y169" s="348"/>
      <c r="Z169" s="348"/>
      <c r="AA169" s="349"/>
    </row>
    <row r="170" spans="2:38" x14ac:dyDescent="0.35">
      <c r="B170" s="223"/>
      <c r="C170" s="223"/>
      <c r="D170" s="223"/>
      <c r="E170" s="223"/>
    </row>
    <row r="171" spans="2:38" x14ac:dyDescent="0.35">
      <c r="B171" s="223"/>
      <c r="C171" s="223"/>
      <c r="D171" s="223"/>
      <c r="E171" s="223"/>
    </row>
    <row r="172" spans="2:38" x14ac:dyDescent="0.35">
      <c r="B172" s="223"/>
      <c r="C172" s="223"/>
      <c r="D172" s="223"/>
      <c r="E172" s="223"/>
    </row>
    <row r="173" spans="2:38" x14ac:dyDescent="0.35">
      <c r="B173" s="223"/>
      <c r="C173" s="223"/>
      <c r="D173" s="223"/>
      <c r="E173" s="223"/>
      <c r="AL173" s="2"/>
    </row>
    <row r="174" spans="2:38" x14ac:dyDescent="0.35">
      <c r="B174" s="223"/>
      <c r="C174" s="223"/>
      <c r="D174" s="223"/>
      <c r="E174" s="223"/>
      <c r="AL174" s="2"/>
    </row>
    <row r="175" spans="2:38" x14ac:dyDescent="0.35">
      <c r="B175" s="223"/>
      <c r="C175" s="223"/>
      <c r="D175" s="223"/>
      <c r="E175" s="223"/>
    </row>
    <row r="176" spans="2:38" x14ac:dyDescent="0.35">
      <c r="B176" s="223"/>
      <c r="C176" s="223"/>
      <c r="D176" s="223"/>
      <c r="E176" s="223"/>
    </row>
    <row r="177" spans="2:5" x14ac:dyDescent="0.35">
      <c r="B177" s="223"/>
      <c r="C177" s="223"/>
      <c r="D177" s="223"/>
      <c r="E177" s="223"/>
    </row>
    <row r="178" spans="2:5" x14ac:dyDescent="0.35">
      <c r="B178" s="223"/>
      <c r="C178" s="223"/>
      <c r="D178" s="223"/>
      <c r="E178" s="223"/>
    </row>
    <row r="179" spans="2:5" x14ac:dyDescent="0.35">
      <c r="B179" s="223"/>
      <c r="C179" s="223"/>
      <c r="D179" s="223"/>
      <c r="E179" s="223"/>
    </row>
    <row r="180" spans="2:5" x14ac:dyDescent="0.35">
      <c r="B180" s="223"/>
      <c r="C180" s="223"/>
      <c r="D180" s="223"/>
      <c r="E180" s="223"/>
    </row>
    <row r="181" spans="2:5" x14ac:dyDescent="0.35">
      <c r="B181" s="223"/>
      <c r="C181" s="223"/>
      <c r="D181" s="223"/>
      <c r="E181" s="223"/>
    </row>
    <row r="182" spans="2:5" x14ac:dyDescent="0.35">
      <c r="B182" s="223"/>
      <c r="C182" s="223"/>
      <c r="D182" s="223"/>
      <c r="E182" s="223"/>
    </row>
    <row r="183" spans="2:5" x14ac:dyDescent="0.35">
      <c r="B183" s="223"/>
      <c r="C183" s="223"/>
      <c r="D183" s="223"/>
      <c r="E183" s="223"/>
    </row>
    <row r="184" spans="2:5" x14ac:dyDescent="0.35">
      <c r="B184" s="223"/>
      <c r="C184" s="223"/>
      <c r="D184" s="223"/>
      <c r="E184" s="223"/>
    </row>
    <row r="185" spans="2:5" x14ac:dyDescent="0.35">
      <c r="B185" s="223"/>
      <c r="C185" s="223"/>
      <c r="D185" s="223"/>
      <c r="E185" s="223"/>
    </row>
    <row r="186" spans="2:5" x14ac:dyDescent="0.35">
      <c r="B186" s="223"/>
      <c r="C186" s="223"/>
      <c r="D186" s="223"/>
      <c r="E186" s="223"/>
    </row>
    <row r="187" spans="2:5" x14ac:dyDescent="0.35">
      <c r="B187" s="223"/>
      <c r="C187" s="223"/>
      <c r="D187" s="223"/>
      <c r="E187" s="223"/>
    </row>
    <row r="188" spans="2:5" x14ac:dyDescent="0.35">
      <c r="B188" s="223"/>
      <c r="C188" s="223"/>
      <c r="D188" s="223"/>
      <c r="E188" s="223"/>
    </row>
    <row r="189" spans="2:5" x14ac:dyDescent="0.35">
      <c r="B189" s="223"/>
      <c r="C189" s="223"/>
      <c r="D189" s="223"/>
      <c r="E189" s="223"/>
    </row>
    <row r="190" spans="2:5" x14ac:dyDescent="0.35">
      <c r="B190" s="223"/>
      <c r="C190" s="223"/>
      <c r="D190" s="223"/>
      <c r="E190" s="223"/>
    </row>
    <row r="191" spans="2:5" x14ac:dyDescent="0.35">
      <c r="B191" s="223"/>
      <c r="C191" s="223"/>
      <c r="D191" s="223"/>
      <c r="E191" s="223"/>
    </row>
    <row r="192" spans="2:5" x14ac:dyDescent="0.35">
      <c r="B192" s="223"/>
      <c r="C192" s="223"/>
      <c r="D192" s="223"/>
      <c r="E192" s="223"/>
    </row>
    <row r="193" spans="1:38" x14ac:dyDescent="0.35">
      <c r="B193" s="223"/>
      <c r="C193" s="223"/>
      <c r="D193" s="223"/>
      <c r="E193" s="223"/>
    </row>
    <row r="194" spans="1:38" x14ac:dyDescent="0.35">
      <c r="B194" s="223"/>
      <c r="C194" s="223"/>
      <c r="D194" s="223"/>
      <c r="E194" s="223"/>
    </row>
    <row r="195" spans="1:38" x14ac:dyDescent="0.35">
      <c r="B195" s="223"/>
      <c r="C195" s="223"/>
      <c r="D195" s="223"/>
      <c r="E195" s="223"/>
    </row>
    <row r="196" spans="1:38" x14ac:dyDescent="0.35">
      <c r="B196" s="223"/>
      <c r="C196" s="223"/>
      <c r="D196" s="223"/>
      <c r="E196" s="223"/>
    </row>
    <row r="197" spans="1:38" ht="15" thickBot="1" x14ac:dyDescent="0.4">
      <c r="B197" s="223"/>
      <c r="C197" s="223"/>
      <c r="D197" s="223"/>
      <c r="E197" s="223"/>
    </row>
    <row r="198" spans="1:38" ht="15" thickBot="1" x14ac:dyDescent="0.4">
      <c r="B198" s="223"/>
      <c r="C198" s="223"/>
      <c r="D198" s="223"/>
      <c r="E198" s="223"/>
      <c r="I198" s="333" t="s">
        <v>94</v>
      </c>
      <c r="J198" s="334"/>
    </row>
    <row r="199" spans="1:38" x14ac:dyDescent="0.35">
      <c r="B199" s="223"/>
      <c r="C199" s="223"/>
      <c r="D199" s="223"/>
      <c r="E199" s="223"/>
    </row>
    <row r="200" spans="1:38" x14ac:dyDescent="0.35">
      <c r="B200" s="223"/>
      <c r="C200" s="223"/>
      <c r="D200" s="223"/>
      <c r="E200" s="223"/>
    </row>
    <row r="201" spans="1:38" s="2" customFormat="1" x14ac:dyDescent="0.35">
      <c r="A201"/>
      <c r="B201" s="223"/>
      <c r="C201" s="223"/>
      <c r="D201" s="223"/>
      <c r="E201" s="223"/>
      <c r="F201" s="1"/>
      <c r="G201" s="3"/>
      <c r="H201" s="1"/>
      <c r="M201" s="1"/>
      <c r="N201" s="1"/>
      <c r="O201" s="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</row>
    <row r="202" spans="1:38" s="2" customFormat="1" x14ac:dyDescent="0.35">
      <c r="A202"/>
      <c r="B202" s="223"/>
      <c r="C202" s="223"/>
      <c r="D202" s="223"/>
      <c r="E202" s="223"/>
      <c r="F202" s="1"/>
      <c r="G202" s="3"/>
      <c r="H202" s="1"/>
      <c r="M202" s="1"/>
      <c r="N202" s="1"/>
      <c r="O202" s="1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</row>
    <row r="203" spans="1:38" x14ac:dyDescent="0.35">
      <c r="B203" s="223"/>
      <c r="C203" s="223"/>
      <c r="D203" s="223"/>
      <c r="E203" s="223"/>
    </row>
    <row r="204" spans="1:38" x14ac:dyDescent="0.35">
      <c r="A204" s="2"/>
      <c r="B204" s="223"/>
      <c r="C204" s="223"/>
      <c r="D204" s="223"/>
      <c r="E204" s="223"/>
    </row>
    <row r="205" spans="1:38" x14ac:dyDescent="0.35">
      <c r="A205" s="2"/>
      <c r="B205" s="223"/>
      <c r="C205" s="223"/>
      <c r="D205" s="223"/>
      <c r="E205" s="223"/>
    </row>
    <row r="206" spans="1:38" x14ac:dyDescent="0.35">
      <c r="B206" s="223"/>
      <c r="C206" s="223"/>
      <c r="D206" s="223"/>
      <c r="E206" s="223"/>
    </row>
    <row r="207" spans="1:38" x14ac:dyDescent="0.35">
      <c r="B207" s="223"/>
      <c r="C207" s="223"/>
      <c r="D207" s="223"/>
      <c r="E207" s="223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8" x14ac:dyDescent="0.35">
      <c r="B208" s="223"/>
      <c r="C208" s="223"/>
      <c r="D208" s="223"/>
      <c r="E208" s="223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2:38" x14ac:dyDescent="0.35">
      <c r="B209" s="223"/>
      <c r="C209" s="223"/>
      <c r="D209" s="223"/>
      <c r="E209" s="223"/>
    </row>
    <row r="210" spans="2:38" x14ac:dyDescent="0.35">
      <c r="B210" s="223"/>
      <c r="C210" s="223"/>
      <c r="D210" s="223"/>
      <c r="E210" s="223"/>
    </row>
    <row r="211" spans="2:38" x14ac:dyDescent="0.35">
      <c r="B211" s="223"/>
      <c r="C211" s="223"/>
      <c r="D211" s="223"/>
      <c r="E211" s="223"/>
    </row>
    <row r="212" spans="2:38" x14ac:dyDescent="0.35">
      <c r="B212" s="223"/>
      <c r="C212" s="223"/>
      <c r="D212" s="223"/>
      <c r="E212" s="223"/>
    </row>
    <row r="213" spans="2:38" x14ac:dyDescent="0.35">
      <c r="B213" s="223"/>
      <c r="C213" s="223"/>
      <c r="D213" s="223"/>
      <c r="E213" s="223"/>
    </row>
    <row r="214" spans="2:38" x14ac:dyDescent="0.35">
      <c r="B214" s="223"/>
      <c r="C214" s="223"/>
      <c r="D214" s="223"/>
      <c r="E214" s="223"/>
    </row>
    <row r="215" spans="2:38" x14ac:dyDescent="0.35">
      <c r="B215" s="223"/>
      <c r="C215" s="223"/>
      <c r="D215" s="223"/>
      <c r="E215" s="223"/>
    </row>
    <row r="216" spans="2:38" x14ac:dyDescent="0.35">
      <c r="B216" s="223"/>
      <c r="C216" s="223"/>
      <c r="D216" s="223"/>
      <c r="E216" s="223"/>
    </row>
    <row r="217" spans="2:38" x14ac:dyDescent="0.35">
      <c r="B217" s="223"/>
      <c r="C217" s="223"/>
      <c r="D217" s="223"/>
      <c r="E217" s="223"/>
    </row>
    <row r="218" spans="2:38" x14ac:dyDescent="0.35">
      <c r="B218" s="223"/>
      <c r="C218" s="223"/>
      <c r="D218" s="223"/>
      <c r="E218" s="223"/>
    </row>
    <row r="219" spans="2:38" x14ac:dyDescent="0.35">
      <c r="B219" s="223"/>
      <c r="C219" s="223"/>
      <c r="D219" s="223"/>
      <c r="E219" s="223"/>
    </row>
    <row r="220" spans="2:38" x14ac:dyDescent="0.35">
      <c r="B220" s="223"/>
      <c r="C220" s="223"/>
      <c r="D220" s="223"/>
      <c r="E220" s="223"/>
    </row>
    <row r="221" spans="2:38" x14ac:dyDescent="0.35">
      <c r="B221" s="223"/>
      <c r="C221" s="223"/>
      <c r="D221" s="223"/>
      <c r="E221" s="223"/>
      <c r="AL221" s="1"/>
    </row>
    <row r="222" spans="2:38" x14ac:dyDescent="0.35">
      <c r="B222" s="223"/>
      <c r="C222" s="223"/>
      <c r="D222" s="223"/>
      <c r="E222" s="223"/>
      <c r="AL222" s="1"/>
    </row>
    <row r="223" spans="2:38" x14ac:dyDescent="0.35">
      <c r="B223" s="223"/>
      <c r="C223" s="223"/>
      <c r="D223" s="223"/>
      <c r="E223" s="223"/>
      <c r="R223" s="335" t="s">
        <v>180</v>
      </c>
      <c r="S223" s="336"/>
      <c r="T223" s="336"/>
      <c r="U223" s="336"/>
      <c r="V223" s="336"/>
      <c r="W223" s="336"/>
      <c r="X223" s="336"/>
      <c r="Y223" s="336"/>
      <c r="Z223" s="336"/>
      <c r="AA223" s="337"/>
    </row>
    <row r="224" spans="2:38" x14ac:dyDescent="0.35">
      <c r="B224" s="223"/>
      <c r="C224" s="223"/>
      <c r="D224" s="223"/>
      <c r="E224" s="223"/>
    </row>
    <row r="225" spans="2:10" x14ac:dyDescent="0.35">
      <c r="B225" s="223"/>
      <c r="C225" s="223"/>
      <c r="D225" s="223"/>
      <c r="E225" s="223"/>
    </row>
    <row r="226" spans="2:10" x14ac:dyDescent="0.35">
      <c r="B226" s="223"/>
      <c r="C226" s="223"/>
      <c r="D226" s="223"/>
      <c r="E226" s="223"/>
    </row>
    <row r="227" spans="2:10" x14ac:dyDescent="0.35">
      <c r="B227" s="223"/>
      <c r="C227" s="223"/>
      <c r="D227" s="223"/>
      <c r="E227" s="223"/>
    </row>
    <row r="228" spans="2:10" x14ac:dyDescent="0.35">
      <c r="B228" s="223"/>
      <c r="C228" s="223"/>
      <c r="D228" s="223"/>
      <c r="E228" s="223"/>
    </row>
    <row r="229" spans="2:10" ht="15" thickBot="1" x14ac:dyDescent="0.4">
      <c r="B229" s="223"/>
      <c r="C229" s="223"/>
      <c r="D229" s="223"/>
      <c r="E229" s="223"/>
    </row>
    <row r="230" spans="2:10" ht="15" thickBot="1" x14ac:dyDescent="0.4">
      <c r="B230" s="223"/>
      <c r="C230" s="223"/>
      <c r="D230" s="223"/>
      <c r="E230" s="223"/>
      <c r="I230" s="333" t="s">
        <v>103</v>
      </c>
      <c r="J230" s="334"/>
    </row>
    <row r="231" spans="2:10" x14ac:dyDescent="0.35">
      <c r="B231" s="223"/>
      <c r="C231" s="223"/>
      <c r="D231" s="223"/>
      <c r="E231" s="223"/>
    </row>
    <row r="232" spans="2:10" x14ac:dyDescent="0.35">
      <c r="B232" s="223"/>
      <c r="C232" s="223"/>
      <c r="D232" s="223"/>
      <c r="E232" s="223"/>
    </row>
    <row r="233" spans="2:10" x14ac:dyDescent="0.35">
      <c r="B233" s="223"/>
      <c r="C233" s="223"/>
      <c r="D233" s="223"/>
      <c r="E233" s="223"/>
    </row>
    <row r="234" spans="2:10" x14ac:dyDescent="0.35">
      <c r="B234" s="223"/>
      <c r="C234" s="223"/>
      <c r="D234" s="223"/>
      <c r="E234" s="223"/>
    </row>
    <row r="235" spans="2:10" x14ac:dyDescent="0.35">
      <c r="B235" s="223"/>
      <c r="C235" s="223"/>
      <c r="D235" s="223"/>
      <c r="E235" s="223"/>
    </row>
    <row r="236" spans="2:10" x14ac:dyDescent="0.35">
      <c r="B236" s="223"/>
      <c r="C236" s="223"/>
      <c r="D236" s="223"/>
      <c r="E236" s="223"/>
    </row>
    <row r="237" spans="2:10" x14ac:dyDescent="0.35">
      <c r="B237" s="223"/>
      <c r="C237" s="223"/>
      <c r="D237" s="223"/>
      <c r="E237" s="223"/>
    </row>
    <row r="238" spans="2:10" x14ac:dyDescent="0.35">
      <c r="B238" s="223"/>
      <c r="C238" s="223"/>
      <c r="D238" s="223"/>
      <c r="E238" s="223"/>
    </row>
    <row r="239" spans="2:10" x14ac:dyDescent="0.35">
      <c r="B239" s="223"/>
      <c r="C239" s="223"/>
      <c r="D239" s="223"/>
      <c r="E239" s="223"/>
    </row>
    <row r="240" spans="2:10" x14ac:dyDescent="0.35">
      <c r="B240" s="223"/>
      <c r="C240" s="223"/>
      <c r="D240" s="223"/>
      <c r="E240" s="223"/>
    </row>
    <row r="241" spans="1:38" x14ac:dyDescent="0.35">
      <c r="B241" s="223"/>
      <c r="C241" s="223"/>
      <c r="D241" s="223"/>
      <c r="E241" s="223"/>
    </row>
    <row r="242" spans="1:38" x14ac:dyDescent="0.35">
      <c r="B242" s="223"/>
      <c r="C242" s="223"/>
      <c r="D242" s="223"/>
      <c r="E242" s="223"/>
    </row>
    <row r="243" spans="1:38" x14ac:dyDescent="0.35">
      <c r="B243" s="223"/>
      <c r="C243" s="223"/>
      <c r="D243" s="223"/>
      <c r="E243" s="223"/>
    </row>
    <row r="244" spans="1:38" x14ac:dyDescent="0.35">
      <c r="B244" s="223"/>
      <c r="C244" s="223"/>
      <c r="D244" s="223"/>
      <c r="E244" s="223"/>
    </row>
    <row r="245" spans="1:38" x14ac:dyDescent="0.35">
      <c r="B245" s="223"/>
      <c r="C245" s="223"/>
      <c r="D245" s="223"/>
      <c r="E245" s="223"/>
    </row>
    <row r="246" spans="1:38" x14ac:dyDescent="0.35">
      <c r="B246" s="223"/>
      <c r="C246" s="223"/>
      <c r="D246" s="223"/>
      <c r="E246" s="223"/>
    </row>
    <row r="247" spans="1:38" x14ac:dyDescent="0.35">
      <c r="B247" s="223"/>
      <c r="C247" s="223"/>
      <c r="D247" s="223"/>
      <c r="E247" s="223"/>
    </row>
    <row r="248" spans="1:38" x14ac:dyDescent="0.35">
      <c r="B248" s="223"/>
      <c r="C248" s="223"/>
      <c r="D248" s="223"/>
      <c r="E248" s="223"/>
    </row>
    <row r="249" spans="1:38" s="1" customFormat="1" x14ac:dyDescent="0.35">
      <c r="A249"/>
      <c r="B249" s="223"/>
      <c r="C249" s="223"/>
      <c r="D249" s="223"/>
      <c r="E249" s="223"/>
      <c r="G249" s="3"/>
      <c r="I249" s="2"/>
      <c r="J249" s="2"/>
      <c r="K249" s="2"/>
      <c r="L249" s="2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</row>
    <row r="250" spans="1:38" s="1" customFormat="1" x14ac:dyDescent="0.35">
      <c r="A250"/>
      <c r="B250" s="223"/>
      <c r="C250" s="223"/>
      <c r="D250" s="223"/>
      <c r="E250" s="223"/>
      <c r="G250" s="3"/>
      <c r="I250" s="2"/>
      <c r="J250" s="2"/>
      <c r="K250" s="2"/>
      <c r="L250" s="2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</row>
    <row r="251" spans="1:38" x14ac:dyDescent="0.35">
      <c r="A251" s="1"/>
      <c r="B251" s="223"/>
      <c r="C251" s="223"/>
      <c r="D251" s="223"/>
      <c r="E251" s="223"/>
    </row>
    <row r="252" spans="1:38" x14ac:dyDescent="0.35">
      <c r="A252" s="1"/>
      <c r="B252" s="223"/>
      <c r="C252" s="223"/>
      <c r="D252" s="223"/>
      <c r="E252" s="223"/>
    </row>
    <row r="253" spans="1:38" x14ac:dyDescent="0.35">
      <c r="B253" s="223"/>
      <c r="C253" s="223"/>
      <c r="D253" s="223"/>
      <c r="E253" s="223"/>
    </row>
    <row r="254" spans="1:38" x14ac:dyDescent="0.35">
      <c r="B254" s="223"/>
      <c r="C254" s="223"/>
      <c r="D254" s="223"/>
      <c r="E254" s="223"/>
    </row>
    <row r="255" spans="1:38" x14ac:dyDescent="0.35">
      <c r="B255" s="223"/>
      <c r="C255" s="223"/>
      <c r="D255" s="223"/>
      <c r="E255" s="223"/>
    </row>
    <row r="256" spans="1:38" x14ac:dyDescent="0.35">
      <c r="B256" s="223"/>
      <c r="C256" s="223"/>
      <c r="D256" s="223"/>
      <c r="E256" s="223"/>
    </row>
    <row r="257" spans="2:13" x14ac:dyDescent="0.35">
      <c r="B257" s="223"/>
      <c r="C257" s="223"/>
      <c r="D257" s="223"/>
      <c r="E257" s="223"/>
    </row>
    <row r="258" spans="2:13" x14ac:dyDescent="0.35">
      <c r="B258" s="223"/>
      <c r="C258" s="223"/>
      <c r="D258" s="223"/>
      <c r="E258" s="223"/>
    </row>
    <row r="259" spans="2:13" x14ac:dyDescent="0.35">
      <c r="B259" s="223"/>
      <c r="C259" s="223"/>
      <c r="D259" s="223"/>
      <c r="E259" s="223"/>
    </row>
    <row r="260" spans="2:13" x14ac:dyDescent="0.35">
      <c r="B260" s="223"/>
      <c r="C260" s="223"/>
      <c r="D260" s="223"/>
      <c r="E260" s="223"/>
    </row>
    <row r="261" spans="2:13" x14ac:dyDescent="0.35">
      <c r="B261" s="223"/>
      <c r="C261" s="223"/>
      <c r="D261" s="223"/>
      <c r="E261" s="223"/>
    </row>
    <row r="262" spans="2:13" x14ac:dyDescent="0.35">
      <c r="B262" s="223"/>
      <c r="C262" s="223"/>
      <c r="D262" s="223"/>
      <c r="E262" s="223"/>
    </row>
    <row r="263" spans="2:13" x14ac:dyDescent="0.35">
      <c r="B263" s="223"/>
      <c r="C263" s="223"/>
      <c r="D263" s="223"/>
      <c r="E263" s="223"/>
    </row>
    <row r="264" spans="2:13" x14ac:dyDescent="0.35">
      <c r="B264" s="223"/>
      <c r="C264" s="223"/>
      <c r="D264" s="223"/>
      <c r="E264" s="223"/>
    </row>
    <row r="265" spans="2:13" x14ac:dyDescent="0.35">
      <c r="B265" s="223"/>
      <c r="C265" s="223"/>
      <c r="D265" s="223"/>
      <c r="E265" s="223"/>
    </row>
    <row r="266" spans="2:13" x14ac:dyDescent="0.35">
      <c r="B266" s="223"/>
      <c r="C266" s="223"/>
      <c r="D266" s="223"/>
      <c r="E266" s="223"/>
    </row>
    <row r="267" spans="2:13" ht="15" thickBot="1" x14ac:dyDescent="0.4">
      <c r="B267" s="223"/>
      <c r="C267" s="223"/>
      <c r="D267" s="223"/>
      <c r="E267" s="223"/>
      <c r="G267" s="224"/>
      <c r="M267" s="224"/>
    </row>
    <row r="268" spans="2:13" x14ac:dyDescent="0.35">
      <c r="B268" s="223"/>
      <c r="C268" s="223"/>
      <c r="D268" s="223"/>
      <c r="E268" s="223"/>
      <c r="G268" s="224"/>
      <c r="H268" s="338" t="s">
        <v>178</v>
      </c>
      <c r="I268" s="339"/>
      <c r="J268" s="339"/>
      <c r="K268" s="339"/>
      <c r="L268" s="340"/>
      <c r="M268" s="224"/>
    </row>
    <row r="269" spans="2:13" ht="15" thickBot="1" x14ac:dyDescent="0.4">
      <c r="B269" s="223"/>
      <c r="C269" s="223"/>
      <c r="D269" s="223"/>
      <c r="E269" s="223"/>
      <c r="H269" s="341"/>
      <c r="I269" s="342"/>
      <c r="J269" s="342"/>
      <c r="K269" s="342"/>
      <c r="L269" s="343"/>
    </row>
    <row r="276" spans="18:27" ht="15" customHeight="1" x14ac:dyDescent="0.35">
      <c r="R276" s="335" t="s">
        <v>191</v>
      </c>
      <c r="S276" s="336"/>
      <c r="T276" s="336"/>
      <c r="U276" s="336"/>
      <c r="V276" s="336"/>
      <c r="W276" s="336"/>
      <c r="X276" s="336"/>
      <c r="Y276" s="336"/>
      <c r="Z276" s="336"/>
      <c r="AA276" s="337"/>
    </row>
    <row r="277" spans="18:27" ht="15" customHeight="1" x14ac:dyDescent="0.35"/>
    <row r="315" spans="9:28" x14ac:dyDescent="0.35">
      <c r="S315" s="335" t="s">
        <v>193</v>
      </c>
      <c r="T315" s="336"/>
      <c r="U315" s="336"/>
      <c r="V315" s="336"/>
      <c r="W315" s="336"/>
      <c r="X315" s="336"/>
      <c r="Y315" s="336"/>
      <c r="Z315" s="336"/>
      <c r="AA315" s="336"/>
      <c r="AB315" s="337"/>
    </row>
    <row r="317" spans="9:28" ht="15" thickBot="1" x14ac:dyDescent="0.4"/>
    <row r="318" spans="9:28" ht="15" thickBot="1" x14ac:dyDescent="0.4">
      <c r="I318" s="344" t="s">
        <v>182</v>
      </c>
      <c r="J318" s="345"/>
      <c r="K318" s="346"/>
    </row>
  </sheetData>
  <mergeCells count="37">
    <mergeCell ref="C14:E14"/>
    <mergeCell ref="I14:J14"/>
    <mergeCell ref="C1:C2"/>
    <mergeCell ref="I2:L3"/>
    <mergeCell ref="R2:AA2"/>
    <mergeCell ref="B3:E5"/>
    <mergeCell ref="B12:E12"/>
    <mergeCell ref="B26:E26"/>
    <mergeCell ref="H26:H32"/>
    <mergeCell ref="B27:E27"/>
    <mergeCell ref="B32:E34"/>
    <mergeCell ref="H34:H39"/>
    <mergeCell ref="D15:E15"/>
    <mergeCell ref="B17:E17"/>
    <mergeCell ref="H18:H24"/>
    <mergeCell ref="B24:E24"/>
    <mergeCell ref="B25:E25"/>
    <mergeCell ref="R169:AA169"/>
    <mergeCell ref="B35:E37"/>
    <mergeCell ref="H41:H45"/>
    <mergeCell ref="H47:H50"/>
    <mergeCell ref="R58:AA58"/>
    <mergeCell ref="I65:L65"/>
    <mergeCell ref="I92:J92"/>
    <mergeCell ref="M60:N60"/>
    <mergeCell ref="H93:H95"/>
    <mergeCell ref="I102:J102"/>
    <mergeCell ref="R112:AA112"/>
    <mergeCell ref="I117:J117"/>
    <mergeCell ref="I157:J157"/>
    <mergeCell ref="I198:J198"/>
    <mergeCell ref="R223:AA223"/>
    <mergeCell ref="I230:J230"/>
    <mergeCell ref="H268:L269"/>
    <mergeCell ref="I318:K318"/>
    <mergeCell ref="R276:AA276"/>
    <mergeCell ref="S315:AB315"/>
  </mergeCells>
  <pageMargins left="0.7" right="0.7" top="0.75" bottom="0.75" header="0.3" footer="0.3"/>
  <pageSetup scale="64" orientation="portrait" r:id="rId1"/>
  <rowBreaks count="1" manualBreakCount="1">
    <brk id="59" max="16383" man="1"/>
  </rowBreaks>
  <colBreaks count="1" manualBreakCount="1">
    <brk id="7" max="1048575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EE884-F948-469A-93A4-FA5930DC14DB}">
  <dimension ref="A1:L364"/>
  <sheetViews>
    <sheetView topLeftCell="A61" zoomScale="90" zoomScaleNormal="90" workbookViewId="0">
      <selection activeCell="A79" sqref="A79"/>
    </sheetView>
  </sheetViews>
  <sheetFormatPr defaultRowHeight="14.5" x14ac:dyDescent="0.35"/>
  <cols>
    <col min="1" max="1" width="3.26953125" customWidth="1"/>
    <col min="2" max="2" width="21.54296875" bestFit="1" customWidth="1"/>
    <col min="3" max="3" width="13" bestFit="1" customWidth="1"/>
    <col min="4" max="4" width="19.1796875" customWidth="1"/>
    <col min="5" max="5" width="22.7265625" bestFit="1" customWidth="1"/>
    <col min="6" max="6" width="29.81640625" style="1" bestFit="1" customWidth="1"/>
    <col min="7" max="7" width="39.453125" style="2" customWidth="1"/>
    <col min="8" max="8" width="15.54296875" style="2" customWidth="1"/>
    <col min="9" max="9" width="26.81640625" style="2" customWidth="1"/>
    <col min="10" max="10" width="22.54296875" style="2" customWidth="1"/>
    <col min="11" max="11" width="3.453125" style="1" customWidth="1"/>
    <col min="12" max="12" width="3.453125" style="3" customWidth="1"/>
    <col min="13" max="36" width="9.1796875" customWidth="1"/>
  </cols>
  <sheetData>
    <row r="1" spans="2:10" ht="15" thickBot="1" x14ac:dyDescent="0.4">
      <c r="C1" s="414">
        <v>2020</v>
      </c>
    </row>
    <row r="2" spans="2:10" ht="15" thickBot="1" x14ac:dyDescent="0.4">
      <c r="C2" s="415"/>
      <c r="F2"/>
      <c r="G2" s="368" t="s">
        <v>0</v>
      </c>
      <c r="H2" s="369"/>
      <c r="I2" s="369"/>
      <c r="J2" s="370"/>
    </row>
    <row r="3" spans="2:10" ht="15" customHeight="1" thickBot="1" x14ac:dyDescent="0.4">
      <c r="B3" s="399" t="s">
        <v>108</v>
      </c>
      <c r="C3" s="400"/>
      <c r="D3" s="400"/>
      <c r="E3" s="401"/>
      <c r="F3"/>
      <c r="G3" s="368" t="s">
        <v>5</v>
      </c>
      <c r="H3" s="369"/>
      <c r="I3" s="369"/>
      <c r="J3" s="370"/>
    </row>
    <row r="4" spans="2:10" ht="15.75" customHeight="1" thickBot="1" x14ac:dyDescent="0.4">
      <c r="B4" s="402"/>
      <c r="C4" s="436"/>
      <c r="D4" s="436"/>
      <c r="E4" s="404"/>
      <c r="F4"/>
    </row>
    <row r="5" spans="2:10" ht="15.75" customHeight="1" thickBot="1" x14ac:dyDescent="0.4">
      <c r="B5" s="405"/>
      <c r="C5" s="406"/>
      <c r="D5" s="406"/>
      <c r="E5" s="407"/>
      <c r="F5"/>
      <c r="G5" s="7" t="s">
        <v>99</v>
      </c>
      <c r="H5" s="8"/>
      <c r="I5" s="9"/>
      <c r="J5" s="9"/>
    </row>
    <row r="6" spans="2:10" ht="15.75" customHeight="1" thickBot="1" x14ac:dyDescent="0.4">
      <c r="B6" s="13"/>
      <c r="C6" s="14" t="s">
        <v>11</v>
      </c>
      <c r="D6" s="15"/>
      <c r="E6" s="16" t="s">
        <v>12</v>
      </c>
      <c r="F6"/>
      <c r="G6" s="17" t="s">
        <v>13</v>
      </c>
      <c r="H6" s="17" t="s">
        <v>14</v>
      </c>
      <c r="I6" s="18" t="s">
        <v>15</v>
      </c>
    </row>
    <row r="7" spans="2:10" x14ac:dyDescent="0.35">
      <c r="B7" s="20" t="s">
        <v>19</v>
      </c>
      <c r="C7" s="21">
        <v>1908</v>
      </c>
      <c r="D7" s="22"/>
      <c r="E7" s="23">
        <v>0</v>
      </c>
      <c r="F7"/>
      <c r="G7" s="24">
        <f>+G24</f>
        <v>11562.909299999999</v>
      </c>
      <c r="H7" s="25">
        <f>C7</f>
        <v>1908</v>
      </c>
      <c r="I7" s="26">
        <f>+G7*H7</f>
        <v>22062030.944399998</v>
      </c>
    </row>
    <row r="8" spans="2:10" x14ac:dyDescent="0.35">
      <c r="B8" s="31" t="s">
        <v>20</v>
      </c>
      <c r="C8" s="32">
        <v>25.25</v>
      </c>
      <c r="D8" s="33"/>
      <c r="E8" s="34">
        <v>0</v>
      </c>
      <c r="F8"/>
      <c r="G8" s="35">
        <f>+G31</f>
        <v>3420470.0164000001</v>
      </c>
      <c r="H8" s="36">
        <f>C8</f>
        <v>25.25</v>
      </c>
      <c r="I8" s="37">
        <f>+G8*H8</f>
        <v>86366867.914100006</v>
      </c>
    </row>
    <row r="9" spans="2:10" x14ac:dyDescent="0.35">
      <c r="B9" s="40" t="s">
        <v>21</v>
      </c>
      <c r="C9" s="41">
        <v>860</v>
      </c>
      <c r="D9" s="42"/>
      <c r="E9" s="43">
        <v>0</v>
      </c>
      <c r="F9"/>
      <c r="G9" s="44">
        <v>-440.6114</v>
      </c>
      <c r="H9" s="45">
        <f>C9</f>
        <v>860</v>
      </c>
      <c r="I9" s="46">
        <f>+G9*H9</f>
        <v>-378925.804</v>
      </c>
    </row>
    <row r="10" spans="2:10" ht="14.5" customHeight="1" x14ac:dyDescent="0.35">
      <c r="B10" s="49" t="s">
        <v>22</v>
      </c>
      <c r="C10" s="50">
        <v>1400</v>
      </c>
      <c r="D10" s="51"/>
      <c r="E10" s="52">
        <v>0</v>
      </c>
      <c r="F10"/>
      <c r="G10" s="53">
        <f>G44</f>
        <v>517.16899999999998</v>
      </c>
      <c r="H10" s="54">
        <f>C10</f>
        <v>1400</v>
      </c>
      <c r="I10" s="55">
        <f>+G10*H10</f>
        <v>724036.6</v>
      </c>
    </row>
    <row r="11" spans="2:10" ht="15" thickBot="1" x14ac:dyDescent="0.4">
      <c r="B11" s="57" t="s">
        <v>23</v>
      </c>
      <c r="C11" s="58">
        <v>12800</v>
      </c>
      <c r="D11" s="59"/>
      <c r="E11" s="60">
        <v>0</v>
      </c>
      <c r="F11"/>
      <c r="G11" s="61">
        <v>72.561999999999998</v>
      </c>
      <c r="H11" s="62">
        <f>C11</f>
        <v>12800</v>
      </c>
      <c r="I11" s="63">
        <f>+G11*H11</f>
        <v>928793.59999999998</v>
      </c>
    </row>
    <row r="12" spans="2:10" ht="15" thickBot="1" x14ac:dyDescent="0.4">
      <c r="B12" s="457" t="s">
        <v>24</v>
      </c>
      <c r="C12" s="406"/>
      <c r="D12" s="458"/>
      <c r="E12" s="407"/>
      <c r="F12" s="65"/>
      <c r="G12" s="65"/>
      <c r="H12" s="56"/>
      <c r="I12" s="66">
        <f>SUM(I7:I11)</f>
        <v>109702803.25449999</v>
      </c>
    </row>
    <row r="13" spans="2:10" ht="15" thickBot="1" x14ac:dyDescent="0.4">
      <c r="F13"/>
      <c r="G13" s="67"/>
      <c r="H13" s="67"/>
      <c r="I13" s="68">
        <f>C14</f>
        <v>1050372.9099999999</v>
      </c>
      <c r="J13" s="69" t="s">
        <v>25</v>
      </c>
    </row>
    <row r="14" spans="2:10" ht="15" thickBot="1" x14ac:dyDescent="0.4">
      <c r="B14" s="73" t="s">
        <v>25</v>
      </c>
      <c r="C14" s="411">
        <v>1050372.9099999999</v>
      </c>
      <c r="D14" s="411"/>
      <c r="E14" s="412"/>
      <c r="F14" t="s">
        <v>101</v>
      </c>
      <c r="G14" s="413" t="s">
        <v>27</v>
      </c>
      <c r="H14" s="413"/>
      <c r="I14" s="74">
        <f>D15</f>
        <v>0</v>
      </c>
      <c r="J14" s="75" t="s">
        <v>28</v>
      </c>
    </row>
    <row r="15" spans="2:10" ht="15" thickBot="1" x14ac:dyDescent="0.4">
      <c r="B15" s="81" t="s">
        <v>28</v>
      </c>
      <c r="C15" s="82"/>
      <c r="D15" s="380">
        <v>0</v>
      </c>
      <c r="E15" s="381"/>
      <c r="F15" t="s">
        <v>101</v>
      </c>
      <c r="G15" s="56" t="s">
        <v>30</v>
      </c>
      <c r="H15" s="83"/>
      <c r="I15" s="84">
        <f>+I12+I13+I14</f>
        <v>110753176.16449998</v>
      </c>
    </row>
    <row r="16" spans="2:10" ht="15" thickBot="1" x14ac:dyDescent="0.4">
      <c r="C16" s="85"/>
      <c r="D16" s="85"/>
      <c r="E16" s="85"/>
      <c r="F16"/>
      <c r="G16" s="56"/>
      <c r="H16" s="56"/>
    </row>
    <row r="17" spans="2:10" ht="15" thickBot="1" x14ac:dyDescent="0.4">
      <c r="B17" s="382" t="s">
        <v>31</v>
      </c>
      <c r="C17" s="383"/>
      <c r="D17" s="383"/>
      <c r="E17" s="384"/>
      <c r="F17"/>
      <c r="G17" s="7" t="s">
        <v>100</v>
      </c>
      <c r="H17" s="86"/>
      <c r="I17" s="86"/>
      <c r="J17" s="9"/>
    </row>
    <row r="18" spans="2:10" ht="15" customHeight="1" x14ac:dyDescent="0.35">
      <c r="B18" s="87" t="s">
        <v>33</v>
      </c>
      <c r="C18" s="88">
        <v>-2465006</v>
      </c>
      <c r="D18" s="89"/>
      <c r="E18" s="90"/>
      <c r="F18" s="385" t="s">
        <v>34</v>
      </c>
      <c r="G18" s="91">
        <v>635.15750000000003</v>
      </c>
      <c r="H18" s="92">
        <v>513</v>
      </c>
      <c r="I18" s="92">
        <f>+G18*H18</f>
        <v>325835.79749999999</v>
      </c>
      <c r="J18" s="93">
        <v>2005</v>
      </c>
    </row>
    <row r="19" spans="2:10" x14ac:dyDescent="0.35">
      <c r="B19" s="87" t="s">
        <v>36</v>
      </c>
      <c r="C19" s="88">
        <v>0</v>
      </c>
      <c r="D19" s="96"/>
      <c r="E19" s="97" t="s">
        <v>37</v>
      </c>
      <c r="F19" s="386"/>
      <c r="G19" s="91">
        <v>8241.6015000000007</v>
      </c>
      <c r="H19" s="92">
        <v>635.70000000000005</v>
      </c>
      <c r="I19" s="92">
        <f t="shared" ref="I19:I23" si="0">+G19*H19</f>
        <v>5239186.0735500008</v>
      </c>
      <c r="J19" s="93">
        <v>2006</v>
      </c>
    </row>
    <row r="20" spans="2:10" x14ac:dyDescent="0.35">
      <c r="B20" s="87" t="s">
        <v>38</v>
      </c>
      <c r="C20" s="98">
        <v>0</v>
      </c>
      <c r="D20" s="96"/>
      <c r="E20" s="97" t="s">
        <v>37</v>
      </c>
      <c r="F20" s="386"/>
      <c r="G20" s="91">
        <f>2706.7257-20.5754</f>
        <v>2686.1502999999998</v>
      </c>
      <c r="H20" s="92">
        <v>846.75</v>
      </c>
      <c r="I20" s="92">
        <f t="shared" si="0"/>
        <v>2274497.7665249999</v>
      </c>
      <c r="J20" s="93">
        <v>2008</v>
      </c>
    </row>
    <row r="21" spans="2:10" x14ac:dyDescent="0.35">
      <c r="B21" s="87" t="s">
        <v>39</v>
      </c>
      <c r="C21" s="88">
        <v>0</v>
      </c>
      <c r="D21" s="96"/>
      <c r="E21" s="97" t="s">
        <v>40</v>
      </c>
      <c r="F21" s="386"/>
      <c r="G21" s="91">
        <f>668.4836-48.1355-620.3481</f>
        <v>0</v>
      </c>
      <c r="H21" s="92"/>
      <c r="I21" s="92">
        <f t="shared" si="0"/>
        <v>0</v>
      </c>
      <c r="J21" s="93"/>
    </row>
    <row r="22" spans="2:10" x14ac:dyDescent="0.35">
      <c r="B22" s="87" t="s">
        <v>103</v>
      </c>
      <c r="C22" s="88">
        <v>0</v>
      </c>
      <c r="D22" s="96"/>
      <c r="E22" s="97" t="s">
        <v>40</v>
      </c>
      <c r="F22" s="386"/>
      <c r="G22" s="91"/>
      <c r="H22" s="103">
        <v>1527.1</v>
      </c>
      <c r="I22" s="92">
        <f t="shared" si="0"/>
        <v>0</v>
      </c>
      <c r="J22" s="104" t="s">
        <v>113</v>
      </c>
    </row>
    <row r="23" spans="2:10" ht="15" thickBot="1" x14ac:dyDescent="0.4">
      <c r="B23" s="99" t="s">
        <v>41</v>
      </c>
      <c r="C23" s="100">
        <f>SUM(C18:C22)</f>
        <v>-2465006</v>
      </c>
      <c r="D23" s="101"/>
      <c r="E23" s="102" t="str">
        <f>B3</f>
        <v>Date as of : 10.09.2020</v>
      </c>
      <c r="F23" s="386"/>
      <c r="G23" s="106">
        <v>0</v>
      </c>
      <c r="H23" s="92"/>
      <c r="I23" s="92">
        <f t="shared" si="0"/>
        <v>0</v>
      </c>
      <c r="J23" s="93"/>
    </row>
    <row r="24" spans="2:10" ht="15" thickBot="1" x14ac:dyDescent="0.4">
      <c r="B24" s="388" t="s">
        <v>43</v>
      </c>
      <c r="C24" s="389"/>
      <c r="D24" s="389"/>
      <c r="E24" s="390"/>
      <c r="F24" s="387"/>
      <c r="G24" s="108">
        <f>SUM(G18:G23)</f>
        <v>11562.909299999999</v>
      </c>
      <c r="H24" s="92"/>
      <c r="I24" s="109">
        <f>SUM(I18:I23)</f>
        <v>7839519.6375750005</v>
      </c>
      <c r="J24" s="93"/>
    </row>
    <row r="25" spans="2:10" ht="15" thickTop="1" x14ac:dyDescent="0.35">
      <c r="B25" s="391" t="s">
        <v>44</v>
      </c>
      <c r="C25" s="460"/>
      <c r="D25" s="460"/>
      <c r="E25" s="393"/>
      <c r="G25" s="56"/>
      <c r="H25" s="115"/>
      <c r="J25" s="93"/>
    </row>
    <row r="26" spans="2:10" ht="15" customHeight="1" x14ac:dyDescent="0.35">
      <c r="B26" s="391" t="s">
        <v>46</v>
      </c>
      <c r="C26" s="392"/>
      <c r="D26" s="392"/>
      <c r="E26" s="393"/>
      <c r="F26" s="459" t="s">
        <v>47</v>
      </c>
      <c r="G26" s="116">
        <v>981664.58790000004</v>
      </c>
      <c r="H26" s="117">
        <v>8.83</v>
      </c>
      <c r="I26" s="118">
        <f>+G26*H26</f>
        <v>8668098.3111570012</v>
      </c>
      <c r="J26" s="93">
        <v>2005</v>
      </c>
    </row>
    <row r="27" spans="2:10" ht="15" thickBot="1" x14ac:dyDescent="0.4">
      <c r="B27" s="396" t="s">
        <v>105</v>
      </c>
      <c r="C27" s="397"/>
      <c r="D27" s="397"/>
      <c r="E27" s="398"/>
      <c r="F27" s="434"/>
      <c r="G27" s="116">
        <v>649.01480000000004</v>
      </c>
      <c r="H27" s="117">
        <v>14.93</v>
      </c>
      <c r="I27" s="118">
        <f>+G27*H27</f>
        <v>9689.7909639999998</v>
      </c>
      <c r="J27" s="93">
        <v>2008</v>
      </c>
    </row>
    <row r="28" spans="2:10" ht="15" thickBot="1" x14ac:dyDescent="0.4">
      <c r="B28" s="93"/>
      <c r="C28" s="93"/>
      <c r="D28" s="93"/>
      <c r="E28" s="93"/>
      <c r="F28" s="434"/>
      <c r="G28" s="122">
        <f>213803.7135</f>
        <v>213803.71350000001</v>
      </c>
      <c r="H28" s="117">
        <v>11.08</v>
      </c>
      <c r="I28" s="118">
        <f>+G28*H28</f>
        <v>2368945.1455800002</v>
      </c>
      <c r="J28" s="93">
        <v>2009</v>
      </c>
    </row>
    <row r="29" spans="2:10" ht="15" thickBot="1" x14ac:dyDescent="0.4">
      <c r="B29" s="119" t="s">
        <v>48</v>
      </c>
      <c r="C29" s="120" t="str">
        <f>MID(B3,13,15)</f>
        <v xml:space="preserve"> 10.09.2020</v>
      </c>
      <c r="D29" s="120"/>
      <c r="E29" s="121">
        <v>30000000</v>
      </c>
      <c r="F29" s="434"/>
      <c r="G29" s="122">
        <f>1249196.5802-72195.341</f>
        <v>1177001.2392</v>
      </c>
      <c r="H29" s="117">
        <v>14</v>
      </c>
      <c r="I29" s="118">
        <f>+G29*H29</f>
        <v>16478017.3488</v>
      </c>
      <c r="J29" s="93">
        <v>2016</v>
      </c>
    </row>
    <row r="30" spans="2:10" x14ac:dyDescent="0.35">
      <c r="B30" s="93"/>
      <c r="C30" s="93"/>
      <c r="D30" s="93"/>
      <c r="E30" s="93" t="s">
        <v>104</v>
      </c>
      <c r="F30" s="434"/>
      <c r="G30" s="122">
        <v>1047351.461</v>
      </c>
      <c r="H30" s="124">
        <v>15.44</v>
      </c>
      <c r="I30" s="118">
        <f>+G30*H30</f>
        <v>16171106.557839999</v>
      </c>
      <c r="J30" s="104" t="s">
        <v>42</v>
      </c>
    </row>
    <row r="31" spans="2:10" ht="15" thickBot="1" x14ac:dyDescent="0.4">
      <c r="B31" s="93"/>
      <c r="C31" s="93"/>
      <c r="D31" s="93"/>
      <c r="E31" s="123"/>
      <c r="F31" s="435"/>
      <c r="G31" s="125">
        <f>SUM(G26:G30)</f>
        <v>3420470.0164000001</v>
      </c>
      <c r="H31" s="126"/>
      <c r="I31" s="127">
        <f>SUM(I26:I30)</f>
        <v>43695857.154340997</v>
      </c>
      <c r="J31" s="93"/>
    </row>
    <row r="32" spans="2:10" ht="15" thickTop="1" x14ac:dyDescent="0.35">
      <c r="B32" s="399" t="s">
        <v>49</v>
      </c>
      <c r="C32" s="400"/>
      <c r="D32" s="400"/>
      <c r="E32" s="401"/>
      <c r="G32" s="131"/>
      <c r="I32" s="132"/>
      <c r="J32" s="93"/>
    </row>
    <row r="33" spans="2:10" x14ac:dyDescent="0.35">
      <c r="B33" s="402"/>
      <c r="C33" s="436"/>
      <c r="D33" s="436"/>
      <c r="E33" s="404"/>
      <c r="F33" s="408" t="s">
        <v>51</v>
      </c>
      <c r="G33" s="134">
        <v>0</v>
      </c>
      <c r="H33" s="135">
        <v>1208</v>
      </c>
      <c r="I33" s="136">
        <f>+G33*H33</f>
        <v>0</v>
      </c>
      <c r="J33" s="93"/>
    </row>
    <row r="34" spans="2:10" ht="15" thickBot="1" x14ac:dyDescent="0.4">
      <c r="B34" s="405"/>
      <c r="C34" s="406"/>
      <c r="D34" s="406"/>
      <c r="E34" s="407"/>
      <c r="F34" s="409"/>
      <c r="G34" s="137">
        <v>0</v>
      </c>
      <c r="H34" s="135">
        <v>893</v>
      </c>
      <c r="I34" s="136">
        <f>+G34*H34</f>
        <v>0</v>
      </c>
      <c r="J34" s="93"/>
    </row>
    <row r="35" spans="2:10" x14ac:dyDescent="0.35">
      <c r="B35" s="350" t="s">
        <v>35</v>
      </c>
      <c r="C35" s="351"/>
      <c r="D35" s="351"/>
      <c r="E35" s="352"/>
      <c r="F35" s="409"/>
      <c r="G35" s="137">
        <v>0</v>
      </c>
      <c r="H35" s="135">
        <v>929</v>
      </c>
      <c r="I35" s="136">
        <f>+G35*H35</f>
        <v>0</v>
      </c>
      <c r="J35" s="93"/>
    </row>
    <row r="36" spans="2:10" x14ac:dyDescent="0.35">
      <c r="B36" s="353"/>
      <c r="C36" s="354"/>
      <c r="D36" s="354"/>
      <c r="E36" s="355"/>
      <c r="F36" s="409"/>
      <c r="G36" s="138"/>
      <c r="H36" s="139">
        <v>785</v>
      </c>
      <c r="I36" s="136"/>
      <c r="J36" s="104" t="s">
        <v>42</v>
      </c>
    </row>
    <row r="37" spans="2:10" ht="15" thickBot="1" x14ac:dyDescent="0.4">
      <c r="B37" s="356"/>
      <c r="C37" s="357"/>
      <c r="D37" s="357"/>
      <c r="E37" s="358"/>
      <c r="F37" s="409"/>
      <c r="G37" s="138"/>
      <c r="H37" s="135"/>
      <c r="I37" s="136"/>
      <c r="J37" s="93"/>
    </row>
    <row r="38" spans="2:10" ht="15" thickBot="1" x14ac:dyDescent="0.4">
      <c r="F38" s="410"/>
      <c r="G38" s="140">
        <f>SUM(G33:G37)</f>
        <v>0</v>
      </c>
      <c r="H38" s="136"/>
      <c r="I38" s="141">
        <f>SUM(I33:I37)</f>
        <v>0</v>
      </c>
      <c r="J38" s="93"/>
    </row>
    <row r="39" spans="2:10" ht="15" thickTop="1" x14ac:dyDescent="0.35">
      <c r="G39" s="131"/>
      <c r="H39" s="145"/>
      <c r="I39" s="132"/>
      <c r="J39" s="93"/>
    </row>
    <row r="40" spans="2:10" x14ac:dyDescent="0.35">
      <c r="F40" s="359" t="s">
        <v>53</v>
      </c>
      <c r="G40" s="146">
        <v>517.16899999999998</v>
      </c>
      <c r="H40" s="147">
        <v>1267</v>
      </c>
      <c r="I40" s="148">
        <f>+G40*H40</f>
        <v>655253.12300000002</v>
      </c>
      <c r="J40" s="104" t="s">
        <v>42</v>
      </c>
    </row>
    <row r="41" spans="2:10" x14ac:dyDescent="0.35">
      <c r="F41" s="360"/>
      <c r="G41" s="146"/>
      <c r="H41" s="149"/>
      <c r="I41" s="148">
        <f>+G41*H41</f>
        <v>0</v>
      </c>
      <c r="J41" s="93"/>
    </row>
    <row r="42" spans="2:10" x14ac:dyDescent="0.35">
      <c r="F42" s="360"/>
      <c r="G42" s="150"/>
      <c r="H42" s="151"/>
      <c r="I42" s="148">
        <f>+G42*H42</f>
        <v>0</v>
      </c>
      <c r="J42" s="93"/>
    </row>
    <row r="43" spans="2:10" x14ac:dyDescent="0.35">
      <c r="F43" s="360"/>
      <c r="G43" s="152">
        <v>0</v>
      </c>
      <c r="H43" s="151"/>
      <c r="I43" s="148">
        <f>+G43*H43</f>
        <v>0</v>
      </c>
      <c r="J43" s="93"/>
    </row>
    <row r="44" spans="2:10" ht="15" thickBot="1" x14ac:dyDescent="0.4">
      <c r="F44" s="361"/>
      <c r="G44" s="153">
        <f>SUM(G40:G43)</f>
        <v>517.16899999999998</v>
      </c>
      <c r="H44" s="148"/>
      <c r="I44" s="154">
        <f>SUM(I40:I43)</f>
        <v>655253.12300000002</v>
      </c>
      <c r="J44" s="93"/>
    </row>
    <row r="45" spans="2:10" ht="15" thickTop="1" x14ac:dyDescent="0.35">
      <c r="G45" s="131"/>
      <c r="H45" s="132"/>
      <c r="I45" s="132"/>
      <c r="J45" s="93"/>
    </row>
    <row r="46" spans="2:10" x14ac:dyDescent="0.35">
      <c r="F46" s="432" t="s">
        <v>55</v>
      </c>
      <c r="G46" s="158">
        <v>72.56</v>
      </c>
      <c r="H46" s="159">
        <v>2300</v>
      </c>
      <c r="I46" s="160">
        <f>+G46*H46</f>
        <v>166888</v>
      </c>
      <c r="J46" s="104" t="s">
        <v>42</v>
      </c>
    </row>
    <row r="47" spans="2:10" x14ac:dyDescent="0.35">
      <c r="F47" s="432"/>
      <c r="G47" s="158"/>
      <c r="H47" s="160"/>
      <c r="I47" s="160">
        <f>+G47*H47</f>
        <v>0</v>
      </c>
      <c r="J47" s="93"/>
    </row>
    <row r="48" spans="2:10" ht="15" thickBot="1" x14ac:dyDescent="0.4">
      <c r="F48" s="432"/>
      <c r="G48" s="164">
        <f>SUM(G46:G47)</f>
        <v>72.56</v>
      </c>
      <c r="H48" s="160"/>
      <c r="I48" s="165">
        <f>SUM(I46:I47)</f>
        <v>166888</v>
      </c>
      <c r="J48" s="93"/>
    </row>
    <row r="49" spans="1:12" ht="15" thickTop="1" x14ac:dyDescent="0.35">
      <c r="G49" s="170"/>
      <c r="H49" s="171"/>
      <c r="I49" s="68">
        <f>+I13</f>
        <v>1050372.9099999999</v>
      </c>
      <c r="J49" s="69" t="s">
        <v>26</v>
      </c>
    </row>
    <row r="50" spans="1:12" ht="15" thickBot="1" x14ac:dyDescent="0.4">
      <c r="G50" s="56" t="s">
        <v>30</v>
      </c>
      <c r="H50" s="132"/>
      <c r="I50" s="84">
        <f>+I24+I31+I38+I44+I49+I48</f>
        <v>53407890.824915998</v>
      </c>
    </row>
    <row r="51" spans="1:12" ht="15" thickTop="1" x14ac:dyDescent="0.35">
      <c r="H51" s="132"/>
      <c r="I51" s="132"/>
    </row>
    <row r="52" spans="1:12" ht="15" thickBot="1" x14ac:dyDescent="0.4">
      <c r="G52" s="56" t="s">
        <v>56</v>
      </c>
      <c r="H52" s="132"/>
      <c r="I52" s="177">
        <f>+I15-I50</f>
        <v>57345285.339583986</v>
      </c>
    </row>
    <row r="53" spans="1:12" ht="15" thickTop="1" x14ac:dyDescent="0.35">
      <c r="H53" s="178"/>
      <c r="I53" s="179"/>
    </row>
    <row r="54" spans="1:12" x14ac:dyDescent="0.35">
      <c r="G54" s="180" t="s">
        <v>109</v>
      </c>
      <c r="H54" s="178"/>
      <c r="I54" s="181">
        <v>30081777.469999999</v>
      </c>
    </row>
    <row r="55" spans="1:12" x14ac:dyDescent="0.35">
      <c r="G55" s="2" t="s">
        <v>110</v>
      </c>
      <c r="H55" s="56"/>
      <c r="I55" s="174">
        <f>+I52</f>
        <v>57345285.339583986</v>
      </c>
    </row>
    <row r="56" spans="1:12" x14ac:dyDescent="0.35">
      <c r="G56" s="2" t="s">
        <v>60</v>
      </c>
      <c r="H56" s="56"/>
      <c r="I56" s="183">
        <f>+I54-I55</f>
        <v>-27263507.869583987</v>
      </c>
    </row>
    <row r="57" spans="1:12" x14ac:dyDescent="0.35">
      <c r="G57" s="2" t="s">
        <v>111</v>
      </c>
      <c r="H57" s="56"/>
      <c r="I57" s="184">
        <f>E29</f>
        <v>30000000</v>
      </c>
      <c r="J57" s="2" t="str">
        <f>E30</f>
        <v>Estimated for EOY</v>
      </c>
    </row>
    <row r="58" spans="1:12" ht="15" thickBot="1" x14ac:dyDescent="0.4">
      <c r="G58" s="2" t="s">
        <v>112</v>
      </c>
      <c r="H58" s="56"/>
      <c r="I58" s="177">
        <f>+I56+I57</f>
        <v>2736492.1304160133</v>
      </c>
    </row>
    <row r="59" spans="1:12" ht="15" thickTop="1" x14ac:dyDescent="0.35">
      <c r="G59" s="56"/>
      <c r="H59" s="56"/>
    </row>
    <row r="60" spans="1:12" ht="15" thickBot="1" x14ac:dyDescent="0.4">
      <c r="G60" s="56"/>
      <c r="H60" s="56"/>
    </row>
    <row r="61" spans="1:12" s="2" customFormat="1" ht="15" thickBot="1" x14ac:dyDescent="0.4">
      <c r="A61"/>
      <c r="B61"/>
      <c r="C61"/>
      <c r="D61"/>
      <c r="E61"/>
      <c r="F61" s="186"/>
      <c r="G61" s="368" t="s">
        <v>65</v>
      </c>
      <c r="H61" s="369"/>
      <c r="I61" s="369"/>
      <c r="J61" s="370"/>
      <c r="K61" s="1"/>
      <c r="L61" s="3"/>
    </row>
    <row r="62" spans="1:12" s="2" customFormat="1" ht="15" thickBot="1" x14ac:dyDescent="0.4">
      <c r="B62"/>
      <c r="C62"/>
      <c r="D62"/>
      <c r="E62"/>
      <c r="F62" s="186"/>
      <c r="G62" s="56"/>
      <c r="H62" s="56"/>
      <c r="K62" s="1"/>
      <c r="L62" s="3"/>
    </row>
    <row r="63" spans="1:12" s="2" customFormat="1" ht="15" thickBot="1" x14ac:dyDescent="0.4">
      <c r="B63"/>
      <c r="C63"/>
      <c r="D63"/>
      <c r="E63"/>
      <c r="F63" s="186"/>
      <c r="G63" s="56"/>
      <c r="H63" s="56"/>
      <c r="J63" s="188" t="s">
        <v>66</v>
      </c>
      <c r="K63" s="1"/>
      <c r="L63" s="3"/>
    </row>
    <row r="64" spans="1:12" s="2" customFormat="1" x14ac:dyDescent="0.35">
      <c r="B64"/>
      <c r="C64"/>
      <c r="D64"/>
      <c r="E64"/>
      <c r="F64" s="186"/>
      <c r="G64" s="56" t="s">
        <v>67</v>
      </c>
      <c r="H64" s="56"/>
      <c r="I64" s="30">
        <f>I58</f>
        <v>2736492.1304160133</v>
      </c>
      <c r="K64" s="1"/>
      <c r="L64" s="3"/>
    </row>
    <row r="65" spans="1:12" s="2" customFormat="1" x14ac:dyDescent="0.35">
      <c r="B65"/>
      <c r="C65"/>
      <c r="D65"/>
      <c r="E65"/>
      <c r="F65" s="186"/>
      <c r="G65" s="56" t="s">
        <v>68</v>
      </c>
      <c r="H65" s="56"/>
      <c r="I65" s="189">
        <v>0</v>
      </c>
      <c r="K65" s="1"/>
      <c r="L65" s="3"/>
    </row>
    <row r="66" spans="1:12" s="2" customFormat="1" ht="15" thickBot="1" x14ac:dyDescent="0.4">
      <c r="B66"/>
      <c r="C66"/>
      <c r="D66"/>
      <c r="E66"/>
      <c r="F66" s="186"/>
      <c r="G66" s="56" t="s">
        <v>69</v>
      </c>
      <c r="H66" s="56"/>
      <c r="I66" s="192">
        <f>I64+I65</f>
        <v>2736492.1304160133</v>
      </c>
      <c r="K66" s="1"/>
      <c r="L66" s="3"/>
    </row>
    <row r="67" spans="1:12" s="2" customFormat="1" x14ac:dyDescent="0.35">
      <c r="B67"/>
      <c r="C67"/>
      <c r="D67"/>
      <c r="E67"/>
      <c r="F67" s="186"/>
      <c r="G67" s="56"/>
      <c r="H67" s="56"/>
      <c r="K67" s="1"/>
      <c r="L67" s="3"/>
    </row>
    <row r="68" spans="1:12" x14ac:dyDescent="0.35">
      <c r="A68" s="2"/>
      <c r="E68" s="191"/>
      <c r="G68" s="2" t="s">
        <v>70</v>
      </c>
    </row>
    <row r="69" spans="1:12" x14ac:dyDescent="0.35">
      <c r="E69" s="191"/>
      <c r="G69" s="2" t="s">
        <v>72</v>
      </c>
      <c r="I69" s="189">
        <v>0</v>
      </c>
    </row>
    <row r="70" spans="1:12" x14ac:dyDescent="0.35">
      <c r="G70" s="2" t="s">
        <v>74</v>
      </c>
      <c r="I70" s="189">
        <v>0</v>
      </c>
    </row>
    <row r="71" spans="1:12" s="2" customFormat="1" ht="15" thickBot="1" x14ac:dyDescent="0.4">
      <c r="A71"/>
      <c r="B71"/>
      <c r="C71"/>
      <c r="D71"/>
      <c r="E71" s="193"/>
      <c r="F71" s="186"/>
      <c r="G71" s="2" t="s">
        <v>75</v>
      </c>
      <c r="I71" s="192">
        <f>SUM(I69:I70)</f>
        <v>0</v>
      </c>
      <c r="K71" s="1"/>
      <c r="L71" s="3"/>
    </row>
    <row r="72" spans="1:12" s="2" customFormat="1" x14ac:dyDescent="0.35">
      <c r="B72"/>
      <c r="C72"/>
      <c r="D72"/>
      <c r="E72" s="193"/>
      <c r="F72" s="186"/>
      <c r="I72" s="56"/>
      <c r="K72" s="1"/>
      <c r="L72" s="3"/>
    </row>
    <row r="73" spans="1:12" s="2" customFormat="1" x14ac:dyDescent="0.35">
      <c r="B73"/>
      <c r="C73"/>
      <c r="D73"/>
      <c r="E73" s="194"/>
      <c r="F73" s="186"/>
      <c r="G73" s="2" t="s">
        <v>76</v>
      </c>
      <c r="K73" s="1"/>
      <c r="L73" s="3"/>
    </row>
    <row r="74" spans="1:12" x14ac:dyDescent="0.35">
      <c r="A74" s="2"/>
      <c r="B74" s="2"/>
      <c r="C74" s="2"/>
      <c r="D74" s="2"/>
      <c r="E74" s="30"/>
      <c r="G74" s="2" t="s">
        <v>77</v>
      </c>
      <c r="I74" s="189">
        <v>0</v>
      </c>
      <c r="J74" s="2" t="s">
        <v>106</v>
      </c>
    </row>
    <row r="75" spans="1:12" x14ac:dyDescent="0.35">
      <c r="B75" s="2"/>
      <c r="C75" s="2"/>
      <c r="D75" s="2"/>
      <c r="E75" s="2"/>
      <c r="G75" s="2" t="s">
        <v>79</v>
      </c>
      <c r="I75" s="189">
        <v>0</v>
      </c>
      <c r="J75" s="2" t="s">
        <v>107</v>
      </c>
    </row>
    <row r="76" spans="1:12" x14ac:dyDescent="0.35">
      <c r="B76" s="2"/>
      <c r="C76" s="2"/>
      <c r="D76" s="2"/>
      <c r="E76" s="30"/>
      <c r="G76" s="2" t="s">
        <v>81</v>
      </c>
      <c r="I76" s="189">
        <v>0</v>
      </c>
      <c r="J76" s="2" t="s">
        <v>82</v>
      </c>
    </row>
    <row r="77" spans="1:12" x14ac:dyDescent="0.35">
      <c r="B77" s="2"/>
      <c r="C77" s="2"/>
      <c r="D77" s="2"/>
      <c r="E77" s="2"/>
      <c r="G77" s="2" t="s">
        <v>83</v>
      </c>
      <c r="I77" s="189">
        <v>0</v>
      </c>
    </row>
    <row r="78" spans="1:12" x14ac:dyDescent="0.35">
      <c r="B78" s="2"/>
      <c r="C78" s="2"/>
      <c r="D78" s="2"/>
      <c r="E78" s="30"/>
      <c r="G78" s="2" t="s">
        <v>84</v>
      </c>
      <c r="I78" s="190">
        <f>I94</f>
        <v>-2465006</v>
      </c>
      <c r="J78" s="190"/>
    </row>
    <row r="79" spans="1:12" ht="15" thickBot="1" x14ac:dyDescent="0.4">
      <c r="B79" s="2"/>
      <c r="C79" s="2"/>
      <c r="D79" s="2"/>
      <c r="E79" s="2"/>
      <c r="G79" s="2" t="s">
        <v>85</v>
      </c>
      <c r="I79" s="192">
        <f>SUM(I74:I78)</f>
        <v>-2465006</v>
      </c>
      <c r="J79" s="190"/>
    </row>
    <row r="80" spans="1:12" x14ac:dyDescent="0.35">
      <c r="B80" s="2"/>
      <c r="C80" s="2"/>
      <c r="D80" s="2"/>
      <c r="E80" s="2"/>
      <c r="J80" s="190"/>
    </row>
    <row r="81" spans="2:10" x14ac:dyDescent="0.35">
      <c r="G81" s="2" t="s">
        <v>86</v>
      </c>
      <c r="I81" s="195">
        <f>I66+I71+I79</f>
        <v>271486.1304160133</v>
      </c>
    </row>
    <row r="82" spans="2:10" x14ac:dyDescent="0.35">
      <c r="I82" s="196"/>
    </row>
    <row r="83" spans="2:10" x14ac:dyDescent="0.35">
      <c r="G83" s="2" t="s">
        <v>87</v>
      </c>
      <c r="I83" s="195">
        <v>0</v>
      </c>
    </row>
    <row r="84" spans="2:10" x14ac:dyDescent="0.35">
      <c r="B84" s="2"/>
      <c r="C84" s="2"/>
      <c r="D84" s="2"/>
      <c r="E84" s="2"/>
    </row>
    <row r="85" spans="2:10" ht="15" thickBot="1" x14ac:dyDescent="0.4">
      <c r="B85" s="2"/>
      <c r="C85" s="2"/>
      <c r="D85" s="2"/>
      <c r="E85" s="2"/>
      <c r="G85" s="2" t="s">
        <v>88</v>
      </c>
      <c r="I85" s="197">
        <f>I81-I83</f>
        <v>271486.1304160133</v>
      </c>
    </row>
    <row r="86" spans="2:10" ht="15" thickTop="1" x14ac:dyDescent="0.35">
      <c r="B86" s="2"/>
      <c r="C86" s="2"/>
      <c r="D86" s="2"/>
      <c r="E86" s="2"/>
    </row>
    <row r="88" spans="2:10" x14ac:dyDescent="0.35">
      <c r="G88" s="371" t="s">
        <v>31</v>
      </c>
      <c r="H88" s="371"/>
    </row>
    <row r="89" spans="2:10" ht="15" thickBot="1" x14ac:dyDescent="0.4">
      <c r="H89" s="198" t="s">
        <v>33</v>
      </c>
      <c r="I89" s="199">
        <f>C18</f>
        <v>-2465006</v>
      </c>
    </row>
    <row r="90" spans="2:10" ht="21" customHeight="1" x14ac:dyDescent="0.35">
      <c r="F90" s="374" t="s">
        <v>89</v>
      </c>
      <c r="G90" s="198" t="s">
        <v>90</v>
      </c>
      <c r="H90" s="198" t="s">
        <v>36</v>
      </c>
      <c r="I90" s="199">
        <f t="shared" ref="I90:I91" si="1">C19</f>
        <v>0</v>
      </c>
      <c r="J90" s="2" t="s">
        <v>37</v>
      </c>
    </row>
    <row r="91" spans="2:10" ht="21.75" customHeight="1" x14ac:dyDescent="0.35">
      <c r="F91" s="375"/>
      <c r="G91" s="198" t="s">
        <v>91</v>
      </c>
      <c r="H91" s="198" t="s">
        <v>38</v>
      </c>
      <c r="I91" s="199">
        <f t="shared" si="1"/>
        <v>0</v>
      </c>
      <c r="J91" s="2" t="s">
        <v>37</v>
      </c>
    </row>
    <row r="92" spans="2:10" ht="15" thickBot="1" x14ac:dyDescent="0.4">
      <c r="F92" s="376"/>
      <c r="G92" s="198" t="s">
        <v>92</v>
      </c>
      <c r="H92" s="198" t="s">
        <v>39</v>
      </c>
      <c r="I92" s="199">
        <f>C20</f>
        <v>0</v>
      </c>
      <c r="J92" s="2" t="s">
        <v>40</v>
      </c>
    </row>
    <row r="93" spans="2:10" x14ac:dyDescent="0.35">
      <c r="G93" s="198"/>
      <c r="H93" s="198" t="s">
        <v>103</v>
      </c>
      <c r="I93" s="199">
        <f>C21</f>
        <v>0</v>
      </c>
    </row>
    <row r="94" spans="2:10" x14ac:dyDescent="0.35">
      <c r="H94" s="198" t="s">
        <v>41</v>
      </c>
      <c r="I94" s="200">
        <f>SUM(I89:I93)</f>
        <v>-2465006</v>
      </c>
      <c r="J94" s="2" t="str">
        <f>B3</f>
        <v>Date as of : 10.09.2020</v>
      </c>
    </row>
    <row r="98" spans="1:12" s="2" customFormat="1" x14ac:dyDescent="0.35">
      <c r="A98"/>
      <c r="B98"/>
      <c r="C98"/>
      <c r="D98"/>
      <c r="E98"/>
      <c r="F98" s="1"/>
      <c r="K98" s="1"/>
      <c r="L98" s="3"/>
    </row>
    <row r="99" spans="1:12" s="2" customFormat="1" ht="15" thickBot="1" x14ac:dyDescent="0.4">
      <c r="B99"/>
      <c r="C99"/>
      <c r="D99"/>
      <c r="E99"/>
      <c r="F99" s="1"/>
      <c r="K99" s="1"/>
      <c r="L99" s="3"/>
    </row>
    <row r="100" spans="1:12" s="2" customFormat="1" ht="15" thickBot="1" x14ac:dyDescent="0.4">
      <c r="B100"/>
      <c r="C100"/>
      <c r="D100"/>
      <c r="E100"/>
      <c r="F100" s="1"/>
      <c r="G100" s="333" t="s">
        <v>36</v>
      </c>
      <c r="H100" s="334"/>
      <c r="K100" s="1"/>
      <c r="L100" s="3"/>
    </row>
    <row r="101" spans="1:12" s="2" customFormat="1" x14ac:dyDescent="0.35">
      <c r="B101"/>
      <c r="C101"/>
      <c r="D101"/>
      <c r="E101"/>
      <c r="F101" s="1"/>
      <c r="K101" s="1"/>
      <c r="L101" s="3"/>
    </row>
    <row r="102" spans="1:12" s="2" customFormat="1" x14ac:dyDescent="0.35">
      <c r="B102"/>
      <c r="C102"/>
      <c r="D102"/>
      <c r="E102"/>
      <c r="F102" s="1"/>
      <c r="K102" s="1"/>
      <c r="L102" s="3"/>
    </row>
    <row r="103" spans="1:12" x14ac:dyDescent="0.35">
      <c r="A103" s="2"/>
    </row>
    <row r="115" spans="3:12" x14ac:dyDescent="0.35">
      <c r="L115">
        <v>-8705430.3200000003</v>
      </c>
    </row>
    <row r="116" spans="3:12" x14ac:dyDescent="0.35">
      <c r="L116">
        <v>1093.5</v>
      </c>
    </row>
    <row r="117" spans="3:12" x14ac:dyDescent="0.35">
      <c r="L117">
        <v>364.5</v>
      </c>
    </row>
    <row r="118" spans="3:12" x14ac:dyDescent="0.35">
      <c r="K118" s="201"/>
      <c r="L118">
        <v>4.8600000000000003</v>
      </c>
    </row>
    <row r="119" spans="3:12" x14ac:dyDescent="0.35">
      <c r="L119">
        <v>574760</v>
      </c>
    </row>
    <row r="120" spans="3:12" x14ac:dyDescent="0.35">
      <c r="L120">
        <v>-380899.68</v>
      </c>
    </row>
    <row r="121" spans="3:12" x14ac:dyDescent="0.35">
      <c r="C121" s="203"/>
      <c r="L121">
        <f>SUM(L115:L120)</f>
        <v>-8510107.1400000006</v>
      </c>
    </row>
    <row r="122" spans="3:12" x14ac:dyDescent="0.35">
      <c r="L122">
        <v>2773675</v>
      </c>
    </row>
    <row r="123" spans="3:12" x14ac:dyDescent="0.35">
      <c r="L123">
        <f>L121+L122</f>
        <v>-5736432.1400000006</v>
      </c>
    </row>
    <row r="142" spans="1:12" ht="15" thickBot="1" x14ac:dyDescent="0.4"/>
    <row r="143" spans="1:12" ht="15" thickBot="1" x14ac:dyDescent="0.4">
      <c r="G143" s="333" t="s">
        <v>94</v>
      </c>
      <c r="H143" s="334"/>
    </row>
    <row r="144" spans="1:12" s="2" customFormat="1" x14ac:dyDescent="0.35">
      <c r="A144"/>
      <c r="B144"/>
      <c r="C144"/>
      <c r="D144"/>
      <c r="E144"/>
      <c r="F144" s="1"/>
      <c r="K144" s="1"/>
      <c r="L144" s="3"/>
    </row>
    <row r="145" spans="1:12" s="2" customFormat="1" x14ac:dyDescent="0.35">
      <c r="B145"/>
      <c r="C145"/>
      <c r="D145"/>
      <c r="E145"/>
      <c r="F145" s="1"/>
      <c r="K145" s="1"/>
      <c r="L145" s="3"/>
    </row>
    <row r="146" spans="1:12" x14ac:dyDescent="0.35">
      <c r="A146" s="2"/>
    </row>
    <row r="190" spans="2:12" ht="15" thickBot="1" x14ac:dyDescent="0.4"/>
    <row r="191" spans="2:12" ht="15" thickBot="1" x14ac:dyDescent="0.4">
      <c r="G191" s="333" t="s">
        <v>95</v>
      </c>
      <c r="H191" s="461"/>
      <c r="I191" s="461"/>
      <c r="J191" s="334"/>
    </row>
    <row r="192" spans="2:12" s="1" customFormat="1" x14ac:dyDescent="0.35">
      <c r="B192"/>
      <c r="C192"/>
      <c r="D192"/>
      <c r="E192"/>
      <c r="G192" s="2"/>
      <c r="H192" s="2"/>
      <c r="I192" s="2"/>
      <c r="J192" s="2"/>
      <c r="L192" s="3"/>
    </row>
    <row r="193" spans="2:12" s="1" customFormat="1" x14ac:dyDescent="0.35">
      <c r="B193"/>
      <c r="C193"/>
      <c r="D193"/>
      <c r="E193"/>
      <c r="G193" s="2"/>
      <c r="H193" s="2"/>
      <c r="I193" s="2"/>
      <c r="J193" s="2"/>
      <c r="L193" s="3"/>
    </row>
    <row r="213" spans="2:11" x14ac:dyDescent="0.35">
      <c r="K213"/>
    </row>
    <row r="216" spans="2:11" s="3" customFormat="1" x14ac:dyDescent="0.35">
      <c r="B216"/>
      <c r="C216"/>
      <c r="D216"/>
      <c r="E216"/>
      <c r="F216" s="1"/>
      <c r="G216" s="2"/>
      <c r="H216" s="2"/>
      <c r="I216" s="2"/>
      <c r="J216" s="2"/>
      <c r="K216" s="1"/>
    </row>
    <row r="220" spans="2:11" x14ac:dyDescent="0.35">
      <c r="G220" s="204"/>
      <c r="J220" s="204"/>
    </row>
    <row r="238" spans="2:12" ht="15" thickBot="1" x14ac:dyDescent="0.4"/>
    <row r="239" spans="2:12" ht="15" customHeight="1" x14ac:dyDescent="0.35">
      <c r="B239" s="205" t="s">
        <v>96</v>
      </c>
      <c r="C239" s="206"/>
      <c r="D239" s="206"/>
      <c r="E239" s="206"/>
      <c r="F239" s="206"/>
      <c r="G239" s="206"/>
      <c r="H239" s="206"/>
      <c r="I239" s="206"/>
      <c r="J239" s="206"/>
      <c r="K239" s="206"/>
      <c r="L239" s="206"/>
    </row>
    <row r="240" spans="2:12" ht="15" customHeight="1" x14ac:dyDescent="0.35">
      <c r="B240" s="208"/>
      <c r="C240" s="209"/>
      <c r="D240" s="209"/>
      <c r="E240" s="209"/>
      <c r="F240" s="209"/>
      <c r="G240" s="209"/>
      <c r="H240" s="209"/>
      <c r="I240" s="209"/>
      <c r="J240" s="209"/>
      <c r="K240" s="209"/>
      <c r="L240" s="209"/>
    </row>
    <row r="241" spans="2:12" ht="15.75" customHeight="1" thickBot="1" x14ac:dyDescent="0.4">
      <c r="B241" s="211"/>
      <c r="C241" s="212"/>
      <c r="D241" s="212"/>
      <c r="E241" s="212"/>
      <c r="F241" s="212"/>
      <c r="G241" s="212"/>
      <c r="H241" s="212"/>
      <c r="I241" s="212"/>
      <c r="J241" s="212"/>
      <c r="K241" s="212"/>
      <c r="L241" s="212"/>
    </row>
    <row r="297" spans="2:12" ht="15" thickBot="1" x14ac:dyDescent="0.4"/>
    <row r="298" spans="2:12" ht="15" customHeight="1" x14ac:dyDescent="0.35">
      <c r="B298" s="205" t="s">
        <v>25</v>
      </c>
      <c r="C298" s="206"/>
      <c r="D298" s="206"/>
      <c r="E298" s="206"/>
      <c r="F298" s="206"/>
      <c r="G298" s="206"/>
      <c r="H298" s="206"/>
      <c r="I298" s="206"/>
      <c r="J298" s="206"/>
      <c r="K298" s="206"/>
      <c r="L298" s="206"/>
    </row>
    <row r="299" spans="2:12" ht="15" customHeight="1" x14ac:dyDescent="0.35">
      <c r="B299" s="208"/>
      <c r="C299" s="209"/>
      <c r="D299" s="209"/>
      <c r="E299" s="209"/>
      <c r="F299" s="209"/>
      <c r="G299" s="209"/>
      <c r="H299" s="209"/>
      <c r="I299" s="209"/>
      <c r="J299" s="209"/>
      <c r="K299" s="209"/>
      <c r="L299" s="209"/>
    </row>
    <row r="300" spans="2:12" ht="15.75" customHeight="1" thickBot="1" x14ac:dyDescent="0.4">
      <c r="B300" s="211"/>
      <c r="C300" s="212"/>
      <c r="D300" s="212"/>
      <c r="E300" s="212"/>
      <c r="F300" s="212"/>
      <c r="G300" s="212"/>
      <c r="H300" s="212"/>
      <c r="I300" s="212"/>
      <c r="J300" s="212"/>
      <c r="K300" s="212"/>
      <c r="L300" s="212"/>
    </row>
    <row r="302" spans="2:12" x14ac:dyDescent="0.35">
      <c r="F302" s="1" t="s">
        <v>102</v>
      </c>
    </row>
    <row r="314" spans="2:12" ht="15" thickBot="1" x14ac:dyDescent="0.4"/>
    <row r="315" spans="2:12" ht="15" customHeight="1" x14ac:dyDescent="0.35">
      <c r="B315" s="205" t="s">
        <v>97</v>
      </c>
      <c r="C315" s="206"/>
      <c r="D315" s="206"/>
      <c r="E315" s="206"/>
      <c r="F315" s="206"/>
      <c r="G315" s="206"/>
      <c r="H315" s="206"/>
      <c r="I315" s="206"/>
      <c r="J315" s="206"/>
      <c r="K315" s="206"/>
      <c r="L315" s="206"/>
    </row>
    <row r="316" spans="2:12" ht="15" customHeight="1" x14ac:dyDescent="0.35">
      <c r="B316" s="208"/>
      <c r="C316" s="209"/>
      <c r="D316" s="209"/>
      <c r="E316" s="209"/>
      <c r="F316" s="209"/>
      <c r="G316" s="209"/>
      <c r="H316" s="209"/>
      <c r="I316" s="209"/>
      <c r="J316" s="209"/>
      <c r="K316" s="209"/>
      <c r="L316" s="209"/>
    </row>
    <row r="317" spans="2:12" ht="15.75" customHeight="1" thickBot="1" x14ac:dyDescent="0.4">
      <c r="B317" s="211"/>
      <c r="C317" s="212"/>
      <c r="D317" s="212"/>
      <c r="E317" s="212"/>
      <c r="F317" s="212"/>
      <c r="G317" s="212"/>
      <c r="H317" s="212"/>
      <c r="I317" s="212"/>
      <c r="J317" s="212"/>
      <c r="K317" s="212"/>
      <c r="L317" s="212"/>
    </row>
    <row r="362" spans="3:10" ht="15" thickBot="1" x14ac:dyDescent="0.4"/>
    <row r="363" spans="3:10" x14ac:dyDescent="0.35">
      <c r="C363" s="425" t="s">
        <v>98</v>
      </c>
      <c r="D363" s="426"/>
      <c r="E363" s="427"/>
      <c r="F363"/>
      <c r="G363"/>
      <c r="H363"/>
      <c r="I363"/>
      <c r="J363"/>
    </row>
    <row r="364" spans="3:10" ht="15" thickBot="1" x14ac:dyDescent="0.4">
      <c r="C364" s="428"/>
      <c r="D364" s="429"/>
      <c r="E364" s="430"/>
      <c r="F364"/>
      <c r="G364"/>
      <c r="H364"/>
      <c r="I364"/>
      <c r="J364"/>
    </row>
  </sheetData>
  <mergeCells count="27">
    <mergeCell ref="B26:E26"/>
    <mergeCell ref="F33:F38"/>
    <mergeCell ref="B35:E37"/>
    <mergeCell ref="G143:H143"/>
    <mergeCell ref="G191:J191"/>
    <mergeCell ref="G100:H100"/>
    <mergeCell ref="F40:F44"/>
    <mergeCell ref="F46:F48"/>
    <mergeCell ref="G61:J61"/>
    <mergeCell ref="G88:H88"/>
    <mergeCell ref="F90:F92"/>
    <mergeCell ref="C363:E364"/>
    <mergeCell ref="C1:C2"/>
    <mergeCell ref="B3:E5"/>
    <mergeCell ref="G2:J2"/>
    <mergeCell ref="G3:J3"/>
    <mergeCell ref="B12:E12"/>
    <mergeCell ref="C14:E14"/>
    <mergeCell ref="D15:E15"/>
    <mergeCell ref="B17:E17"/>
    <mergeCell ref="G14:H14"/>
    <mergeCell ref="B24:E24"/>
    <mergeCell ref="B25:E25"/>
    <mergeCell ref="F18:F24"/>
    <mergeCell ref="B27:E27"/>
    <mergeCell ref="B32:E34"/>
    <mergeCell ref="F26:F31"/>
  </mergeCells>
  <pageMargins left="0.7" right="0.7" top="0.75" bottom="0.75" header="0.3" footer="0.3"/>
  <pageSetup scale="48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81EFD-D067-459F-AB37-3206C72A0956}">
  <dimension ref="A1:AT365"/>
  <sheetViews>
    <sheetView zoomScale="90" zoomScaleNormal="90" workbookViewId="0">
      <selection activeCell="D15" sqref="D15:E15"/>
    </sheetView>
  </sheetViews>
  <sheetFormatPr defaultRowHeight="14.5" x14ac:dyDescent="0.35"/>
  <cols>
    <col min="1" max="1" width="3.26953125" customWidth="1"/>
    <col min="2" max="2" width="21.54296875" bestFit="1" customWidth="1"/>
    <col min="3" max="3" width="13" bestFit="1" customWidth="1"/>
    <col min="4" max="4" width="1.1796875" customWidth="1"/>
    <col min="5" max="5" width="22.7265625" bestFit="1" customWidth="1"/>
    <col min="6" max="6" width="10.1796875" style="1" bestFit="1" customWidth="1"/>
    <col min="7" max="7" width="39.453125" style="2" customWidth="1"/>
    <col min="8" max="8" width="15.54296875" style="2" customWidth="1"/>
    <col min="9" max="9" width="26.81640625" style="2" customWidth="1"/>
    <col min="10" max="10" width="22.54296875" style="2" customWidth="1"/>
    <col min="11" max="11" width="3.453125" style="1" customWidth="1"/>
    <col min="12" max="12" width="3.453125" style="3" customWidth="1"/>
    <col min="13" max="13" width="10.1796875" style="1" customWidth="1"/>
    <col min="14" max="14" width="39.453125" style="2" customWidth="1"/>
    <col min="15" max="15" width="20" style="2" customWidth="1"/>
    <col min="16" max="16" width="26.81640625" style="2" customWidth="1"/>
    <col min="17" max="18" width="22.54296875" style="2" customWidth="1"/>
    <col min="19" max="19" width="3.453125" style="1" customWidth="1"/>
    <col min="20" max="20" width="3.453125" style="3" customWidth="1"/>
    <col min="21" max="21" width="10.1796875" style="1" bestFit="1" customWidth="1"/>
    <col min="22" max="22" width="39.453125" style="2" customWidth="1"/>
    <col min="23" max="23" width="20" style="2" bestFit="1" customWidth="1"/>
    <col min="24" max="24" width="26.81640625" style="2" customWidth="1"/>
    <col min="25" max="26" width="22.54296875" style="2" customWidth="1"/>
    <col min="27" max="28" width="3.453125" style="1" customWidth="1"/>
    <col min="29" max="29" width="3.453125" style="3" customWidth="1"/>
    <col min="30" max="30" width="10.1796875" customWidth="1"/>
    <col min="31" max="31" width="39.453125" style="2" hidden="1" customWidth="1"/>
    <col min="32" max="32" width="15.54296875" style="2" hidden="1" customWidth="1"/>
    <col min="33" max="33" width="26.81640625" style="2" hidden="1" customWidth="1"/>
    <col min="34" max="34" width="22.54296875" style="2" hidden="1" customWidth="1"/>
    <col min="35" max="35" width="18" style="2" hidden="1" customWidth="1"/>
    <col min="36" max="36" width="10.54296875" style="2" hidden="1" customWidth="1"/>
    <col min="37" max="37" width="20.81640625" style="2" hidden="1" customWidth="1"/>
    <col min="38" max="38" width="27" style="2" hidden="1" customWidth="1"/>
    <col min="39" max="39" width="0" style="2" hidden="1" customWidth="1"/>
    <col min="40" max="40" width="3.26953125" style="2" hidden="1" customWidth="1"/>
    <col min="41" max="47" width="0" hidden="1" customWidth="1"/>
  </cols>
  <sheetData>
    <row r="1" spans="2:40" ht="15" thickBot="1" x14ac:dyDescent="0.4"/>
    <row r="2" spans="2:40" ht="15" thickBot="1" x14ac:dyDescent="0.4">
      <c r="F2"/>
      <c r="G2" s="368" t="s">
        <v>0</v>
      </c>
      <c r="H2" s="369"/>
      <c r="I2" s="369"/>
      <c r="J2" s="370"/>
      <c r="N2" s="368" t="s">
        <v>1</v>
      </c>
      <c r="O2" s="369"/>
      <c r="P2" s="369"/>
      <c r="Q2" s="369"/>
      <c r="R2" s="370"/>
      <c r="V2" s="368" t="s">
        <v>2</v>
      </c>
      <c r="W2" s="369"/>
      <c r="X2" s="369"/>
      <c r="Y2" s="369"/>
      <c r="Z2" s="370"/>
      <c r="AE2" s="484" t="s">
        <v>3</v>
      </c>
      <c r="AF2" s="485"/>
      <c r="AG2" s="485"/>
      <c r="AH2" s="485"/>
      <c r="AI2" s="485"/>
      <c r="AJ2" s="485"/>
      <c r="AK2" s="485"/>
      <c r="AL2" s="486"/>
    </row>
    <row r="3" spans="2:40" ht="15" customHeight="1" thickBot="1" x14ac:dyDescent="0.4">
      <c r="B3" s="399" t="s">
        <v>4</v>
      </c>
      <c r="C3" s="400"/>
      <c r="D3" s="400"/>
      <c r="E3" s="401"/>
      <c r="F3"/>
      <c r="G3" s="368" t="s">
        <v>189</v>
      </c>
      <c r="H3" s="369"/>
      <c r="I3" s="369"/>
      <c r="J3" s="370"/>
      <c r="N3" s="368" t="s">
        <v>6</v>
      </c>
      <c r="O3" s="369"/>
      <c r="P3" s="369"/>
      <c r="Q3" s="369"/>
      <c r="R3" s="370"/>
      <c r="V3" s="368" t="s">
        <v>7</v>
      </c>
      <c r="W3" s="369"/>
      <c r="X3" s="369"/>
      <c r="Y3" s="369"/>
      <c r="Z3" s="370"/>
      <c r="AE3" s="487"/>
      <c r="AF3" s="488"/>
      <c r="AG3" s="488"/>
      <c r="AH3" s="488"/>
      <c r="AI3" s="488"/>
      <c r="AJ3" s="488"/>
      <c r="AK3" s="488"/>
      <c r="AL3" s="489"/>
    </row>
    <row r="4" spans="2:40" ht="15.75" customHeight="1" thickBot="1" x14ac:dyDescent="0.4">
      <c r="B4" s="402"/>
      <c r="C4" s="436"/>
      <c r="D4" s="436"/>
      <c r="E4" s="404"/>
      <c r="F4"/>
      <c r="N4" s="4" t="s">
        <v>8</v>
      </c>
      <c r="O4" s="5">
        <v>0.1</v>
      </c>
      <c r="P4" s="6" t="s">
        <v>9</v>
      </c>
      <c r="Q4" s="5">
        <v>-0.01</v>
      </c>
      <c r="R4" s="5"/>
      <c r="V4" s="4" t="s">
        <v>8</v>
      </c>
      <c r="W4" s="5">
        <v>0.1</v>
      </c>
      <c r="X4" s="6" t="s">
        <v>9</v>
      </c>
      <c r="Y4" s="5">
        <v>-0.02</v>
      </c>
      <c r="Z4" s="5"/>
    </row>
    <row r="5" spans="2:40" ht="15" thickBot="1" x14ac:dyDescent="0.4">
      <c r="B5" s="405"/>
      <c r="C5" s="406"/>
      <c r="D5" s="406"/>
      <c r="E5" s="407"/>
      <c r="F5"/>
      <c r="G5" s="7" t="s">
        <v>10</v>
      </c>
      <c r="H5" s="8"/>
      <c r="I5" s="9"/>
      <c r="J5" s="9"/>
      <c r="N5" s="7" t="s">
        <v>10</v>
      </c>
      <c r="O5" s="8"/>
      <c r="P5" s="9"/>
      <c r="Q5" s="10">
        <f>(O7*O4)+O7</f>
        <v>1671.45</v>
      </c>
      <c r="R5" s="11">
        <f>(-(O7*$Q$4)+O7)</f>
        <v>1534.6949999999999</v>
      </c>
      <c r="V5" s="7" t="s">
        <v>10</v>
      </c>
      <c r="W5" s="8"/>
      <c r="X5" s="9"/>
      <c r="Y5" s="10">
        <f>(W7*W4)+W7</f>
        <v>1671.45</v>
      </c>
      <c r="Z5" s="11">
        <f>(-(W7*$Q$4)+W7)</f>
        <v>1534.6949999999999</v>
      </c>
      <c r="AE5" s="7" t="s">
        <v>10</v>
      </c>
      <c r="AF5" s="8"/>
      <c r="AG5" s="9"/>
      <c r="AH5" s="9"/>
      <c r="AI5" s="9"/>
      <c r="AJ5" s="9"/>
      <c r="AK5" s="9"/>
      <c r="AL5" s="12"/>
    </row>
    <row r="6" spans="2:40" ht="15.75" customHeight="1" thickBot="1" x14ac:dyDescent="0.4">
      <c r="B6" s="13"/>
      <c r="C6" s="133" t="s">
        <v>11</v>
      </c>
      <c r="D6" s="15"/>
      <c r="E6" s="16" t="s">
        <v>12</v>
      </c>
      <c r="F6"/>
      <c r="G6" s="17" t="s">
        <v>13</v>
      </c>
      <c r="H6" s="17" t="s">
        <v>14</v>
      </c>
      <c r="I6" s="18" t="s">
        <v>15</v>
      </c>
      <c r="N6" s="17" t="s">
        <v>13</v>
      </c>
      <c r="O6" s="17" t="s">
        <v>14</v>
      </c>
      <c r="P6" s="18" t="s">
        <v>16</v>
      </c>
      <c r="Q6" s="18" t="s">
        <v>17</v>
      </c>
      <c r="R6" s="18" t="s">
        <v>18</v>
      </c>
      <c r="U6" s="19"/>
      <c r="V6" s="17" t="s">
        <v>13</v>
      </c>
      <c r="W6" s="17" t="s">
        <v>14</v>
      </c>
      <c r="X6" s="18" t="s">
        <v>16</v>
      </c>
      <c r="Y6" s="18" t="s">
        <v>17</v>
      </c>
      <c r="Z6" s="18" t="s">
        <v>18</v>
      </c>
      <c r="AE6" s="17" t="s">
        <v>13</v>
      </c>
      <c r="AF6" s="17" t="s">
        <v>14</v>
      </c>
      <c r="AG6" s="18" t="s">
        <v>15</v>
      </c>
    </row>
    <row r="7" spans="2:40" x14ac:dyDescent="0.35">
      <c r="B7" s="20" t="s">
        <v>19</v>
      </c>
      <c r="C7" s="21">
        <v>1519.5</v>
      </c>
      <c r="D7" s="22"/>
      <c r="E7" s="23"/>
      <c r="F7"/>
      <c r="G7" s="24">
        <f>+G24</f>
        <v>11562.909299999999</v>
      </c>
      <c r="H7" s="25">
        <f>C7</f>
        <v>1519.5</v>
      </c>
      <c r="I7" s="26">
        <f>+G7*H7</f>
        <v>17569840.68135</v>
      </c>
      <c r="N7" s="24">
        <f>+N24</f>
        <v>12203.8328</v>
      </c>
      <c r="O7" s="25">
        <f>C7</f>
        <v>1519.5</v>
      </c>
      <c r="P7" s="26">
        <f>+N7*O7</f>
        <v>18543723.939600002</v>
      </c>
      <c r="Q7" s="27">
        <f>((O7*$O$4)+O7)*$N7</f>
        <v>20398096.333560001</v>
      </c>
      <c r="R7" s="27">
        <f>((O7*$Q$4)+O7)*N7</f>
        <v>18358286.700204</v>
      </c>
      <c r="U7" s="19"/>
      <c r="V7" s="24">
        <f>+V24</f>
        <v>12203.8328</v>
      </c>
      <c r="W7" s="25">
        <f>C7</f>
        <v>1519.5</v>
      </c>
      <c r="X7" s="26">
        <f>+V7*W7</f>
        <v>18543723.939600002</v>
      </c>
      <c r="Y7" s="27">
        <f>((W7*$W$4)+W7)*$V7</f>
        <v>20398096.333560001</v>
      </c>
      <c r="Z7" s="27">
        <f>((W7*$Y$4)+W7)*V7</f>
        <v>18172849.460807998</v>
      </c>
      <c r="AE7" s="28">
        <f>+AE24</f>
        <v>12203.8328</v>
      </c>
      <c r="AF7" s="29">
        <v>1470</v>
      </c>
      <c r="AG7" s="30">
        <f>+AE7*AF7</f>
        <v>17939634.216000002</v>
      </c>
      <c r="AI7" s="30"/>
      <c r="AJ7" s="30"/>
    </row>
    <row r="8" spans="2:40" x14ac:dyDescent="0.35">
      <c r="B8" s="31" t="s">
        <v>20</v>
      </c>
      <c r="C8" s="32">
        <v>17.827999999999999</v>
      </c>
      <c r="D8" s="33"/>
      <c r="E8" s="34"/>
      <c r="F8"/>
      <c r="G8" s="35">
        <f>+G31</f>
        <v>3420470.0164000001</v>
      </c>
      <c r="H8" s="36">
        <f>C8</f>
        <v>17.827999999999999</v>
      </c>
      <c r="I8" s="37">
        <f>+G8*H8</f>
        <v>60980139.452379197</v>
      </c>
      <c r="N8" s="35">
        <f>+N31</f>
        <v>2373118.5554</v>
      </c>
      <c r="O8" s="36">
        <f>C8</f>
        <v>17.827999999999999</v>
      </c>
      <c r="P8" s="37">
        <f>+N8*O8</f>
        <v>42307957.605671197</v>
      </c>
      <c r="Q8" s="38">
        <f>((O8*$O$4)+O8)*$N8</f>
        <v>46538753.366238311</v>
      </c>
      <c r="R8" s="38">
        <f>((O8*$Q$4)+O8)*N8</f>
        <v>41884878.029614486</v>
      </c>
      <c r="V8" s="35">
        <f>+V31</f>
        <v>2373118.5554</v>
      </c>
      <c r="W8" s="36">
        <f>C8</f>
        <v>17.827999999999999</v>
      </c>
      <c r="X8" s="37">
        <f>+V8*W8</f>
        <v>42307957.605671197</v>
      </c>
      <c r="Y8" s="38">
        <f>((W8*$W$4)+W8)*$V8</f>
        <v>46538753.366238311</v>
      </c>
      <c r="Z8" s="38">
        <f>((W8*$Y$4)+W8)*V8</f>
        <v>41461798.453557774</v>
      </c>
      <c r="AE8" s="28">
        <f>+AE31</f>
        <v>2373118.5554</v>
      </c>
      <c r="AF8" s="39">
        <v>17</v>
      </c>
      <c r="AG8" s="30">
        <f>+AE8*AF8</f>
        <v>40343015.441799998</v>
      </c>
      <c r="AI8" s="30"/>
      <c r="AJ8" s="30"/>
    </row>
    <row r="9" spans="2:40" x14ac:dyDescent="0.35">
      <c r="B9" s="40" t="s">
        <v>21</v>
      </c>
      <c r="C9" s="41">
        <v>971.4</v>
      </c>
      <c r="D9" s="42"/>
      <c r="E9" s="43">
        <v>0</v>
      </c>
      <c r="F9"/>
      <c r="G9" s="44">
        <v>-440.6114</v>
      </c>
      <c r="H9" s="45">
        <f>C9</f>
        <v>971.4</v>
      </c>
      <c r="I9" s="46">
        <f>+G9*H9</f>
        <v>-428009.91395999998</v>
      </c>
      <c r="N9" s="44">
        <f>+N38</f>
        <v>1940.7429999999999</v>
      </c>
      <c r="O9" s="45">
        <f>C9</f>
        <v>971.4</v>
      </c>
      <c r="P9" s="46">
        <f>+N9*O9</f>
        <v>1885237.7501999999</v>
      </c>
      <c r="Q9" s="47">
        <f>((O9*$O$4)+O9)*$N9</f>
        <v>2073761.52522</v>
      </c>
      <c r="R9" s="47">
        <f>((O9*$Q$4)+O9)*N9</f>
        <v>1866385.3726979997</v>
      </c>
      <c r="V9" s="44">
        <f>+V38</f>
        <v>1940.7429999999999</v>
      </c>
      <c r="W9" s="45">
        <f>C9</f>
        <v>971.4</v>
      </c>
      <c r="X9" s="46">
        <f>+V9*W9</f>
        <v>1885237.7501999999</v>
      </c>
      <c r="Y9" s="47">
        <f>((W9*$W$4)+W9)*$V9</f>
        <v>2073761.52522</v>
      </c>
      <c r="Z9" s="47">
        <f>((W9*$Y$4)+W9)*V9</f>
        <v>1847532.995196</v>
      </c>
      <c r="AE9" s="48">
        <f>+AE38</f>
        <v>1940.7429999999999</v>
      </c>
      <c r="AF9" s="29">
        <v>890</v>
      </c>
      <c r="AG9" s="30">
        <f>+AE9*AF9</f>
        <v>1727261.27</v>
      </c>
      <c r="AI9" s="30"/>
      <c r="AJ9" s="30"/>
    </row>
    <row r="10" spans="2:40" ht="14.5" customHeight="1" x14ac:dyDescent="0.35">
      <c r="B10" s="49" t="s">
        <v>22</v>
      </c>
      <c r="C10" s="50">
        <v>1909.1</v>
      </c>
      <c r="D10" s="51"/>
      <c r="E10" s="52">
        <v>0</v>
      </c>
      <c r="F10"/>
      <c r="G10" s="53">
        <f>G44</f>
        <v>517.16899999999998</v>
      </c>
      <c r="H10" s="54">
        <f>C10</f>
        <v>1909.1</v>
      </c>
      <c r="I10" s="55">
        <f>+G10*H10</f>
        <v>987327.33789999993</v>
      </c>
      <c r="N10" s="53"/>
      <c r="O10" s="54">
        <f>C10</f>
        <v>1909.1</v>
      </c>
      <c r="P10" s="55">
        <f>+N10*O10</f>
        <v>0</v>
      </c>
      <c r="Q10" s="53">
        <f>((O10*$O$4)+O10)*$N10</f>
        <v>0</v>
      </c>
      <c r="R10" s="53">
        <f t="shared" ref="R10:R11" si="0">(-(O10*$Q$4)+O10)*N10</f>
        <v>0</v>
      </c>
      <c r="V10" s="53"/>
      <c r="W10" s="54">
        <f>C10</f>
        <v>1909.1</v>
      </c>
      <c r="X10" s="55">
        <f>+V10*W10</f>
        <v>0</v>
      </c>
      <c r="Y10" s="53">
        <f>((W10*$W$4)+W10)*$V10</f>
        <v>0</v>
      </c>
      <c r="Z10" s="53">
        <f>((W10*$Y$4)+W10)*V10</f>
        <v>0</v>
      </c>
      <c r="AE10" s="56"/>
      <c r="AF10" s="29">
        <v>1700</v>
      </c>
      <c r="AG10" s="30">
        <f>+AE10*AF10</f>
        <v>0</v>
      </c>
      <c r="AI10" s="30"/>
      <c r="AJ10" s="30"/>
    </row>
    <row r="11" spans="2:40" ht="15" thickBot="1" x14ac:dyDescent="0.4">
      <c r="B11" s="57" t="s">
        <v>23</v>
      </c>
      <c r="C11" s="58">
        <v>6050</v>
      </c>
      <c r="D11" s="59"/>
      <c r="E11" s="60">
        <v>0</v>
      </c>
      <c r="F11"/>
      <c r="G11" s="61">
        <v>72.561999999999998</v>
      </c>
      <c r="H11" s="62">
        <f>C11</f>
        <v>6050</v>
      </c>
      <c r="I11" s="63">
        <f>+G11*H11</f>
        <v>439000.1</v>
      </c>
      <c r="M11" s="64"/>
      <c r="N11" s="61"/>
      <c r="O11" s="62">
        <f>C11</f>
        <v>6050</v>
      </c>
      <c r="P11" s="63">
        <f>+N11*O11</f>
        <v>0</v>
      </c>
      <c r="Q11" s="61">
        <f>((O11*$O$4)+O11)*$N11</f>
        <v>0</v>
      </c>
      <c r="R11" s="61">
        <f t="shared" si="0"/>
        <v>0</v>
      </c>
      <c r="U11" s="64"/>
      <c r="V11" s="61"/>
      <c r="W11" s="62">
        <f>C11</f>
        <v>6050</v>
      </c>
      <c r="X11" s="63">
        <f>+V11*W11</f>
        <v>0</v>
      </c>
      <c r="Y11" s="61">
        <f>((W11*$W$4)+W11)*$V11</f>
        <v>0</v>
      </c>
      <c r="Z11" s="61">
        <f>((W11*$Y$4)+W11)*V11</f>
        <v>0</v>
      </c>
      <c r="AE11" s="56"/>
      <c r="AF11" s="29">
        <v>5500</v>
      </c>
      <c r="AG11" s="30">
        <f>+AE11*AF11</f>
        <v>0</v>
      </c>
      <c r="AI11" s="30"/>
      <c r="AJ11" s="30"/>
    </row>
    <row r="12" spans="2:40" ht="15" thickBot="1" x14ac:dyDescent="0.4">
      <c r="B12" s="457" t="s">
        <v>24</v>
      </c>
      <c r="C12" s="406"/>
      <c r="D12" s="458"/>
      <c r="E12" s="407"/>
      <c r="F12" s="65"/>
      <c r="G12" s="65"/>
      <c r="H12" s="56"/>
      <c r="I12" s="66">
        <f>SUM(I7:I11)</f>
        <v>79548297.657669187</v>
      </c>
      <c r="M12" s="64"/>
      <c r="N12" s="56"/>
      <c r="O12" s="56"/>
      <c r="P12" s="66">
        <f>SUM(P7:P11)</f>
        <v>62736919.295471206</v>
      </c>
      <c r="Q12" s="66">
        <f>SUM(Q7:Q11)</f>
        <v>69010611.225018322</v>
      </c>
      <c r="R12" s="66">
        <f>SUM(R7:R11)</f>
        <v>62109550.102516487</v>
      </c>
      <c r="U12" s="64"/>
      <c r="V12" s="56"/>
      <c r="W12" s="56"/>
      <c r="X12" s="66">
        <f>SUM(X7:X11)</f>
        <v>62736919.295471206</v>
      </c>
      <c r="Y12" s="66">
        <f>SUM(Y7:Y11)</f>
        <v>69010611.225018322</v>
      </c>
      <c r="Z12" s="66">
        <f>SUM(Z7:Z11)</f>
        <v>61482180.909561768</v>
      </c>
      <c r="AE12" s="56"/>
      <c r="AF12" s="56"/>
      <c r="AG12" s="66">
        <f>SUM(AG7:AG11)</f>
        <v>60009910.927800007</v>
      </c>
    </row>
    <row r="13" spans="2:40" ht="15" thickBot="1" x14ac:dyDescent="0.4">
      <c r="F13"/>
      <c r="G13" s="67"/>
      <c r="H13" s="67"/>
      <c r="I13" s="68">
        <f>C14</f>
        <v>1580743.9169999999</v>
      </c>
      <c r="J13" s="69" t="s">
        <v>25</v>
      </c>
      <c r="N13" s="67"/>
      <c r="O13" s="69" t="s">
        <v>25</v>
      </c>
      <c r="P13" s="68">
        <f>C14</f>
        <v>1580743.9169999999</v>
      </c>
      <c r="Q13" s="68">
        <f>C14</f>
        <v>1580743.9169999999</v>
      </c>
      <c r="R13" s="68">
        <f>C14</f>
        <v>1580743.9169999999</v>
      </c>
      <c r="V13" s="67"/>
      <c r="W13" s="69" t="s">
        <v>25</v>
      </c>
      <c r="X13" s="68">
        <f>C14</f>
        <v>1580743.9169999999</v>
      </c>
      <c r="Y13" s="68">
        <f>C14</f>
        <v>1580743.9169999999</v>
      </c>
      <c r="Z13" s="68">
        <f>C14</f>
        <v>1580743.9169999999</v>
      </c>
      <c r="AE13" s="67"/>
      <c r="AF13" s="67"/>
      <c r="AG13" s="30">
        <v>2000000</v>
      </c>
      <c r="AH13" s="70" t="s">
        <v>26</v>
      </c>
      <c r="AI13" s="71"/>
      <c r="AJ13" s="71"/>
      <c r="AK13" s="72"/>
      <c r="AL13" s="72">
        <f>+AG13</f>
        <v>2000000</v>
      </c>
      <c r="AM13" s="71"/>
      <c r="AN13" s="71"/>
    </row>
    <row r="14" spans="2:40" ht="15" thickBot="1" x14ac:dyDescent="0.4">
      <c r="B14" s="73" t="s">
        <v>25</v>
      </c>
      <c r="C14" s="411">
        <v>1580743.9169999999</v>
      </c>
      <c r="D14" s="411"/>
      <c r="E14" s="412"/>
      <c r="F14"/>
      <c r="G14" s="413" t="s">
        <v>27</v>
      </c>
      <c r="H14" s="413"/>
      <c r="I14" s="74">
        <f>D15</f>
        <v>2892212.69</v>
      </c>
      <c r="J14" s="75" t="s">
        <v>28</v>
      </c>
      <c r="N14" s="76" t="s">
        <v>27</v>
      </c>
      <c r="O14" s="77" t="s">
        <v>28</v>
      </c>
      <c r="P14" s="74">
        <f>D15</f>
        <v>2892212.69</v>
      </c>
      <c r="Q14" s="74">
        <f>D15</f>
        <v>2892212.69</v>
      </c>
      <c r="R14" s="74">
        <f>D15</f>
        <v>2892212.69</v>
      </c>
      <c r="V14" s="67" t="s">
        <v>27</v>
      </c>
      <c r="W14" s="77" t="s">
        <v>28</v>
      </c>
      <c r="X14" s="74">
        <f>D15</f>
        <v>2892212.69</v>
      </c>
      <c r="Y14" s="74">
        <f>D15</f>
        <v>2892212.69</v>
      </c>
      <c r="Z14" s="74">
        <f>D15</f>
        <v>2892212.69</v>
      </c>
      <c r="AE14" s="67" t="s">
        <v>27</v>
      </c>
      <c r="AF14" s="67"/>
      <c r="AG14" s="78">
        <f>861000+202493.19</f>
        <v>1063493.19</v>
      </c>
      <c r="AH14" s="79" t="s">
        <v>29</v>
      </c>
      <c r="AI14" s="71"/>
      <c r="AJ14" s="71"/>
      <c r="AK14" s="71"/>
      <c r="AL14" s="80">
        <f>+AG14</f>
        <v>1063493.19</v>
      </c>
      <c r="AM14" s="71"/>
      <c r="AN14" s="71"/>
    </row>
    <row r="15" spans="2:40" ht="15" thickBot="1" x14ac:dyDescent="0.4">
      <c r="B15" s="81" t="s">
        <v>28</v>
      </c>
      <c r="C15" s="82"/>
      <c r="D15" s="380">
        <v>2892212.69</v>
      </c>
      <c r="E15" s="381"/>
      <c r="F15"/>
      <c r="G15" s="56" t="s">
        <v>30</v>
      </c>
      <c r="H15" s="83"/>
      <c r="I15" s="84">
        <f>+I12+I13+I14</f>
        <v>84021254.26466918</v>
      </c>
      <c r="N15" s="56" t="s">
        <v>30</v>
      </c>
      <c r="O15" s="83"/>
      <c r="P15" s="84">
        <f>+P12+P13+P14</f>
        <v>67209875.902471215</v>
      </c>
      <c r="Q15" s="84">
        <f>+Q12+Q13+Q14</f>
        <v>73483567.832018316</v>
      </c>
      <c r="R15" s="84">
        <f>+R12+R13+R14</f>
        <v>66582506.709516488</v>
      </c>
      <c r="V15" s="56" t="s">
        <v>30</v>
      </c>
      <c r="W15" s="83"/>
      <c r="X15" s="84">
        <f>+X12+X13+X14</f>
        <v>67209875.902471215</v>
      </c>
      <c r="Y15" s="84">
        <f>+Y12+Y13+Y14</f>
        <v>73483567.832018316</v>
      </c>
      <c r="Z15" s="84">
        <f>+Z12+Z13+Z14</f>
        <v>65955137.516561769</v>
      </c>
      <c r="AE15" s="56" t="s">
        <v>30</v>
      </c>
      <c r="AF15" s="83"/>
      <c r="AG15" s="84">
        <f>+AG12+AG13+AG14</f>
        <v>63073404.117800005</v>
      </c>
    </row>
    <row r="16" spans="2:40" ht="15" thickBot="1" x14ac:dyDescent="0.4">
      <c r="C16" s="85"/>
      <c r="D16" s="85"/>
      <c r="E16" s="85"/>
      <c r="F16"/>
      <c r="G16" s="56"/>
      <c r="H16" s="56"/>
      <c r="N16" s="56"/>
      <c r="O16" s="56"/>
      <c r="V16" s="56"/>
      <c r="W16" s="56"/>
      <c r="AE16" s="56"/>
      <c r="AF16" s="56"/>
    </row>
    <row r="17" spans="2:46" ht="15" thickBot="1" x14ac:dyDescent="0.4">
      <c r="B17" s="382" t="s">
        <v>31</v>
      </c>
      <c r="C17" s="383"/>
      <c r="D17" s="383"/>
      <c r="E17" s="384"/>
      <c r="F17"/>
      <c r="G17" s="7" t="s">
        <v>32</v>
      </c>
      <c r="H17" s="86"/>
      <c r="I17" s="86"/>
      <c r="J17" s="9"/>
      <c r="N17" s="7" t="s">
        <v>32</v>
      </c>
      <c r="O17" s="86"/>
      <c r="P17" s="86"/>
      <c r="Q17" s="9"/>
      <c r="R17" s="9"/>
      <c r="V17" s="7" t="s">
        <v>32</v>
      </c>
      <c r="W17" s="86"/>
      <c r="X17" s="86"/>
      <c r="Y17" s="9"/>
      <c r="Z17" s="9"/>
      <c r="AE17" s="7" t="s">
        <v>32</v>
      </c>
      <c r="AF17" s="86"/>
      <c r="AG17" s="86"/>
      <c r="AH17" s="9"/>
      <c r="AI17" s="9"/>
      <c r="AJ17" s="9"/>
      <c r="AK17" s="9"/>
      <c r="AL17" s="12"/>
    </row>
    <row r="18" spans="2:46" ht="15" customHeight="1" x14ac:dyDescent="0.35">
      <c r="B18" s="87" t="s">
        <v>33</v>
      </c>
      <c r="C18" s="88">
        <v>-5842598</v>
      </c>
      <c r="D18" s="89"/>
      <c r="E18" s="90"/>
      <c r="F18" s="385" t="s">
        <v>34</v>
      </c>
      <c r="G18" s="91">
        <v>635.15750000000003</v>
      </c>
      <c r="H18" s="92">
        <v>513</v>
      </c>
      <c r="I18" s="92">
        <f t="shared" ref="I18:I23" si="1">+G18*H18</f>
        <v>325835.79749999999</v>
      </c>
      <c r="J18" s="93">
        <v>2005</v>
      </c>
      <c r="M18" s="437" t="s">
        <v>34</v>
      </c>
      <c r="N18" s="91">
        <v>635.15750000000003</v>
      </c>
      <c r="O18" s="92">
        <v>513</v>
      </c>
      <c r="P18" s="92">
        <f t="shared" ref="P18:P23" si="2">+N18*O18</f>
        <v>325835.79749999999</v>
      </c>
      <c r="Q18" s="93">
        <v>2005</v>
      </c>
      <c r="R18" s="93">
        <v>2005</v>
      </c>
      <c r="U18" s="437" t="s">
        <v>34</v>
      </c>
      <c r="V18" s="91">
        <v>635.15750000000003</v>
      </c>
      <c r="W18" s="92">
        <v>513</v>
      </c>
      <c r="X18" s="92">
        <f t="shared" ref="X18:X23" si="3">+V18*W18</f>
        <v>325835.79749999999</v>
      </c>
      <c r="Y18" s="93">
        <v>2005</v>
      </c>
      <c r="Z18" s="93">
        <v>2005</v>
      </c>
      <c r="AD18" s="475" t="s">
        <v>34</v>
      </c>
      <c r="AE18" s="94">
        <v>635.15750000000003</v>
      </c>
      <c r="AF18" s="95">
        <v>513</v>
      </c>
      <c r="AG18" s="95">
        <f t="shared" ref="AG18:AG23" si="4">+AE18*AF18</f>
        <v>325835.79749999999</v>
      </c>
      <c r="AH18" s="93">
        <v>2005</v>
      </c>
      <c r="AI18" s="48">
        <f t="shared" ref="AI18:AI23" si="5">+AE18</f>
        <v>635.15750000000003</v>
      </c>
      <c r="AJ18" s="56">
        <f>+AF7</f>
        <v>1470</v>
      </c>
      <c r="AK18" s="56">
        <f t="shared" ref="AK18:AK23" si="6">+AI18*AJ18</f>
        <v>933681.52500000002</v>
      </c>
      <c r="AL18" s="30">
        <f t="shared" ref="AL18:AL23" si="7">+AK18-AG18</f>
        <v>607845.72750000004</v>
      </c>
      <c r="AQ18" s="350" t="s">
        <v>35</v>
      </c>
      <c r="AR18" s="476"/>
      <c r="AS18" s="476"/>
      <c r="AT18" s="477"/>
    </row>
    <row r="19" spans="2:46" x14ac:dyDescent="0.35">
      <c r="B19" s="87" t="s">
        <v>36</v>
      </c>
      <c r="C19" s="88">
        <v>2773675</v>
      </c>
      <c r="D19" s="96"/>
      <c r="E19" s="97" t="s">
        <v>37</v>
      </c>
      <c r="F19" s="386"/>
      <c r="G19" s="91">
        <v>8241.6015000000007</v>
      </c>
      <c r="H19" s="92">
        <v>635.70000000000005</v>
      </c>
      <c r="I19" s="92">
        <f t="shared" si="1"/>
        <v>5239186.0735500008</v>
      </c>
      <c r="J19" s="93">
        <v>2006</v>
      </c>
      <c r="M19" s="438"/>
      <c r="N19" s="91">
        <v>8241.6015000000007</v>
      </c>
      <c r="O19" s="92">
        <v>635.70000000000005</v>
      </c>
      <c r="P19" s="92">
        <f t="shared" si="2"/>
        <v>5239186.0735500008</v>
      </c>
      <c r="Q19" s="93">
        <v>2006</v>
      </c>
      <c r="R19" s="93">
        <v>2006</v>
      </c>
      <c r="U19" s="438"/>
      <c r="V19" s="91">
        <v>8241.6015000000007</v>
      </c>
      <c r="W19" s="92">
        <v>635.70000000000005</v>
      </c>
      <c r="X19" s="92">
        <f t="shared" si="3"/>
        <v>5239186.0735500008</v>
      </c>
      <c r="Y19" s="93">
        <v>2006</v>
      </c>
      <c r="Z19" s="93">
        <v>2006</v>
      </c>
      <c r="AD19" s="475"/>
      <c r="AE19" s="94">
        <v>8241.6015000000007</v>
      </c>
      <c r="AF19" s="95">
        <v>635.70000000000005</v>
      </c>
      <c r="AG19" s="95">
        <f t="shared" si="4"/>
        <v>5239186.0735500008</v>
      </c>
      <c r="AH19" s="93">
        <v>2006</v>
      </c>
      <c r="AI19" s="48">
        <f t="shared" si="5"/>
        <v>8241.6015000000007</v>
      </c>
      <c r="AJ19" s="56">
        <f>+AJ18</f>
        <v>1470</v>
      </c>
      <c r="AK19" s="56">
        <f t="shared" si="6"/>
        <v>12115154.205</v>
      </c>
      <c r="AL19" s="30">
        <f t="shared" si="7"/>
        <v>6875968.1314499993</v>
      </c>
      <c r="AQ19" s="478"/>
      <c r="AR19" s="479"/>
      <c r="AS19" s="479"/>
      <c r="AT19" s="480"/>
    </row>
    <row r="20" spans="2:46" ht="15" thickBot="1" x14ac:dyDescent="0.4">
      <c r="B20" s="87" t="s">
        <v>38</v>
      </c>
      <c r="C20" s="98">
        <v>3147.5</v>
      </c>
      <c r="D20" s="96"/>
      <c r="E20" s="97" t="s">
        <v>37</v>
      </c>
      <c r="F20" s="386"/>
      <c r="G20" s="91">
        <f>2706.7257-20.5754</f>
        <v>2686.1502999999998</v>
      </c>
      <c r="H20" s="92">
        <v>846.75</v>
      </c>
      <c r="I20" s="92">
        <f t="shared" si="1"/>
        <v>2274497.7665249999</v>
      </c>
      <c r="J20" s="93">
        <v>2008</v>
      </c>
      <c r="M20" s="438"/>
      <c r="N20" s="91">
        <f>2706.7257</f>
        <v>2706.7257</v>
      </c>
      <c r="O20" s="92">
        <v>846.75</v>
      </c>
      <c r="P20" s="92">
        <f t="shared" si="2"/>
        <v>2291919.9864750002</v>
      </c>
      <c r="Q20" s="93">
        <v>2008</v>
      </c>
      <c r="R20" s="93">
        <v>2008</v>
      </c>
      <c r="U20" s="438"/>
      <c r="V20" s="91">
        <f>2706.7257</f>
        <v>2706.7257</v>
      </c>
      <c r="W20" s="92">
        <v>846.75</v>
      </c>
      <c r="X20" s="92">
        <f t="shared" si="3"/>
        <v>2291919.9864750002</v>
      </c>
      <c r="Y20" s="93">
        <v>2008</v>
      </c>
      <c r="Z20" s="93">
        <v>2008</v>
      </c>
      <c r="AD20" s="475"/>
      <c r="AE20" s="94">
        <f>2706.7257</f>
        <v>2706.7257</v>
      </c>
      <c r="AF20" s="95">
        <v>846.75</v>
      </c>
      <c r="AG20" s="95">
        <f t="shared" si="4"/>
        <v>2291919.9864750002</v>
      </c>
      <c r="AH20" s="93">
        <v>2008</v>
      </c>
      <c r="AI20" s="48">
        <f t="shared" si="5"/>
        <v>2706.7257</v>
      </c>
      <c r="AJ20" s="56">
        <f>+AJ18</f>
        <v>1470</v>
      </c>
      <c r="AK20" s="56">
        <f t="shared" si="6"/>
        <v>3978886.7790000001</v>
      </c>
      <c r="AL20" s="30">
        <f t="shared" si="7"/>
        <v>1686966.7925249999</v>
      </c>
      <c r="AQ20" s="481"/>
      <c r="AR20" s="482"/>
      <c r="AS20" s="482"/>
      <c r="AT20" s="483"/>
    </row>
    <row r="21" spans="2:46" x14ac:dyDescent="0.35">
      <c r="B21" s="87" t="s">
        <v>39</v>
      </c>
      <c r="C21" s="88">
        <v>600770</v>
      </c>
      <c r="D21" s="96"/>
      <c r="E21" s="97" t="s">
        <v>40</v>
      </c>
      <c r="F21" s="386"/>
      <c r="G21" s="91">
        <f>668.4836-48.1355-620.3481</f>
        <v>0</v>
      </c>
      <c r="H21" s="92">
        <v>1151</v>
      </c>
      <c r="I21" s="92">
        <f t="shared" si="1"/>
        <v>0</v>
      </c>
      <c r="J21" s="93">
        <v>2017</v>
      </c>
      <c r="M21" s="438"/>
      <c r="N21" s="91">
        <f>668.4836-48.1355</f>
        <v>620.34810000000004</v>
      </c>
      <c r="O21" s="92">
        <v>1151</v>
      </c>
      <c r="P21" s="92">
        <f t="shared" si="2"/>
        <v>714020.66310000001</v>
      </c>
      <c r="Q21" s="93">
        <v>2017</v>
      </c>
      <c r="R21" s="93">
        <v>2017</v>
      </c>
      <c r="U21" s="438"/>
      <c r="V21" s="91">
        <f>668.4836-48.1355</f>
        <v>620.34810000000004</v>
      </c>
      <c r="W21" s="92">
        <v>1151</v>
      </c>
      <c r="X21" s="92">
        <f t="shared" si="3"/>
        <v>714020.66310000001</v>
      </c>
      <c r="Y21" s="93">
        <v>2017</v>
      </c>
      <c r="Z21" s="93">
        <v>2017</v>
      </c>
      <c r="AD21" s="475"/>
      <c r="AE21" s="94">
        <f>668.4836-48.1355</f>
        <v>620.34810000000004</v>
      </c>
      <c r="AF21" s="95">
        <v>1151</v>
      </c>
      <c r="AG21" s="95">
        <f t="shared" si="4"/>
        <v>714020.66310000001</v>
      </c>
      <c r="AH21" s="93">
        <v>2017</v>
      </c>
      <c r="AI21" s="48">
        <f t="shared" si="5"/>
        <v>620.34810000000004</v>
      </c>
      <c r="AJ21" s="56">
        <f>+AJ18</f>
        <v>1470</v>
      </c>
      <c r="AK21" s="56">
        <f t="shared" si="6"/>
        <v>911911.70700000005</v>
      </c>
      <c r="AL21" s="30">
        <f t="shared" si="7"/>
        <v>197891.04390000005</v>
      </c>
    </row>
    <row r="22" spans="2:46" ht="15" thickBot="1" x14ac:dyDescent="0.4">
      <c r="B22" s="99" t="s">
        <v>41</v>
      </c>
      <c r="C22" s="100">
        <f>SUM(C18:C21)</f>
        <v>-2465005.5</v>
      </c>
      <c r="D22" s="101"/>
      <c r="E22" s="102" t="str">
        <f>B3</f>
        <v>Date as of : 12.31.19</v>
      </c>
      <c r="F22" s="386"/>
      <c r="G22" s="91"/>
      <c r="H22" s="103">
        <v>1282.9000000000001</v>
      </c>
      <c r="I22" s="92">
        <f t="shared" si="1"/>
        <v>0</v>
      </c>
      <c r="J22" s="104" t="s">
        <v>42</v>
      </c>
      <c r="M22" s="438"/>
      <c r="N22" s="91"/>
      <c r="O22" s="103">
        <v>1282.9000000000001</v>
      </c>
      <c r="P22" s="92">
        <f t="shared" si="2"/>
        <v>0</v>
      </c>
      <c r="Q22" s="104" t="s">
        <v>42</v>
      </c>
      <c r="R22" s="104" t="s">
        <v>42</v>
      </c>
      <c r="U22" s="438"/>
      <c r="V22" s="91">
        <f>E7</f>
        <v>0</v>
      </c>
      <c r="W22" s="103">
        <v>1282.9000000000001</v>
      </c>
      <c r="X22" s="92">
        <f t="shared" si="3"/>
        <v>0</v>
      </c>
      <c r="Y22" s="104" t="s">
        <v>42</v>
      </c>
      <c r="Z22" s="104" t="s">
        <v>42</v>
      </c>
      <c r="AD22" s="475"/>
      <c r="AE22" s="94"/>
      <c r="AF22" s="105">
        <v>1282.9000000000001</v>
      </c>
      <c r="AG22" s="95">
        <f t="shared" si="4"/>
        <v>0</v>
      </c>
      <c r="AH22" s="104" t="s">
        <v>42</v>
      </c>
      <c r="AI22" s="48">
        <f t="shared" si="5"/>
        <v>0</v>
      </c>
      <c r="AJ22" s="56"/>
      <c r="AK22" s="56">
        <f t="shared" si="6"/>
        <v>0</v>
      </c>
      <c r="AL22" s="30">
        <f t="shared" si="7"/>
        <v>0</v>
      </c>
    </row>
    <row r="23" spans="2:46" x14ac:dyDescent="0.35">
      <c r="B23" s="388" t="s">
        <v>43</v>
      </c>
      <c r="C23" s="389"/>
      <c r="D23" s="389"/>
      <c r="E23" s="390"/>
      <c r="F23" s="386"/>
      <c r="G23" s="106">
        <v>0</v>
      </c>
      <c r="H23" s="92"/>
      <c r="I23" s="92">
        <f t="shared" si="1"/>
        <v>0</v>
      </c>
      <c r="J23" s="93"/>
      <c r="M23" s="438"/>
      <c r="N23" s="106">
        <v>0</v>
      </c>
      <c r="O23" s="92"/>
      <c r="P23" s="92">
        <f t="shared" si="2"/>
        <v>0</v>
      </c>
      <c r="Q23" s="93"/>
      <c r="R23" s="93"/>
      <c r="U23" s="438"/>
      <c r="V23" s="106">
        <v>0</v>
      </c>
      <c r="W23" s="92"/>
      <c r="X23" s="92">
        <f t="shared" si="3"/>
        <v>0</v>
      </c>
      <c r="Y23" s="93"/>
      <c r="Z23" s="93"/>
      <c r="AD23" s="475"/>
      <c r="AE23" s="107">
        <v>0</v>
      </c>
      <c r="AF23" s="95"/>
      <c r="AG23" s="95">
        <f t="shared" si="4"/>
        <v>0</v>
      </c>
      <c r="AH23" s="93"/>
      <c r="AI23" s="48">
        <f t="shared" si="5"/>
        <v>0</v>
      </c>
      <c r="AJ23" s="56"/>
      <c r="AK23" s="56">
        <f t="shared" si="6"/>
        <v>0</v>
      </c>
      <c r="AL23" s="30">
        <f t="shared" si="7"/>
        <v>0</v>
      </c>
    </row>
    <row r="24" spans="2:46" ht="15" thickBot="1" x14ac:dyDescent="0.4">
      <c r="B24" s="391" t="s">
        <v>44</v>
      </c>
      <c r="C24" s="460"/>
      <c r="D24" s="460"/>
      <c r="E24" s="393"/>
      <c r="F24" s="387"/>
      <c r="G24" s="108">
        <f>SUM(G18:G23)</f>
        <v>11562.909299999999</v>
      </c>
      <c r="H24" s="92"/>
      <c r="I24" s="109">
        <f>SUM(I18:I23)</f>
        <v>7839519.6375750005</v>
      </c>
      <c r="J24" s="93"/>
      <c r="M24" s="387"/>
      <c r="N24" s="108">
        <f>SUM(N18:N23)</f>
        <v>12203.8328</v>
      </c>
      <c r="O24" s="92"/>
      <c r="P24" s="109">
        <f>SUM(P18:P23)</f>
        <v>8570962.5206250008</v>
      </c>
      <c r="Q24" s="110">
        <f>P24</f>
        <v>8570962.5206250008</v>
      </c>
      <c r="R24" s="110">
        <f>P24</f>
        <v>8570962.5206250008</v>
      </c>
      <c r="U24" s="387"/>
      <c r="V24" s="108">
        <f>SUM(V18:V23)</f>
        <v>12203.8328</v>
      </c>
      <c r="W24" s="92"/>
      <c r="X24" s="109">
        <f>SUM(X18:X23)</f>
        <v>8570962.5206250008</v>
      </c>
      <c r="Y24" s="110">
        <f>X24</f>
        <v>8570962.5206250008</v>
      </c>
      <c r="Z24" s="110">
        <f>X24</f>
        <v>8570962.5206250008</v>
      </c>
      <c r="AD24" s="475"/>
      <c r="AE24" s="111">
        <f>SUM(AE18:AE23)</f>
        <v>12203.8328</v>
      </c>
      <c r="AF24" s="95"/>
      <c r="AG24" s="112">
        <f>SUM(AG18:AG23)</f>
        <v>8570962.5206250008</v>
      </c>
      <c r="AH24" s="93"/>
      <c r="AI24" s="113">
        <f>SUM(AI18:AI23)</f>
        <v>12203.8328</v>
      </c>
      <c r="AK24" s="112">
        <f>SUM(AK18:AK23)</f>
        <v>17939634.215999998</v>
      </c>
      <c r="AL24" s="112">
        <f>SUM(AL18:AL23)</f>
        <v>9368671.6953749992</v>
      </c>
      <c r="AM24" s="114" t="s">
        <v>45</v>
      </c>
      <c r="AN24" s="114"/>
    </row>
    <row r="25" spans="2:46" ht="15.5" thickTop="1" thickBot="1" x14ac:dyDescent="0.4">
      <c r="B25" s="396" t="s">
        <v>46</v>
      </c>
      <c r="C25" s="397"/>
      <c r="D25" s="397"/>
      <c r="E25" s="398"/>
      <c r="G25" s="56"/>
      <c r="H25" s="115"/>
      <c r="J25" s="93"/>
      <c r="N25" s="56"/>
      <c r="O25" s="115"/>
      <c r="Q25" s="93"/>
      <c r="R25" s="93"/>
      <c r="V25" s="56"/>
      <c r="W25" s="115"/>
      <c r="Y25" s="93"/>
      <c r="Z25" s="93"/>
      <c r="AE25" s="56"/>
      <c r="AF25" s="115"/>
      <c r="AH25" s="93"/>
    </row>
    <row r="26" spans="2:46" ht="15" customHeight="1" thickBot="1" x14ac:dyDescent="0.4">
      <c r="B26" s="93"/>
      <c r="C26" s="93"/>
      <c r="D26" s="93"/>
      <c r="E26" s="93"/>
      <c r="F26" s="459" t="s">
        <v>47</v>
      </c>
      <c r="G26" s="116">
        <v>981664.58790000004</v>
      </c>
      <c r="H26" s="117">
        <v>8.83</v>
      </c>
      <c r="I26" s="118">
        <f>+G26*H26</f>
        <v>8668098.3111570012</v>
      </c>
      <c r="J26" s="93">
        <v>2005</v>
      </c>
      <c r="M26" s="433" t="s">
        <v>47</v>
      </c>
      <c r="N26" s="116">
        <v>981664.58790000004</v>
      </c>
      <c r="O26" s="117">
        <v>8.83</v>
      </c>
      <c r="P26" s="118">
        <f>+N26*O26</f>
        <v>8668098.3111570012</v>
      </c>
      <c r="Q26" s="93">
        <v>2005</v>
      </c>
      <c r="R26" s="93">
        <v>2005</v>
      </c>
      <c r="U26" s="433" t="s">
        <v>47</v>
      </c>
      <c r="V26" s="116">
        <v>981664.58790000004</v>
      </c>
      <c r="W26" s="117">
        <v>8.83</v>
      </c>
      <c r="X26" s="118">
        <f>+V26*W26</f>
        <v>8668098.3111570012</v>
      </c>
      <c r="Y26" s="93">
        <v>2005</v>
      </c>
      <c r="Z26" s="93">
        <v>2005</v>
      </c>
      <c r="AD26" s="473" t="s">
        <v>47</v>
      </c>
      <c r="AE26" s="116">
        <v>981664.58790000004</v>
      </c>
      <c r="AF26" s="117">
        <v>8.83</v>
      </c>
      <c r="AG26" s="118">
        <f>+AE26*AF26</f>
        <v>8668098.3111570012</v>
      </c>
      <c r="AH26" s="93">
        <v>2005</v>
      </c>
      <c r="AI26" s="48">
        <f>+AE26</f>
        <v>981664.58790000004</v>
      </c>
      <c r="AJ26" s="56">
        <f>+AF8</f>
        <v>17</v>
      </c>
      <c r="AK26" s="56">
        <f>+AI26*AJ26</f>
        <v>16688297.9943</v>
      </c>
      <c r="AL26" s="30">
        <f>+AK26-AG26</f>
        <v>8020199.6831429992</v>
      </c>
    </row>
    <row r="27" spans="2:46" ht="15" thickBot="1" x14ac:dyDescent="0.4">
      <c r="B27" s="119" t="s">
        <v>48</v>
      </c>
      <c r="C27" s="120" t="str">
        <f>MID(B3,13,15)</f>
        <v xml:space="preserve"> 12.31.19</v>
      </c>
      <c r="D27" s="120"/>
      <c r="E27" s="121">
        <v>500000</v>
      </c>
      <c r="F27" s="434"/>
      <c r="G27" s="116">
        <v>649.01480000000004</v>
      </c>
      <c r="H27" s="117">
        <v>14.93</v>
      </c>
      <c r="I27" s="118">
        <f>+G27*H27</f>
        <v>9689.7909639999998</v>
      </c>
      <c r="J27" s="93">
        <v>2008</v>
      </c>
      <c r="M27" s="434"/>
      <c r="N27" s="116">
        <v>649.01480000000004</v>
      </c>
      <c r="O27" s="117">
        <v>14.93</v>
      </c>
      <c r="P27" s="118">
        <f>+N27*O27</f>
        <v>9689.7909639999998</v>
      </c>
      <c r="Q27" s="93">
        <v>2008</v>
      </c>
      <c r="R27" s="93">
        <v>2008</v>
      </c>
      <c r="U27" s="434"/>
      <c r="V27" s="116">
        <v>649.01480000000004</v>
      </c>
      <c r="W27" s="117">
        <v>14.93</v>
      </c>
      <c r="X27" s="118">
        <f>+V27*W27</f>
        <v>9689.7909639999998</v>
      </c>
      <c r="Y27" s="93">
        <v>2008</v>
      </c>
      <c r="Z27" s="93">
        <v>2008</v>
      </c>
      <c r="AD27" s="473"/>
      <c r="AE27" s="116">
        <v>649.01480000000004</v>
      </c>
      <c r="AF27" s="117">
        <v>14.93</v>
      </c>
      <c r="AG27" s="118">
        <f>+AE27*AF27</f>
        <v>9689.7909639999998</v>
      </c>
      <c r="AH27" s="93">
        <v>2008</v>
      </c>
      <c r="AI27" s="48">
        <f>+AE27</f>
        <v>649.01480000000004</v>
      </c>
      <c r="AJ27" s="56">
        <f>+AJ26</f>
        <v>17</v>
      </c>
      <c r="AK27" s="56">
        <f>+AI27*AJ27</f>
        <v>11033.251600000001</v>
      </c>
      <c r="AL27" s="30">
        <f>+AK27-AG27</f>
        <v>1343.4606360000016</v>
      </c>
    </row>
    <row r="28" spans="2:46" x14ac:dyDescent="0.35">
      <c r="B28" s="93"/>
      <c r="C28" s="93"/>
      <c r="D28" s="93"/>
      <c r="E28" s="93"/>
      <c r="F28" s="434"/>
      <c r="G28" s="122">
        <f>213803.7135</f>
        <v>213803.71350000001</v>
      </c>
      <c r="H28" s="117">
        <v>11.08</v>
      </c>
      <c r="I28" s="118">
        <f>+G28*H28</f>
        <v>2368945.1455800002</v>
      </c>
      <c r="J28" s="93">
        <v>2009</v>
      </c>
      <c r="M28" s="434"/>
      <c r="N28" s="122">
        <f>213803.7135</f>
        <v>213803.71350000001</v>
      </c>
      <c r="O28" s="117">
        <v>11.08</v>
      </c>
      <c r="P28" s="118">
        <f>+N28*O28</f>
        <v>2368945.1455800002</v>
      </c>
      <c r="Q28" s="93">
        <v>2009</v>
      </c>
      <c r="R28" s="93">
        <v>2009</v>
      </c>
      <c r="U28" s="434"/>
      <c r="V28" s="122">
        <f>213803.7135</f>
        <v>213803.71350000001</v>
      </c>
      <c r="W28" s="117">
        <v>11.08</v>
      </c>
      <c r="X28" s="118">
        <f>+V28*W28</f>
        <v>2368945.1455800002</v>
      </c>
      <c r="Y28" s="93">
        <v>2009</v>
      </c>
      <c r="Z28" s="93">
        <v>2009</v>
      </c>
      <c r="AD28" s="473"/>
      <c r="AE28" s="122">
        <f>213803.7135</f>
        <v>213803.71350000001</v>
      </c>
      <c r="AF28" s="117">
        <v>11.08</v>
      </c>
      <c r="AG28" s="118">
        <f>+AE28*AF28</f>
        <v>2368945.1455800002</v>
      </c>
      <c r="AH28" s="93">
        <v>2009</v>
      </c>
      <c r="AI28" s="48">
        <f>+AE28</f>
        <v>213803.71350000001</v>
      </c>
      <c r="AJ28" s="56">
        <f>+AJ26</f>
        <v>17</v>
      </c>
      <c r="AK28" s="56">
        <f>+AI28*AJ28</f>
        <v>3634663.1295000003</v>
      </c>
      <c r="AL28" s="30">
        <f>+AK28-AG28</f>
        <v>1265717.98392</v>
      </c>
    </row>
    <row r="29" spans="2:46" ht="15" thickBot="1" x14ac:dyDescent="0.4">
      <c r="B29" s="93"/>
      <c r="C29" s="93"/>
      <c r="D29" s="93"/>
      <c r="E29" s="123"/>
      <c r="F29" s="434"/>
      <c r="G29" s="122">
        <f>1249196.5802-72195.341</f>
        <v>1177001.2392</v>
      </c>
      <c r="H29" s="117">
        <v>14</v>
      </c>
      <c r="I29" s="118">
        <f>+G29*H29</f>
        <v>16478017.3488</v>
      </c>
      <c r="J29" s="93">
        <v>2016</v>
      </c>
      <c r="M29" s="434"/>
      <c r="N29" s="122">
        <f>1249196.5802-72195.341</f>
        <v>1177001.2392</v>
      </c>
      <c r="O29" s="117">
        <v>14</v>
      </c>
      <c r="P29" s="118">
        <f>+N29*O29</f>
        <v>16478017.3488</v>
      </c>
      <c r="Q29" s="93">
        <v>2016</v>
      </c>
      <c r="R29" s="93">
        <v>2016</v>
      </c>
      <c r="U29" s="434"/>
      <c r="V29" s="122">
        <f>1249196.5802-72195.341</f>
        <v>1177001.2392</v>
      </c>
      <c r="W29" s="117">
        <v>14</v>
      </c>
      <c r="X29" s="118">
        <f>+V29*W29</f>
        <v>16478017.3488</v>
      </c>
      <c r="Y29" s="93">
        <v>2016</v>
      </c>
      <c r="Z29" s="93">
        <v>2016</v>
      </c>
      <c r="AD29" s="473"/>
      <c r="AE29" s="122">
        <f>1249196.5802-72195.341</f>
        <v>1177001.2392</v>
      </c>
      <c r="AF29" s="117">
        <v>14</v>
      </c>
      <c r="AG29" s="118">
        <f>+AE29*AF29</f>
        <v>16478017.3488</v>
      </c>
      <c r="AH29" s="93">
        <v>2016</v>
      </c>
      <c r="AI29" s="48">
        <f>+AE29</f>
        <v>1177001.2392</v>
      </c>
      <c r="AJ29" s="56">
        <f>+AJ26</f>
        <v>17</v>
      </c>
      <c r="AK29" s="56">
        <f>+AI29*AJ29</f>
        <v>20009021.066399999</v>
      </c>
      <c r="AL29" s="30">
        <f>+AK29-AG29</f>
        <v>3531003.7175999992</v>
      </c>
    </row>
    <row r="30" spans="2:46" x14ac:dyDescent="0.35">
      <c r="B30" s="399" t="s">
        <v>49</v>
      </c>
      <c r="C30" s="400"/>
      <c r="D30" s="400"/>
      <c r="E30" s="401"/>
      <c r="F30" s="434"/>
      <c r="G30" s="122">
        <v>1047351.461</v>
      </c>
      <c r="H30" s="124">
        <v>15.44</v>
      </c>
      <c r="I30" s="118">
        <f>+G30*H30</f>
        <v>16171106.557839999</v>
      </c>
      <c r="J30" s="104" t="s">
        <v>42</v>
      </c>
      <c r="M30" s="434"/>
      <c r="N30" s="122"/>
      <c r="O30" s="124">
        <v>15.44</v>
      </c>
      <c r="P30" s="118">
        <f>+N30*O30</f>
        <v>0</v>
      </c>
      <c r="Q30" s="104" t="s">
        <v>42</v>
      </c>
      <c r="R30" s="104" t="s">
        <v>42</v>
      </c>
      <c r="U30" s="434"/>
      <c r="V30" s="122">
        <f>E8</f>
        <v>0</v>
      </c>
      <c r="W30" s="124">
        <v>15.44</v>
      </c>
      <c r="X30" s="118">
        <f>+V30*W30</f>
        <v>0</v>
      </c>
      <c r="Y30" s="104" t="s">
        <v>42</v>
      </c>
      <c r="Z30" s="104" t="s">
        <v>42</v>
      </c>
      <c r="AD30" s="473"/>
      <c r="AE30" s="122"/>
      <c r="AF30" s="124">
        <v>15.44</v>
      </c>
      <c r="AG30" s="118">
        <f>+AE30*AF30</f>
        <v>0</v>
      </c>
      <c r="AH30" s="104" t="s">
        <v>42</v>
      </c>
      <c r="AI30" s="48">
        <f>+AE30</f>
        <v>0</v>
      </c>
      <c r="AJ30" s="56">
        <f>+AJ26</f>
        <v>17</v>
      </c>
      <c r="AK30" s="56">
        <f>+AI30*AJ30</f>
        <v>0</v>
      </c>
      <c r="AL30" s="30">
        <f>+AK30-AG30</f>
        <v>0</v>
      </c>
    </row>
    <row r="31" spans="2:46" ht="15" thickBot="1" x14ac:dyDescent="0.4">
      <c r="B31" s="402"/>
      <c r="C31" s="436"/>
      <c r="D31" s="436"/>
      <c r="E31" s="404"/>
      <c r="F31" s="435"/>
      <c r="G31" s="125">
        <f>SUM(G26:G30)</f>
        <v>3420470.0164000001</v>
      </c>
      <c r="H31" s="126"/>
      <c r="I31" s="127">
        <f>SUM(I26:I30)</f>
        <v>43695857.154340997</v>
      </c>
      <c r="J31" s="93"/>
      <c r="M31" s="435"/>
      <c r="N31" s="125">
        <f>SUM(N26:N30)</f>
        <v>2373118.5554</v>
      </c>
      <c r="O31" s="126"/>
      <c r="P31" s="127">
        <f>SUM(P26:P30)</f>
        <v>27524750.596501</v>
      </c>
      <c r="Q31" s="128">
        <f>P31</f>
        <v>27524750.596501</v>
      </c>
      <c r="R31" s="128">
        <f>P31</f>
        <v>27524750.596501</v>
      </c>
      <c r="U31" s="435"/>
      <c r="V31" s="125">
        <f>SUM(V26:V30)</f>
        <v>2373118.5554</v>
      </c>
      <c r="W31" s="126"/>
      <c r="X31" s="127">
        <f>SUM(X26:X30)</f>
        <v>27524750.596501</v>
      </c>
      <c r="Y31" s="128">
        <f>X31</f>
        <v>27524750.596501</v>
      </c>
      <c r="Z31" s="128">
        <f>X31</f>
        <v>27524750.596501</v>
      </c>
      <c r="AD31" s="473"/>
      <c r="AE31" s="125">
        <f>SUM(AE26:AE30)</f>
        <v>2373118.5554</v>
      </c>
      <c r="AF31" s="126"/>
      <c r="AG31" s="127">
        <f>SUM(AG26:AG30)</f>
        <v>27524750.596501</v>
      </c>
      <c r="AH31" s="93"/>
      <c r="AI31" s="129">
        <f>SUM(AI26:AI30)</f>
        <v>2373118.5554</v>
      </c>
      <c r="AK31" s="129">
        <f>SUM(AK26:AK30)</f>
        <v>40343015.441799998</v>
      </c>
      <c r="AL31" s="129">
        <f>SUM(AL26:AL30)</f>
        <v>12818264.845298998</v>
      </c>
      <c r="AM31" s="130" t="s">
        <v>50</v>
      </c>
      <c r="AN31" s="130"/>
    </row>
    <row r="32" spans="2:46" ht="15.5" thickTop="1" thickBot="1" x14ac:dyDescent="0.4">
      <c r="B32" s="405"/>
      <c r="C32" s="406"/>
      <c r="D32" s="406"/>
      <c r="E32" s="407"/>
      <c r="G32" s="131"/>
      <c r="I32" s="132"/>
      <c r="J32" s="93"/>
      <c r="N32" s="131"/>
      <c r="P32" s="132"/>
      <c r="Q32" s="93"/>
      <c r="R32" s="93"/>
      <c r="V32" s="131"/>
      <c r="X32" s="132"/>
      <c r="Y32" s="93"/>
      <c r="Z32" s="93"/>
      <c r="AE32" s="131"/>
      <c r="AG32" s="132"/>
      <c r="AH32" s="93"/>
    </row>
    <row r="33" spans="2:40" x14ac:dyDescent="0.35">
      <c r="B33" s="350" t="s">
        <v>35</v>
      </c>
      <c r="C33" s="351"/>
      <c r="D33" s="351"/>
      <c r="E33" s="352"/>
      <c r="F33" s="408" t="s">
        <v>51</v>
      </c>
      <c r="G33" s="134">
        <v>0</v>
      </c>
      <c r="H33" s="135">
        <v>1208</v>
      </c>
      <c r="I33" s="136">
        <f>+G33*H33</f>
        <v>0</v>
      </c>
      <c r="J33" s="93"/>
      <c r="M33" s="408" t="s">
        <v>51</v>
      </c>
      <c r="N33" s="134">
        <v>7.6905000000000001</v>
      </c>
      <c r="O33" s="135">
        <v>1208</v>
      </c>
      <c r="P33" s="136">
        <f>+N33*O33</f>
        <v>9290.1239999999998</v>
      </c>
      <c r="Q33" s="93"/>
      <c r="R33" s="93"/>
      <c r="U33" s="408" t="s">
        <v>51</v>
      </c>
      <c r="V33" s="134">
        <v>7.6905000000000001</v>
      </c>
      <c r="W33" s="135">
        <v>1208</v>
      </c>
      <c r="X33" s="136">
        <f>+V33*W33</f>
        <v>9290.1239999999998</v>
      </c>
      <c r="Y33" s="93"/>
      <c r="Z33" s="93"/>
      <c r="AD33" s="474" t="s">
        <v>51</v>
      </c>
      <c r="AE33" s="134">
        <v>7.6905000000000001</v>
      </c>
      <c r="AF33" s="135">
        <v>1208</v>
      </c>
      <c r="AG33" s="136">
        <f>+AE33*AF33</f>
        <v>9290.1239999999998</v>
      </c>
      <c r="AH33" s="93"/>
      <c r="AI33" s="48">
        <f>+AE33</f>
        <v>7.6905000000000001</v>
      </c>
      <c r="AJ33" s="56">
        <f>+AF9</f>
        <v>890</v>
      </c>
      <c r="AK33" s="56">
        <f>+AI33*AJ33</f>
        <v>6844.5450000000001</v>
      </c>
      <c r="AL33" s="30">
        <f>+AK33-AG33</f>
        <v>-2445.5789999999997</v>
      </c>
      <c r="AM33" s="2" t="s">
        <v>52</v>
      </c>
      <c r="AN33" s="93"/>
    </row>
    <row r="34" spans="2:40" x14ac:dyDescent="0.35">
      <c r="B34" s="353"/>
      <c r="C34" s="354"/>
      <c r="D34" s="354"/>
      <c r="E34" s="355"/>
      <c r="F34" s="409"/>
      <c r="G34" s="137">
        <v>0</v>
      </c>
      <c r="H34" s="135">
        <v>893</v>
      </c>
      <c r="I34" s="136">
        <f>+G34*H34</f>
        <v>0</v>
      </c>
      <c r="J34" s="93"/>
      <c r="M34" s="409"/>
      <c r="N34" s="137">
        <v>287.00389999999999</v>
      </c>
      <c r="O34" s="135">
        <v>893</v>
      </c>
      <c r="P34" s="136">
        <f>+N34*O34</f>
        <v>256294.48269999999</v>
      </c>
      <c r="Q34" s="93"/>
      <c r="R34" s="93"/>
      <c r="U34" s="409"/>
      <c r="V34" s="137">
        <v>287.00389999999999</v>
      </c>
      <c r="W34" s="135">
        <v>893</v>
      </c>
      <c r="X34" s="136">
        <f>+V34*W34</f>
        <v>256294.48269999999</v>
      </c>
      <c r="Y34" s="93"/>
      <c r="Z34" s="93"/>
      <c r="AD34" s="474"/>
      <c r="AE34" s="137">
        <v>287.00389999999999</v>
      </c>
      <c r="AF34" s="135">
        <v>893</v>
      </c>
      <c r="AG34" s="136">
        <f>+AE34*AF34</f>
        <v>256294.48269999999</v>
      </c>
      <c r="AH34" s="93"/>
      <c r="AI34" s="48">
        <f>+AE34</f>
        <v>287.00389999999999</v>
      </c>
      <c r="AJ34" s="56">
        <f>+AF9</f>
        <v>890</v>
      </c>
      <c r="AK34" s="56">
        <f>+AI34*AJ34</f>
        <v>255433.47099999999</v>
      </c>
      <c r="AL34" s="30">
        <f>+AK34-AG34</f>
        <v>-861.01170000000275</v>
      </c>
      <c r="AM34" s="2" t="s">
        <v>52</v>
      </c>
      <c r="AN34" s="93"/>
    </row>
    <row r="35" spans="2:40" ht="15" thickBot="1" x14ac:dyDescent="0.4">
      <c r="B35" s="356"/>
      <c r="C35" s="357"/>
      <c r="D35" s="357"/>
      <c r="E35" s="358"/>
      <c r="F35" s="409"/>
      <c r="G35" s="137">
        <v>0</v>
      </c>
      <c r="H35" s="135">
        <v>929</v>
      </c>
      <c r="I35" s="136">
        <f>+G35*H35</f>
        <v>0</v>
      </c>
      <c r="J35" s="93"/>
      <c r="M35" s="409"/>
      <c r="N35" s="137">
        <f>1697.2351-51.1865</f>
        <v>1646.0486000000001</v>
      </c>
      <c r="O35" s="135">
        <v>929</v>
      </c>
      <c r="P35" s="136">
        <f>+N35*O35</f>
        <v>1529179.1494</v>
      </c>
      <c r="Q35" s="93"/>
      <c r="R35" s="93"/>
      <c r="U35" s="409"/>
      <c r="V35" s="137">
        <f>1697.2351-51.1865</f>
        <v>1646.0486000000001</v>
      </c>
      <c r="W35" s="135">
        <v>929</v>
      </c>
      <c r="X35" s="136">
        <f>+V35*W35</f>
        <v>1529179.1494</v>
      </c>
      <c r="Y35" s="93"/>
      <c r="Z35" s="93"/>
      <c r="AD35" s="474"/>
      <c r="AE35" s="137">
        <f>1697.2351-51.1865</f>
        <v>1646.0486000000001</v>
      </c>
      <c r="AF35" s="135">
        <v>929</v>
      </c>
      <c r="AG35" s="136">
        <f>+AE35*AF35</f>
        <v>1529179.1494</v>
      </c>
      <c r="AH35" s="93"/>
      <c r="AI35" s="48">
        <f>+AE35</f>
        <v>1646.0486000000001</v>
      </c>
      <c r="AJ35" s="56">
        <f>+AF9</f>
        <v>890</v>
      </c>
      <c r="AK35" s="56">
        <f>+AI35*AJ35</f>
        <v>1464983.254</v>
      </c>
      <c r="AL35" s="30">
        <f>+AK35-AG35</f>
        <v>-64195.895400000038</v>
      </c>
      <c r="AM35" s="93"/>
      <c r="AN35" s="93"/>
    </row>
    <row r="36" spans="2:40" x14ac:dyDescent="0.35">
      <c r="F36" s="409"/>
      <c r="G36" s="138">
        <v>-460.61</v>
      </c>
      <c r="H36" s="139">
        <v>785</v>
      </c>
      <c r="I36" s="136"/>
      <c r="J36" s="104" t="s">
        <v>42</v>
      </c>
      <c r="M36" s="409"/>
      <c r="N36" s="138"/>
      <c r="O36" s="139">
        <v>785</v>
      </c>
      <c r="P36" s="136"/>
      <c r="Q36" s="104" t="s">
        <v>42</v>
      </c>
      <c r="R36" s="104" t="s">
        <v>42</v>
      </c>
      <c r="U36" s="409"/>
      <c r="V36" s="138">
        <f>E9</f>
        <v>0</v>
      </c>
      <c r="W36" s="139">
        <v>785</v>
      </c>
      <c r="X36" s="136">
        <f>+V36*W36</f>
        <v>0</v>
      </c>
      <c r="Y36" s="104" t="s">
        <v>42</v>
      </c>
      <c r="Z36" s="104" t="s">
        <v>42</v>
      </c>
      <c r="AD36" s="474"/>
      <c r="AE36" s="138"/>
      <c r="AF36" s="139">
        <v>785</v>
      </c>
      <c r="AG36" s="136"/>
      <c r="AH36" s="104" t="s">
        <v>42</v>
      </c>
      <c r="AM36" s="93"/>
      <c r="AN36" s="93"/>
    </row>
    <row r="37" spans="2:40" x14ac:dyDescent="0.35">
      <c r="F37" s="409"/>
      <c r="G37" s="138"/>
      <c r="H37" s="135"/>
      <c r="I37" s="136"/>
      <c r="J37" s="93"/>
      <c r="M37" s="409"/>
      <c r="N37" s="138"/>
      <c r="O37" s="135"/>
      <c r="P37" s="136"/>
      <c r="Q37" s="93"/>
      <c r="R37" s="93"/>
      <c r="U37" s="409"/>
      <c r="V37" s="138"/>
      <c r="W37" s="135"/>
      <c r="X37" s="136"/>
      <c r="Y37" s="93"/>
      <c r="Z37" s="93"/>
      <c r="AD37" s="474"/>
      <c r="AE37" s="138"/>
      <c r="AF37" s="135"/>
      <c r="AG37" s="136"/>
      <c r="AH37" s="93"/>
      <c r="AM37" s="93"/>
      <c r="AN37" s="93"/>
    </row>
    <row r="38" spans="2:40" ht="15" thickBot="1" x14ac:dyDescent="0.4">
      <c r="C38" s="222" t="s">
        <v>129</v>
      </c>
      <c r="E38" s="193">
        <f>I15</f>
        <v>84021254.26466918</v>
      </c>
      <c r="F38" s="410"/>
      <c r="G38" s="140">
        <f>SUM(G33:G37)</f>
        <v>-460.61</v>
      </c>
      <c r="H38" s="136"/>
      <c r="I38" s="141">
        <f>SUM(I33:I37)</f>
        <v>0</v>
      </c>
      <c r="J38" s="93"/>
      <c r="M38" s="410"/>
      <c r="N38" s="140">
        <f>SUM(N33:N37)</f>
        <v>1940.7429999999999</v>
      </c>
      <c r="O38" s="136"/>
      <c r="P38" s="141">
        <f>SUM(P33:P37)</f>
        <v>1794763.7560999999</v>
      </c>
      <c r="Q38" s="128">
        <f>P38</f>
        <v>1794763.7560999999</v>
      </c>
      <c r="R38" s="128">
        <f>P38</f>
        <v>1794763.7560999999</v>
      </c>
      <c r="U38" s="410"/>
      <c r="V38" s="140">
        <f>SUM(V33:V37)</f>
        <v>1940.7429999999999</v>
      </c>
      <c r="W38" s="136"/>
      <c r="X38" s="141">
        <f>SUM(X33:X37)</f>
        <v>1794763.7560999999</v>
      </c>
      <c r="Y38" s="128">
        <f>X38</f>
        <v>1794763.7560999999</v>
      </c>
      <c r="Z38" s="128">
        <f>X38</f>
        <v>1794763.7560999999</v>
      </c>
      <c r="AD38" s="474"/>
      <c r="AE38" s="140">
        <f>SUM(AE33:AE37)</f>
        <v>1940.7429999999999</v>
      </c>
      <c r="AF38" s="136"/>
      <c r="AG38" s="141">
        <f>SUM(AG33:AG37)</f>
        <v>1794763.7560999999</v>
      </c>
      <c r="AH38" s="93"/>
      <c r="AI38" s="142">
        <f>SUM(AI33:AI37)</f>
        <v>1940.7429999999999</v>
      </c>
      <c r="AJ38" s="143"/>
      <c r="AK38" s="142">
        <f>SUM(AK33:AK37)</f>
        <v>1727261.27</v>
      </c>
      <c r="AL38" s="142">
        <f>SUM(AL33:AL37)</f>
        <v>-67502.486100000038</v>
      </c>
      <c r="AM38" s="144" t="s">
        <v>52</v>
      </c>
      <c r="AN38" s="93"/>
    </row>
    <row r="39" spans="2:40" ht="15" thickTop="1" x14ac:dyDescent="0.35">
      <c r="C39" s="222" t="s">
        <v>130</v>
      </c>
      <c r="E39" s="193">
        <f>60636464.78</f>
        <v>60636464.780000001</v>
      </c>
      <c r="G39" s="131"/>
      <c r="H39" s="145"/>
      <c r="I39" s="132"/>
      <c r="J39" s="93"/>
      <c r="N39" s="131"/>
      <c r="O39" s="145"/>
      <c r="P39" s="132"/>
      <c r="Q39" s="93"/>
      <c r="R39" s="93"/>
      <c r="V39" s="131"/>
      <c r="W39" s="145"/>
      <c r="X39" s="132"/>
      <c r="Y39" s="93"/>
      <c r="Z39" s="93"/>
      <c r="AE39" s="131"/>
      <c r="AF39" s="145"/>
      <c r="AG39" s="132"/>
      <c r="AH39" s="93"/>
      <c r="AM39" s="93"/>
      <c r="AN39" s="93"/>
    </row>
    <row r="40" spans="2:40" x14ac:dyDescent="0.35">
      <c r="C40" s="222" t="s">
        <v>131</v>
      </c>
      <c r="E40" s="193">
        <f>E38-E39</f>
        <v>23384789.484669179</v>
      </c>
      <c r="F40" s="359" t="s">
        <v>53</v>
      </c>
      <c r="G40" s="146">
        <v>517.16899999999998</v>
      </c>
      <c r="H40" s="147">
        <v>1267</v>
      </c>
      <c r="I40" s="148">
        <f>+G40*H40</f>
        <v>655253.12300000002</v>
      </c>
      <c r="J40" s="104" t="s">
        <v>42</v>
      </c>
      <c r="M40" s="359" t="s">
        <v>53</v>
      </c>
      <c r="N40" s="146"/>
      <c r="O40" s="147">
        <v>1267</v>
      </c>
      <c r="P40" s="148">
        <f>+N40*O40</f>
        <v>0</v>
      </c>
      <c r="Q40" s="104" t="s">
        <v>42</v>
      </c>
      <c r="R40" s="104" t="s">
        <v>42</v>
      </c>
      <c r="U40" s="359" t="s">
        <v>53</v>
      </c>
      <c r="V40" s="146">
        <f>E10</f>
        <v>0</v>
      </c>
      <c r="W40" s="147">
        <v>1267</v>
      </c>
      <c r="X40" s="148">
        <f>+V40*W40</f>
        <v>0</v>
      </c>
      <c r="Y40" s="104" t="s">
        <v>42</v>
      </c>
      <c r="Z40" s="104" t="s">
        <v>42</v>
      </c>
      <c r="AD40" s="472" t="s">
        <v>53</v>
      </c>
      <c r="AE40" s="146"/>
      <c r="AF40" s="147">
        <v>1267</v>
      </c>
      <c r="AG40" s="148">
        <f>+AE40*AF40</f>
        <v>0</v>
      </c>
      <c r="AH40" s="104" t="s">
        <v>42</v>
      </c>
      <c r="AI40" s="48">
        <f>+AE40</f>
        <v>0</v>
      </c>
      <c r="AJ40" s="56">
        <f>+AF10</f>
        <v>1700</v>
      </c>
      <c r="AK40" s="56">
        <f>+AI40*AJ40</f>
        <v>0</v>
      </c>
      <c r="AL40" s="30">
        <f>+AK40-AG40</f>
        <v>0</v>
      </c>
      <c r="AM40" s="93"/>
      <c r="AN40" s="93"/>
    </row>
    <row r="41" spans="2:40" x14ac:dyDescent="0.35">
      <c r="C41" s="222" t="s">
        <v>132</v>
      </c>
      <c r="E41" s="193">
        <v>25000000</v>
      </c>
      <c r="F41" s="360"/>
      <c r="G41" s="146"/>
      <c r="H41" s="149"/>
      <c r="I41" s="148">
        <f>+G41*H41</f>
        <v>0</v>
      </c>
      <c r="J41" s="93"/>
      <c r="M41" s="360"/>
      <c r="N41" s="146"/>
      <c r="O41" s="149"/>
      <c r="P41" s="148">
        <f>+N41*O41</f>
        <v>0</v>
      </c>
      <c r="Q41" s="93"/>
      <c r="R41" s="93"/>
      <c r="U41" s="360"/>
      <c r="V41" s="146"/>
      <c r="W41" s="149"/>
      <c r="X41" s="148">
        <f>+V41*W41</f>
        <v>0</v>
      </c>
      <c r="Y41" s="93"/>
      <c r="Z41" s="93"/>
      <c r="AD41" s="472"/>
      <c r="AE41" s="146"/>
      <c r="AF41" s="149"/>
      <c r="AG41" s="148">
        <f>+AE41*AF41</f>
        <v>0</v>
      </c>
      <c r="AH41" s="93"/>
      <c r="AI41" s="48">
        <f>+AE41</f>
        <v>0</v>
      </c>
      <c r="AJ41" s="56">
        <f>+AJ40</f>
        <v>1700</v>
      </c>
      <c r="AK41" s="56">
        <f>+AI41*AJ41</f>
        <v>0</v>
      </c>
      <c r="AL41" s="30">
        <f>+AK41-AG41</f>
        <v>0</v>
      </c>
      <c r="AM41" s="93"/>
      <c r="AN41" s="93"/>
    </row>
    <row r="42" spans="2:40" x14ac:dyDescent="0.35">
      <c r="C42" s="222" t="s">
        <v>133</v>
      </c>
      <c r="E42" s="193">
        <f>E40+E41</f>
        <v>48384789.484669179</v>
      </c>
      <c r="F42" s="360"/>
      <c r="G42" s="150"/>
      <c r="H42" s="151"/>
      <c r="I42" s="148">
        <f>+G42*H42</f>
        <v>0</v>
      </c>
      <c r="J42" s="93"/>
      <c r="M42" s="360"/>
      <c r="N42" s="150"/>
      <c r="O42" s="151"/>
      <c r="P42" s="148">
        <f>+N42*O42</f>
        <v>0</v>
      </c>
      <c r="Q42" s="93"/>
      <c r="R42" s="93"/>
      <c r="U42" s="360"/>
      <c r="V42" s="150"/>
      <c r="W42" s="151"/>
      <c r="X42" s="148">
        <f>+V42*W42</f>
        <v>0</v>
      </c>
      <c r="Y42" s="93"/>
      <c r="Z42" s="93"/>
      <c r="AD42" s="472"/>
      <c r="AE42" s="150"/>
      <c r="AF42" s="151"/>
      <c r="AG42" s="148">
        <f>+AE42*AF42</f>
        <v>0</v>
      </c>
      <c r="AH42" s="93"/>
      <c r="AI42" s="48">
        <f>+AE42</f>
        <v>0</v>
      </c>
      <c r="AJ42" s="56">
        <f>+AJ40</f>
        <v>1700</v>
      </c>
      <c r="AK42" s="56">
        <f>+AI42*AJ42</f>
        <v>0</v>
      </c>
      <c r="AL42" s="30">
        <f>+AK42-AG42</f>
        <v>0</v>
      </c>
      <c r="AM42" s="93"/>
      <c r="AN42" s="93"/>
    </row>
    <row r="43" spans="2:40" x14ac:dyDescent="0.35">
      <c r="C43" s="222"/>
      <c r="F43" s="360"/>
      <c r="G43" s="152">
        <v>0</v>
      </c>
      <c r="H43" s="151"/>
      <c r="I43" s="148">
        <f>+G43*H43</f>
        <v>0</v>
      </c>
      <c r="J43" s="93"/>
      <c r="M43" s="360"/>
      <c r="N43" s="152">
        <v>0</v>
      </c>
      <c r="O43" s="151"/>
      <c r="P43" s="148">
        <f>+N43*O43</f>
        <v>0</v>
      </c>
      <c r="Q43" s="93"/>
      <c r="R43" s="93"/>
      <c r="U43" s="360"/>
      <c r="V43" s="152">
        <v>0</v>
      </c>
      <c r="W43" s="151"/>
      <c r="X43" s="148">
        <f>+V43*W43</f>
        <v>0</v>
      </c>
      <c r="Y43" s="93"/>
      <c r="Z43" s="93"/>
      <c r="AD43" s="472"/>
      <c r="AE43" s="152">
        <v>0</v>
      </c>
      <c r="AF43" s="151"/>
      <c r="AG43" s="148">
        <f>+AE43*AF43</f>
        <v>0</v>
      </c>
      <c r="AH43" s="93"/>
      <c r="AI43" s="48">
        <f>+AE43</f>
        <v>0</v>
      </c>
      <c r="AJ43" s="56"/>
      <c r="AK43" s="56">
        <f>+AI43*AJ43</f>
        <v>0</v>
      </c>
      <c r="AL43" s="30">
        <f>+AK43-AG43</f>
        <v>0</v>
      </c>
      <c r="AM43" s="93"/>
      <c r="AN43" s="93"/>
    </row>
    <row r="44" spans="2:40" ht="15" thickBot="1" x14ac:dyDescent="0.4">
      <c r="F44" s="361"/>
      <c r="G44" s="153">
        <f>SUM(G40:G43)</f>
        <v>517.16899999999998</v>
      </c>
      <c r="H44" s="148"/>
      <c r="I44" s="154">
        <f>SUM(I40:I43)</f>
        <v>655253.12300000002</v>
      </c>
      <c r="J44" s="93"/>
      <c r="M44" s="361"/>
      <c r="N44" s="153">
        <f>SUM(N40:N43)</f>
        <v>0</v>
      </c>
      <c r="O44" s="148"/>
      <c r="P44" s="154">
        <f>SUM(P40:P43)</f>
        <v>0</v>
      </c>
      <c r="Q44" s="128">
        <f>P44</f>
        <v>0</v>
      </c>
      <c r="R44" s="128">
        <f>P44</f>
        <v>0</v>
      </c>
      <c r="U44" s="361"/>
      <c r="V44" s="153">
        <f>SUM(V40:V43)</f>
        <v>0</v>
      </c>
      <c r="W44" s="148"/>
      <c r="X44" s="154">
        <f>SUM(X40:X43)</f>
        <v>0</v>
      </c>
      <c r="Y44" s="128">
        <f>X44</f>
        <v>0</v>
      </c>
      <c r="Z44" s="128">
        <f>X44</f>
        <v>0</v>
      </c>
      <c r="AD44" s="472"/>
      <c r="AE44" s="153">
        <f>SUM(AE40:AE43)</f>
        <v>0</v>
      </c>
      <c r="AF44" s="148"/>
      <c r="AG44" s="154">
        <f>SUM(AG40:AG43)</f>
        <v>0</v>
      </c>
      <c r="AH44" s="93"/>
      <c r="AI44" s="155">
        <f>SUM(AI40:AI43)</f>
        <v>0</v>
      </c>
      <c r="AJ44" s="156"/>
      <c r="AK44" s="154">
        <f>SUM(AK40:AK43)</f>
        <v>0</v>
      </c>
      <c r="AL44" s="154">
        <f>SUM(AL40:AL43)</f>
        <v>0</v>
      </c>
      <c r="AM44" s="157" t="s">
        <v>54</v>
      </c>
      <c r="AN44" s="93"/>
    </row>
    <row r="45" spans="2:40" ht="15" thickTop="1" x14ac:dyDescent="0.35">
      <c r="G45" s="131"/>
      <c r="H45" s="132"/>
      <c r="I45" s="132"/>
      <c r="J45" s="93"/>
      <c r="N45" s="131"/>
      <c r="O45" s="132"/>
      <c r="P45" s="132"/>
      <c r="Q45" s="93"/>
      <c r="R45" s="93"/>
      <c r="V45" s="131"/>
      <c r="W45" s="132"/>
      <c r="X45" s="132"/>
      <c r="Y45" s="93"/>
      <c r="Z45" s="93"/>
      <c r="AE45" s="131"/>
      <c r="AF45" s="132"/>
      <c r="AG45" s="132"/>
      <c r="AH45" s="93"/>
      <c r="AM45" s="93"/>
      <c r="AN45" s="93"/>
    </row>
    <row r="46" spans="2:40" x14ac:dyDescent="0.35">
      <c r="F46" s="432" t="s">
        <v>55</v>
      </c>
      <c r="G46" s="158">
        <v>72.56</v>
      </c>
      <c r="H46" s="159">
        <v>2300</v>
      </c>
      <c r="I46" s="160">
        <f>+G46*H46</f>
        <v>166888</v>
      </c>
      <c r="J46" s="104" t="s">
        <v>42</v>
      </c>
      <c r="M46" s="362" t="s">
        <v>55</v>
      </c>
      <c r="N46" s="158"/>
      <c r="O46" s="159">
        <v>2300</v>
      </c>
      <c r="P46" s="160">
        <f>+N46*O46</f>
        <v>0</v>
      </c>
      <c r="Q46" s="104" t="s">
        <v>42</v>
      </c>
      <c r="R46" s="104" t="s">
        <v>42</v>
      </c>
      <c r="U46" s="362" t="s">
        <v>55</v>
      </c>
      <c r="V46" s="158">
        <f>E11</f>
        <v>0</v>
      </c>
      <c r="W46" s="159">
        <v>2300</v>
      </c>
      <c r="X46" s="160">
        <f>+V46*W46</f>
        <v>0</v>
      </c>
      <c r="Y46" s="104" t="s">
        <v>42</v>
      </c>
      <c r="Z46" s="104" t="s">
        <v>42</v>
      </c>
      <c r="AD46" s="462" t="s">
        <v>55</v>
      </c>
      <c r="AE46" s="161"/>
      <c r="AF46" s="162">
        <v>2300</v>
      </c>
      <c r="AG46" s="163">
        <f>+AE46*AF46</f>
        <v>0</v>
      </c>
      <c r="AH46" s="104" t="s">
        <v>42</v>
      </c>
      <c r="AI46" s="48">
        <f>+AE46</f>
        <v>0</v>
      </c>
      <c r="AJ46" s="56">
        <f>+AF11</f>
        <v>5500</v>
      </c>
      <c r="AK46" s="56">
        <f>+AI46*AJ46</f>
        <v>0</v>
      </c>
      <c r="AL46" s="30">
        <f>+AK46-AG46</f>
        <v>0</v>
      </c>
      <c r="AM46" s="93" t="s">
        <v>55</v>
      </c>
      <c r="AN46" s="93"/>
    </row>
    <row r="47" spans="2:40" x14ac:dyDescent="0.35">
      <c r="F47" s="432"/>
      <c r="G47" s="158"/>
      <c r="H47" s="160"/>
      <c r="I47" s="160">
        <f>+G47*H47</f>
        <v>0</v>
      </c>
      <c r="J47" s="93"/>
      <c r="M47" s="363"/>
      <c r="N47" s="158"/>
      <c r="O47" s="160"/>
      <c r="P47" s="160">
        <f>+N47*O47</f>
        <v>0</v>
      </c>
      <c r="Q47" s="93"/>
      <c r="R47" s="93"/>
      <c r="U47" s="363"/>
      <c r="V47" s="158"/>
      <c r="W47" s="160"/>
      <c r="X47" s="160">
        <f>+V47*W47</f>
        <v>0</v>
      </c>
      <c r="Y47" s="93"/>
      <c r="Z47" s="93"/>
      <c r="AD47" s="462"/>
      <c r="AE47" s="161"/>
      <c r="AF47" s="163"/>
      <c r="AG47" s="163">
        <f>+AE47*AF47</f>
        <v>0</v>
      </c>
      <c r="AH47" s="93"/>
      <c r="AI47" s="48">
        <f>+AE47</f>
        <v>0</v>
      </c>
      <c r="AJ47" s="56">
        <f>+AJ46</f>
        <v>5500</v>
      </c>
      <c r="AK47" s="56">
        <f>+AI47*AJ47</f>
        <v>0</v>
      </c>
      <c r="AL47" s="30">
        <f>+AK47-AG47</f>
        <v>0</v>
      </c>
      <c r="AM47" s="93"/>
      <c r="AN47" s="93"/>
    </row>
    <row r="48" spans="2:40" ht="15" thickBot="1" x14ac:dyDescent="0.4">
      <c r="F48" s="432"/>
      <c r="G48" s="164">
        <f>SUM(G46:G47)</f>
        <v>72.56</v>
      </c>
      <c r="H48" s="160"/>
      <c r="I48" s="165">
        <f>SUM(I46:I47)</f>
        <v>166888</v>
      </c>
      <c r="J48" s="93"/>
      <c r="M48" s="364"/>
      <c r="N48" s="164">
        <f>SUM(N46:N47)</f>
        <v>0</v>
      </c>
      <c r="O48" s="160"/>
      <c r="P48" s="165">
        <f>SUM(P46:P47)</f>
        <v>0</v>
      </c>
      <c r="Q48" s="128">
        <f>P48</f>
        <v>0</v>
      </c>
      <c r="R48" s="128">
        <f>P48</f>
        <v>0</v>
      </c>
      <c r="U48" s="364"/>
      <c r="V48" s="164">
        <f>SUM(V46:V47)</f>
        <v>0</v>
      </c>
      <c r="W48" s="160"/>
      <c r="X48" s="165">
        <f>SUM(X46:X47)</f>
        <v>0</v>
      </c>
      <c r="Y48" s="128">
        <f>X48</f>
        <v>0</v>
      </c>
      <c r="Z48" s="128">
        <f>X48</f>
        <v>0</v>
      </c>
      <c r="AD48" s="462"/>
      <c r="AE48" s="166">
        <f>SUM(AE46:AE47)</f>
        <v>0</v>
      </c>
      <c r="AF48" s="163"/>
      <c r="AG48" s="167">
        <f>SUM(AG46:AG47)</f>
        <v>0</v>
      </c>
      <c r="AH48" s="93"/>
      <c r="AI48" s="168">
        <f>SUM(AI46:AI47)</f>
        <v>0</v>
      </c>
      <c r="AJ48" s="169"/>
      <c r="AK48" s="167">
        <f>SUM(AK46:AK47)</f>
        <v>0</v>
      </c>
      <c r="AL48" s="167">
        <f>SUM(AL46:AL47)</f>
        <v>0</v>
      </c>
      <c r="AM48" s="93"/>
      <c r="AN48" s="93"/>
    </row>
    <row r="49" spans="1:40" ht="15" thickTop="1" x14ac:dyDescent="0.35">
      <c r="G49" s="170"/>
      <c r="H49" s="171"/>
      <c r="I49" s="68">
        <f>+I13</f>
        <v>1580743.9169999999</v>
      </c>
      <c r="J49" s="69" t="s">
        <v>26</v>
      </c>
      <c r="N49" s="170"/>
      <c r="O49" s="172" t="s">
        <v>26</v>
      </c>
      <c r="P49" s="173">
        <f>+P13</f>
        <v>1580743.9169999999</v>
      </c>
      <c r="Q49" s="173">
        <f>+Q13</f>
        <v>1580743.9169999999</v>
      </c>
      <c r="R49" s="173">
        <f>+R13</f>
        <v>1580743.9169999999</v>
      </c>
      <c r="V49" s="170"/>
      <c r="W49" s="172" t="s">
        <v>26</v>
      </c>
      <c r="X49" s="173">
        <f>+X13</f>
        <v>1580743.9169999999</v>
      </c>
      <c r="Y49" s="173">
        <f>+Y13</f>
        <v>1580743.9169999999</v>
      </c>
      <c r="Z49" s="173">
        <f>+Z13</f>
        <v>1580743.9169999999</v>
      </c>
      <c r="AE49" s="170"/>
      <c r="AF49" s="171"/>
      <c r="AG49" s="174">
        <f>+AG13</f>
        <v>2000000</v>
      </c>
      <c r="AH49" s="70" t="s">
        <v>26</v>
      </c>
      <c r="AI49" s="71"/>
      <c r="AJ49" s="71"/>
      <c r="AK49" s="71"/>
      <c r="AL49" s="71"/>
      <c r="AM49" s="175"/>
      <c r="AN49" s="175"/>
    </row>
    <row r="50" spans="1:40" ht="15" thickBot="1" x14ac:dyDescent="0.4">
      <c r="G50" s="56" t="s">
        <v>30</v>
      </c>
      <c r="H50" s="132"/>
      <c r="I50" s="84">
        <f>+I24+I31+I38+I44+I49+I48</f>
        <v>53938261.831916004</v>
      </c>
      <c r="N50" s="56" t="s">
        <v>30</v>
      </c>
      <c r="O50" s="132"/>
      <c r="P50" s="84">
        <f>+P24+P31+P38+P44+P49+P48</f>
        <v>39471220.790226005</v>
      </c>
      <c r="Q50" s="84">
        <f>+Q24+Q31+Q38+Q44+Q49+Q48</f>
        <v>39471220.790226005</v>
      </c>
      <c r="R50" s="84">
        <f t="shared" ref="R50" si="8">+R24+R31+R38+R44+R49+R48</f>
        <v>39471220.790226005</v>
      </c>
      <c r="V50" s="56" t="s">
        <v>30</v>
      </c>
      <c r="W50" s="132"/>
      <c r="X50" s="84">
        <f>+X24+X31+X38+X44+X49+X48</f>
        <v>39471220.790226005</v>
      </c>
      <c r="Y50" s="84">
        <f>+Y24+Y31+Y38+Y44+Y49+Y48</f>
        <v>39471220.790226005</v>
      </c>
      <c r="Z50" s="84">
        <f t="shared" ref="Z50" si="9">+Z24+Z31+Z38+Z44+Z49+Z48</f>
        <v>39471220.790226005</v>
      </c>
      <c r="AE50" s="56" t="s">
        <v>30</v>
      </c>
      <c r="AF50" s="132"/>
      <c r="AG50" s="84">
        <f>+AG24+AG31+AG38+AG44+AG49+AG48</f>
        <v>39890476.873226002</v>
      </c>
      <c r="AK50" s="176">
        <f>+AK13+AK24+AK31+AK38+AK44+AK48</f>
        <v>60009910.9278</v>
      </c>
      <c r="AL50" s="176">
        <f>+AL13+AL14+AL24+AL31+AL38+AL44+AL48</f>
        <v>25182927.244573999</v>
      </c>
      <c r="AM50" s="93"/>
      <c r="AN50" s="93"/>
    </row>
    <row r="51" spans="1:40" ht="15" thickTop="1" x14ac:dyDescent="0.35">
      <c r="H51" s="132"/>
      <c r="I51" s="132"/>
      <c r="O51" s="132"/>
      <c r="P51" s="132"/>
      <c r="W51" s="132"/>
      <c r="X51" s="132"/>
      <c r="AF51" s="132"/>
      <c r="AG51" s="132"/>
      <c r="AM51" s="93"/>
      <c r="AN51" s="93"/>
    </row>
    <row r="52" spans="1:40" ht="15" thickBot="1" x14ac:dyDescent="0.4">
      <c r="G52" s="56" t="s">
        <v>56</v>
      </c>
      <c r="H52" s="132"/>
      <c r="I52" s="177">
        <f>+I15-I50</f>
        <v>30082992.432753175</v>
      </c>
      <c r="N52" s="56" t="s">
        <v>30</v>
      </c>
      <c r="O52" s="132"/>
      <c r="P52" s="177">
        <f>+P15-P50</f>
        <v>27738655.11224521</v>
      </c>
      <c r="Q52" s="177">
        <f>+Q15-Q50</f>
        <v>34012347.041792311</v>
      </c>
      <c r="R52" s="177">
        <f>+R15-R50</f>
        <v>27111285.919290483</v>
      </c>
      <c r="V52" s="56" t="s">
        <v>30</v>
      </c>
      <c r="W52" s="132"/>
      <c r="X52" s="177">
        <f>+X15-X50</f>
        <v>27738655.11224521</v>
      </c>
      <c r="Y52" s="177">
        <f>+Y15-Y50</f>
        <v>34012347.041792311</v>
      </c>
      <c r="Z52" s="177">
        <f>+Z15-Z50</f>
        <v>26483916.726335764</v>
      </c>
      <c r="AE52" s="56" t="s">
        <v>30</v>
      </c>
      <c r="AF52" s="132"/>
      <c r="AG52" s="177">
        <f>+AG15-AG50</f>
        <v>23182927.244574003</v>
      </c>
      <c r="AL52" s="30"/>
    </row>
    <row r="53" spans="1:40" ht="15" thickTop="1" x14ac:dyDescent="0.35">
      <c r="H53" s="178"/>
      <c r="I53" s="179"/>
      <c r="O53" s="178"/>
      <c r="P53" s="179"/>
      <c r="W53" s="178"/>
      <c r="X53" s="179"/>
      <c r="AF53" s="178"/>
      <c r="AG53" s="179"/>
    </row>
    <row r="54" spans="1:40" x14ac:dyDescent="0.35">
      <c r="G54" s="180" t="s">
        <v>57</v>
      </c>
      <c r="H54" s="178"/>
      <c r="I54" s="181">
        <v>20471810.41</v>
      </c>
      <c r="N54" s="180" t="s">
        <v>57</v>
      </c>
      <c r="O54" s="178"/>
      <c r="P54" s="181">
        <v>20471810.41</v>
      </c>
      <c r="Q54" s="181">
        <v>20471810.41</v>
      </c>
      <c r="R54" s="181">
        <v>20471810.41</v>
      </c>
      <c r="V54" s="180" t="s">
        <v>57</v>
      </c>
      <c r="W54" s="178"/>
      <c r="X54" s="181">
        <v>20471810.41</v>
      </c>
      <c r="Y54" s="181">
        <v>20471810.41</v>
      </c>
      <c r="Z54" s="181">
        <v>20471810.41</v>
      </c>
      <c r="AE54" s="180" t="s">
        <v>57</v>
      </c>
      <c r="AF54" s="178"/>
      <c r="AG54" s="182">
        <v>20471810.41</v>
      </c>
    </row>
    <row r="55" spans="1:40" x14ac:dyDescent="0.35">
      <c r="G55" s="2" t="s">
        <v>58</v>
      </c>
      <c r="H55" s="56"/>
      <c r="I55" s="174">
        <f>+I52</f>
        <v>30082992.432753175</v>
      </c>
      <c r="N55" s="2" t="s">
        <v>58</v>
      </c>
      <c r="O55" s="56"/>
      <c r="P55" s="174">
        <f>+P52</f>
        <v>27738655.11224521</v>
      </c>
      <c r="Q55" s="174">
        <f t="shared" ref="Q55:R55" si="10">+Q52</f>
        <v>34012347.041792311</v>
      </c>
      <c r="R55" s="174">
        <f t="shared" si="10"/>
        <v>27111285.919290483</v>
      </c>
      <c r="V55" s="2" t="s">
        <v>58</v>
      </c>
      <c r="W55" s="56"/>
      <c r="X55" s="174">
        <f>+X52</f>
        <v>27738655.11224521</v>
      </c>
      <c r="Y55" s="174">
        <f t="shared" ref="Y55:Z55" si="11">+Y52</f>
        <v>34012347.041792311</v>
      </c>
      <c r="Z55" s="174">
        <f t="shared" si="11"/>
        <v>26483916.726335764</v>
      </c>
      <c r="AE55" s="2" t="s">
        <v>59</v>
      </c>
      <c r="AF55" s="56"/>
      <c r="AG55" s="132">
        <f>+AG52</f>
        <v>23182927.244574003</v>
      </c>
    </row>
    <row r="56" spans="1:40" x14ac:dyDescent="0.35">
      <c r="G56" s="2" t="s">
        <v>60</v>
      </c>
      <c r="H56" s="56"/>
      <c r="I56" s="183">
        <f>+I54-I55</f>
        <v>-9611182.0227531753</v>
      </c>
      <c r="N56" s="2" t="s">
        <v>60</v>
      </c>
      <c r="O56" s="56"/>
      <c r="P56" s="183">
        <f>+P54-P55</f>
        <v>-7266844.7022452094</v>
      </c>
      <c r="Q56" s="183">
        <f t="shared" ref="Q56:R56" si="12">+Q54-Q55</f>
        <v>-13540536.631792311</v>
      </c>
      <c r="R56" s="183">
        <f t="shared" si="12"/>
        <v>-6639475.5092904828</v>
      </c>
      <c r="V56" s="2" t="s">
        <v>60</v>
      </c>
      <c r="W56" s="56"/>
      <c r="X56" s="183">
        <f>+X54-X55</f>
        <v>-7266844.7022452094</v>
      </c>
      <c r="Y56" s="183">
        <f t="shared" ref="Y56:Z56" si="13">+Y54-Y55</f>
        <v>-13540536.631792311</v>
      </c>
      <c r="Z56" s="183">
        <f t="shared" si="13"/>
        <v>-6012106.3163357638</v>
      </c>
      <c r="AE56" s="2" t="s">
        <v>60</v>
      </c>
      <c r="AF56" s="56"/>
      <c r="AG56" s="95">
        <f>+AG54-AG55</f>
        <v>-2711116.8345740028</v>
      </c>
    </row>
    <row r="57" spans="1:40" x14ac:dyDescent="0.35">
      <c r="G57" s="2" t="s">
        <v>61</v>
      </c>
      <c r="H57" s="56"/>
      <c r="I57" s="184">
        <f>E27</f>
        <v>500000</v>
      </c>
      <c r="J57" s="2" t="str">
        <f>B3</f>
        <v>Date as of : 12.31.19</v>
      </c>
      <c r="N57" s="2" t="s">
        <v>61</v>
      </c>
      <c r="O57" s="2" t="str">
        <f>B3</f>
        <v>Date as of : 12.31.19</v>
      </c>
      <c r="P57" s="184">
        <f>E27</f>
        <v>500000</v>
      </c>
      <c r="Q57" s="184">
        <f>E27</f>
        <v>500000</v>
      </c>
      <c r="R57" s="184">
        <f>E27</f>
        <v>500000</v>
      </c>
      <c r="V57" s="2" t="s">
        <v>61</v>
      </c>
      <c r="W57" s="2" t="str">
        <f>O57</f>
        <v>Date as of : 12.31.19</v>
      </c>
      <c r="X57" s="184">
        <f>E27</f>
        <v>500000</v>
      </c>
      <c r="Y57" s="184">
        <f>E27</f>
        <v>500000</v>
      </c>
      <c r="Z57" s="184">
        <f>E27</f>
        <v>500000</v>
      </c>
      <c r="AE57" s="2" t="s">
        <v>61</v>
      </c>
      <c r="AF57" s="56"/>
      <c r="AG57" s="185">
        <v>704747.23</v>
      </c>
      <c r="AH57" s="2" t="s">
        <v>62</v>
      </c>
    </row>
    <row r="58" spans="1:40" ht="15" thickBot="1" x14ac:dyDescent="0.4">
      <c r="G58" s="2" t="s">
        <v>63</v>
      </c>
      <c r="H58" s="56"/>
      <c r="I58" s="177">
        <f>+I56+I57</f>
        <v>-9111182.0227531753</v>
      </c>
      <c r="N58" s="2" t="s">
        <v>63</v>
      </c>
      <c r="O58" s="56"/>
      <c r="P58" s="177">
        <f>+P56+P57</f>
        <v>-6766844.7022452094</v>
      </c>
      <c r="Q58" s="177">
        <f t="shared" ref="Q58:R58" si="14">+Q56+Q57</f>
        <v>-13040536.631792311</v>
      </c>
      <c r="R58" s="177">
        <f t="shared" si="14"/>
        <v>-6139475.5092904828</v>
      </c>
      <c r="V58" s="2" t="s">
        <v>63</v>
      </c>
      <c r="W58" s="56"/>
      <c r="X58" s="177">
        <f>+X56+X57</f>
        <v>-6766844.7022452094</v>
      </c>
      <c r="Y58" s="177">
        <f t="shared" ref="Y58:Z58" si="15">+Y56+Y57</f>
        <v>-13040536.631792311</v>
      </c>
      <c r="Z58" s="177">
        <f t="shared" si="15"/>
        <v>-5512106.3163357638</v>
      </c>
      <c r="AE58" s="2" t="s">
        <v>64</v>
      </c>
      <c r="AF58" s="56"/>
      <c r="AG58" s="132">
        <f>+AG56+AG57</f>
        <v>-2006369.6045740028</v>
      </c>
    </row>
    <row r="59" spans="1:40" ht="15" thickTop="1" x14ac:dyDescent="0.35">
      <c r="G59" s="56"/>
      <c r="H59" s="56"/>
      <c r="N59" s="56"/>
      <c r="O59" s="56"/>
      <c r="V59" s="56"/>
      <c r="W59" s="56"/>
      <c r="AE59" s="56"/>
      <c r="AF59" s="56"/>
    </row>
    <row r="60" spans="1:40" ht="15" thickBot="1" x14ac:dyDescent="0.4">
      <c r="G60" s="56"/>
      <c r="H60" s="56"/>
      <c r="N60" s="56"/>
      <c r="O60" s="56"/>
      <c r="V60" s="30"/>
      <c r="W60" s="30"/>
      <c r="X60" s="30"/>
      <c r="Y60" s="30"/>
      <c r="Z60" s="30"/>
      <c r="AE60" s="56"/>
      <c r="AF60" s="56"/>
    </row>
    <row r="61" spans="1:40" s="2" customFormat="1" ht="15" thickBot="1" x14ac:dyDescent="0.4">
      <c r="A61"/>
      <c r="B61"/>
      <c r="C61"/>
      <c r="D61"/>
      <c r="E61"/>
      <c r="F61" s="186"/>
      <c r="G61" s="368" t="s">
        <v>65</v>
      </c>
      <c r="H61" s="369"/>
      <c r="I61" s="369"/>
      <c r="J61" s="370"/>
      <c r="K61" s="186"/>
      <c r="L61" s="187"/>
      <c r="M61" s="186"/>
      <c r="N61" s="56"/>
      <c r="O61" s="56"/>
      <c r="P61" s="30"/>
      <c r="S61" s="186"/>
      <c r="T61" s="187"/>
      <c r="U61" s="186"/>
      <c r="V61" s="30"/>
      <c r="W61" s="30"/>
      <c r="X61" s="30"/>
      <c r="Y61" s="30"/>
      <c r="Z61" s="30"/>
      <c r="AA61" s="186"/>
      <c r="AB61" s="186"/>
      <c r="AC61" s="187"/>
      <c r="AE61" s="56"/>
      <c r="AF61" s="56"/>
      <c r="AG61" s="30"/>
    </row>
    <row r="62" spans="1:40" s="2" customFormat="1" ht="15" thickBot="1" x14ac:dyDescent="0.4">
      <c r="B62"/>
      <c r="C62"/>
      <c r="D62"/>
      <c r="E62"/>
      <c r="F62" s="186"/>
      <c r="G62" s="56"/>
      <c r="H62" s="56"/>
      <c r="K62" s="186"/>
      <c r="L62" s="187"/>
      <c r="M62" s="186"/>
      <c r="N62" s="56"/>
      <c r="O62" s="56"/>
      <c r="P62" s="30"/>
      <c r="S62" s="186"/>
      <c r="T62" s="187"/>
      <c r="U62" s="186"/>
      <c r="V62" s="30"/>
      <c r="W62" s="30"/>
      <c r="AA62" s="186"/>
      <c r="AB62" s="186"/>
      <c r="AC62" s="187"/>
      <c r="AE62" s="56"/>
      <c r="AF62" s="56"/>
    </row>
    <row r="63" spans="1:40" s="2" customFormat="1" ht="15" thickBot="1" x14ac:dyDescent="0.4">
      <c r="B63"/>
      <c r="C63"/>
      <c r="D63"/>
      <c r="E63"/>
      <c r="F63" s="186"/>
      <c r="G63" s="56"/>
      <c r="H63" s="56"/>
      <c r="J63" s="188" t="s">
        <v>66</v>
      </c>
      <c r="L63" s="187"/>
      <c r="M63" s="186"/>
      <c r="N63" s="56"/>
      <c r="O63" s="56"/>
      <c r="P63" s="30"/>
      <c r="S63" s="186"/>
      <c r="T63" s="187"/>
      <c r="U63" s="186"/>
      <c r="AA63" s="186"/>
      <c r="AB63" s="186"/>
      <c r="AC63" s="187"/>
      <c r="AE63" s="56"/>
      <c r="AF63" s="56"/>
    </row>
    <row r="64" spans="1:40" s="2" customFormat="1" x14ac:dyDescent="0.35">
      <c r="B64"/>
      <c r="C64"/>
      <c r="D64"/>
      <c r="E64"/>
      <c r="F64" s="186"/>
      <c r="G64" s="56" t="s">
        <v>67</v>
      </c>
      <c r="H64" s="56"/>
      <c r="I64" s="30">
        <f>I58</f>
        <v>-9111182.0227531753</v>
      </c>
      <c r="K64" s="186"/>
      <c r="L64" s="187"/>
      <c r="M64" s="186"/>
      <c r="N64" s="56" t="s">
        <v>67</v>
      </c>
      <c r="O64" s="56"/>
      <c r="P64" s="30">
        <f>P58</f>
        <v>-6766844.7022452094</v>
      </c>
      <c r="Q64" s="30">
        <f t="shared" ref="Q64:R64" si="16">Q58</f>
        <v>-13040536.631792311</v>
      </c>
      <c r="R64" s="30">
        <f t="shared" si="16"/>
        <v>-6139475.5092904828</v>
      </c>
      <c r="S64" s="186"/>
      <c r="T64" s="187"/>
      <c r="U64" s="186"/>
      <c r="V64" s="2" t="s">
        <v>67</v>
      </c>
      <c r="X64" s="30">
        <f>X58</f>
        <v>-6766844.7022452094</v>
      </c>
      <c r="Y64" s="30">
        <f t="shared" ref="Y64:Z64" si="17">Y58</f>
        <v>-13040536.631792311</v>
      </c>
      <c r="Z64" s="30">
        <f t="shared" si="17"/>
        <v>-5512106.3163357638</v>
      </c>
      <c r="AA64" s="186"/>
      <c r="AB64" s="186"/>
      <c r="AC64" s="187"/>
      <c r="AE64" s="56"/>
      <c r="AF64" s="56"/>
    </row>
    <row r="65" spans="1:35" s="2" customFormat="1" x14ac:dyDescent="0.35">
      <c r="B65"/>
      <c r="C65"/>
      <c r="D65"/>
      <c r="E65"/>
      <c r="F65" s="186"/>
      <c r="G65" s="56" t="s">
        <v>68</v>
      </c>
      <c r="H65" s="56"/>
      <c r="I65" s="189">
        <v>0</v>
      </c>
      <c r="K65" s="186"/>
      <c r="L65" s="187"/>
      <c r="M65" s="186"/>
      <c r="N65" s="56" t="s">
        <v>68</v>
      </c>
      <c r="O65" s="56"/>
      <c r="P65" s="190">
        <v>0</v>
      </c>
      <c r="Q65" s="190">
        <v>0</v>
      </c>
      <c r="R65" s="190">
        <v>0</v>
      </c>
      <c r="S65" s="186"/>
      <c r="T65" s="187"/>
      <c r="U65" s="186"/>
      <c r="V65" s="56" t="s">
        <v>68</v>
      </c>
      <c r="W65" s="56"/>
      <c r="X65" s="190">
        <v>0</v>
      </c>
      <c r="Y65" s="190">
        <v>0</v>
      </c>
      <c r="Z65" s="190">
        <v>0</v>
      </c>
      <c r="AA65" s="186"/>
      <c r="AB65" s="186"/>
      <c r="AC65" s="187"/>
      <c r="AE65" s="56"/>
      <c r="AF65" s="56"/>
    </row>
    <row r="66" spans="1:35" s="2" customFormat="1" ht="15" thickBot="1" x14ac:dyDescent="0.4">
      <c r="B66"/>
      <c r="C66"/>
      <c r="D66"/>
      <c r="E66" s="191"/>
      <c r="F66" s="186"/>
      <c r="G66" s="56" t="s">
        <v>69</v>
      </c>
      <c r="H66" s="56"/>
      <c r="I66" s="192">
        <f>I64+I65</f>
        <v>-9111182.0227531753</v>
      </c>
      <c r="K66" s="186"/>
      <c r="L66" s="187"/>
      <c r="M66" s="186"/>
      <c r="N66" s="56" t="s">
        <v>69</v>
      </c>
      <c r="O66" s="56"/>
      <c r="P66" s="192">
        <f>P64+P65</f>
        <v>-6766844.7022452094</v>
      </c>
      <c r="Q66" s="192">
        <f t="shared" ref="Q66:R66" si="18">Q64+Q65</f>
        <v>-13040536.631792311</v>
      </c>
      <c r="R66" s="192">
        <f t="shared" si="18"/>
        <v>-6139475.5092904828</v>
      </c>
      <c r="S66" s="186"/>
      <c r="T66" s="187"/>
      <c r="U66" s="186"/>
      <c r="V66" s="56" t="s">
        <v>69</v>
      </c>
      <c r="W66" s="56"/>
      <c r="X66" s="192">
        <f>X64+X65</f>
        <v>-6766844.7022452094</v>
      </c>
      <c r="Y66" s="192">
        <f t="shared" ref="Y66:Z66" si="19">Y64+Y65</f>
        <v>-13040536.631792311</v>
      </c>
      <c r="Z66" s="192">
        <f t="shared" si="19"/>
        <v>-5512106.3163357638</v>
      </c>
      <c r="AA66" s="186"/>
      <c r="AB66" s="186"/>
      <c r="AC66" s="187"/>
      <c r="AE66" s="56"/>
      <c r="AF66" s="56"/>
    </row>
    <row r="67" spans="1:35" s="2" customFormat="1" x14ac:dyDescent="0.35">
      <c r="B67"/>
      <c r="C67"/>
      <c r="D67"/>
      <c r="E67" s="191"/>
      <c r="F67" s="186"/>
      <c r="G67" s="56"/>
      <c r="H67" s="56"/>
      <c r="K67" s="186"/>
      <c r="L67" s="187"/>
      <c r="M67" s="186"/>
      <c r="N67" s="56"/>
      <c r="O67" s="56"/>
      <c r="S67" s="186"/>
      <c r="T67" s="187"/>
      <c r="U67" s="186"/>
      <c r="V67" s="56"/>
      <c r="W67" s="56"/>
      <c r="AA67" s="186"/>
      <c r="AB67" s="186"/>
      <c r="AC67" s="187"/>
      <c r="AE67" s="56"/>
      <c r="AF67" s="56"/>
    </row>
    <row r="68" spans="1:35" x14ac:dyDescent="0.35">
      <c r="A68" s="2"/>
      <c r="G68" s="2" t="s">
        <v>70</v>
      </c>
      <c r="N68" s="2" t="s">
        <v>70</v>
      </c>
      <c r="V68" s="2" t="s">
        <v>70</v>
      </c>
    </row>
    <row r="69" spans="1:35" x14ac:dyDescent="0.35">
      <c r="C69" t="s">
        <v>71</v>
      </c>
      <c r="E69" s="193">
        <v>9609967</v>
      </c>
      <c r="G69" s="2" t="s">
        <v>72</v>
      </c>
      <c r="I69" s="189">
        <v>0</v>
      </c>
      <c r="N69" s="2" t="s">
        <v>72</v>
      </c>
      <c r="P69" s="190">
        <f>$I$69</f>
        <v>0</v>
      </c>
      <c r="Q69" s="190">
        <f t="shared" ref="Q69:R69" si="20">$I$69</f>
        <v>0</v>
      </c>
      <c r="R69" s="190">
        <f t="shared" si="20"/>
        <v>0</v>
      </c>
      <c r="V69" s="2" t="s">
        <v>72</v>
      </c>
      <c r="X69" s="190">
        <f>$I$69</f>
        <v>0</v>
      </c>
      <c r="Y69" s="190">
        <f t="shared" ref="Y69:Z69" si="21">$I$69</f>
        <v>0</v>
      </c>
      <c r="Z69" s="190">
        <f t="shared" si="21"/>
        <v>0</v>
      </c>
    </row>
    <row r="70" spans="1:35" x14ac:dyDescent="0.35">
      <c r="C70" t="s">
        <v>73</v>
      </c>
      <c r="E70" s="193">
        <f>-I56</f>
        <v>9611182.0227531753</v>
      </c>
      <c r="G70" s="2" t="s">
        <v>74</v>
      </c>
      <c r="I70" s="189">
        <f>(5317.35+27075.85)/2</f>
        <v>16196.599999999999</v>
      </c>
      <c r="N70" s="2" t="s">
        <v>74</v>
      </c>
      <c r="P70" s="190">
        <f>$I$70</f>
        <v>16196.599999999999</v>
      </c>
      <c r="Q70" s="190">
        <f t="shared" ref="Q70:R70" si="22">$I$70</f>
        <v>16196.599999999999</v>
      </c>
      <c r="R70" s="190">
        <f t="shared" si="22"/>
        <v>16196.599999999999</v>
      </c>
      <c r="V70" s="2" t="s">
        <v>74</v>
      </c>
      <c r="X70" s="190">
        <f>$I$70</f>
        <v>16196.599999999999</v>
      </c>
      <c r="Y70" s="190">
        <f t="shared" ref="Y70:Z70" si="23">$I$70</f>
        <v>16196.599999999999</v>
      </c>
      <c r="Z70" s="190">
        <f t="shared" si="23"/>
        <v>16196.599999999999</v>
      </c>
    </row>
    <row r="71" spans="1:35" s="2" customFormat="1" ht="15" thickBot="1" x14ac:dyDescent="0.4">
      <c r="A71"/>
      <c r="B71"/>
      <c r="C71"/>
      <c r="D71"/>
      <c r="E71" s="194">
        <f>E69-E70</f>
        <v>-1215.022753175348</v>
      </c>
      <c r="F71" s="186"/>
      <c r="G71" s="2" t="s">
        <v>75</v>
      </c>
      <c r="I71" s="192">
        <f>SUM(I69:I70)</f>
        <v>16196.599999999999</v>
      </c>
      <c r="K71" s="186"/>
      <c r="L71" s="187"/>
      <c r="M71" s="186"/>
      <c r="N71" s="2" t="s">
        <v>75</v>
      </c>
      <c r="P71" s="192">
        <f>SUM(P69:P70)</f>
        <v>16196.599999999999</v>
      </c>
      <c r="Q71" s="192">
        <f t="shared" ref="Q71:R71" si="24">SUM(Q69:Q70)</f>
        <v>16196.599999999999</v>
      </c>
      <c r="R71" s="192">
        <f t="shared" si="24"/>
        <v>16196.599999999999</v>
      </c>
      <c r="S71" s="186"/>
      <c r="T71" s="187"/>
      <c r="U71" s="186"/>
      <c r="V71" s="2" t="s">
        <v>75</v>
      </c>
      <c r="X71" s="192">
        <f>SUM(X69:X70)</f>
        <v>16196.599999999999</v>
      </c>
      <c r="Y71" s="192">
        <f t="shared" ref="Y71:Z71" si="25">SUM(Y69:Y70)</f>
        <v>16196.599999999999</v>
      </c>
      <c r="Z71" s="192">
        <f t="shared" si="25"/>
        <v>16196.599999999999</v>
      </c>
      <c r="AA71" s="186"/>
      <c r="AB71" s="186"/>
      <c r="AC71" s="187"/>
      <c r="AG71" s="131"/>
    </row>
    <row r="72" spans="1:35" s="2" customFormat="1" x14ac:dyDescent="0.35">
      <c r="E72" s="30"/>
      <c r="F72" s="186"/>
      <c r="I72" s="56"/>
      <c r="K72" s="186"/>
      <c r="L72" s="187"/>
      <c r="M72" s="186"/>
      <c r="P72" s="56"/>
      <c r="Q72" s="56"/>
      <c r="R72" s="56"/>
      <c r="S72" s="186"/>
      <c r="T72" s="187"/>
      <c r="U72" s="186"/>
      <c r="X72" s="56"/>
      <c r="Y72" s="56"/>
      <c r="Z72" s="56"/>
      <c r="AA72" s="186"/>
      <c r="AB72" s="186"/>
      <c r="AC72" s="187"/>
      <c r="AG72" s="56"/>
      <c r="AI72" s="132"/>
    </row>
    <row r="73" spans="1:35" s="2" customFormat="1" x14ac:dyDescent="0.35">
      <c r="F73" s="186"/>
      <c r="G73" s="2" t="s">
        <v>76</v>
      </c>
      <c r="K73" s="186"/>
      <c r="L73" s="187"/>
      <c r="M73" s="186"/>
      <c r="N73" s="2" t="s">
        <v>76</v>
      </c>
      <c r="S73" s="186"/>
      <c r="T73" s="187"/>
      <c r="U73" s="186"/>
      <c r="V73" s="2" t="s">
        <v>76</v>
      </c>
      <c r="AA73" s="186"/>
      <c r="AB73" s="186"/>
      <c r="AC73" s="187"/>
      <c r="AI73" s="132"/>
    </row>
    <row r="74" spans="1:35" x14ac:dyDescent="0.35">
      <c r="A74" s="2"/>
      <c r="B74" s="2"/>
      <c r="C74" s="2"/>
      <c r="D74" s="2"/>
      <c r="E74" s="30"/>
      <c r="G74" s="2" t="s">
        <v>77</v>
      </c>
      <c r="I74" s="189">
        <f>1285994.93-745838.19</f>
        <v>540156.74</v>
      </c>
      <c r="J74" s="2" t="s">
        <v>78</v>
      </c>
      <c r="N74" s="2" t="s">
        <v>77</v>
      </c>
      <c r="P74" s="190">
        <f>$I$74</f>
        <v>540156.74</v>
      </c>
      <c r="Q74" s="190">
        <f t="shared" ref="Q74:R74" si="26">$I$74</f>
        <v>540156.74</v>
      </c>
      <c r="R74" s="190">
        <f t="shared" si="26"/>
        <v>540156.74</v>
      </c>
      <c r="V74" s="2" t="s">
        <v>77</v>
      </c>
      <c r="X74" s="190">
        <f>$I$74</f>
        <v>540156.74</v>
      </c>
      <c r="Y74" s="190">
        <f t="shared" ref="Y74:Z74" si="27">$I$74</f>
        <v>540156.74</v>
      </c>
      <c r="Z74" s="190">
        <f t="shared" si="27"/>
        <v>540156.74</v>
      </c>
    </row>
    <row r="75" spans="1:35" x14ac:dyDescent="0.35">
      <c r="B75" s="2"/>
      <c r="C75" s="2"/>
      <c r="D75" s="2"/>
      <c r="E75" s="2"/>
      <c r="G75" s="2" t="s">
        <v>79</v>
      </c>
      <c r="I75" s="189">
        <v>0</v>
      </c>
      <c r="J75" s="2" t="s">
        <v>80</v>
      </c>
      <c r="N75" s="2" t="s">
        <v>79</v>
      </c>
      <c r="P75" s="190">
        <f>$I$75</f>
        <v>0</v>
      </c>
      <c r="Q75" s="190">
        <f t="shared" ref="Q75:R75" si="28">$I$75</f>
        <v>0</v>
      </c>
      <c r="R75" s="190">
        <f t="shared" si="28"/>
        <v>0</v>
      </c>
      <c r="V75" s="2" t="s">
        <v>79</v>
      </c>
      <c r="X75" s="190">
        <f>$I$75</f>
        <v>0</v>
      </c>
      <c r="Y75" s="190">
        <f t="shared" ref="Y75:Z75" si="29">$I$75</f>
        <v>0</v>
      </c>
      <c r="Z75" s="190">
        <f t="shared" si="29"/>
        <v>0</v>
      </c>
    </row>
    <row r="76" spans="1:35" x14ac:dyDescent="0.35">
      <c r="B76" s="2"/>
      <c r="C76" s="2"/>
      <c r="D76" s="2"/>
      <c r="E76" s="30"/>
      <c r="G76" s="2" t="s">
        <v>81</v>
      </c>
      <c r="I76" s="189">
        <v>0</v>
      </c>
      <c r="J76" s="2" t="s">
        <v>82</v>
      </c>
      <c r="N76" s="2" t="s">
        <v>81</v>
      </c>
      <c r="P76" s="190">
        <f>$I$76</f>
        <v>0</v>
      </c>
      <c r="Q76" s="190">
        <f t="shared" ref="Q76:R76" si="30">$I$76</f>
        <v>0</v>
      </c>
      <c r="R76" s="190">
        <f t="shared" si="30"/>
        <v>0</v>
      </c>
      <c r="V76" s="2" t="s">
        <v>81</v>
      </c>
      <c r="X76" s="190">
        <f>$I$76</f>
        <v>0</v>
      </c>
      <c r="Y76" s="190">
        <f t="shared" ref="Y76:Z76" si="31">$I$76</f>
        <v>0</v>
      </c>
      <c r="Z76" s="190">
        <f t="shared" si="31"/>
        <v>0</v>
      </c>
    </row>
    <row r="77" spans="1:35" x14ac:dyDescent="0.35">
      <c r="B77" s="2"/>
      <c r="C77" s="2"/>
      <c r="D77" s="2"/>
      <c r="E77" s="2"/>
      <c r="G77" s="2" t="s">
        <v>83</v>
      </c>
      <c r="I77" s="189">
        <v>0</v>
      </c>
      <c r="N77" s="2" t="s">
        <v>83</v>
      </c>
      <c r="P77" s="190">
        <f>$I$77</f>
        <v>0</v>
      </c>
      <c r="Q77" s="190">
        <f t="shared" ref="Q77:R77" si="32">$I$77</f>
        <v>0</v>
      </c>
      <c r="R77" s="190">
        <f t="shared" si="32"/>
        <v>0</v>
      </c>
      <c r="V77" s="2" t="s">
        <v>83</v>
      </c>
      <c r="X77" s="190">
        <f>$I$77</f>
        <v>0</v>
      </c>
      <c r="Y77" s="190">
        <f t="shared" ref="Y77:Z77" si="33">$I$77</f>
        <v>0</v>
      </c>
      <c r="Z77" s="190">
        <f t="shared" si="33"/>
        <v>0</v>
      </c>
    </row>
    <row r="78" spans="1:35" x14ac:dyDescent="0.35">
      <c r="B78" s="2"/>
      <c r="C78" s="2"/>
      <c r="D78" s="2"/>
      <c r="E78" s="2"/>
      <c r="G78" s="2" t="s">
        <v>84</v>
      </c>
      <c r="I78" s="190">
        <f>I93</f>
        <v>-2465005.5</v>
      </c>
      <c r="J78" s="190"/>
      <c r="N78" s="2" t="s">
        <v>84</v>
      </c>
      <c r="P78" s="190">
        <f>I78</f>
        <v>-2465005.5</v>
      </c>
      <c r="Q78" s="190">
        <f>I78</f>
        <v>-2465005.5</v>
      </c>
      <c r="R78" s="190">
        <f>I78</f>
        <v>-2465005.5</v>
      </c>
      <c r="V78" s="2" t="s">
        <v>84</v>
      </c>
      <c r="X78" s="190">
        <f>I78</f>
        <v>-2465005.5</v>
      </c>
      <c r="Y78" s="190">
        <f>I78</f>
        <v>-2465005.5</v>
      </c>
      <c r="Z78" s="190">
        <f>I78</f>
        <v>-2465005.5</v>
      </c>
    </row>
    <row r="79" spans="1:35" ht="15" thickBot="1" x14ac:dyDescent="0.4">
      <c r="G79" s="2" t="s">
        <v>85</v>
      </c>
      <c r="I79" s="192">
        <f>SUM(I74:I78)</f>
        <v>-1924848.76</v>
      </c>
      <c r="J79" s="190"/>
      <c r="N79" s="2" t="s">
        <v>85</v>
      </c>
      <c r="P79" s="192">
        <f>SUM(P74:P78)</f>
        <v>-1924848.76</v>
      </c>
      <c r="Q79" s="192">
        <f t="shared" ref="Q79:R79" si="34">SUM(Q74:Q78)</f>
        <v>-1924848.76</v>
      </c>
      <c r="R79" s="192">
        <f t="shared" si="34"/>
        <v>-1924848.76</v>
      </c>
      <c r="V79" s="2" t="s">
        <v>85</v>
      </c>
      <c r="X79" s="192">
        <f>SUM(X74:X78)</f>
        <v>-1924848.76</v>
      </c>
      <c r="Y79" s="192">
        <f t="shared" ref="Y79:Z79" si="35">SUM(Y74:Y78)</f>
        <v>-1924848.76</v>
      </c>
      <c r="Z79" s="192">
        <f t="shared" si="35"/>
        <v>-1924848.76</v>
      </c>
    </row>
    <row r="80" spans="1:35" x14ac:dyDescent="0.35">
      <c r="J80" s="190"/>
    </row>
    <row r="81" spans="2:26" x14ac:dyDescent="0.35">
      <c r="G81" s="2" t="s">
        <v>86</v>
      </c>
      <c r="I81" s="195">
        <f>I66+I71+I79</f>
        <v>-11019834.182753175</v>
      </c>
      <c r="N81" s="2" t="s">
        <v>86</v>
      </c>
      <c r="P81" s="195">
        <f>P66+P71+P79</f>
        <v>-8675496.8622452095</v>
      </c>
      <c r="Q81" s="195">
        <f t="shared" ref="Q81:R81" si="36">Q66+Q71+Q79</f>
        <v>-14949188.791792311</v>
      </c>
      <c r="R81" s="195">
        <f t="shared" si="36"/>
        <v>-8048127.669290483</v>
      </c>
      <c r="V81" s="2" t="s">
        <v>86</v>
      </c>
      <c r="X81" s="195">
        <f>X66+X71+X79</f>
        <v>-8675496.8622452095</v>
      </c>
      <c r="Y81" s="195">
        <f>Y66+Y71+Y79</f>
        <v>-14949188.791792311</v>
      </c>
      <c r="Z81" s="195">
        <f>Z66+Z71+Z79</f>
        <v>-7420758.4763357639</v>
      </c>
    </row>
    <row r="82" spans="2:26" x14ac:dyDescent="0.35">
      <c r="B82" s="2"/>
      <c r="C82" s="2"/>
      <c r="D82" s="2"/>
      <c r="E82" s="2"/>
      <c r="I82" s="196"/>
      <c r="P82" s="196"/>
      <c r="Q82" s="196"/>
      <c r="R82" s="196"/>
      <c r="X82" s="196"/>
      <c r="Y82" s="196"/>
      <c r="Z82" s="196"/>
    </row>
    <row r="83" spans="2:26" x14ac:dyDescent="0.35">
      <c r="B83" s="2"/>
      <c r="C83" s="2"/>
      <c r="D83" s="2"/>
      <c r="E83" s="2"/>
      <c r="G83" s="2" t="s">
        <v>87</v>
      </c>
      <c r="I83" s="195">
        <v>0</v>
      </c>
      <c r="N83" s="2" t="s">
        <v>87</v>
      </c>
      <c r="P83" s="195">
        <v>0</v>
      </c>
      <c r="Q83" s="195">
        <v>0</v>
      </c>
      <c r="R83" s="195">
        <v>0</v>
      </c>
      <c r="V83" s="2" t="s">
        <v>87</v>
      </c>
      <c r="X83" s="195">
        <v>0</v>
      </c>
      <c r="Y83" s="195">
        <v>0</v>
      </c>
      <c r="Z83" s="195">
        <v>0</v>
      </c>
    </row>
    <row r="84" spans="2:26" x14ac:dyDescent="0.35">
      <c r="B84" s="2"/>
      <c r="C84" s="2"/>
      <c r="D84" s="2"/>
      <c r="E84" s="2"/>
    </row>
    <row r="85" spans="2:26" ht="15" thickBot="1" x14ac:dyDescent="0.4">
      <c r="G85" s="2" t="s">
        <v>88</v>
      </c>
      <c r="I85" s="197">
        <f>I81-I83</f>
        <v>-11019834.182753175</v>
      </c>
      <c r="N85" s="2" t="s">
        <v>88</v>
      </c>
      <c r="P85" s="197">
        <f>P81-P83</f>
        <v>-8675496.8622452095</v>
      </c>
      <c r="Q85" s="197">
        <f t="shared" ref="Q85:R85" si="37">Q81-Q83</f>
        <v>-14949188.791792311</v>
      </c>
      <c r="R85" s="197">
        <f t="shared" si="37"/>
        <v>-8048127.669290483</v>
      </c>
      <c r="V85" s="2" t="s">
        <v>88</v>
      </c>
      <c r="X85" s="197">
        <f>X81-X83</f>
        <v>-8675496.8622452095</v>
      </c>
      <c r="Y85" s="197">
        <f t="shared" ref="Y85:Z85" si="38">Y81-Y83</f>
        <v>-14949188.791792311</v>
      </c>
      <c r="Z85" s="197">
        <f t="shared" si="38"/>
        <v>-7420758.4763357639</v>
      </c>
    </row>
    <row r="86" spans="2:26" ht="15" thickTop="1" x14ac:dyDescent="0.35">
      <c r="Z86" s="30"/>
    </row>
    <row r="88" spans="2:26" x14ac:dyDescent="0.35">
      <c r="G88" s="371" t="s">
        <v>31</v>
      </c>
      <c r="H88" s="371"/>
      <c r="N88" s="371" t="s">
        <v>31</v>
      </c>
      <c r="O88" s="371"/>
      <c r="V88" s="371" t="s">
        <v>31</v>
      </c>
      <c r="W88" s="371"/>
    </row>
    <row r="89" spans="2:26" ht="15" thickBot="1" x14ac:dyDescent="0.4">
      <c r="H89" s="198" t="s">
        <v>33</v>
      </c>
      <c r="I89" s="199">
        <f>C18</f>
        <v>-5842598</v>
      </c>
      <c r="O89" s="198" t="s">
        <v>33</v>
      </c>
      <c r="P89" s="199">
        <f>$I$89</f>
        <v>-5842598</v>
      </c>
      <c r="Q89" s="199">
        <f t="shared" ref="Q89:R89" si="39">$I$89</f>
        <v>-5842598</v>
      </c>
      <c r="R89" s="199">
        <f t="shared" si="39"/>
        <v>-5842598</v>
      </c>
      <c r="W89" s="198" t="s">
        <v>33</v>
      </c>
      <c r="X89" s="199">
        <f>$I$89</f>
        <v>-5842598</v>
      </c>
      <c r="Y89" s="199">
        <f t="shared" ref="Y89:Z89" si="40">$I$89</f>
        <v>-5842598</v>
      </c>
      <c r="Z89" s="199">
        <f t="shared" si="40"/>
        <v>-5842598</v>
      </c>
    </row>
    <row r="90" spans="2:26" ht="21" customHeight="1" x14ac:dyDescent="0.35">
      <c r="F90" s="463" t="s">
        <v>89</v>
      </c>
      <c r="G90" s="198" t="s">
        <v>90</v>
      </c>
      <c r="H90" s="198" t="s">
        <v>36</v>
      </c>
      <c r="I90" s="199">
        <f>C19</f>
        <v>2773675</v>
      </c>
      <c r="J90" s="2" t="s">
        <v>37</v>
      </c>
      <c r="N90" s="198" t="s">
        <v>90</v>
      </c>
      <c r="O90" s="198" t="s">
        <v>36</v>
      </c>
      <c r="P90" s="199">
        <f>$I$90</f>
        <v>2773675</v>
      </c>
      <c r="Q90" s="199">
        <f t="shared" ref="Q90:R90" si="41">$I$90</f>
        <v>2773675</v>
      </c>
      <c r="R90" s="199">
        <f t="shared" si="41"/>
        <v>2773675</v>
      </c>
      <c r="V90" s="198" t="s">
        <v>90</v>
      </c>
      <c r="W90" s="198" t="s">
        <v>36</v>
      </c>
      <c r="X90" s="199">
        <f>$I$90</f>
        <v>2773675</v>
      </c>
      <c r="Y90" s="199">
        <f t="shared" ref="Y90:Z90" si="42">$I$90</f>
        <v>2773675</v>
      </c>
      <c r="Z90" s="199">
        <f t="shared" si="42"/>
        <v>2773675</v>
      </c>
    </row>
    <row r="91" spans="2:26" ht="21.75" customHeight="1" x14ac:dyDescent="0.35">
      <c r="F91" s="464"/>
      <c r="G91" s="198" t="s">
        <v>91</v>
      </c>
      <c r="H91" s="198" t="s">
        <v>38</v>
      </c>
      <c r="I91" s="199">
        <f>C20</f>
        <v>3147.5</v>
      </c>
      <c r="J91" s="2" t="s">
        <v>37</v>
      </c>
      <c r="N91" s="198" t="s">
        <v>91</v>
      </c>
      <c r="O91" s="198" t="s">
        <v>38</v>
      </c>
      <c r="P91" s="199">
        <f>$I$91</f>
        <v>3147.5</v>
      </c>
      <c r="Q91" s="199">
        <f t="shared" ref="Q91:R91" si="43">$I$91</f>
        <v>3147.5</v>
      </c>
      <c r="R91" s="199">
        <f t="shared" si="43"/>
        <v>3147.5</v>
      </c>
      <c r="V91" s="198" t="s">
        <v>91</v>
      </c>
      <c r="W91" s="198" t="s">
        <v>38</v>
      </c>
      <c r="X91" s="199">
        <f>$I$91</f>
        <v>3147.5</v>
      </c>
      <c r="Y91" s="199">
        <f t="shared" ref="Y91:Z91" si="44">$I$91</f>
        <v>3147.5</v>
      </c>
      <c r="Z91" s="199">
        <f t="shared" si="44"/>
        <v>3147.5</v>
      </c>
    </row>
    <row r="92" spans="2:26" ht="15" thickBot="1" x14ac:dyDescent="0.4">
      <c r="F92" s="465"/>
      <c r="G92" s="198" t="s">
        <v>92</v>
      </c>
      <c r="H92" s="198" t="s">
        <v>39</v>
      </c>
      <c r="I92" s="199">
        <f>C21</f>
        <v>600770</v>
      </c>
      <c r="J92" s="2" t="s">
        <v>40</v>
      </c>
      <c r="N92" s="198" t="s">
        <v>92</v>
      </c>
      <c r="O92" s="198" t="s">
        <v>39</v>
      </c>
      <c r="P92" s="199">
        <f>$I$92</f>
        <v>600770</v>
      </c>
      <c r="Q92" s="199">
        <f t="shared" ref="Q92:R92" si="45">$I$92</f>
        <v>600770</v>
      </c>
      <c r="R92" s="199">
        <f t="shared" si="45"/>
        <v>600770</v>
      </c>
      <c r="V92" s="198" t="s">
        <v>92</v>
      </c>
      <c r="W92" s="198" t="s">
        <v>39</v>
      </c>
      <c r="X92" s="199">
        <f>$I$92</f>
        <v>600770</v>
      </c>
      <c r="Y92" s="199">
        <f t="shared" ref="Y92:Z92" si="46">$I$92</f>
        <v>600770</v>
      </c>
      <c r="Z92" s="199">
        <f t="shared" si="46"/>
        <v>600770</v>
      </c>
    </row>
    <row r="93" spans="2:26" x14ac:dyDescent="0.35">
      <c r="H93" s="198" t="s">
        <v>41</v>
      </c>
      <c r="I93" s="200">
        <f>SUM(I89:I92)</f>
        <v>-2465005.5</v>
      </c>
      <c r="J93" s="2" t="str">
        <f>B3</f>
        <v>Date as of : 12.31.19</v>
      </c>
      <c r="O93" s="198" t="s">
        <v>41</v>
      </c>
      <c r="P93" s="200">
        <f>SUM(P89:P92)</f>
        <v>-2465005.5</v>
      </c>
      <c r="Q93" s="200">
        <f t="shared" ref="Q93:R93" si="47">SUM(Q89:Q92)</f>
        <v>-2465005.5</v>
      </c>
      <c r="R93" s="200">
        <f t="shared" si="47"/>
        <v>-2465005.5</v>
      </c>
      <c r="W93" s="198" t="s">
        <v>41</v>
      </c>
      <c r="X93" s="200">
        <f>SUM(X89:X92)</f>
        <v>-2465005.5</v>
      </c>
      <c r="Y93" s="200">
        <f t="shared" ref="Y93:Z93" si="48">SUM(Y89:Y92)</f>
        <v>-2465005.5</v>
      </c>
      <c r="Z93" s="200">
        <f t="shared" si="48"/>
        <v>-2465005.5</v>
      </c>
    </row>
    <row r="98" spans="1:46" s="2" customFormat="1" ht="15" thickBot="1" x14ac:dyDescent="0.4">
      <c r="A98"/>
      <c r="B98"/>
      <c r="C98"/>
      <c r="D98"/>
      <c r="E98"/>
      <c r="F98" s="1"/>
      <c r="K98" s="1"/>
      <c r="L98" s="3"/>
      <c r="M98" s="1"/>
      <c r="S98" s="1"/>
      <c r="T98" s="3"/>
      <c r="U98" s="1"/>
      <c r="AA98" s="1"/>
      <c r="AB98" s="1"/>
      <c r="AC98" s="3"/>
      <c r="AD98"/>
      <c r="AO98"/>
      <c r="AP98"/>
      <c r="AQ98"/>
      <c r="AR98"/>
      <c r="AS98"/>
      <c r="AT98"/>
    </row>
    <row r="99" spans="1:46" s="2" customFormat="1" ht="15" thickBot="1" x14ac:dyDescent="0.4">
      <c r="B99"/>
      <c r="C99"/>
      <c r="D99"/>
      <c r="E99"/>
      <c r="F99" s="1"/>
      <c r="G99" s="333" t="s">
        <v>36</v>
      </c>
      <c r="H99" s="334"/>
      <c r="K99" s="1"/>
      <c r="L99" s="3"/>
      <c r="M99" s="466" t="s">
        <v>93</v>
      </c>
      <c r="N99" s="467"/>
      <c r="O99" s="468"/>
      <c r="S99" s="1"/>
      <c r="T99" s="3"/>
      <c r="U99" s="1"/>
      <c r="AA99" s="1"/>
      <c r="AB99" s="1"/>
      <c r="AC99" s="3"/>
      <c r="AD99"/>
      <c r="AO99"/>
      <c r="AP99"/>
      <c r="AQ99"/>
      <c r="AR99"/>
      <c r="AS99"/>
      <c r="AT99"/>
    </row>
    <row r="100" spans="1:46" s="2" customFormat="1" ht="15" thickBot="1" x14ac:dyDescent="0.4">
      <c r="B100"/>
      <c r="C100"/>
      <c r="D100"/>
      <c r="E100"/>
      <c r="F100" s="1"/>
      <c r="K100" s="1"/>
      <c r="L100" s="3"/>
      <c r="M100" s="469"/>
      <c r="N100" s="470"/>
      <c r="O100" s="471"/>
      <c r="S100" s="1"/>
      <c r="T100" s="3"/>
      <c r="U100" s="1"/>
      <c r="AA100" s="1"/>
      <c r="AB100" s="1"/>
      <c r="AC100" s="3"/>
      <c r="AD100"/>
      <c r="AO100"/>
      <c r="AP100"/>
      <c r="AQ100"/>
      <c r="AR100"/>
      <c r="AS100"/>
      <c r="AT100"/>
    </row>
    <row r="101" spans="1:46" s="2" customFormat="1" x14ac:dyDescent="0.35">
      <c r="B101"/>
      <c r="C101"/>
      <c r="D101"/>
      <c r="E101"/>
      <c r="F101" s="1"/>
      <c r="K101" s="1"/>
      <c r="L101" s="3"/>
      <c r="M101" s="1"/>
      <c r="S101" s="1"/>
      <c r="T101" s="3"/>
      <c r="U101" s="1"/>
      <c r="AA101" s="1"/>
      <c r="AB101" s="1"/>
      <c r="AC101" s="3"/>
      <c r="AD101"/>
      <c r="AO101"/>
      <c r="AP101"/>
      <c r="AQ101"/>
      <c r="AR101"/>
      <c r="AS101"/>
      <c r="AT101"/>
    </row>
    <row r="102" spans="1:46" s="2" customFormat="1" x14ac:dyDescent="0.35">
      <c r="B102"/>
      <c r="C102"/>
      <c r="D102"/>
      <c r="E102"/>
      <c r="F102" s="1"/>
      <c r="K102" s="1"/>
      <c r="L102" s="3"/>
      <c r="M102" s="1"/>
      <c r="S102" s="1"/>
      <c r="T102" s="3"/>
      <c r="U102" s="1"/>
      <c r="AA102" s="1"/>
      <c r="AB102" s="1"/>
      <c r="AC102" s="3"/>
      <c r="AD102"/>
      <c r="AO102"/>
      <c r="AP102"/>
      <c r="AQ102"/>
      <c r="AR102"/>
      <c r="AS102"/>
      <c r="AT102"/>
    </row>
    <row r="103" spans="1:46" x14ac:dyDescent="0.35">
      <c r="A103" s="2"/>
    </row>
    <row r="113" spans="2:12" x14ac:dyDescent="0.35">
      <c r="B113">
        <v>-8705430.3200000003</v>
      </c>
    </row>
    <row r="114" spans="2:12" x14ac:dyDescent="0.35">
      <c r="B114">
        <v>1093.5</v>
      </c>
    </row>
    <row r="115" spans="2:12" x14ac:dyDescent="0.35">
      <c r="B115">
        <v>364.5</v>
      </c>
    </row>
    <row r="116" spans="2:12" x14ac:dyDescent="0.35">
      <c r="B116">
        <v>4.8600000000000003</v>
      </c>
    </row>
    <row r="117" spans="2:12" x14ac:dyDescent="0.35">
      <c r="B117">
        <v>574760</v>
      </c>
    </row>
    <row r="118" spans="2:12" x14ac:dyDescent="0.35">
      <c r="B118">
        <v>-380899.68</v>
      </c>
      <c r="K118" s="201"/>
      <c r="L118" s="202"/>
    </row>
    <row r="119" spans="2:12" x14ac:dyDescent="0.35">
      <c r="B119">
        <f>SUM(B113:B118)</f>
        <v>-8510107.1400000006</v>
      </c>
      <c r="C119" s="203"/>
    </row>
    <row r="120" spans="2:12" x14ac:dyDescent="0.35">
      <c r="B120">
        <v>2773675</v>
      </c>
    </row>
    <row r="121" spans="2:12" x14ac:dyDescent="0.35">
      <c r="B121">
        <f>B119+B120</f>
        <v>-5736432.1400000006</v>
      </c>
    </row>
    <row r="141" spans="1:46" ht="15" thickBot="1" x14ac:dyDescent="0.4"/>
    <row r="142" spans="1:46" ht="15" thickBot="1" x14ac:dyDescent="0.4">
      <c r="G142" s="333" t="s">
        <v>94</v>
      </c>
      <c r="H142" s="334"/>
    </row>
    <row r="144" spans="1:46" s="2" customFormat="1" x14ac:dyDescent="0.35">
      <c r="A144"/>
      <c r="B144"/>
      <c r="C144"/>
      <c r="D144"/>
      <c r="E144"/>
      <c r="F144" s="1"/>
      <c r="K144" s="1"/>
      <c r="L144" s="3"/>
      <c r="M144" s="1"/>
      <c r="S144" s="1"/>
      <c r="T144" s="3"/>
      <c r="U144" s="1"/>
      <c r="AA144" s="1"/>
      <c r="AB144" s="1"/>
      <c r="AC144" s="3"/>
      <c r="AD144"/>
      <c r="AO144"/>
      <c r="AP144"/>
      <c r="AQ144"/>
      <c r="AR144"/>
      <c r="AS144"/>
      <c r="AT144"/>
    </row>
    <row r="145" spans="1:46" s="2" customFormat="1" x14ac:dyDescent="0.35">
      <c r="B145"/>
      <c r="C145"/>
      <c r="D145"/>
      <c r="E145"/>
      <c r="F145" s="1"/>
      <c r="K145" s="1"/>
      <c r="L145" s="3"/>
      <c r="M145" s="1"/>
      <c r="S145" s="1"/>
      <c r="T145" s="3"/>
      <c r="U145" s="1"/>
      <c r="AA145" s="1"/>
      <c r="AB145" s="1"/>
      <c r="AC145" s="3"/>
      <c r="AD145"/>
      <c r="AO145"/>
      <c r="AP145"/>
      <c r="AQ145"/>
      <c r="AR145"/>
      <c r="AS145"/>
      <c r="AT145"/>
    </row>
    <row r="146" spans="1:46" x14ac:dyDescent="0.35">
      <c r="A146" s="2"/>
    </row>
    <row r="186" spans="2:46" x14ac:dyDescent="0.35">
      <c r="O186" s="2">
        <v>1793</v>
      </c>
      <c r="P186" s="2">
        <v>1799</v>
      </c>
    </row>
    <row r="187" spans="2:46" x14ac:dyDescent="0.35">
      <c r="O187" s="2">
        <v>1792.1</v>
      </c>
      <c r="P187" s="2">
        <v>1792.1</v>
      </c>
    </row>
    <row r="188" spans="2:46" x14ac:dyDescent="0.35">
      <c r="O188" s="2">
        <f>O186-O187</f>
        <v>0.90000000000009095</v>
      </c>
      <c r="P188" s="2">
        <f>P186-P187</f>
        <v>6.9000000000000909</v>
      </c>
    </row>
    <row r="189" spans="2:46" ht="15" thickBot="1" x14ac:dyDescent="0.4">
      <c r="O189" s="2">
        <v>495</v>
      </c>
      <c r="P189" s="2">
        <v>4140</v>
      </c>
    </row>
    <row r="190" spans="2:46" ht="15" thickBot="1" x14ac:dyDescent="0.4">
      <c r="G190" s="333" t="s">
        <v>95</v>
      </c>
      <c r="H190" s="461"/>
      <c r="I190" s="461"/>
      <c r="J190" s="334"/>
      <c r="O190" s="2">
        <f>O189/O188</f>
        <v>549.99999999994441</v>
      </c>
      <c r="P190" s="2">
        <f>P189/P188</f>
        <v>599.99999999999204</v>
      </c>
    </row>
    <row r="191" spans="2:46" x14ac:dyDescent="0.35">
      <c r="O191" s="2">
        <f>O190/11</f>
        <v>49.999999999994948</v>
      </c>
      <c r="P191" s="2">
        <f>P190/12</f>
        <v>49.999999999999339</v>
      </c>
    </row>
    <row r="192" spans="2:46" s="1" customFormat="1" x14ac:dyDescent="0.35">
      <c r="B192"/>
      <c r="C192"/>
      <c r="D192"/>
      <c r="E192"/>
      <c r="G192" s="2"/>
      <c r="H192" s="2"/>
      <c r="I192" s="2"/>
      <c r="J192" s="2"/>
      <c r="L192" s="3"/>
      <c r="N192" s="2"/>
      <c r="O192" s="2"/>
      <c r="P192" s="2"/>
      <c r="Q192" s="2"/>
      <c r="R192" s="2"/>
      <c r="T192" s="3"/>
      <c r="V192" s="2"/>
      <c r="W192" s="2"/>
      <c r="X192" s="2"/>
      <c r="Y192" s="2"/>
      <c r="Z192" s="2"/>
      <c r="AC192" s="3"/>
      <c r="AD19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/>
      <c r="AP192"/>
      <c r="AQ192"/>
      <c r="AR192"/>
      <c r="AS192"/>
      <c r="AT192"/>
    </row>
    <row r="193" spans="2:46" s="1" customFormat="1" x14ac:dyDescent="0.35">
      <c r="B193"/>
      <c r="C193"/>
      <c r="D193"/>
      <c r="E193"/>
      <c r="G193" s="2"/>
      <c r="H193" s="2"/>
      <c r="I193" s="2"/>
      <c r="J193" s="2"/>
      <c r="L193" s="3"/>
      <c r="N193" s="2"/>
      <c r="O193" s="2"/>
      <c r="P193" s="2"/>
      <c r="Q193" s="2"/>
      <c r="R193" s="2"/>
      <c r="T193" s="3"/>
      <c r="V193" s="2"/>
      <c r="W193" s="2"/>
      <c r="X193" s="2"/>
      <c r="Y193" s="2"/>
      <c r="Z193" s="2"/>
      <c r="AC193" s="3"/>
      <c r="AD193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/>
      <c r="AP193"/>
      <c r="AQ193"/>
      <c r="AR193"/>
      <c r="AS193"/>
      <c r="AT193"/>
    </row>
    <row r="213" spans="2:46" x14ac:dyDescent="0.35">
      <c r="K213"/>
    </row>
    <row r="216" spans="2:46" s="3" customFormat="1" x14ac:dyDescent="0.35">
      <c r="B216"/>
      <c r="C216"/>
      <c r="D216"/>
      <c r="E216"/>
      <c r="F216" s="1"/>
      <c r="G216" s="2"/>
      <c r="H216" s="2"/>
      <c r="I216" s="2"/>
      <c r="J216" s="2"/>
      <c r="K216" s="1"/>
      <c r="M216" s="1"/>
      <c r="N216" s="2"/>
      <c r="O216" s="2"/>
      <c r="P216" s="2"/>
      <c r="Q216" s="2"/>
      <c r="R216" s="2"/>
      <c r="S216" s="1"/>
      <c r="U216" s="1"/>
      <c r="V216" s="2"/>
      <c r="W216" s="2"/>
      <c r="X216" s="2"/>
      <c r="Y216" s="2"/>
      <c r="Z216" s="2"/>
      <c r="AA216" s="1"/>
      <c r="AB216" s="1"/>
      <c r="AD216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/>
      <c r="AP216"/>
      <c r="AQ216"/>
      <c r="AR216"/>
      <c r="AS216"/>
      <c r="AT216"/>
    </row>
    <row r="219" spans="2:46" x14ac:dyDescent="0.35">
      <c r="G219" s="204"/>
      <c r="J219" s="204"/>
    </row>
    <row r="238" spans="2:14" ht="15" thickBot="1" x14ac:dyDescent="0.4"/>
    <row r="239" spans="2:14" ht="15" customHeight="1" x14ac:dyDescent="0.35">
      <c r="B239" s="205" t="s">
        <v>96</v>
      </c>
      <c r="C239" s="206"/>
      <c r="D239" s="206"/>
      <c r="E239" s="206"/>
      <c r="F239" s="206"/>
      <c r="G239" s="206"/>
      <c r="H239" s="206"/>
      <c r="I239" s="206"/>
      <c r="J239" s="206"/>
      <c r="K239" s="206"/>
      <c r="L239" s="206"/>
      <c r="M239" s="206"/>
      <c r="N239" s="207"/>
    </row>
    <row r="240" spans="2:14" ht="15" customHeight="1" x14ac:dyDescent="0.35">
      <c r="B240" s="208"/>
      <c r="C240" s="209"/>
      <c r="D240" s="209"/>
      <c r="E240" s="209"/>
      <c r="F240" s="209"/>
      <c r="G240" s="209"/>
      <c r="H240" s="209"/>
      <c r="I240" s="209"/>
      <c r="J240" s="209"/>
      <c r="K240" s="209"/>
      <c r="L240" s="209"/>
      <c r="M240" s="209"/>
      <c r="N240" s="210"/>
    </row>
    <row r="241" spans="2:14" ht="15.75" customHeight="1" thickBot="1" x14ac:dyDescent="0.4">
      <c r="B241" s="211"/>
      <c r="C241" s="212"/>
      <c r="D241" s="212"/>
      <c r="E241" s="212"/>
      <c r="F241" s="212"/>
      <c r="G241" s="212"/>
      <c r="H241" s="212"/>
      <c r="I241" s="212"/>
      <c r="J241" s="212"/>
      <c r="K241" s="212"/>
      <c r="L241" s="212"/>
      <c r="M241" s="212"/>
      <c r="N241" s="213"/>
    </row>
    <row r="297" spans="2:14" ht="15" thickBot="1" x14ac:dyDescent="0.4"/>
    <row r="298" spans="2:14" ht="15" customHeight="1" x14ac:dyDescent="0.35">
      <c r="B298" s="205" t="s">
        <v>25</v>
      </c>
      <c r="C298" s="206"/>
      <c r="D298" s="206"/>
      <c r="E298" s="206"/>
      <c r="F298" s="206"/>
      <c r="G298" s="206"/>
      <c r="H298" s="206"/>
      <c r="I298" s="206"/>
      <c r="J298" s="206"/>
      <c r="K298" s="206"/>
      <c r="L298" s="206"/>
      <c r="M298" s="206"/>
      <c r="N298" s="207"/>
    </row>
    <row r="299" spans="2:14" ht="15" customHeight="1" x14ac:dyDescent="0.35">
      <c r="B299" s="208"/>
      <c r="C299" s="209"/>
      <c r="D299" s="209"/>
      <c r="E299" s="209"/>
      <c r="F299" s="209"/>
      <c r="G299" s="209"/>
      <c r="H299" s="209"/>
      <c r="I299" s="209"/>
      <c r="J299" s="209"/>
      <c r="K299" s="209"/>
      <c r="L299" s="209"/>
      <c r="M299" s="209"/>
      <c r="N299" s="210"/>
    </row>
    <row r="300" spans="2:14" ht="15.75" customHeight="1" thickBot="1" x14ac:dyDescent="0.4">
      <c r="B300" s="211"/>
      <c r="C300" s="212"/>
      <c r="D300" s="212"/>
      <c r="E300" s="212"/>
      <c r="F300" s="212"/>
      <c r="G300" s="212"/>
      <c r="H300" s="212"/>
      <c r="I300" s="212"/>
      <c r="J300" s="212"/>
      <c r="K300" s="212"/>
      <c r="L300" s="212"/>
      <c r="M300" s="212"/>
      <c r="N300" s="213"/>
    </row>
    <row r="314" spans="2:14" ht="15" thickBot="1" x14ac:dyDescent="0.4"/>
    <row r="315" spans="2:14" ht="15" customHeight="1" x14ac:dyDescent="0.35">
      <c r="B315" s="205" t="s">
        <v>97</v>
      </c>
      <c r="C315" s="206"/>
      <c r="D315" s="206"/>
      <c r="E315" s="206"/>
      <c r="F315" s="206"/>
      <c r="G315" s="206"/>
      <c r="H315" s="206"/>
      <c r="I315" s="206"/>
      <c r="J315" s="206"/>
      <c r="K315" s="206"/>
      <c r="L315" s="206"/>
      <c r="M315" s="206"/>
      <c r="N315" s="207"/>
    </row>
    <row r="316" spans="2:14" ht="15" customHeight="1" x14ac:dyDescent="0.35">
      <c r="B316" s="208"/>
      <c r="C316" s="209"/>
      <c r="D316" s="209"/>
      <c r="E316" s="209"/>
      <c r="F316" s="209"/>
      <c r="G316" s="209"/>
      <c r="H316" s="209"/>
      <c r="I316" s="209"/>
      <c r="J316" s="209"/>
      <c r="K316" s="209"/>
      <c r="L316" s="209"/>
      <c r="M316" s="209"/>
      <c r="N316" s="210"/>
    </row>
    <row r="317" spans="2:14" ht="15.75" customHeight="1" thickBot="1" x14ac:dyDescent="0.4">
      <c r="B317" s="211"/>
      <c r="C317" s="212"/>
      <c r="D317" s="212"/>
      <c r="E317" s="212"/>
      <c r="F317" s="212"/>
      <c r="G317" s="212"/>
      <c r="H317" s="212"/>
      <c r="I317" s="212"/>
      <c r="J317" s="212"/>
      <c r="K317" s="212"/>
      <c r="L317" s="212"/>
      <c r="M317" s="212"/>
      <c r="N317" s="213"/>
    </row>
    <row r="363" spans="3:8" ht="15" thickBot="1" x14ac:dyDescent="0.4"/>
    <row r="364" spans="3:8" x14ac:dyDescent="0.35">
      <c r="C364" s="425" t="s">
        <v>98</v>
      </c>
      <c r="D364" s="426"/>
      <c r="E364" s="426"/>
      <c r="F364" s="426"/>
      <c r="G364" s="426"/>
      <c r="H364" s="426"/>
    </row>
    <row r="365" spans="3:8" ht="15" thickBot="1" x14ac:dyDescent="0.4">
      <c r="C365" s="428"/>
      <c r="D365" s="429"/>
      <c r="E365" s="429"/>
      <c r="F365" s="429"/>
      <c r="G365" s="429"/>
      <c r="H365" s="429"/>
    </row>
  </sheetData>
  <mergeCells count="49">
    <mergeCell ref="G2:J2"/>
    <mergeCell ref="N2:R2"/>
    <mergeCell ref="V2:Z2"/>
    <mergeCell ref="AE2:AL3"/>
    <mergeCell ref="B3:E5"/>
    <mergeCell ref="G3:J3"/>
    <mergeCell ref="N3:R3"/>
    <mergeCell ref="V3:Z3"/>
    <mergeCell ref="B12:E12"/>
    <mergeCell ref="C14:E14"/>
    <mergeCell ref="G14:H14"/>
    <mergeCell ref="D15:E15"/>
    <mergeCell ref="B17:E17"/>
    <mergeCell ref="M18:M24"/>
    <mergeCell ref="U18:U24"/>
    <mergeCell ref="AD18:AD24"/>
    <mergeCell ref="AQ18:AT20"/>
    <mergeCell ref="B23:E23"/>
    <mergeCell ref="B24:E24"/>
    <mergeCell ref="F18:F24"/>
    <mergeCell ref="F40:F44"/>
    <mergeCell ref="M40:M44"/>
    <mergeCell ref="U40:U44"/>
    <mergeCell ref="AD40:AD44"/>
    <mergeCell ref="B25:E25"/>
    <mergeCell ref="F26:F31"/>
    <mergeCell ref="M26:M31"/>
    <mergeCell ref="U26:U31"/>
    <mergeCell ref="AD26:AD31"/>
    <mergeCell ref="B30:E32"/>
    <mergeCell ref="B33:E35"/>
    <mergeCell ref="F33:F38"/>
    <mergeCell ref="M33:M38"/>
    <mergeCell ref="U33:U38"/>
    <mergeCell ref="AD33:AD38"/>
    <mergeCell ref="C364:H365"/>
    <mergeCell ref="F46:F48"/>
    <mergeCell ref="M46:M48"/>
    <mergeCell ref="U46:U48"/>
    <mergeCell ref="AD46:AD48"/>
    <mergeCell ref="G61:J61"/>
    <mergeCell ref="G88:H88"/>
    <mergeCell ref="N88:O88"/>
    <mergeCell ref="V88:W88"/>
    <mergeCell ref="F90:F92"/>
    <mergeCell ref="G99:H99"/>
    <mergeCell ref="M99:O100"/>
    <mergeCell ref="G142:H142"/>
    <mergeCell ref="G190:J190"/>
  </mergeCells>
  <pageMargins left="0.7" right="0.7" top="0.75" bottom="0.75" header="0.3" footer="0.3"/>
  <pageSetup scale="48" orientation="portrait" r:id="rId1"/>
  <colBreaks count="2" manualBreakCount="2">
    <brk id="11" max="1048575" man="1"/>
    <brk id="19" max="94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9BAF8-0385-41C0-A8CD-D8B671F5C1F9}">
  <dimension ref="A1:AL318"/>
  <sheetViews>
    <sheetView topLeftCell="B25" zoomScale="90" zoomScaleNormal="90" workbookViewId="0">
      <selection activeCell="I21" sqref="I21"/>
    </sheetView>
  </sheetViews>
  <sheetFormatPr defaultRowHeight="14.5" x14ac:dyDescent="0.35"/>
  <cols>
    <col min="1" max="1" width="3.26953125" customWidth="1"/>
    <col min="2" max="2" width="21.54296875" bestFit="1" customWidth="1"/>
    <col min="3" max="3" width="13" bestFit="1" customWidth="1"/>
    <col min="4" max="4" width="19.1796875" customWidth="1"/>
    <col min="5" max="5" width="22.7265625" bestFit="1" customWidth="1"/>
    <col min="6" max="6" width="3.453125" style="1" customWidth="1"/>
    <col min="7" max="7" width="3.453125" style="3" customWidth="1"/>
    <col min="8" max="8" width="29.81640625" style="1" customWidth="1"/>
    <col min="9" max="9" width="39.453125" style="2" customWidth="1"/>
    <col min="10" max="10" width="15.54296875" style="2" customWidth="1"/>
    <col min="11" max="11" width="26.81640625" style="2" customWidth="1"/>
    <col min="12" max="12" width="28.26953125" style="2" customWidth="1"/>
    <col min="13" max="13" width="3.453125" style="1" customWidth="1"/>
    <col min="14" max="14" width="15" bestFit="1" customWidth="1"/>
    <col min="15" max="20" width="9.1796875" customWidth="1"/>
  </cols>
  <sheetData>
    <row r="1" spans="2:27" ht="15" thickBot="1" x14ac:dyDescent="0.4">
      <c r="C1" s="414">
        <v>2020</v>
      </c>
    </row>
    <row r="2" spans="2:27" ht="15.75" customHeight="1" thickBot="1" x14ac:dyDescent="0.4">
      <c r="C2" s="415"/>
      <c r="F2" s="224"/>
      <c r="H2"/>
      <c r="I2" s="416" t="s">
        <v>189</v>
      </c>
      <c r="J2" s="417"/>
      <c r="K2" s="417"/>
      <c r="L2" s="418"/>
      <c r="M2" s="224"/>
      <c r="R2" s="422" t="s">
        <v>174</v>
      </c>
      <c r="S2" s="423"/>
      <c r="T2" s="423"/>
      <c r="U2" s="423"/>
      <c r="V2" s="423"/>
      <c r="W2" s="423"/>
      <c r="X2" s="423"/>
      <c r="Y2" s="423"/>
      <c r="Z2" s="423"/>
      <c r="AA2" s="424"/>
    </row>
    <row r="3" spans="2:27" ht="15" customHeight="1" thickBot="1" x14ac:dyDescent="0.4">
      <c r="B3" s="399" t="s">
        <v>173</v>
      </c>
      <c r="C3" s="400"/>
      <c r="D3" s="400"/>
      <c r="E3" s="401"/>
      <c r="F3" s="224"/>
      <c r="H3"/>
      <c r="I3" s="419"/>
      <c r="J3" s="420"/>
      <c r="K3" s="420"/>
      <c r="L3" s="421"/>
      <c r="M3" s="224"/>
    </row>
    <row r="4" spans="2:27" ht="15.75" customHeight="1" thickBot="1" x14ac:dyDescent="0.4">
      <c r="B4" s="402"/>
      <c r="C4" s="403"/>
      <c r="D4" s="403"/>
      <c r="E4" s="404"/>
      <c r="H4"/>
    </row>
    <row r="5" spans="2:27" ht="15.75" customHeight="1" thickBot="1" x14ac:dyDescent="0.4">
      <c r="B5" s="405"/>
      <c r="C5" s="406"/>
      <c r="D5" s="406"/>
      <c r="E5" s="407"/>
      <c r="H5"/>
      <c r="I5" s="7" t="s">
        <v>99</v>
      </c>
      <c r="J5" s="8"/>
      <c r="K5" s="9"/>
      <c r="L5" s="9"/>
    </row>
    <row r="6" spans="2:27" ht="15.75" customHeight="1" thickBot="1" x14ac:dyDescent="0.4">
      <c r="B6" s="13"/>
      <c r="C6" s="313" t="s">
        <v>11</v>
      </c>
      <c r="D6" s="15"/>
      <c r="E6" s="312"/>
      <c r="F6" s="224"/>
      <c r="H6"/>
      <c r="I6" s="17" t="s">
        <v>13</v>
      </c>
      <c r="J6" s="17" t="s">
        <v>14</v>
      </c>
      <c r="K6" s="18" t="s">
        <v>15</v>
      </c>
    </row>
    <row r="7" spans="2:27" x14ac:dyDescent="0.35">
      <c r="B7" s="20" t="s">
        <v>19</v>
      </c>
      <c r="C7" s="21">
        <v>1893.1</v>
      </c>
      <c r="D7" s="252"/>
      <c r="E7" s="290"/>
      <c r="F7" s="224"/>
      <c r="H7"/>
      <c r="I7" s="24">
        <f>+I24</f>
        <v>28175.607400000001</v>
      </c>
      <c r="J7" s="324">
        <f>C7</f>
        <v>1893.1</v>
      </c>
      <c r="K7" s="26">
        <f>+I7*J7</f>
        <v>53339242.368939996</v>
      </c>
    </row>
    <row r="8" spans="2:27" x14ac:dyDescent="0.35">
      <c r="B8" s="31" t="s">
        <v>20</v>
      </c>
      <c r="C8" s="32">
        <v>26.332000000000001</v>
      </c>
      <c r="D8" s="236"/>
      <c r="E8" s="291"/>
      <c r="F8" s="224"/>
      <c r="H8"/>
      <c r="I8" s="35">
        <f>+I32</f>
        <v>3948521.6164000002</v>
      </c>
      <c r="J8" s="325">
        <f>C8</f>
        <v>26.332000000000001</v>
      </c>
      <c r="K8" s="37">
        <f>+I8*J8</f>
        <v>103972471.2030448</v>
      </c>
    </row>
    <row r="9" spans="2:27" x14ac:dyDescent="0.35">
      <c r="B9" s="40" t="s">
        <v>21</v>
      </c>
      <c r="C9" s="41">
        <v>1075.4000000000001</v>
      </c>
      <c r="D9" s="292"/>
      <c r="E9" s="293"/>
      <c r="F9" s="224"/>
      <c r="H9"/>
      <c r="I9" s="44">
        <f>I39</f>
        <v>176.6515</v>
      </c>
      <c r="J9" s="326">
        <f>C9</f>
        <v>1075.4000000000001</v>
      </c>
      <c r="K9" s="46">
        <f>+I9*J9</f>
        <v>189971.02310000002</v>
      </c>
      <c r="N9" s="317"/>
    </row>
    <row r="10" spans="2:27" ht="14.5" customHeight="1" x14ac:dyDescent="0.35">
      <c r="B10" s="49" t="s">
        <v>22</v>
      </c>
      <c r="C10" s="50">
        <v>2448.5</v>
      </c>
      <c r="D10" s="294"/>
      <c r="E10" s="295"/>
      <c r="F10" s="224"/>
      <c r="H10"/>
      <c r="I10" s="53">
        <f>I45</f>
        <v>289.08819999999997</v>
      </c>
      <c r="J10" s="327">
        <f>C10</f>
        <v>2448.5</v>
      </c>
      <c r="K10" s="55">
        <f>+I10*J10</f>
        <v>707832.45769999991</v>
      </c>
      <c r="N10" s="317"/>
    </row>
    <row r="11" spans="2:27" ht="15" thickBot="1" x14ac:dyDescent="0.4">
      <c r="B11" s="296" t="s">
        <v>23</v>
      </c>
      <c r="C11" s="58">
        <v>17000</v>
      </c>
      <c r="D11" s="297"/>
      <c r="E11" s="298"/>
      <c r="F11" s="224"/>
      <c r="H11"/>
      <c r="I11" s="61">
        <v>72.561999999999998</v>
      </c>
      <c r="J11" s="328">
        <f>C11</f>
        <v>17000</v>
      </c>
      <c r="K11" s="63">
        <f>+I11*J11</f>
        <v>1233554</v>
      </c>
      <c r="N11" s="317"/>
    </row>
    <row r="12" spans="2:27" ht="15" thickBot="1" x14ac:dyDescent="0.4">
      <c r="B12" s="405" t="s">
        <v>177</v>
      </c>
      <c r="C12" s="406"/>
      <c r="D12" s="406"/>
      <c r="E12" s="407"/>
      <c r="H12" s="65"/>
      <c r="I12" s="65"/>
      <c r="J12" s="56"/>
      <c r="K12" s="66">
        <f>SUM(K7:K11)</f>
        <v>159443071.0527848</v>
      </c>
      <c r="N12" s="317"/>
    </row>
    <row r="13" spans="2:27" ht="15" thickBot="1" x14ac:dyDescent="0.4">
      <c r="H13"/>
      <c r="I13" s="67"/>
      <c r="J13" s="67"/>
      <c r="K13" s="68">
        <f>C14</f>
        <v>333954.087</v>
      </c>
      <c r="L13" s="69" t="s">
        <v>25</v>
      </c>
      <c r="N13" s="317"/>
    </row>
    <row r="14" spans="2:27" ht="15" thickBot="1" x14ac:dyDescent="0.4">
      <c r="B14" s="73" t="s">
        <v>25</v>
      </c>
      <c r="C14" s="411">
        <v>333954.087</v>
      </c>
      <c r="D14" s="411"/>
      <c r="E14" s="412"/>
      <c r="H14"/>
      <c r="I14" s="413"/>
      <c r="J14" s="413"/>
      <c r="K14" s="74">
        <f>D15</f>
        <v>-2462403.56</v>
      </c>
      <c r="L14" s="75" t="s">
        <v>28</v>
      </c>
      <c r="N14" s="317"/>
    </row>
    <row r="15" spans="2:27" ht="15" thickBot="1" x14ac:dyDescent="0.4">
      <c r="B15" s="81" t="s">
        <v>28</v>
      </c>
      <c r="C15" s="82"/>
      <c r="D15" s="380">
        <v>-2462403.56</v>
      </c>
      <c r="E15" s="381"/>
      <c r="H15"/>
      <c r="I15" s="56" t="s">
        <v>30</v>
      </c>
      <c r="J15" s="83"/>
      <c r="K15" s="84">
        <f>+K12+K13+K14</f>
        <v>157314621.57978481</v>
      </c>
      <c r="N15" s="317"/>
    </row>
    <row r="16" spans="2:27" ht="15" thickBot="1" x14ac:dyDescent="0.4">
      <c r="C16" s="85"/>
      <c r="D16" s="85"/>
      <c r="E16" s="85"/>
      <c r="H16"/>
      <c r="I16" s="56"/>
      <c r="J16" s="56"/>
      <c r="N16" s="317"/>
    </row>
    <row r="17" spans="2:14" ht="15" thickBot="1" x14ac:dyDescent="0.4">
      <c r="B17" s="382" t="s">
        <v>31</v>
      </c>
      <c r="C17" s="383"/>
      <c r="D17" s="383"/>
      <c r="E17" s="384"/>
      <c r="H17"/>
      <c r="I17" s="7" t="s">
        <v>100</v>
      </c>
      <c r="J17" s="86"/>
      <c r="K17" s="86"/>
      <c r="L17" s="9"/>
      <c r="N17" s="317"/>
    </row>
    <row r="18" spans="2:14" ht="15" customHeight="1" x14ac:dyDescent="0.35">
      <c r="B18" s="87" t="s">
        <v>33</v>
      </c>
      <c r="C18" s="88">
        <f>-SUM('LIFO as of 12.31.19 (01.08.20)'!C19:C21)</f>
        <v>-3377592.5</v>
      </c>
      <c r="D18" s="89"/>
      <c r="E18" s="90"/>
      <c r="H18" s="385" t="s">
        <v>34</v>
      </c>
      <c r="I18" s="91">
        <v>635.15750000000003</v>
      </c>
      <c r="J18" s="92">
        <v>513</v>
      </c>
      <c r="K18" s="92">
        <f>+I18*J18</f>
        <v>325835.79749999999</v>
      </c>
      <c r="L18" s="93">
        <v>2005</v>
      </c>
      <c r="N18" s="317"/>
    </row>
    <row r="19" spans="2:14" x14ac:dyDescent="0.35">
      <c r="B19" s="87" t="s">
        <v>183</v>
      </c>
      <c r="C19" s="88">
        <f>K94</f>
        <v>-35945</v>
      </c>
      <c r="D19" s="96"/>
      <c r="E19" s="97" t="s">
        <v>118</v>
      </c>
      <c r="H19" s="386"/>
      <c r="I19" s="91">
        <v>8241.6015000000007</v>
      </c>
      <c r="J19" s="92">
        <v>635.70000000000005</v>
      </c>
      <c r="K19" s="92">
        <f t="shared" ref="K19:K22" si="0">+I19*J19</f>
        <v>5239186.0735500008</v>
      </c>
      <c r="L19" s="93">
        <v>2006</v>
      </c>
      <c r="N19" s="317"/>
    </row>
    <row r="20" spans="2:14" x14ac:dyDescent="0.35">
      <c r="B20" s="87" t="s">
        <v>185</v>
      </c>
      <c r="C20" s="98">
        <f>K95</f>
        <v>-5546</v>
      </c>
      <c r="D20" s="96"/>
      <c r="E20" s="97" t="s">
        <v>118</v>
      </c>
      <c r="H20" s="386"/>
      <c r="I20" s="91">
        <f>2706.7257-20.5754</f>
        <v>2686.1502999999998</v>
      </c>
      <c r="J20" s="92">
        <v>846.75</v>
      </c>
      <c r="K20" s="92">
        <f t="shared" si="0"/>
        <v>2274497.7665249999</v>
      </c>
      <c r="L20" s="93">
        <v>2008</v>
      </c>
      <c r="N20" s="317"/>
    </row>
    <row r="21" spans="2:14" x14ac:dyDescent="0.35">
      <c r="B21" s="87" t="s">
        <v>187</v>
      </c>
      <c r="C21" s="88">
        <f>K96</f>
        <v>-140510</v>
      </c>
      <c r="D21" s="96"/>
      <c r="E21" s="97" t="s">
        <v>188</v>
      </c>
      <c r="H21" s="386"/>
      <c r="I21" s="91">
        <v>16612.698100000001</v>
      </c>
      <c r="J21" s="92">
        <v>1527.1</v>
      </c>
      <c r="K21" s="92">
        <f t="shared" si="0"/>
        <v>25369251.268509999</v>
      </c>
      <c r="L21" s="323" t="s">
        <v>113</v>
      </c>
      <c r="N21" s="317"/>
    </row>
    <row r="22" spans="2:14" x14ac:dyDescent="0.35">
      <c r="B22" s="87" t="s">
        <v>103</v>
      </c>
      <c r="C22" s="88">
        <f>K97</f>
        <v>-192590</v>
      </c>
      <c r="D22" s="96"/>
      <c r="E22" s="97" t="s">
        <v>118</v>
      </c>
      <c r="H22" s="386"/>
      <c r="I22" s="91"/>
      <c r="J22" s="103"/>
      <c r="K22" s="92">
        <f t="shared" si="0"/>
        <v>0</v>
      </c>
      <c r="N22" s="317"/>
    </row>
    <row r="23" spans="2:14" ht="15" thickBot="1" x14ac:dyDescent="0.4">
      <c r="B23" s="99" t="s">
        <v>41</v>
      </c>
      <c r="C23" s="100">
        <f>SUM(C18:C22)</f>
        <v>-3752183.5</v>
      </c>
      <c r="D23" s="101"/>
      <c r="E23" s="102" t="str">
        <f>B3</f>
        <v>Date as of : 12.31.2020</v>
      </c>
      <c r="H23" s="386"/>
      <c r="I23" s="106"/>
      <c r="J23" s="92"/>
      <c r="K23" s="92"/>
      <c r="L23" s="93"/>
    </row>
    <row r="24" spans="2:14" ht="15" thickBot="1" x14ac:dyDescent="0.4">
      <c r="B24" s="388" t="s">
        <v>125</v>
      </c>
      <c r="C24" s="389"/>
      <c r="D24" s="389"/>
      <c r="E24" s="390"/>
      <c r="H24" s="387"/>
      <c r="I24" s="108">
        <f>SUM(I18:I23)</f>
        <v>28175.607400000001</v>
      </c>
      <c r="J24" s="92"/>
      <c r="K24" s="109">
        <f>SUM(K18:K23)</f>
        <v>33208770.906084999</v>
      </c>
      <c r="L24" s="93"/>
    </row>
    <row r="25" spans="2:14" ht="15" thickTop="1" x14ac:dyDescent="0.35">
      <c r="B25" s="388" t="s">
        <v>126</v>
      </c>
      <c r="C25" s="389"/>
      <c r="D25" s="389"/>
      <c r="E25" s="390"/>
      <c r="I25" s="56"/>
      <c r="J25" s="115"/>
      <c r="L25" s="93"/>
    </row>
    <row r="26" spans="2:14" ht="15" customHeight="1" x14ac:dyDescent="0.35">
      <c r="B26" s="391" t="s">
        <v>127</v>
      </c>
      <c r="C26" s="392"/>
      <c r="D26" s="392"/>
      <c r="E26" s="393"/>
      <c r="H26" s="394" t="s">
        <v>47</v>
      </c>
      <c r="I26" s="116">
        <v>981664.58790000004</v>
      </c>
      <c r="J26" s="233">
        <v>8.83</v>
      </c>
      <c r="K26" s="118">
        <f t="shared" ref="K26:K31" si="1">+I26*J26</f>
        <v>8668098.3111570012</v>
      </c>
      <c r="L26" s="93">
        <v>2005</v>
      </c>
    </row>
    <row r="27" spans="2:14" ht="15" thickBot="1" x14ac:dyDescent="0.4">
      <c r="B27" s="396" t="s">
        <v>124</v>
      </c>
      <c r="C27" s="397"/>
      <c r="D27" s="397"/>
      <c r="E27" s="398"/>
      <c r="H27" s="395"/>
      <c r="I27" s="116">
        <v>649.01480000000004</v>
      </c>
      <c r="J27" s="233">
        <v>14.93</v>
      </c>
      <c r="K27" s="118">
        <f t="shared" si="1"/>
        <v>9689.7909639999998</v>
      </c>
      <c r="L27" s="93">
        <v>2008</v>
      </c>
    </row>
    <row r="28" spans="2:14" ht="15" thickBot="1" x14ac:dyDescent="0.4">
      <c r="B28" s="93"/>
      <c r="C28" s="93"/>
      <c r="D28" s="93"/>
      <c r="E28" s="93"/>
      <c r="H28" s="395"/>
      <c r="I28" s="122">
        <f>213803.7135</f>
        <v>213803.71350000001</v>
      </c>
      <c r="J28" s="233">
        <v>11.08</v>
      </c>
      <c r="K28" s="118">
        <f t="shared" si="1"/>
        <v>2368945.1455800002</v>
      </c>
      <c r="L28" s="93">
        <v>2009</v>
      </c>
    </row>
    <row r="29" spans="2:14" ht="15" thickBot="1" x14ac:dyDescent="0.4">
      <c r="B29" s="119" t="s">
        <v>48</v>
      </c>
      <c r="C29" s="120" t="s">
        <v>165</v>
      </c>
      <c r="D29" s="120"/>
      <c r="E29" s="121">
        <v>31023830.890000001</v>
      </c>
      <c r="H29" s="395"/>
      <c r="I29" s="122">
        <f>1249196.5802-72195.341</f>
        <v>1177001.2392</v>
      </c>
      <c r="J29" s="233">
        <v>14</v>
      </c>
      <c r="K29" s="118">
        <f t="shared" si="1"/>
        <v>16478017.3488</v>
      </c>
      <c r="L29" s="93">
        <v>2016</v>
      </c>
    </row>
    <row r="30" spans="2:14" x14ac:dyDescent="0.35">
      <c r="B30" s="93"/>
      <c r="C30" s="93"/>
      <c r="D30" s="93"/>
      <c r="E30" s="93" t="s">
        <v>164</v>
      </c>
      <c r="H30" s="395"/>
      <c r="I30" s="122">
        <v>1047351.461</v>
      </c>
      <c r="J30" s="233">
        <v>15.44</v>
      </c>
      <c r="K30" s="118">
        <f t="shared" si="1"/>
        <v>16171106.557839999</v>
      </c>
      <c r="L30" s="93">
        <v>2016</v>
      </c>
    </row>
    <row r="31" spans="2:14" ht="15" thickBot="1" x14ac:dyDescent="0.4">
      <c r="B31" s="93"/>
      <c r="C31" s="93"/>
      <c r="D31" s="93"/>
      <c r="E31" s="123"/>
      <c r="H31" s="395"/>
      <c r="I31" s="122">
        <v>528051.6</v>
      </c>
      <c r="J31" s="233">
        <v>17.925000000000001</v>
      </c>
      <c r="K31" s="118">
        <f t="shared" si="1"/>
        <v>9465324.9299999997</v>
      </c>
      <c r="L31" s="323" t="s">
        <v>113</v>
      </c>
      <c r="N31" s="318"/>
    </row>
    <row r="32" spans="2:14" ht="15.75" customHeight="1" thickBot="1" x14ac:dyDescent="0.4">
      <c r="B32" s="399" t="s">
        <v>49</v>
      </c>
      <c r="C32" s="400"/>
      <c r="D32" s="400"/>
      <c r="E32" s="401"/>
      <c r="H32" s="395"/>
      <c r="I32" s="125">
        <f>SUM(I26:I31)</f>
        <v>3948521.6164000002</v>
      </c>
      <c r="J32" s="126"/>
      <c r="K32" s="127">
        <f>SUM(K26:K31)</f>
        <v>53161182.084340997</v>
      </c>
      <c r="L32" s="323"/>
      <c r="N32" s="194"/>
    </row>
    <row r="33" spans="2:14" ht="15" thickTop="1" x14ac:dyDescent="0.35">
      <c r="B33" s="402"/>
      <c r="C33" s="403"/>
      <c r="D33" s="403"/>
      <c r="E33" s="404"/>
      <c r="I33" s="131"/>
      <c r="K33" s="132"/>
      <c r="L33" s="323"/>
    </row>
    <row r="34" spans="2:14" ht="15" thickBot="1" x14ac:dyDescent="0.4">
      <c r="B34" s="405"/>
      <c r="C34" s="406"/>
      <c r="D34" s="406"/>
      <c r="E34" s="407"/>
      <c r="H34" s="408" t="s">
        <v>51</v>
      </c>
      <c r="I34" s="134">
        <v>176.6515</v>
      </c>
      <c r="J34" s="135">
        <v>987</v>
      </c>
      <c r="K34" s="136">
        <f>+I34*J34</f>
        <v>174355.03049999999</v>
      </c>
      <c r="L34" s="323" t="s">
        <v>113</v>
      </c>
    </row>
    <row r="35" spans="2:14" x14ac:dyDescent="0.35">
      <c r="B35" s="350" t="s">
        <v>35</v>
      </c>
      <c r="C35" s="351"/>
      <c r="D35" s="351"/>
      <c r="E35" s="352"/>
      <c r="H35" s="409"/>
      <c r="I35" s="137">
        <v>0</v>
      </c>
      <c r="J35" s="135"/>
      <c r="K35" s="136">
        <f>+I35*J35</f>
        <v>0</v>
      </c>
      <c r="L35" s="323"/>
    </row>
    <row r="36" spans="2:14" x14ac:dyDescent="0.35">
      <c r="B36" s="353"/>
      <c r="C36" s="354"/>
      <c r="D36" s="354"/>
      <c r="E36" s="355"/>
      <c r="H36" s="409"/>
      <c r="I36" s="137">
        <v>0</v>
      </c>
      <c r="J36" s="135"/>
      <c r="K36" s="136">
        <f>+I36*J36</f>
        <v>0</v>
      </c>
      <c r="L36" s="323"/>
    </row>
    <row r="37" spans="2:14" ht="15" thickBot="1" x14ac:dyDescent="0.4">
      <c r="B37" s="356"/>
      <c r="C37" s="357"/>
      <c r="D37" s="357"/>
      <c r="E37" s="358"/>
      <c r="H37" s="409"/>
      <c r="I37" s="138"/>
      <c r="J37" s="139"/>
      <c r="K37" s="136"/>
      <c r="L37" s="323"/>
    </row>
    <row r="38" spans="2:14" x14ac:dyDescent="0.35">
      <c r="H38" s="409"/>
      <c r="I38" s="138"/>
      <c r="J38" s="135"/>
      <c r="K38" s="136"/>
      <c r="L38" s="323"/>
    </row>
    <row r="39" spans="2:14" ht="15" thickBot="1" x14ac:dyDescent="0.4">
      <c r="B39" s="223"/>
      <c r="C39" s="223"/>
      <c r="D39" s="223"/>
      <c r="E39" s="223"/>
      <c r="H39" s="410"/>
      <c r="I39" s="140">
        <f>SUM(I34:I38)</f>
        <v>176.6515</v>
      </c>
      <c r="J39" s="136"/>
      <c r="K39" s="141">
        <f>SUM(K34:K38)</f>
        <v>174355.03049999999</v>
      </c>
      <c r="L39" s="323"/>
    </row>
    <row r="40" spans="2:14" ht="15" thickTop="1" x14ac:dyDescent="0.35">
      <c r="B40" s="223"/>
      <c r="C40" s="223"/>
      <c r="D40" s="223"/>
      <c r="E40" s="223"/>
      <c r="F40" s="224"/>
      <c r="I40" s="131"/>
      <c r="J40" s="145"/>
      <c r="K40" s="132"/>
      <c r="L40" s="323"/>
    </row>
    <row r="41" spans="2:14" x14ac:dyDescent="0.35">
      <c r="B41" s="223"/>
      <c r="C41" s="223"/>
      <c r="D41" s="223"/>
      <c r="E41" s="223"/>
      <c r="F41" s="224"/>
      <c r="H41" s="359" t="s">
        <v>53</v>
      </c>
      <c r="I41" s="322">
        <v>517.16899999999998</v>
      </c>
      <c r="J41" s="149">
        <v>1267</v>
      </c>
      <c r="K41" s="148">
        <f>+I41*J41</f>
        <v>655253.12300000002</v>
      </c>
      <c r="L41" s="323" t="s">
        <v>42</v>
      </c>
    </row>
    <row r="42" spans="2:14" x14ac:dyDescent="0.35">
      <c r="B42" s="223"/>
      <c r="C42" s="223"/>
      <c r="D42" s="223"/>
      <c r="E42" s="223"/>
      <c r="F42" s="224"/>
      <c r="H42" s="360"/>
      <c r="I42" s="146">
        <v>-228.08080000000001</v>
      </c>
      <c r="J42" s="149">
        <v>1267</v>
      </c>
      <c r="K42" s="148">
        <f>+I42*J42</f>
        <v>-288978.37359999999</v>
      </c>
      <c r="L42" s="323"/>
      <c r="N42" s="321"/>
    </row>
    <row r="43" spans="2:14" x14ac:dyDescent="0.35">
      <c r="B43" s="223"/>
      <c r="C43" s="223"/>
      <c r="D43" s="223"/>
      <c r="E43" s="223"/>
      <c r="F43" s="224"/>
      <c r="H43" s="360"/>
      <c r="I43" s="319"/>
      <c r="J43" s="151"/>
      <c r="K43" s="148">
        <f>+I43*J43</f>
        <v>0</v>
      </c>
      <c r="L43" s="323"/>
      <c r="N43" s="321"/>
    </row>
    <row r="44" spans="2:14" x14ac:dyDescent="0.35">
      <c r="B44" s="223"/>
      <c r="C44" s="223"/>
      <c r="D44" s="223"/>
      <c r="E44" s="223"/>
      <c r="F44" s="224"/>
      <c r="H44" s="360"/>
      <c r="I44" s="152">
        <v>0</v>
      </c>
      <c r="J44" s="151"/>
      <c r="K44" s="148">
        <f>+I44*J44</f>
        <v>0</v>
      </c>
      <c r="L44" s="323"/>
      <c r="N44" s="321"/>
    </row>
    <row r="45" spans="2:14" ht="15" thickBot="1" x14ac:dyDescent="0.4">
      <c r="B45" s="223"/>
      <c r="C45" s="223"/>
      <c r="D45" s="223"/>
      <c r="E45" s="223"/>
      <c r="H45" s="361"/>
      <c r="I45" s="320">
        <f>SUM(I41:I44)</f>
        <v>289.08819999999997</v>
      </c>
      <c r="J45" s="148"/>
      <c r="K45" s="154">
        <f>SUM(K41:K44)</f>
        <v>366274.74940000003</v>
      </c>
      <c r="L45" s="323"/>
      <c r="N45" s="321"/>
    </row>
    <row r="46" spans="2:14" ht="15" thickTop="1" x14ac:dyDescent="0.35">
      <c r="B46" s="223"/>
      <c r="C46" s="223"/>
      <c r="D46" s="223"/>
      <c r="E46" s="223"/>
      <c r="I46" s="131"/>
      <c r="J46" s="132"/>
      <c r="K46" s="132"/>
      <c r="L46" s="323"/>
    </row>
    <row r="47" spans="2:14" x14ac:dyDescent="0.35">
      <c r="B47" s="223"/>
      <c r="C47" s="223"/>
      <c r="D47" s="223"/>
      <c r="E47" s="223"/>
      <c r="H47" s="362" t="s">
        <v>55</v>
      </c>
      <c r="I47" s="158">
        <v>72.56</v>
      </c>
      <c r="J47" s="160">
        <v>2300</v>
      </c>
      <c r="K47" s="160">
        <f>+I47*J47</f>
        <v>166888</v>
      </c>
      <c r="L47" s="323" t="s">
        <v>42</v>
      </c>
    </row>
    <row r="48" spans="2:14" x14ac:dyDescent="0.35">
      <c r="B48" s="223"/>
      <c r="C48" s="223"/>
      <c r="D48" s="223"/>
      <c r="E48" s="223"/>
      <c r="H48" s="363"/>
      <c r="I48" s="158">
        <v>-72.56</v>
      </c>
      <c r="J48" s="160">
        <v>2300</v>
      </c>
      <c r="K48" s="160">
        <f>+I48*J48</f>
        <v>-166888</v>
      </c>
      <c r="L48" s="323" t="s">
        <v>42</v>
      </c>
      <c r="N48" s="194"/>
    </row>
    <row r="49" spans="1:27" x14ac:dyDescent="0.35">
      <c r="B49" s="223"/>
      <c r="C49" s="223"/>
      <c r="D49" s="223"/>
      <c r="E49" s="223"/>
      <c r="H49" s="363"/>
      <c r="I49" s="158">
        <v>-1.6140000000000001</v>
      </c>
      <c r="J49" s="160">
        <v>6050</v>
      </c>
      <c r="K49" s="160">
        <f>+I49*J49</f>
        <v>-9764.7000000000007</v>
      </c>
      <c r="L49" s="323" t="s">
        <v>113</v>
      </c>
    </row>
    <row r="50" spans="1:27" ht="15" thickBot="1" x14ac:dyDescent="0.4">
      <c r="B50" s="223"/>
      <c r="C50" s="223"/>
      <c r="D50" s="223"/>
      <c r="E50" s="223"/>
      <c r="H50" s="364"/>
      <c r="I50" s="164">
        <f>SUM(I47:I49)</f>
        <v>-1.6140000000000001</v>
      </c>
      <c r="J50" s="160"/>
      <c r="K50" s="165">
        <f>SUM(K47:K49)</f>
        <v>-9764.7000000000007</v>
      </c>
      <c r="L50" s="323"/>
    </row>
    <row r="51" spans="1:27" ht="15" thickTop="1" x14ac:dyDescent="0.35">
      <c r="B51" s="223"/>
      <c r="C51" s="223"/>
      <c r="D51" s="223"/>
      <c r="E51" s="223"/>
      <c r="I51" s="170"/>
      <c r="J51" s="171"/>
      <c r="K51" s="68">
        <f>+K13</f>
        <v>333954.087</v>
      </c>
      <c r="L51" s="69" t="s">
        <v>26</v>
      </c>
    </row>
    <row r="52" spans="1:27" ht="15" thickBot="1" x14ac:dyDescent="0.4">
      <c r="B52" s="223"/>
      <c r="C52" s="223"/>
      <c r="D52" s="223"/>
      <c r="E52" s="223"/>
      <c r="I52" s="56" t="s">
        <v>30</v>
      </c>
      <c r="J52" s="132"/>
      <c r="K52" s="84">
        <f>+K24+K32+K39+K45+K51+K50</f>
        <v>87234772.157325998</v>
      </c>
    </row>
    <row r="53" spans="1:27" ht="15" thickTop="1" x14ac:dyDescent="0.35">
      <c r="B53" s="223"/>
      <c r="C53" s="223"/>
      <c r="D53" s="223"/>
      <c r="E53" s="223"/>
      <c r="J53" s="132"/>
      <c r="K53" s="132"/>
    </row>
    <row r="54" spans="1:27" ht="15" thickBot="1" x14ac:dyDescent="0.4">
      <c r="B54" s="223"/>
      <c r="C54" s="223"/>
      <c r="D54" s="223"/>
      <c r="E54" s="223"/>
      <c r="I54" s="56" t="s">
        <v>190</v>
      </c>
      <c r="J54" s="132"/>
      <c r="K54" s="177">
        <f>+K15-K52</f>
        <v>70079849.422458813</v>
      </c>
    </row>
    <row r="55" spans="1:27" ht="15" thickTop="1" x14ac:dyDescent="0.35">
      <c r="B55" s="223"/>
      <c r="C55" s="223"/>
      <c r="D55" s="223"/>
      <c r="E55" s="223"/>
      <c r="I55" s="56"/>
      <c r="J55" s="132"/>
      <c r="K55" s="289"/>
    </row>
    <row r="56" spans="1:27" x14ac:dyDescent="0.35">
      <c r="B56" s="223"/>
      <c r="C56" s="223"/>
      <c r="D56" s="223"/>
      <c r="E56" s="223"/>
      <c r="I56" s="56"/>
      <c r="J56" s="132"/>
      <c r="K56" s="289"/>
    </row>
    <row r="57" spans="1:27" x14ac:dyDescent="0.35">
      <c r="B57" s="223"/>
      <c r="C57" s="223"/>
      <c r="D57" s="223"/>
      <c r="E57" s="223"/>
      <c r="J57" s="178"/>
      <c r="K57" s="179"/>
    </row>
    <row r="58" spans="1:27" x14ac:dyDescent="0.35">
      <c r="B58" s="223"/>
      <c r="C58" s="223"/>
      <c r="D58" s="223"/>
      <c r="E58" s="223"/>
      <c r="H58" s="224"/>
      <c r="I58" s="180" t="s">
        <v>109</v>
      </c>
      <c r="J58" s="178"/>
      <c r="K58" s="181">
        <v>30081777.469999999</v>
      </c>
      <c r="R58" s="365" t="s">
        <v>175</v>
      </c>
      <c r="S58" s="366"/>
      <c r="T58" s="366"/>
      <c r="U58" s="366"/>
      <c r="V58" s="366"/>
      <c r="W58" s="366"/>
      <c r="X58" s="366"/>
      <c r="Y58" s="366"/>
      <c r="Z58" s="366"/>
      <c r="AA58" s="367"/>
    </row>
    <row r="59" spans="1:27" x14ac:dyDescent="0.35">
      <c r="B59" s="223"/>
      <c r="C59" s="223"/>
      <c r="D59" s="223"/>
      <c r="E59" s="223"/>
      <c r="H59" s="224"/>
      <c r="I59" s="2" t="s">
        <v>110</v>
      </c>
      <c r="J59" s="56"/>
      <c r="K59" s="174">
        <f>+K54</f>
        <v>70079849.422458813</v>
      </c>
    </row>
    <row r="60" spans="1:27" x14ac:dyDescent="0.35">
      <c r="B60" s="223"/>
      <c r="C60" s="223"/>
      <c r="D60" s="223"/>
      <c r="E60" s="223"/>
      <c r="I60" s="2" t="s">
        <v>60</v>
      </c>
      <c r="J60" s="56"/>
      <c r="K60" s="183">
        <f>+K58-K59</f>
        <v>-39998071.952458814</v>
      </c>
    </row>
    <row r="61" spans="1:27" s="2" customFormat="1" x14ac:dyDescent="0.35">
      <c r="A61"/>
      <c r="B61" s="223"/>
      <c r="C61" s="223"/>
      <c r="D61" s="223"/>
      <c r="E61" s="223"/>
      <c r="F61" s="1"/>
      <c r="G61" s="3"/>
      <c r="H61" s="224"/>
      <c r="I61" s="2" t="s">
        <v>111</v>
      </c>
      <c r="J61" s="56"/>
      <c r="K61" s="184">
        <f>E29</f>
        <v>31023830.890000001</v>
      </c>
      <c r="L61" s="2" t="s">
        <v>181</v>
      </c>
      <c r="M61" s="1"/>
    </row>
    <row r="62" spans="1:27" s="2" customFormat="1" ht="15" thickBot="1" x14ac:dyDescent="0.4">
      <c r="A62"/>
      <c r="B62" s="223"/>
      <c r="C62" s="223"/>
      <c r="D62" s="223"/>
      <c r="E62" s="223"/>
      <c r="F62" s="1"/>
      <c r="G62" s="3"/>
      <c r="H62" s="224"/>
      <c r="I62" s="2" t="s">
        <v>112</v>
      </c>
      <c r="J62" s="56"/>
      <c r="K62" s="177">
        <f>+K60+K61</f>
        <v>-8974241.0624588132</v>
      </c>
      <c r="M62" s="1"/>
    </row>
    <row r="63" spans="1:27" s="2" customFormat="1" ht="15" thickTop="1" x14ac:dyDescent="0.35">
      <c r="A63"/>
      <c r="B63" s="223"/>
      <c r="C63" s="223"/>
      <c r="D63" s="223"/>
      <c r="E63" s="223"/>
      <c r="F63" s="1"/>
      <c r="G63" s="3"/>
      <c r="H63" s="224"/>
      <c r="I63" s="56"/>
      <c r="J63" s="56"/>
      <c r="M63" s="1"/>
    </row>
    <row r="64" spans="1:27" s="2" customFormat="1" ht="15" thickBot="1" x14ac:dyDescent="0.4">
      <c r="B64" s="223"/>
      <c r="C64" s="223"/>
      <c r="D64" s="223"/>
      <c r="E64" s="223"/>
      <c r="F64" s="1"/>
      <c r="G64" s="3"/>
      <c r="H64" s="238"/>
      <c r="I64" s="56"/>
      <c r="J64" s="56"/>
      <c r="M64" s="1"/>
    </row>
    <row r="65" spans="1:13" s="2" customFormat="1" ht="15" thickBot="1" x14ac:dyDescent="0.4">
      <c r="B65" s="223"/>
      <c r="C65" s="223"/>
      <c r="D65" s="223"/>
      <c r="E65" s="223"/>
      <c r="F65" s="1"/>
      <c r="G65" s="3"/>
      <c r="H65" s="238"/>
      <c r="I65" s="368" t="s">
        <v>65</v>
      </c>
      <c r="J65" s="369"/>
      <c r="K65" s="369"/>
      <c r="L65" s="370"/>
      <c r="M65" s="1"/>
    </row>
    <row r="66" spans="1:13" s="2" customFormat="1" ht="15" thickBot="1" x14ac:dyDescent="0.4">
      <c r="B66" s="223"/>
      <c r="C66" s="223"/>
      <c r="D66" s="223"/>
      <c r="E66" s="223"/>
      <c r="F66" s="1"/>
      <c r="G66" s="3"/>
      <c r="H66" s="238"/>
      <c r="I66" s="56"/>
      <c r="J66" s="56"/>
      <c r="M66" s="1"/>
    </row>
    <row r="67" spans="1:13" s="2" customFormat="1" ht="15" thickBot="1" x14ac:dyDescent="0.4">
      <c r="B67" s="223"/>
      <c r="C67" s="223"/>
      <c r="D67" s="223"/>
      <c r="E67" s="223"/>
      <c r="F67" s="1"/>
      <c r="G67" s="3"/>
      <c r="H67" s="238"/>
      <c r="I67" s="56"/>
      <c r="J67" s="56"/>
      <c r="L67" s="188" t="s">
        <v>66</v>
      </c>
      <c r="M67" s="1"/>
    </row>
    <row r="68" spans="1:13" x14ac:dyDescent="0.35">
      <c r="A68" s="2"/>
      <c r="B68" s="223"/>
      <c r="C68" s="223"/>
      <c r="D68" s="223"/>
      <c r="E68" s="223"/>
      <c r="H68" s="186"/>
      <c r="I68" s="56" t="s">
        <v>67</v>
      </c>
      <c r="J68" s="56"/>
      <c r="K68" s="30">
        <f>K62</f>
        <v>-8974241.0624588132</v>
      </c>
    </row>
    <row r="69" spans="1:13" x14ac:dyDescent="0.35">
      <c r="A69" s="2"/>
      <c r="B69" s="223"/>
      <c r="C69" s="223"/>
      <c r="D69" s="223"/>
      <c r="E69" s="223"/>
      <c r="H69" s="186"/>
      <c r="I69" s="56" t="s">
        <v>68</v>
      </c>
      <c r="J69" s="56"/>
      <c r="K69" s="189">
        <v>0</v>
      </c>
    </row>
    <row r="70" spans="1:13" ht="15" thickBot="1" x14ac:dyDescent="0.4">
      <c r="A70" s="2"/>
      <c r="B70" s="223"/>
      <c r="C70" s="223"/>
      <c r="D70" s="223"/>
      <c r="E70" s="223"/>
      <c r="H70" s="186"/>
      <c r="I70" s="56" t="s">
        <v>69</v>
      </c>
      <c r="J70" s="56"/>
      <c r="K70" s="192">
        <f>K68+K69</f>
        <v>-8974241.0624588132</v>
      </c>
    </row>
    <row r="71" spans="1:13" s="2" customFormat="1" x14ac:dyDescent="0.35">
      <c r="A71"/>
      <c r="B71" s="223"/>
      <c r="C71" s="223"/>
      <c r="D71" s="223"/>
      <c r="E71" s="223"/>
      <c r="F71" s="1"/>
      <c r="G71" s="3"/>
      <c r="H71" s="1"/>
      <c r="I71" s="56"/>
      <c r="J71" s="56"/>
      <c r="M71" s="1"/>
    </row>
    <row r="72" spans="1:13" s="2" customFormat="1" x14ac:dyDescent="0.35">
      <c r="A72"/>
      <c r="B72" s="223"/>
      <c r="C72" s="223"/>
      <c r="D72" s="223"/>
      <c r="E72" s="223"/>
      <c r="F72" s="1"/>
      <c r="G72" s="3"/>
      <c r="H72" s="1"/>
      <c r="I72" s="2" t="s">
        <v>70</v>
      </c>
      <c r="M72" s="1"/>
    </row>
    <row r="73" spans="1:13" s="2" customFormat="1" x14ac:dyDescent="0.35">
      <c r="A73"/>
      <c r="B73" s="223"/>
      <c r="C73" s="223"/>
      <c r="D73" s="223"/>
      <c r="E73" s="223"/>
      <c r="F73" s="1"/>
      <c r="G73" s="3"/>
      <c r="H73" s="1"/>
      <c r="I73" s="2" t="s">
        <v>72</v>
      </c>
      <c r="K73" s="189">
        <v>0</v>
      </c>
      <c r="M73" s="1"/>
    </row>
    <row r="74" spans="1:13" x14ac:dyDescent="0.35">
      <c r="A74" s="2"/>
      <c r="B74" s="223"/>
      <c r="C74" s="223"/>
      <c r="D74" s="223"/>
      <c r="E74" s="223"/>
      <c r="H74" s="186"/>
      <c r="I74" s="2" t="s">
        <v>74</v>
      </c>
      <c r="K74" s="189">
        <f>(1425.51+18951.49)/2</f>
        <v>10188.5</v>
      </c>
    </row>
    <row r="75" spans="1:13" ht="15" thickBot="1" x14ac:dyDescent="0.4">
      <c r="A75" s="2"/>
      <c r="B75" s="223"/>
      <c r="C75" s="223"/>
      <c r="D75" s="223"/>
      <c r="E75" s="223"/>
      <c r="H75" s="186"/>
      <c r="I75" s="2" t="s">
        <v>75</v>
      </c>
      <c r="K75" s="192">
        <f>SUM(K73:K74)</f>
        <v>10188.5</v>
      </c>
    </row>
    <row r="76" spans="1:13" x14ac:dyDescent="0.35">
      <c r="A76" s="2"/>
      <c r="B76" s="223"/>
      <c r="C76" s="223"/>
      <c r="D76" s="223"/>
      <c r="E76" s="223"/>
      <c r="H76" s="186"/>
      <c r="K76" s="56"/>
    </row>
    <row r="77" spans="1:13" x14ac:dyDescent="0.35">
      <c r="B77" s="223"/>
      <c r="C77" s="223"/>
      <c r="D77" s="223"/>
      <c r="E77" s="223"/>
      <c r="I77" s="2" t="s">
        <v>76</v>
      </c>
    </row>
    <row r="78" spans="1:13" x14ac:dyDescent="0.35">
      <c r="B78" s="223"/>
      <c r="C78" s="223"/>
      <c r="D78" s="223"/>
      <c r="E78" s="223"/>
      <c r="I78" s="2" t="s">
        <v>77</v>
      </c>
      <c r="K78" s="189">
        <v>0</v>
      </c>
      <c r="L78" s="2" t="s">
        <v>106</v>
      </c>
    </row>
    <row r="79" spans="1:13" x14ac:dyDescent="0.35">
      <c r="B79" s="223"/>
      <c r="C79" s="223"/>
      <c r="D79" s="223"/>
      <c r="E79" s="223"/>
      <c r="I79" s="2" t="s">
        <v>79</v>
      </c>
      <c r="K79" s="189">
        <v>0</v>
      </c>
      <c r="L79" s="2" t="s">
        <v>107</v>
      </c>
    </row>
    <row r="80" spans="1:13" x14ac:dyDescent="0.35">
      <c r="B80" s="223"/>
      <c r="C80" s="223"/>
      <c r="D80" s="223"/>
      <c r="E80" s="223"/>
      <c r="I80" s="2" t="s">
        <v>81</v>
      </c>
      <c r="K80" s="189">
        <v>0</v>
      </c>
      <c r="L80" s="2" t="s">
        <v>82</v>
      </c>
    </row>
    <row r="81" spans="2:12" x14ac:dyDescent="0.35">
      <c r="B81" s="223"/>
      <c r="C81" s="223"/>
      <c r="D81" s="223"/>
      <c r="E81" s="223"/>
      <c r="H81" s="1" t="s">
        <v>122</v>
      </c>
      <c r="I81" s="2" t="s">
        <v>83</v>
      </c>
      <c r="K81" s="189">
        <v>0</v>
      </c>
    </row>
    <row r="82" spans="2:12" x14ac:dyDescent="0.35">
      <c r="B82" s="223"/>
      <c r="C82" s="223"/>
      <c r="D82" s="223"/>
      <c r="E82" s="223"/>
      <c r="I82" s="2" t="s">
        <v>84</v>
      </c>
      <c r="K82" s="190">
        <f>K98</f>
        <v>-3752183.5</v>
      </c>
      <c r="L82" s="190"/>
    </row>
    <row r="83" spans="2:12" ht="15" thickBot="1" x14ac:dyDescent="0.4">
      <c r="B83" s="223"/>
      <c r="C83" s="223"/>
      <c r="D83" s="223"/>
      <c r="E83" s="223"/>
      <c r="I83" s="2" t="s">
        <v>85</v>
      </c>
      <c r="K83" s="192">
        <f>SUM(K78:K82)</f>
        <v>-3752183.5</v>
      </c>
      <c r="L83" s="190"/>
    </row>
    <row r="84" spans="2:12" x14ac:dyDescent="0.35">
      <c r="B84" s="223"/>
      <c r="C84" s="223"/>
      <c r="D84" s="223"/>
      <c r="E84" s="223"/>
      <c r="L84" s="190"/>
    </row>
    <row r="85" spans="2:12" x14ac:dyDescent="0.35">
      <c r="B85" s="223"/>
      <c r="C85" s="223"/>
      <c r="D85" s="223"/>
      <c r="E85" s="223"/>
      <c r="I85" s="2" t="s">
        <v>86</v>
      </c>
      <c r="K85" s="195">
        <f>K70+K75+K83</f>
        <v>-12716236.062458813</v>
      </c>
    </row>
    <row r="86" spans="2:12" x14ac:dyDescent="0.35">
      <c r="B86" s="223"/>
      <c r="C86" s="223"/>
      <c r="D86" s="223"/>
      <c r="E86" s="223"/>
      <c r="K86" s="196"/>
    </row>
    <row r="87" spans="2:12" x14ac:dyDescent="0.35">
      <c r="B87" s="223"/>
      <c r="C87" s="223"/>
      <c r="D87" s="223"/>
      <c r="E87" s="223"/>
      <c r="I87" s="2" t="s">
        <v>87</v>
      </c>
      <c r="K87" s="195">
        <v>0</v>
      </c>
    </row>
    <row r="88" spans="2:12" x14ac:dyDescent="0.35">
      <c r="B88" s="223"/>
      <c r="C88" s="223"/>
      <c r="D88" s="223"/>
      <c r="E88" s="223"/>
    </row>
    <row r="89" spans="2:12" ht="15" thickBot="1" x14ac:dyDescent="0.4">
      <c r="B89" s="223"/>
      <c r="C89" s="223"/>
      <c r="D89" s="223"/>
      <c r="E89" s="223"/>
      <c r="I89" s="2" t="s">
        <v>88</v>
      </c>
      <c r="K89" s="197">
        <f>K85-K87</f>
        <v>-12716236.062458813</v>
      </c>
    </row>
    <row r="90" spans="2:12" ht="21" customHeight="1" thickTop="1" x14ac:dyDescent="0.35">
      <c r="B90" s="223"/>
      <c r="C90" s="223"/>
      <c r="D90" s="223"/>
      <c r="E90" s="223"/>
    </row>
    <row r="91" spans="2:12" ht="21.75" customHeight="1" x14ac:dyDescent="0.35">
      <c r="B91" s="223"/>
      <c r="C91" s="223"/>
      <c r="D91" s="223"/>
      <c r="E91" s="223"/>
    </row>
    <row r="92" spans="2:12" ht="15" thickBot="1" x14ac:dyDescent="0.4">
      <c r="B92" s="223"/>
      <c r="C92" s="223"/>
      <c r="D92" s="223"/>
      <c r="E92" s="223"/>
      <c r="I92" s="371" t="s">
        <v>31</v>
      </c>
      <c r="J92" s="371"/>
    </row>
    <row r="93" spans="2:12" x14ac:dyDescent="0.35">
      <c r="B93" s="223"/>
      <c r="C93" s="223"/>
      <c r="D93" s="223"/>
      <c r="E93" s="223"/>
      <c r="H93" s="374" t="s">
        <v>89</v>
      </c>
      <c r="J93" s="314" t="s">
        <v>33</v>
      </c>
      <c r="K93" s="199">
        <f>C18</f>
        <v>-3377592.5</v>
      </c>
    </row>
    <row r="94" spans="2:12" x14ac:dyDescent="0.35">
      <c r="B94" s="223"/>
      <c r="C94" s="223"/>
      <c r="D94" s="223"/>
      <c r="E94" s="223"/>
      <c r="H94" s="375"/>
      <c r="I94" s="314" t="s">
        <v>120</v>
      </c>
      <c r="J94" s="314" t="s">
        <v>183</v>
      </c>
      <c r="K94" s="199">
        <v>-35945</v>
      </c>
      <c r="L94" s="2" t="s">
        <v>37</v>
      </c>
    </row>
    <row r="95" spans="2:12" ht="15" thickBot="1" x14ac:dyDescent="0.4">
      <c r="B95" s="223"/>
      <c r="C95" s="223"/>
      <c r="D95" s="223"/>
      <c r="E95" s="223"/>
      <c r="H95" s="376"/>
      <c r="I95" s="314" t="s">
        <v>120</v>
      </c>
      <c r="J95" s="314" t="s">
        <v>184</v>
      </c>
      <c r="K95" s="199">
        <v>-5546</v>
      </c>
      <c r="L95" s="2" t="s">
        <v>37</v>
      </c>
    </row>
    <row r="96" spans="2:12" x14ac:dyDescent="0.35">
      <c r="B96" s="223"/>
      <c r="C96" s="223"/>
      <c r="D96" s="223"/>
      <c r="E96" s="223"/>
      <c r="I96" s="316" t="s">
        <v>171</v>
      </c>
      <c r="J96" s="314" t="s">
        <v>187</v>
      </c>
      <c r="K96" s="199">
        <v>-140510</v>
      </c>
      <c r="L96" s="2" t="s">
        <v>186</v>
      </c>
    </row>
    <row r="97" spans="1:27" x14ac:dyDescent="0.35">
      <c r="B97" s="223"/>
      <c r="C97" s="223"/>
      <c r="D97" s="223"/>
      <c r="E97" s="223"/>
      <c r="I97" s="316" t="s">
        <v>171</v>
      </c>
      <c r="J97" s="314" t="s">
        <v>103</v>
      </c>
      <c r="K97" s="199">
        <v>-192590</v>
      </c>
      <c r="L97" s="2" t="s">
        <v>37</v>
      </c>
    </row>
    <row r="98" spans="1:27" x14ac:dyDescent="0.35">
      <c r="B98" s="223"/>
      <c r="C98" s="223"/>
      <c r="D98" s="223"/>
      <c r="E98" s="223"/>
      <c r="J98" s="314" t="s">
        <v>41</v>
      </c>
      <c r="K98" s="200">
        <f>SUM(K93:K97)</f>
        <v>-3752183.5</v>
      </c>
      <c r="L98" s="2" t="str">
        <f>B3</f>
        <v>Date as of : 12.31.2020</v>
      </c>
    </row>
    <row r="99" spans="1:27" x14ac:dyDescent="0.35">
      <c r="B99" s="223"/>
      <c r="C99" s="223"/>
      <c r="D99" s="223"/>
      <c r="E99" s="223"/>
    </row>
    <row r="100" spans="1:27" x14ac:dyDescent="0.35">
      <c r="B100" s="223"/>
      <c r="C100" s="223"/>
      <c r="D100" s="223"/>
      <c r="E100" s="223"/>
    </row>
    <row r="101" spans="1:27" ht="15" thickBot="1" x14ac:dyDescent="0.4">
      <c r="B101" s="223"/>
      <c r="C101" s="223"/>
      <c r="D101" s="223"/>
      <c r="E101" s="223"/>
    </row>
    <row r="102" spans="1:27" ht="15" thickBot="1" x14ac:dyDescent="0.4">
      <c r="B102" s="223"/>
      <c r="C102" s="223"/>
      <c r="D102" s="223"/>
      <c r="E102" s="223"/>
      <c r="I102" s="333" t="s">
        <v>123</v>
      </c>
      <c r="J102" s="334"/>
    </row>
    <row r="103" spans="1:27" x14ac:dyDescent="0.35">
      <c r="B103" s="223"/>
      <c r="C103" s="223"/>
      <c r="D103" s="223"/>
      <c r="E103" s="223"/>
    </row>
    <row r="104" spans="1:27" x14ac:dyDescent="0.35">
      <c r="B104" s="223"/>
      <c r="C104" s="223"/>
      <c r="D104" s="223"/>
      <c r="E104" s="223"/>
    </row>
    <row r="105" spans="1:27" x14ac:dyDescent="0.35">
      <c r="B105" s="223"/>
      <c r="C105" s="223"/>
      <c r="D105" s="223"/>
      <c r="E105" s="223"/>
    </row>
    <row r="106" spans="1:27" x14ac:dyDescent="0.35">
      <c r="B106" s="223"/>
      <c r="C106" s="223"/>
      <c r="D106" s="223"/>
      <c r="E106" s="223"/>
    </row>
    <row r="107" spans="1:27" x14ac:dyDescent="0.35">
      <c r="B107" s="223"/>
      <c r="C107" s="223"/>
      <c r="D107" s="223"/>
      <c r="E107" s="223"/>
    </row>
    <row r="108" spans="1:27" x14ac:dyDescent="0.35">
      <c r="B108" s="223"/>
      <c r="C108" s="223"/>
      <c r="D108" s="223"/>
      <c r="E108" s="223"/>
    </row>
    <row r="109" spans="1:27" x14ac:dyDescent="0.35">
      <c r="B109" s="223"/>
      <c r="C109" s="223"/>
      <c r="D109" s="223"/>
      <c r="E109" s="223"/>
    </row>
    <row r="110" spans="1:27" x14ac:dyDescent="0.35">
      <c r="B110" s="223"/>
      <c r="C110" s="223"/>
      <c r="D110" s="223"/>
      <c r="E110" s="223"/>
    </row>
    <row r="111" spans="1:27" s="2" customFormat="1" x14ac:dyDescent="0.35">
      <c r="A111"/>
      <c r="B111" s="223"/>
      <c r="C111" s="223"/>
      <c r="D111" s="223"/>
      <c r="E111" s="223"/>
      <c r="F111" s="1"/>
      <c r="G111" s="3"/>
      <c r="H111" s="1"/>
      <c r="M111" s="1"/>
    </row>
    <row r="112" spans="1:27" s="2" customFormat="1" x14ac:dyDescent="0.35">
      <c r="A112"/>
      <c r="B112" s="223"/>
      <c r="C112" s="223"/>
      <c r="D112" s="223"/>
      <c r="E112" s="223"/>
      <c r="F112" s="1"/>
      <c r="G112" s="3"/>
      <c r="H112" s="1"/>
      <c r="M112" s="1"/>
      <c r="R112" s="377" t="s">
        <v>176</v>
      </c>
      <c r="S112" s="378"/>
      <c r="T112" s="378"/>
      <c r="U112" s="378"/>
      <c r="V112" s="378"/>
      <c r="W112" s="378"/>
      <c r="X112" s="378"/>
      <c r="Y112" s="378"/>
      <c r="Z112" s="378"/>
      <c r="AA112" s="379"/>
    </row>
    <row r="113" spans="1:13" s="2" customFormat="1" x14ac:dyDescent="0.35">
      <c r="A113"/>
      <c r="B113" s="223"/>
      <c r="C113" s="223"/>
      <c r="D113" s="223"/>
      <c r="E113" s="223"/>
      <c r="F113" s="1"/>
      <c r="G113" s="3"/>
      <c r="H113" s="1"/>
      <c r="M113" s="1"/>
    </row>
    <row r="114" spans="1:13" s="2" customFormat="1" x14ac:dyDescent="0.35">
      <c r="B114" s="223"/>
      <c r="C114" s="223"/>
      <c r="D114" s="223"/>
      <c r="E114" s="223"/>
      <c r="F114" s="1"/>
      <c r="G114" s="3"/>
      <c r="H114" s="1"/>
      <c r="M114" s="1"/>
    </row>
    <row r="115" spans="1:13" s="2" customFormat="1" x14ac:dyDescent="0.35">
      <c r="B115" s="223"/>
      <c r="C115" s="223"/>
      <c r="D115" s="223"/>
      <c r="E115" s="223"/>
      <c r="F115" s="1"/>
      <c r="G115" s="3"/>
      <c r="H115" s="1"/>
      <c r="M115" s="1"/>
    </row>
    <row r="116" spans="1:13" ht="15" thickBot="1" x14ac:dyDescent="0.4">
      <c r="A116" s="2"/>
      <c r="B116" s="223"/>
      <c r="C116" s="223"/>
      <c r="D116" s="223"/>
      <c r="E116" s="223"/>
    </row>
    <row r="117" spans="1:13" ht="15" thickBot="1" x14ac:dyDescent="0.4">
      <c r="A117" s="2"/>
      <c r="B117" s="223"/>
      <c r="C117" s="223"/>
      <c r="D117" s="223"/>
      <c r="E117" s="223"/>
      <c r="I117" s="333" t="s">
        <v>183</v>
      </c>
      <c r="J117" s="334"/>
    </row>
    <row r="118" spans="1:13" x14ac:dyDescent="0.35">
      <c r="A118" s="2"/>
      <c r="B118" s="223"/>
      <c r="C118" s="223"/>
      <c r="D118" s="223"/>
      <c r="E118" s="223"/>
    </row>
    <row r="119" spans="1:13" x14ac:dyDescent="0.35">
      <c r="B119" s="223"/>
      <c r="C119" s="223"/>
      <c r="D119" s="223"/>
      <c r="E119" s="223"/>
    </row>
    <row r="120" spans="1:13" x14ac:dyDescent="0.35">
      <c r="B120" s="223"/>
      <c r="C120" s="223"/>
      <c r="D120" s="223"/>
      <c r="E120" s="223"/>
    </row>
    <row r="121" spans="1:13" x14ac:dyDescent="0.35">
      <c r="B121" s="223"/>
      <c r="C121" s="223"/>
      <c r="D121" s="223"/>
      <c r="E121" s="223"/>
    </row>
    <row r="122" spans="1:13" x14ac:dyDescent="0.35">
      <c r="B122" s="223"/>
      <c r="C122" s="223"/>
      <c r="D122" s="223"/>
      <c r="E122" s="223"/>
    </row>
    <row r="123" spans="1:13" x14ac:dyDescent="0.35">
      <c r="B123" s="223"/>
      <c r="C123" s="223"/>
      <c r="D123" s="223"/>
      <c r="E123" s="223"/>
    </row>
    <row r="124" spans="1:13" x14ac:dyDescent="0.35">
      <c r="B124" s="223"/>
      <c r="C124" s="223"/>
      <c r="D124" s="223"/>
      <c r="E124" s="223"/>
    </row>
    <row r="125" spans="1:13" x14ac:dyDescent="0.35">
      <c r="B125" s="223"/>
      <c r="C125" s="223"/>
      <c r="D125" s="223"/>
      <c r="E125" s="223"/>
    </row>
    <row r="126" spans="1:13" x14ac:dyDescent="0.35">
      <c r="B126" s="223"/>
      <c r="C126" s="223"/>
      <c r="D126" s="223"/>
      <c r="E126" s="223"/>
    </row>
    <row r="127" spans="1:13" x14ac:dyDescent="0.35">
      <c r="B127" s="223"/>
      <c r="C127" s="223"/>
      <c r="D127" s="223"/>
      <c r="E127" s="223"/>
    </row>
    <row r="128" spans="1:13" x14ac:dyDescent="0.35">
      <c r="B128" s="223"/>
      <c r="C128" s="223"/>
      <c r="D128" s="223"/>
      <c r="E128" s="223"/>
    </row>
    <row r="129" spans="2:5" x14ac:dyDescent="0.35">
      <c r="B129" s="223"/>
      <c r="C129" s="223"/>
      <c r="D129" s="223"/>
      <c r="E129" s="223"/>
    </row>
    <row r="130" spans="2:5" x14ac:dyDescent="0.35">
      <c r="B130" s="223"/>
      <c r="C130" s="223"/>
      <c r="D130" s="223"/>
      <c r="E130" s="223"/>
    </row>
    <row r="131" spans="2:5" x14ac:dyDescent="0.35">
      <c r="B131" s="223"/>
      <c r="C131" s="223"/>
      <c r="D131" s="223"/>
      <c r="E131" s="223"/>
    </row>
    <row r="132" spans="2:5" x14ac:dyDescent="0.35">
      <c r="B132" s="223"/>
      <c r="C132" s="223"/>
      <c r="D132" s="223"/>
      <c r="E132" s="223"/>
    </row>
    <row r="133" spans="2:5" x14ac:dyDescent="0.35">
      <c r="B133" s="223"/>
      <c r="C133" s="223"/>
      <c r="D133" s="223"/>
      <c r="E133" s="223"/>
    </row>
    <row r="134" spans="2:5" x14ac:dyDescent="0.35">
      <c r="B134" s="223"/>
      <c r="C134" s="223"/>
      <c r="D134" s="223"/>
      <c r="E134" s="223"/>
    </row>
    <row r="135" spans="2:5" x14ac:dyDescent="0.35">
      <c r="B135" s="223"/>
      <c r="C135" s="223"/>
      <c r="D135" s="223"/>
      <c r="E135" s="223"/>
    </row>
    <row r="136" spans="2:5" x14ac:dyDescent="0.35">
      <c r="B136" s="223"/>
      <c r="C136" s="223"/>
      <c r="D136" s="223"/>
      <c r="E136" s="223"/>
    </row>
    <row r="137" spans="2:5" x14ac:dyDescent="0.35">
      <c r="B137" s="223"/>
      <c r="C137" s="223"/>
      <c r="D137" s="223"/>
      <c r="E137" s="223"/>
    </row>
    <row r="138" spans="2:5" x14ac:dyDescent="0.35">
      <c r="B138" s="223"/>
      <c r="C138" s="223"/>
      <c r="D138" s="223"/>
      <c r="E138" s="223"/>
    </row>
    <row r="139" spans="2:5" x14ac:dyDescent="0.35">
      <c r="B139" s="223"/>
      <c r="C139" s="223"/>
      <c r="D139" s="223"/>
      <c r="E139" s="223"/>
    </row>
    <row r="140" spans="2:5" x14ac:dyDescent="0.35">
      <c r="B140" s="223"/>
      <c r="C140" s="223"/>
      <c r="D140" s="223"/>
      <c r="E140" s="223"/>
    </row>
    <row r="141" spans="2:5" x14ac:dyDescent="0.35">
      <c r="B141" s="223"/>
      <c r="C141" s="223"/>
      <c r="D141" s="223"/>
      <c r="E141" s="223"/>
    </row>
    <row r="142" spans="2:5" x14ac:dyDescent="0.35">
      <c r="B142" s="223"/>
      <c r="C142" s="223"/>
      <c r="D142" s="223"/>
      <c r="E142" s="223"/>
    </row>
    <row r="143" spans="2:5" x14ac:dyDescent="0.35">
      <c r="B143" s="223"/>
      <c r="C143" s="223"/>
      <c r="D143" s="223"/>
      <c r="E143" s="223"/>
    </row>
    <row r="144" spans="2:5" x14ac:dyDescent="0.35">
      <c r="B144" s="223"/>
      <c r="C144" s="223"/>
      <c r="D144" s="223"/>
      <c r="E144" s="223"/>
    </row>
    <row r="145" spans="2:10" x14ac:dyDescent="0.35">
      <c r="B145" s="223"/>
      <c r="C145" s="223"/>
      <c r="D145" s="223"/>
      <c r="E145" s="223"/>
    </row>
    <row r="146" spans="2:10" x14ac:dyDescent="0.35">
      <c r="B146" s="223"/>
      <c r="C146" s="223"/>
      <c r="D146" s="223"/>
      <c r="E146" s="223"/>
    </row>
    <row r="147" spans="2:10" x14ac:dyDescent="0.35">
      <c r="B147" s="223"/>
      <c r="C147" s="223"/>
      <c r="D147" s="223"/>
      <c r="E147" s="223"/>
    </row>
    <row r="148" spans="2:10" x14ac:dyDescent="0.35">
      <c r="B148" s="223"/>
      <c r="C148" s="223"/>
      <c r="D148" s="223"/>
      <c r="E148" s="223"/>
    </row>
    <row r="149" spans="2:10" x14ac:dyDescent="0.35">
      <c r="B149" s="223"/>
      <c r="C149" s="223"/>
      <c r="D149" s="223"/>
      <c r="E149" s="223"/>
    </row>
    <row r="150" spans="2:10" x14ac:dyDescent="0.35">
      <c r="B150" s="223"/>
      <c r="C150" s="223"/>
      <c r="D150" s="223"/>
      <c r="E150" s="223"/>
    </row>
    <row r="151" spans="2:10" x14ac:dyDescent="0.35">
      <c r="B151" s="223"/>
      <c r="C151" s="223"/>
      <c r="D151" s="223"/>
      <c r="E151" s="223"/>
    </row>
    <row r="152" spans="2:10" x14ac:dyDescent="0.35">
      <c r="B152" s="223"/>
      <c r="C152" s="223"/>
      <c r="D152" s="223"/>
      <c r="E152" s="223"/>
    </row>
    <row r="153" spans="2:10" x14ac:dyDescent="0.35">
      <c r="B153" s="223"/>
      <c r="C153" s="223"/>
      <c r="D153" s="223"/>
      <c r="E153" s="223"/>
    </row>
    <row r="154" spans="2:10" x14ac:dyDescent="0.35">
      <c r="B154" s="223"/>
      <c r="C154" s="223"/>
      <c r="D154" s="223"/>
      <c r="E154" s="223"/>
      <c r="G154"/>
    </row>
    <row r="155" spans="2:10" x14ac:dyDescent="0.35">
      <c r="B155" s="223"/>
      <c r="C155" s="223"/>
      <c r="D155" s="223"/>
      <c r="E155" s="223"/>
      <c r="G155"/>
    </row>
    <row r="156" spans="2:10" ht="15" thickBot="1" x14ac:dyDescent="0.4">
      <c r="B156" s="223"/>
      <c r="C156" s="223"/>
      <c r="D156" s="223"/>
      <c r="E156" s="223"/>
      <c r="G156"/>
    </row>
    <row r="157" spans="2:10" ht="15" thickBot="1" x14ac:dyDescent="0.4">
      <c r="B157" s="223"/>
      <c r="C157" s="223"/>
      <c r="D157" s="223"/>
      <c r="E157" s="223"/>
      <c r="G157"/>
      <c r="I157" s="333" t="s">
        <v>184</v>
      </c>
      <c r="J157" s="334"/>
    </row>
    <row r="158" spans="2:10" x14ac:dyDescent="0.35">
      <c r="B158" s="223"/>
      <c r="C158" s="223"/>
      <c r="D158" s="223"/>
      <c r="E158" s="223"/>
      <c r="G158"/>
    </row>
    <row r="159" spans="2:10" x14ac:dyDescent="0.35">
      <c r="B159" s="223"/>
      <c r="C159" s="223"/>
      <c r="D159" s="223"/>
      <c r="E159" s="223"/>
    </row>
    <row r="160" spans="2:10" x14ac:dyDescent="0.35">
      <c r="B160" s="223"/>
      <c r="C160" s="223"/>
      <c r="D160" s="223"/>
      <c r="E160" s="223"/>
    </row>
    <row r="161" spans="2:38" x14ac:dyDescent="0.35">
      <c r="B161" s="223"/>
      <c r="C161" s="223"/>
      <c r="D161" s="223"/>
      <c r="E161" s="223"/>
    </row>
    <row r="162" spans="2:38" x14ac:dyDescent="0.35">
      <c r="B162" s="223"/>
      <c r="C162" s="223"/>
      <c r="D162" s="223"/>
      <c r="E162" s="223"/>
    </row>
    <row r="163" spans="2:38" x14ac:dyDescent="0.35">
      <c r="B163" s="223"/>
      <c r="C163" s="223"/>
      <c r="D163" s="223"/>
      <c r="E163" s="223"/>
    </row>
    <row r="164" spans="2:38" x14ac:dyDescent="0.35">
      <c r="B164" s="223"/>
      <c r="C164" s="223"/>
      <c r="D164" s="223"/>
      <c r="E164" s="223"/>
    </row>
    <row r="165" spans="2:38" x14ac:dyDescent="0.35">
      <c r="B165" s="223"/>
      <c r="C165" s="223"/>
      <c r="D165" s="223"/>
      <c r="E165" s="223"/>
    </row>
    <row r="166" spans="2:38" x14ac:dyDescent="0.35">
      <c r="B166" s="223"/>
      <c r="C166" s="223"/>
      <c r="D166" s="223"/>
      <c r="E166" s="223"/>
    </row>
    <row r="167" spans="2:38" x14ac:dyDescent="0.35">
      <c r="B167" s="223"/>
      <c r="C167" s="223"/>
      <c r="D167" s="223"/>
      <c r="E167" s="223"/>
    </row>
    <row r="168" spans="2:38" x14ac:dyDescent="0.35">
      <c r="B168" s="223"/>
      <c r="C168" s="223"/>
      <c r="D168" s="223"/>
      <c r="E168" s="223"/>
    </row>
    <row r="169" spans="2:38" x14ac:dyDescent="0.35">
      <c r="B169" s="223"/>
      <c r="C169" s="223"/>
      <c r="D169" s="223"/>
      <c r="E169" s="223"/>
      <c r="R169" s="347" t="s">
        <v>179</v>
      </c>
      <c r="S169" s="348"/>
      <c r="T169" s="348"/>
      <c r="U169" s="348"/>
      <c r="V169" s="348"/>
      <c r="W169" s="348"/>
      <c r="X169" s="348"/>
      <c r="Y169" s="348"/>
      <c r="Z169" s="348"/>
      <c r="AA169" s="349"/>
    </row>
    <row r="170" spans="2:38" x14ac:dyDescent="0.35">
      <c r="B170" s="223"/>
      <c r="C170" s="223"/>
      <c r="D170" s="223"/>
      <c r="E170" s="223"/>
    </row>
    <row r="171" spans="2:38" x14ac:dyDescent="0.35">
      <c r="B171" s="223"/>
      <c r="C171" s="223"/>
      <c r="D171" s="223"/>
      <c r="E171" s="223"/>
    </row>
    <row r="172" spans="2:38" x14ac:dyDescent="0.35">
      <c r="B172" s="223"/>
      <c r="C172" s="223"/>
      <c r="D172" s="223"/>
      <c r="E172" s="223"/>
    </row>
    <row r="173" spans="2:38" x14ac:dyDescent="0.35">
      <c r="B173" s="223"/>
      <c r="C173" s="223"/>
      <c r="D173" s="223"/>
      <c r="E173" s="223"/>
      <c r="AL173" s="2"/>
    </row>
    <row r="174" spans="2:38" x14ac:dyDescent="0.35">
      <c r="B174" s="223"/>
      <c r="C174" s="223"/>
      <c r="D174" s="223"/>
      <c r="E174" s="223"/>
      <c r="AL174" s="2"/>
    </row>
    <row r="175" spans="2:38" x14ac:dyDescent="0.35">
      <c r="B175" s="223"/>
      <c r="C175" s="223"/>
      <c r="D175" s="223"/>
      <c r="E175" s="223"/>
    </row>
    <row r="176" spans="2:38" x14ac:dyDescent="0.35">
      <c r="B176" s="223"/>
      <c r="C176" s="223"/>
      <c r="D176" s="223"/>
      <c r="E176" s="223"/>
    </row>
    <row r="177" spans="2:5" x14ac:dyDescent="0.35">
      <c r="B177" s="223"/>
      <c r="C177" s="223"/>
      <c r="D177" s="223"/>
      <c r="E177" s="223"/>
    </row>
    <row r="178" spans="2:5" x14ac:dyDescent="0.35">
      <c r="B178" s="223"/>
      <c r="C178" s="223"/>
      <c r="D178" s="223"/>
      <c r="E178" s="223"/>
    </row>
    <row r="179" spans="2:5" x14ac:dyDescent="0.35">
      <c r="B179" s="223"/>
      <c r="C179" s="223"/>
      <c r="D179" s="223"/>
      <c r="E179" s="223"/>
    </row>
    <row r="180" spans="2:5" x14ac:dyDescent="0.35">
      <c r="B180" s="223"/>
      <c r="C180" s="223"/>
      <c r="D180" s="223"/>
      <c r="E180" s="223"/>
    </row>
    <row r="181" spans="2:5" x14ac:dyDescent="0.35">
      <c r="B181" s="223"/>
      <c r="C181" s="223"/>
      <c r="D181" s="223"/>
      <c r="E181" s="223"/>
    </row>
    <row r="182" spans="2:5" x14ac:dyDescent="0.35">
      <c r="B182" s="223"/>
      <c r="C182" s="223"/>
      <c r="D182" s="223"/>
      <c r="E182" s="223"/>
    </row>
    <row r="183" spans="2:5" x14ac:dyDescent="0.35">
      <c r="B183" s="223"/>
      <c r="C183" s="223"/>
      <c r="D183" s="223"/>
      <c r="E183" s="223"/>
    </row>
    <row r="184" spans="2:5" x14ac:dyDescent="0.35">
      <c r="B184" s="223"/>
      <c r="C184" s="223"/>
      <c r="D184" s="223"/>
      <c r="E184" s="223"/>
    </row>
    <row r="185" spans="2:5" x14ac:dyDescent="0.35">
      <c r="B185" s="223"/>
      <c r="C185" s="223"/>
      <c r="D185" s="223"/>
      <c r="E185" s="223"/>
    </row>
    <row r="186" spans="2:5" x14ac:dyDescent="0.35">
      <c r="B186" s="223"/>
      <c r="C186" s="223"/>
      <c r="D186" s="223"/>
      <c r="E186" s="223"/>
    </row>
    <row r="187" spans="2:5" x14ac:dyDescent="0.35">
      <c r="B187" s="223"/>
      <c r="C187" s="223"/>
      <c r="D187" s="223"/>
      <c r="E187" s="223"/>
    </row>
    <row r="188" spans="2:5" x14ac:dyDescent="0.35">
      <c r="B188" s="223"/>
      <c r="C188" s="223"/>
      <c r="D188" s="223"/>
      <c r="E188" s="223"/>
    </row>
    <row r="189" spans="2:5" x14ac:dyDescent="0.35">
      <c r="B189" s="223"/>
      <c r="C189" s="223"/>
      <c r="D189" s="223"/>
      <c r="E189" s="223"/>
    </row>
    <row r="190" spans="2:5" x14ac:dyDescent="0.35">
      <c r="B190" s="223"/>
      <c r="C190" s="223"/>
      <c r="D190" s="223"/>
      <c r="E190" s="223"/>
    </row>
    <row r="191" spans="2:5" x14ac:dyDescent="0.35">
      <c r="B191" s="223"/>
      <c r="C191" s="223"/>
      <c r="D191" s="223"/>
      <c r="E191" s="223"/>
    </row>
    <row r="192" spans="2:5" x14ac:dyDescent="0.35">
      <c r="B192" s="223"/>
      <c r="C192" s="223"/>
      <c r="D192" s="223"/>
      <c r="E192" s="223"/>
    </row>
    <row r="193" spans="1:38" x14ac:dyDescent="0.35">
      <c r="B193" s="223"/>
      <c r="C193" s="223"/>
      <c r="D193" s="223"/>
      <c r="E193" s="223"/>
    </row>
    <row r="194" spans="1:38" x14ac:dyDescent="0.35">
      <c r="B194" s="223"/>
      <c r="C194" s="223"/>
      <c r="D194" s="223"/>
      <c r="E194" s="223"/>
    </row>
    <row r="195" spans="1:38" x14ac:dyDescent="0.35">
      <c r="B195" s="223"/>
      <c r="C195" s="223"/>
      <c r="D195" s="223"/>
      <c r="E195" s="223"/>
    </row>
    <row r="196" spans="1:38" x14ac:dyDescent="0.35">
      <c r="B196" s="223"/>
      <c r="C196" s="223"/>
      <c r="D196" s="223"/>
      <c r="E196" s="223"/>
    </row>
    <row r="197" spans="1:38" ht="15" thickBot="1" x14ac:dyDescent="0.4">
      <c r="B197" s="223"/>
      <c r="C197" s="223"/>
      <c r="D197" s="223"/>
      <c r="E197" s="223"/>
    </row>
    <row r="198" spans="1:38" ht="15" thickBot="1" x14ac:dyDescent="0.4">
      <c r="B198" s="223"/>
      <c r="C198" s="223"/>
      <c r="D198" s="223"/>
      <c r="E198" s="223"/>
      <c r="I198" s="333" t="s">
        <v>94</v>
      </c>
      <c r="J198" s="334"/>
    </row>
    <row r="199" spans="1:38" x14ac:dyDescent="0.35">
      <c r="B199" s="223"/>
      <c r="C199" s="223"/>
      <c r="D199" s="223"/>
      <c r="E199" s="223"/>
    </row>
    <row r="200" spans="1:38" x14ac:dyDescent="0.35">
      <c r="B200" s="223"/>
      <c r="C200" s="223"/>
      <c r="D200" s="223"/>
      <c r="E200" s="223"/>
    </row>
    <row r="201" spans="1:38" s="2" customFormat="1" x14ac:dyDescent="0.35">
      <c r="A201"/>
      <c r="B201" s="223"/>
      <c r="C201" s="223"/>
      <c r="D201" s="223"/>
      <c r="E201" s="223"/>
      <c r="F201" s="1"/>
      <c r="G201" s="3"/>
      <c r="H201" s="1"/>
      <c r="M201" s="1"/>
      <c r="N201" s="1"/>
      <c r="O201" s="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</row>
    <row r="202" spans="1:38" s="2" customFormat="1" x14ac:dyDescent="0.35">
      <c r="A202"/>
      <c r="B202" s="223"/>
      <c r="C202" s="223"/>
      <c r="D202" s="223"/>
      <c r="E202" s="223"/>
      <c r="F202" s="1"/>
      <c r="G202" s="3"/>
      <c r="H202" s="1"/>
      <c r="M202" s="1"/>
      <c r="N202" s="1"/>
      <c r="O202" s="1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</row>
    <row r="203" spans="1:38" x14ac:dyDescent="0.35">
      <c r="B203" s="223"/>
      <c r="C203" s="223"/>
      <c r="D203" s="223"/>
      <c r="E203" s="223"/>
    </row>
    <row r="204" spans="1:38" x14ac:dyDescent="0.35">
      <c r="A204" s="2"/>
      <c r="B204" s="223"/>
      <c r="C204" s="223"/>
      <c r="D204" s="223"/>
      <c r="E204" s="223"/>
    </row>
    <row r="205" spans="1:38" x14ac:dyDescent="0.35">
      <c r="A205" s="2"/>
      <c r="B205" s="223"/>
      <c r="C205" s="223"/>
      <c r="D205" s="223"/>
      <c r="E205" s="223"/>
    </row>
    <row r="206" spans="1:38" x14ac:dyDescent="0.35">
      <c r="B206" s="223"/>
      <c r="C206" s="223"/>
      <c r="D206" s="223"/>
      <c r="E206" s="223"/>
    </row>
    <row r="207" spans="1:38" x14ac:dyDescent="0.35">
      <c r="B207" s="223"/>
      <c r="C207" s="223"/>
      <c r="D207" s="223"/>
      <c r="E207" s="223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8" x14ac:dyDescent="0.35">
      <c r="B208" s="223"/>
      <c r="C208" s="223"/>
      <c r="D208" s="223"/>
      <c r="E208" s="223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2:38" x14ac:dyDescent="0.35">
      <c r="B209" s="223"/>
      <c r="C209" s="223"/>
      <c r="D209" s="223"/>
      <c r="E209" s="223"/>
    </row>
    <row r="210" spans="2:38" x14ac:dyDescent="0.35">
      <c r="B210" s="223"/>
      <c r="C210" s="223"/>
      <c r="D210" s="223"/>
      <c r="E210" s="223"/>
    </row>
    <row r="211" spans="2:38" x14ac:dyDescent="0.35">
      <c r="B211" s="223"/>
      <c r="C211" s="223"/>
      <c r="D211" s="223"/>
      <c r="E211" s="223"/>
    </row>
    <row r="212" spans="2:38" x14ac:dyDescent="0.35">
      <c r="B212" s="223"/>
      <c r="C212" s="223"/>
      <c r="D212" s="223"/>
      <c r="E212" s="223"/>
    </row>
    <row r="213" spans="2:38" x14ac:dyDescent="0.35">
      <c r="B213" s="223"/>
      <c r="C213" s="223"/>
      <c r="D213" s="223"/>
      <c r="E213" s="223"/>
    </row>
    <row r="214" spans="2:38" x14ac:dyDescent="0.35">
      <c r="B214" s="223"/>
      <c r="C214" s="223"/>
      <c r="D214" s="223"/>
      <c r="E214" s="223"/>
    </row>
    <row r="215" spans="2:38" x14ac:dyDescent="0.35">
      <c r="B215" s="223"/>
      <c r="C215" s="223"/>
      <c r="D215" s="223"/>
      <c r="E215" s="223"/>
    </row>
    <row r="216" spans="2:38" x14ac:dyDescent="0.35">
      <c r="B216" s="223"/>
      <c r="C216" s="223"/>
      <c r="D216" s="223"/>
      <c r="E216" s="223"/>
    </row>
    <row r="217" spans="2:38" x14ac:dyDescent="0.35">
      <c r="B217" s="223"/>
      <c r="C217" s="223"/>
      <c r="D217" s="223"/>
      <c r="E217" s="223"/>
    </row>
    <row r="218" spans="2:38" x14ac:dyDescent="0.35">
      <c r="B218" s="223"/>
      <c r="C218" s="223"/>
      <c r="D218" s="223"/>
      <c r="E218" s="223"/>
    </row>
    <row r="219" spans="2:38" x14ac:dyDescent="0.35">
      <c r="B219" s="223"/>
      <c r="C219" s="223"/>
      <c r="D219" s="223"/>
      <c r="E219" s="223"/>
    </row>
    <row r="220" spans="2:38" x14ac:dyDescent="0.35">
      <c r="B220" s="223"/>
      <c r="C220" s="223"/>
      <c r="D220" s="223"/>
      <c r="E220" s="223"/>
    </row>
    <row r="221" spans="2:38" x14ac:dyDescent="0.35">
      <c r="B221" s="223"/>
      <c r="C221" s="223"/>
      <c r="D221" s="223"/>
      <c r="E221" s="223"/>
      <c r="AL221" s="1"/>
    </row>
    <row r="222" spans="2:38" x14ac:dyDescent="0.35">
      <c r="B222" s="223"/>
      <c r="C222" s="223"/>
      <c r="D222" s="223"/>
      <c r="E222" s="223"/>
      <c r="AL222" s="1"/>
    </row>
    <row r="223" spans="2:38" x14ac:dyDescent="0.35">
      <c r="B223" s="223"/>
      <c r="C223" s="223"/>
      <c r="D223" s="223"/>
      <c r="E223" s="223"/>
      <c r="R223" s="335" t="s">
        <v>180</v>
      </c>
      <c r="S223" s="336"/>
      <c r="T223" s="336"/>
      <c r="U223" s="336"/>
      <c r="V223" s="336"/>
      <c r="W223" s="336"/>
      <c r="X223" s="336"/>
      <c r="Y223" s="336"/>
      <c r="Z223" s="336"/>
      <c r="AA223" s="337"/>
    </row>
    <row r="224" spans="2:38" x14ac:dyDescent="0.35">
      <c r="B224" s="223"/>
      <c r="C224" s="223"/>
      <c r="D224" s="223"/>
      <c r="E224" s="223"/>
    </row>
    <row r="225" spans="2:10" x14ac:dyDescent="0.35">
      <c r="B225" s="223"/>
      <c r="C225" s="223"/>
      <c r="D225" s="223"/>
      <c r="E225" s="223"/>
    </row>
    <row r="226" spans="2:10" x14ac:dyDescent="0.35">
      <c r="B226" s="223"/>
      <c r="C226" s="223"/>
      <c r="D226" s="223"/>
      <c r="E226" s="223"/>
    </row>
    <row r="227" spans="2:10" x14ac:dyDescent="0.35">
      <c r="B227" s="223"/>
      <c r="C227" s="223"/>
      <c r="D227" s="223"/>
      <c r="E227" s="223"/>
    </row>
    <row r="228" spans="2:10" x14ac:dyDescent="0.35">
      <c r="B228" s="223"/>
      <c r="C228" s="223"/>
      <c r="D228" s="223"/>
      <c r="E228" s="223"/>
    </row>
    <row r="229" spans="2:10" ht="15" thickBot="1" x14ac:dyDescent="0.4">
      <c r="B229" s="223"/>
      <c r="C229" s="223"/>
      <c r="D229" s="223"/>
      <c r="E229" s="223"/>
    </row>
    <row r="230" spans="2:10" ht="15" thickBot="1" x14ac:dyDescent="0.4">
      <c r="B230" s="223"/>
      <c r="C230" s="223"/>
      <c r="D230" s="223"/>
      <c r="E230" s="223"/>
      <c r="I230" s="333" t="s">
        <v>103</v>
      </c>
      <c r="J230" s="334"/>
    </row>
    <row r="231" spans="2:10" x14ac:dyDescent="0.35">
      <c r="B231" s="223"/>
      <c r="C231" s="223"/>
      <c r="D231" s="223"/>
      <c r="E231" s="223"/>
    </row>
    <row r="232" spans="2:10" x14ac:dyDescent="0.35">
      <c r="B232" s="223"/>
      <c r="C232" s="223"/>
      <c r="D232" s="223"/>
      <c r="E232" s="223"/>
    </row>
    <row r="233" spans="2:10" x14ac:dyDescent="0.35">
      <c r="B233" s="223"/>
      <c r="C233" s="223"/>
      <c r="D233" s="223"/>
      <c r="E233" s="223"/>
    </row>
    <row r="234" spans="2:10" x14ac:dyDescent="0.35">
      <c r="B234" s="223"/>
      <c r="C234" s="223"/>
      <c r="D234" s="223"/>
      <c r="E234" s="223"/>
    </row>
    <row r="235" spans="2:10" x14ac:dyDescent="0.35">
      <c r="B235" s="223"/>
      <c r="C235" s="223"/>
      <c r="D235" s="223"/>
      <c r="E235" s="223"/>
    </row>
    <row r="236" spans="2:10" x14ac:dyDescent="0.35">
      <c r="B236" s="223"/>
      <c r="C236" s="223"/>
      <c r="D236" s="223"/>
      <c r="E236" s="223"/>
    </row>
    <row r="237" spans="2:10" x14ac:dyDescent="0.35">
      <c r="B237" s="223"/>
      <c r="C237" s="223"/>
      <c r="D237" s="223"/>
      <c r="E237" s="223"/>
    </row>
    <row r="238" spans="2:10" x14ac:dyDescent="0.35">
      <c r="B238" s="223"/>
      <c r="C238" s="223"/>
      <c r="D238" s="223"/>
      <c r="E238" s="223"/>
    </row>
    <row r="239" spans="2:10" x14ac:dyDescent="0.35">
      <c r="B239" s="223"/>
      <c r="C239" s="223"/>
      <c r="D239" s="223"/>
      <c r="E239" s="223"/>
    </row>
    <row r="240" spans="2:10" x14ac:dyDescent="0.35">
      <c r="B240" s="223"/>
      <c r="C240" s="223"/>
      <c r="D240" s="223"/>
      <c r="E240" s="223"/>
    </row>
    <row r="241" spans="1:38" x14ac:dyDescent="0.35">
      <c r="B241" s="223"/>
      <c r="C241" s="223"/>
      <c r="D241" s="223"/>
      <c r="E241" s="223"/>
    </row>
    <row r="242" spans="1:38" x14ac:dyDescent="0.35">
      <c r="B242" s="223"/>
      <c r="C242" s="223"/>
      <c r="D242" s="223"/>
      <c r="E242" s="223"/>
    </row>
    <row r="243" spans="1:38" x14ac:dyDescent="0.35">
      <c r="B243" s="223"/>
      <c r="C243" s="223"/>
      <c r="D243" s="223"/>
      <c r="E243" s="223"/>
    </row>
    <row r="244" spans="1:38" x14ac:dyDescent="0.35">
      <c r="B244" s="223"/>
      <c r="C244" s="223"/>
      <c r="D244" s="223"/>
      <c r="E244" s="223"/>
    </row>
    <row r="245" spans="1:38" x14ac:dyDescent="0.35">
      <c r="B245" s="223"/>
      <c r="C245" s="223"/>
      <c r="D245" s="223"/>
      <c r="E245" s="223"/>
    </row>
    <row r="246" spans="1:38" x14ac:dyDescent="0.35">
      <c r="B246" s="223"/>
      <c r="C246" s="223"/>
      <c r="D246" s="223"/>
      <c r="E246" s="223"/>
    </row>
    <row r="247" spans="1:38" x14ac:dyDescent="0.35">
      <c r="B247" s="223"/>
      <c r="C247" s="223"/>
      <c r="D247" s="223"/>
      <c r="E247" s="223"/>
    </row>
    <row r="248" spans="1:38" x14ac:dyDescent="0.35">
      <c r="B248" s="223"/>
      <c r="C248" s="223"/>
      <c r="D248" s="223"/>
      <c r="E248" s="223"/>
    </row>
    <row r="249" spans="1:38" s="1" customFormat="1" x14ac:dyDescent="0.35">
      <c r="A249"/>
      <c r="B249" s="223"/>
      <c r="C249" s="223"/>
      <c r="D249" s="223"/>
      <c r="E249" s="223"/>
      <c r="G249" s="3"/>
      <c r="I249" s="2"/>
      <c r="J249" s="2"/>
      <c r="K249" s="2"/>
      <c r="L249" s="2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</row>
    <row r="250" spans="1:38" s="1" customFormat="1" x14ac:dyDescent="0.35">
      <c r="A250"/>
      <c r="B250" s="223"/>
      <c r="C250" s="223"/>
      <c r="D250" s="223"/>
      <c r="E250" s="223"/>
      <c r="G250" s="3"/>
      <c r="I250" s="2"/>
      <c r="J250" s="2"/>
      <c r="K250" s="2"/>
      <c r="L250" s="2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</row>
    <row r="251" spans="1:38" x14ac:dyDescent="0.35">
      <c r="A251" s="1"/>
      <c r="B251" s="223"/>
      <c r="C251" s="223"/>
      <c r="D251" s="223"/>
      <c r="E251" s="223"/>
    </row>
    <row r="252" spans="1:38" x14ac:dyDescent="0.35">
      <c r="A252" s="1"/>
      <c r="B252" s="223"/>
      <c r="C252" s="223"/>
      <c r="D252" s="223"/>
      <c r="E252" s="223"/>
    </row>
    <row r="253" spans="1:38" x14ac:dyDescent="0.35">
      <c r="B253" s="223"/>
      <c r="C253" s="223"/>
      <c r="D253" s="223"/>
      <c r="E253" s="223"/>
    </row>
    <row r="254" spans="1:38" x14ac:dyDescent="0.35">
      <c r="B254" s="223"/>
      <c r="C254" s="223"/>
      <c r="D254" s="223"/>
      <c r="E254" s="223"/>
    </row>
    <row r="255" spans="1:38" x14ac:dyDescent="0.35">
      <c r="B255" s="223"/>
      <c r="C255" s="223"/>
      <c r="D255" s="223"/>
      <c r="E255" s="223"/>
    </row>
    <row r="256" spans="1:38" x14ac:dyDescent="0.35">
      <c r="B256" s="223"/>
      <c r="C256" s="223"/>
      <c r="D256" s="223"/>
      <c r="E256" s="223"/>
    </row>
    <row r="257" spans="2:13" x14ac:dyDescent="0.35">
      <c r="B257" s="223"/>
      <c r="C257" s="223"/>
      <c r="D257" s="223"/>
      <c r="E257" s="223"/>
    </row>
    <row r="258" spans="2:13" x14ac:dyDescent="0.35">
      <c r="B258" s="223"/>
      <c r="C258" s="223"/>
      <c r="D258" s="223"/>
      <c r="E258" s="223"/>
    </row>
    <row r="259" spans="2:13" x14ac:dyDescent="0.35">
      <c r="B259" s="223"/>
      <c r="C259" s="223"/>
      <c r="D259" s="223"/>
      <c r="E259" s="223"/>
    </row>
    <row r="260" spans="2:13" x14ac:dyDescent="0.35">
      <c r="B260" s="223"/>
      <c r="C260" s="223"/>
      <c r="D260" s="223"/>
      <c r="E260" s="223"/>
    </row>
    <row r="261" spans="2:13" x14ac:dyDescent="0.35">
      <c r="B261" s="223"/>
      <c r="C261" s="223"/>
      <c r="D261" s="223"/>
      <c r="E261" s="223"/>
    </row>
    <row r="262" spans="2:13" x14ac:dyDescent="0.35">
      <c r="B262" s="223"/>
      <c r="C262" s="223"/>
      <c r="D262" s="223"/>
      <c r="E262" s="223"/>
    </row>
    <row r="263" spans="2:13" x14ac:dyDescent="0.35">
      <c r="B263" s="223"/>
      <c r="C263" s="223"/>
      <c r="D263" s="223"/>
      <c r="E263" s="223"/>
    </row>
    <row r="264" spans="2:13" x14ac:dyDescent="0.35">
      <c r="B264" s="223"/>
      <c r="C264" s="223"/>
      <c r="D264" s="223"/>
      <c r="E264" s="223"/>
    </row>
    <row r="265" spans="2:13" x14ac:dyDescent="0.35">
      <c r="B265" s="223"/>
      <c r="C265" s="223"/>
      <c r="D265" s="223"/>
      <c r="E265" s="223"/>
    </row>
    <row r="266" spans="2:13" x14ac:dyDescent="0.35">
      <c r="B266" s="223"/>
      <c r="C266" s="223"/>
      <c r="D266" s="223"/>
      <c r="E266" s="223"/>
    </row>
    <row r="267" spans="2:13" ht="15" thickBot="1" x14ac:dyDescent="0.4">
      <c r="B267" s="223"/>
      <c r="C267" s="223"/>
      <c r="D267" s="223"/>
      <c r="E267" s="223"/>
      <c r="G267" s="224"/>
      <c r="M267" s="224"/>
    </row>
    <row r="268" spans="2:13" x14ac:dyDescent="0.35">
      <c r="B268" s="223"/>
      <c r="C268" s="223"/>
      <c r="D268" s="223"/>
      <c r="E268" s="223"/>
      <c r="G268" s="224"/>
      <c r="H268" s="338" t="s">
        <v>178</v>
      </c>
      <c r="I268" s="339"/>
      <c r="J268" s="339"/>
      <c r="K268" s="339"/>
      <c r="L268" s="340"/>
      <c r="M268" s="224"/>
    </row>
    <row r="269" spans="2:13" ht="15" thickBot="1" x14ac:dyDescent="0.4">
      <c r="B269" s="223"/>
      <c r="C269" s="223"/>
      <c r="D269" s="223"/>
      <c r="E269" s="223"/>
      <c r="H269" s="341"/>
      <c r="I269" s="342"/>
      <c r="J269" s="342"/>
      <c r="K269" s="342"/>
      <c r="L269" s="343"/>
    </row>
    <row r="276" ht="15" customHeight="1" x14ac:dyDescent="0.35"/>
    <row r="277" ht="15" customHeight="1" x14ac:dyDescent="0.35"/>
    <row r="317" spans="9:11" ht="15" thickBot="1" x14ac:dyDescent="0.4"/>
    <row r="318" spans="9:11" ht="15" thickBot="1" x14ac:dyDescent="0.4">
      <c r="I318" s="344" t="s">
        <v>182</v>
      </c>
      <c r="J318" s="345"/>
      <c r="K318" s="346"/>
    </row>
  </sheetData>
  <mergeCells count="34">
    <mergeCell ref="H41:H45"/>
    <mergeCell ref="R58:AA58"/>
    <mergeCell ref="I102:J102"/>
    <mergeCell ref="I65:L65"/>
    <mergeCell ref="I92:J92"/>
    <mergeCell ref="H93:H95"/>
    <mergeCell ref="B27:E27"/>
    <mergeCell ref="B32:E34"/>
    <mergeCell ref="H34:H39"/>
    <mergeCell ref="B25:E25"/>
    <mergeCell ref="B26:E26"/>
    <mergeCell ref="H26:H32"/>
    <mergeCell ref="B35:E37"/>
    <mergeCell ref="C1:C2"/>
    <mergeCell ref="I2:L3"/>
    <mergeCell ref="B3:E5"/>
    <mergeCell ref="R2:AA2"/>
    <mergeCell ref="B24:E24"/>
    <mergeCell ref="B12:E12"/>
    <mergeCell ref="C14:E14"/>
    <mergeCell ref="I14:J14"/>
    <mergeCell ref="D15:E15"/>
    <mergeCell ref="B17:E17"/>
    <mergeCell ref="H18:H24"/>
    <mergeCell ref="I318:K318"/>
    <mergeCell ref="R169:AA169"/>
    <mergeCell ref="R223:AA223"/>
    <mergeCell ref="H47:H50"/>
    <mergeCell ref="H268:L269"/>
    <mergeCell ref="R112:AA112"/>
    <mergeCell ref="I198:J198"/>
    <mergeCell ref="I230:J230"/>
    <mergeCell ref="I117:J117"/>
    <mergeCell ref="I157:J157"/>
  </mergeCells>
  <pageMargins left="0.7" right="0.7" top="0.75" bottom="0.75" header="0.3" footer="0.3"/>
  <pageSetup scale="64" orientation="portrait" r:id="rId1"/>
  <rowBreaks count="1" manualBreakCount="1">
    <brk id="59" max="16383" man="1"/>
  </rowBreaks>
  <colBreaks count="1" manualBreakCount="1">
    <brk id="7" max="1048575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EB774-3891-4AA7-9A06-46E54666D855}">
  <dimension ref="A1:AN388"/>
  <sheetViews>
    <sheetView topLeftCell="A85" zoomScale="90" zoomScaleNormal="90" zoomScaleSheetLayoutView="90" workbookViewId="0">
      <selection activeCell="AF93" sqref="AF93"/>
    </sheetView>
  </sheetViews>
  <sheetFormatPr defaultRowHeight="14.5" x14ac:dyDescent="0.35"/>
  <cols>
    <col min="1" max="1" width="3.26953125" customWidth="1"/>
    <col min="2" max="2" width="21.54296875" bestFit="1" customWidth="1"/>
    <col min="3" max="3" width="13" bestFit="1" customWidth="1"/>
    <col min="4" max="4" width="19.1796875" customWidth="1"/>
    <col min="5" max="5" width="22.7265625" bestFit="1" customWidth="1"/>
    <col min="6" max="6" width="3.453125" style="1" customWidth="1"/>
    <col min="7" max="7" width="3.453125" style="3" hidden="1" customWidth="1"/>
    <col min="8" max="8" width="29.81640625" style="1" hidden="1" customWidth="1"/>
    <col min="9" max="9" width="39.453125" style="2" hidden="1" customWidth="1"/>
    <col min="10" max="10" width="15.54296875" style="2" hidden="1" customWidth="1"/>
    <col min="11" max="11" width="26.81640625" style="2" hidden="1" customWidth="1"/>
    <col min="12" max="12" width="28.26953125" style="2" hidden="1" customWidth="1"/>
    <col min="13" max="13" width="3.453125" style="1" hidden="1" customWidth="1"/>
    <col min="14" max="14" width="3.453125" style="3" hidden="1" customWidth="1"/>
    <col min="15" max="15" width="29.81640625" style="1" hidden="1" customWidth="1"/>
    <col min="16" max="16" width="39.453125" style="2" hidden="1" customWidth="1"/>
    <col min="17" max="17" width="15.54296875" style="2" hidden="1" customWidth="1"/>
    <col min="18" max="18" width="26.81640625" style="2" hidden="1" customWidth="1"/>
    <col min="19" max="19" width="28.26953125" style="2" hidden="1" customWidth="1"/>
    <col min="20" max="20" width="9.1796875" hidden="1" customWidth="1"/>
    <col min="21" max="21" width="3.453125" style="1" hidden="1" customWidth="1"/>
    <col min="22" max="22" width="3.453125" style="3" hidden="1" customWidth="1"/>
    <col min="23" max="23" width="29.81640625" style="1" hidden="1" customWidth="1"/>
    <col min="24" max="24" width="39.453125" style="2" hidden="1" customWidth="1"/>
    <col min="25" max="25" width="15.54296875" style="2" hidden="1" customWidth="1"/>
    <col min="26" max="26" width="26.81640625" style="2" hidden="1" customWidth="1"/>
    <col min="27" max="27" width="28.26953125" style="2" hidden="1" customWidth="1"/>
    <col min="28" max="28" width="9.1796875" hidden="1" customWidth="1"/>
    <col min="29" max="29" width="3.453125" style="1" hidden="1" customWidth="1"/>
    <col min="30" max="30" width="3.453125" style="3" customWidth="1"/>
    <col min="31" max="31" width="29.81640625" style="1" bestFit="1" customWidth="1"/>
    <col min="32" max="32" width="39.453125" style="2" customWidth="1"/>
    <col min="33" max="33" width="15.54296875" style="2" customWidth="1"/>
    <col min="34" max="34" width="26.81640625" style="2" customWidth="1"/>
    <col min="35" max="35" width="28.26953125" style="2" bestFit="1" customWidth="1"/>
    <col min="36" max="47" width="9.1796875" customWidth="1"/>
  </cols>
  <sheetData>
    <row r="1" spans="2:35" ht="15" thickBot="1" x14ac:dyDescent="0.4">
      <c r="C1" s="414">
        <v>2020</v>
      </c>
      <c r="P1" s="439" t="s">
        <v>144</v>
      </c>
      <c r="Q1" s="440"/>
      <c r="R1" s="440"/>
      <c r="S1" s="441"/>
      <c r="X1" s="445" t="s">
        <v>143</v>
      </c>
      <c r="Y1" s="446"/>
      <c r="Z1" s="446"/>
      <c r="AA1" s="447"/>
      <c r="AF1" s="451" t="s">
        <v>147</v>
      </c>
      <c r="AG1" s="452"/>
      <c r="AH1" s="452"/>
      <c r="AI1" s="453"/>
    </row>
    <row r="2" spans="2:35" ht="15.75" customHeight="1" thickBot="1" x14ac:dyDescent="0.4">
      <c r="C2" s="415"/>
      <c r="F2" s="224"/>
      <c r="H2"/>
      <c r="I2" s="416" t="s">
        <v>5</v>
      </c>
      <c r="J2" s="417"/>
      <c r="K2" s="417"/>
      <c r="L2" s="418"/>
      <c r="M2" s="224"/>
      <c r="O2"/>
      <c r="P2" s="442"/>
      <c r="Q2" s="443"/>
      <c r="R2" s="443"/>
      <c r="S2" s="444"/>
      <c r="U2" s="224"/>
      <c r="W2"/>
      <c r="X2" s="448"/>
      <c r="Y2" s="449"/>
      <c r="Z2" s="449"/>
      <c r="AA2" s="450"/>
      <c r="AC2" s="224"/>
      <c r="AE2"/>
      <c r="AF2" s="454"/>
      <c r="AG2" s="455"/>
      <c r="AH2" s="455"/>
      <c r="AI2" s="456"/>
    </row>
    <row r="3" spans="2:35" ht="15" customHeight="1" thickBot="1" x14ac:dyDescent="0.4">
      <c r="B3" s="399" t="s">
        <v>163</v>
      </c>
      <c r="C3" s="400"/>
      <c r="D3" s="400"/>
      <c r="E3" s="401"/>
      <c r="F3" s="224"/>
      <c r="H3"/>
      <c r="I3" s="419"/>
      <c r="J3" s="420"/>
      <c r="K3" s="420"/>
      <c r="L3" s="421"/>
      <c r="M3" s="224"/>
      <c r="O3"/>
      <c r="P3" s="368" t="s">
        <v>5</v>
      </c>
      <c r="Q3" s="369"/>
      <c r="R3" s="369"/>
      <c r="S3" s="370"/>
      <c r="U3" s="224"/>
      <c r="W3"/>
      <c r="X3" s="368" t="s">
        <v>5</v>
      </c>
      <c r="Y3" s="369"/>
      <c r="Z3" s="369"/>
      <c r="AA3" s="370"/>
      <c r="AC3" s="224"/>
      <c r="AE3"/>
      <c r="AF3" s="368" t="s">
        <v>5</v>
      </c>
      <c r="AG3" s="369"/>
      <c r="AH3" s="369"/>
      <c r="AI3" s="370"/>
    </row>
    <row r="4" spans="2:35" ht="15.75" customHeight="1" thickBot="1" x14ac:dyDescent="0.4">
      <c r="B4" s="402"/>
      <c r="C4" s="403"/>
      <c r="D4" s="403"/>
      <c r="E4" s="404"/>
      <c r="H4"/>
      <c r="O4"/>
      <c r="W4"/>
      <c r="AE4"/>
    </row>
    <row r="5" spans="2:35" ht="15.75" customHeight="1" thickBot="1" x14ac:dyDescent="0.4">
      <c r="B5" s="405"/>
      <c r="C5" s="406"/>
      <c r="D5" s="406"/>
      <c r="E5" s="407"/>
      <c r="H5"/>
      <c r="I5" s="7" t="s">
        <v>99</v>
      </c>
      <c r="J5" s="8"/>
      <c r="K5" s="9"/>
      <c r="L5" s="9"/>
      <c r="O5"/>
      <c r="P5" s="7" t="s">
        <v>99</v>
      </c>
      <c r="Q5" s="8"/>
      <c r="R5" s="9"/>
      <c r="S5" s="9"/>
      <c r="W5"/>
      <c r="X5" s="7" t="s">
        <v>99</v>
      </c>
      <c r="Y5" s="8"/>
      <c r="Z5" s="9"/>
      <c r="AA5" s="9"/>
      <c r="AE5"/>
      <c r="AF5" s="7" t="s">
        <v>99</v>
      </c>
      <c r="AG5" s="8"/>
      <c r="AH5" s="9"/>
      <c r="AI5" s="9"/>
    </row>
    <row r="6" spans="2:35" ht="15.75" customHeight="1" thickBot="1" x14ac:dyDescent="0.4">
      <c r="B6" s="13"/>
      <c r="C6" s="308" t="s">
        <v>11</v>
      </c>
      <c r="D6" s="15"/>
      <c r="E6" s="307"/>
      <c r="F6" s="224"/>
      <c r="H6"/>
      <c r="I6" s="17" t="s">
        <v>13</v>
      </c>
      <c r="J6" s="17" t="s">
        <v>14</v>
      </c>
      <c r="K6" s="18" t="s">
        <v>15</v>
      </c>
      <c r="O6"/>
      <c r="P6" s="17" t="s">
        <v>13</v>
      </c>
      <c r="Q6" s="17" t="s">
        <v>14</v>
      </c>
      <c r="R6" s="18" t="s">
        <v>15</v>
      </c>
      <c r="W6"/>
      <c r="X6" s="17" t="s">
        <v>13</v>
      </c>
      <c r="Y6" s="17" t="s">
        <v>14</v>
      </c>
      <c r="Z6" s="18" t="s">
        <v>15</v>
      </c>
      <c r="AE6"/>
      <c r="AF6" s="17" t="s">
        <v>13</v>
      </c>
      <c r="AG6" s="17" t="s">
        <v>14</v>
      </c>
      <c r="AH6" s="18" t="s">
        <v>15</v>
      </c>
    </row>
    <row r="7" spans="2:35" x14ac:dyDescent="0.35">
      <c r="B7" s="20" t="s">
        <v>19</v>
      </c>
      <c r="C7" s="21">
        <v>1898</v>
      </c>
      <c r="D7" s="252"/>
      <c r="E7" s="290"/>
      <c r="F7" s="224"/>
      <c r="H7"/>
      <c r="I7" s="24">
        <f>+I24</f>
        <v>11562.909299999999</v>
      </c>
      <c r="J7" s="25">
        <f>C7</f>
        <v>1898</v>
      </c>
      <c r="K7" s="26">
        <f>+I7*J7</f>
        <v>21946401.851399999</v>
      </c>
      <c r="O7"/>
      <c r="P7" s="24">
        <f>P24</f>
        <v>11562.909299999999</v>
      </c>
      <c r="Q7" s="25">
        <f>C7</f>
        <v>1898</v>
      </c>
      <c r="R7" s="26">
        <f>P7*Q7</f>
        <v>21946401.851399999</v>
      </c>
      <c r="W7"/>
      <c r="X7" s="24">
        <f>X24</f>
        <v>25137.909299999999</v>
      </c>
      <c r="Y7" s="25">
        <f>C7</f>
        <v>1898</v>
      </c>
      <c r="Z7" s="26">
        <f>X7*Y7</f>
        <v>47711751.851399995</v>
      </c>
      <c r="AE7"/>
      <c r="AF7" s="24">
        <f>AF24</f>
        <v>28542.446199999998</v>
      </c>
      <c r="AG7" s="25">
        <f>C7</f>
        <v>1898</v>
      </c>
      <c r="AH7" s="26">
        <f>AF7*AG7</f>
        <v>54173562.887599997</v>
      </c>
      <c r="AI7" s="190"/>
    </row>
    <row r="8" spans="2:35" x14ac:dyDescent="0.35">
      <c r="B8" s="31" t="s">
        <v>20</v>
      </c>
      <c r="C8" s="32">
        <v>26.57</v>
      </c>
      <c r="D8" s="236"/>
      <c r="E8" s="291"/>
      <c r="F8" s="224"/>
      <c r="H8"/>
      <c r="I8" s="35">
        <f>+I32</f>
        <v>3420470.0164000001</v>
      </c>
      <c r="J8" s="36">
        <f>C8</f>
        <v>26.57</v>
      </c>
      <c r="K8" s="37">
        <f>+I8*J8</f>
        <v>90881888.335748002</v>
      </c>
      <c r="O8"/>
      <c r="P8" s="35">
        <f>P32</f>
        <v>4445470.0164000001</v>
      </c>
      <c r="Q8" s="36">
        <f>C8</f>
        <v>26.57</v>
      </c>
      <c r="R8" s="37">
        <f>P8*Q8</f>
        <v>118116138.335748</v>
      </c>
      <c r="W8"/>
      <c r="X8" s="35">
        <f>X32</f>
        <v>3420470.0164000001</v>
      </c>
      <c r="Y8" s="36">
        <f>C8</f>
        <v>26.57</v>
      </c>
      <c r="Z8" s="37">
        <f>X8*Y8</f>
        <v>90881888.335748002</v>
      </c>
      <c r="AE8"/>
      <c r="AF8" s="35">
        <f>AF32</f>
        <v>3954862.6124</v>
      </c>
      <c r="AG8" s="36">
        <f>C8</f>
        <v>26.57</v>
      </c>
      <c r="AH8" s="37">
        <f>AF8*AG8</f>
        <v>105080699.611468</v>
      </c>
      <c r="AI8" s="190"/>
    </row>
    <row r="9" spans="2:35" x14ac:dyDescent="0.35">
      <c r="B9" s="40" t="s">
        <v>21</v>
      </c>
      <c r="C9" s="41">
        <v>1070</v>
      </c>
      <c r="D9" s="292"/>
      <c r="E9" s="293"/>
      <c r="F9" s="224"/>
      <c r="H9"/>
      <c r="I9" s="44">
        <f>I39</f>
        <v>0</v>
      </c>
      <c r="J9" s="45">
        <f>C9</f>
        <v>1070</v>
      </c>
      <c r="K9" s="46">
        <f>+I9*J9</f>
        <v>0</v>
      </c>
      <c r="O9"/>
      <c r="P9" s="44">
        <f>P39</f>
        <v>0</v>
      </c>
      <c r="Q9" s="45">
        <f>C9</f>
        <v>1070</v>
      </c>
      <c r="R9" s="46">
        <f>P9*Q9</f>
        <v>0</v>
      </c>
      <c r="W9"/>
      <c r="X9" s="44">
        <f>X39</f>
        <v>0</v>
      </c>
      <c r="Y9" s="45">
        <f>C9</f>
        <v>1070</v>
      </c>
      <c r="Z9" s="46">
        <f>X9*Y9</f>
        <v>0</v>
      </c>
      <c r="AE9"/>
      <c r="AF9" s="44">
        <f>AF39</f>
        <v>146.6515</v>
      </c>
      <c r="AG9" s="45">
        <f>C9</f>
        <v>1070</v>
      </c>
      <c r="AH9" s="46">
        <f>AF9*AG9</f>
        <v>156917.10500000001</v>
      </c>
      <c r="AI9" s="190"/>
    </row>
    <row r="10" spans="2:35" ht="14.5" customHeight="1" x14ac:dyDescent="0.35">
      <c r="B10" s="49" t="s">
        <v>22</v>
      </c>
      <c r="C10" s="50">
        <v>2400</v>
      </c>
      <c r="D10" s="294"/>
      <c r="E10" s="295"/>
      <c r="F10" s="224"/>
      <c r="H10"/>
      <c r="I10" s="53">
        <f>I45</f>
        <v>517.16899999999998</v>
      </c>
      <c r="J10" s="54">
        <f>C10</f>
        <v>2400</v>
      </c>
      <c r="K10" s="55">
        <f>+I10*J10</f>
        <v>1241205.5999999999</v>
      </c>
      <c r="O10"/>
      <c r="P10" s="53">
        <f>P45</f>
        <v>517.16899999999998</v>
      </c>
      <c r="Q10" s="54">
        <f>C10</f>
        <v>2400</v>
      </c>
      <c r="R10" s="55">
        <f>P10*Q10</f>
        <v>1241205.5999999999</v>
      </c>
      <c r="W10"/>
      <c r="X10" s="53">
        <f>X45</f>
        <v>517.16899999999998</v>
      </c>
      <c r="Y10" s="54">
        <f>C10</f>
        <v>2400</v>
      </c>
      <c r="Z10" s="55">
        <f>X10*Y10</f>
        <v>1241205.5999999999</v>
      </c>
      <c r="AE10"/>
      <c r="AF10" s="53">
        <f>AF45</f>
        <v>286.58819999999997</v>
      </c>
      <c r="AG10" s="54">
        <f>C10</f>
        <v>2400</v>
      </c>
      <c r="AH10" s="55">
        <f>AF10*AG10</f>
        <v>687811.67999999993</v>
      </c>
      <c r="AI10" s="190"/>
    </row>
    <row r="11" spans="2:35" ht="15" thickBot="1" x14ac:dyDescent="0.4">
      <c r="B11" s="296" t="s">
        <v>23</v>
      </c>
      <c r="C11" s="58">
        <v>16050</v>
      </c>
      <c r="D11" s="297"/>
      <c r="E11" s="298"/>
      <c r="F11" s="224"/>
      <c r="H11"/>
      <c r="I11" s="61">
        <v>72.561999999999998</v>
      </c>
      <c r="J11" s="62">
        <f>C11</f>
        <v>16050</v>
      </c>
      <c r="K11" s="63">
        <f>+I11*J11</f>
        <v>1164620.0999999999</v>
      </c>
      <c r="O11"/>
      <c r="P11" s="61">
        <f>P49</f>
        <v>72.56</v>
      </c>
      <c r="Q11" s="62">
        <f>C11</f>
        <v>16050</v>
      </c>
      <c r="R11" s="63">
        <f>P11*Q11</f>
        <v>1164588</v>
      </c>
      <c r="W11"/>
      <c r="X11" s="61">
        <f>X49</f>
        <v>72.56</v>
      </c>
      <c r="Y11" s="62">
        <f>C11</f>
        <v>16050</v>
      </c>
      <c r="Z11" s="63">
        <f>X11*Y11</f>
        <v>1164588</v>
      </c>
      <c r="AE11"/>
      <c r="AF11" s="61">
        <f>AF49</f>
        <v>-1.6140000000000001</v>
      </c>
      <c r="AG11" s="62">
        <f>C11</f>
        <v>16050</v>
      </c>
      <c r="AH11" s="63">
        <f>AF11*AG11</f>
        <v>-25904.7</v>
      </c>
      <c r="AI11" s="190"/>
    </row>
    <row r="12" spans="2:35" ht="15" thickBot="1" x14ac:dyDescent="0.4">
      <c r="B12" s="405" t="s">
        <v>153</v>
      </c>
      <c r="C12" s="406"/>
      <c r="D12" s="406"/>
      <c r="E12" s="407"/>
      <c r="H12" s="65"/>
      <c r="I12" s="65"/>
      <c r="J12" s="56"/>
      <c r="K12" s="66">
        <f>SUM(K7:K11)</f>
        <v>115234115.88714799</v>
      </c>
      <c r="O12" s="65"/>
      <c r="P12" s="65"/>
      <c r="Q12" s="56"/>
      <c r="R12" s="66">
        <f>SUM(R7:R11)</f>
        <v>142468333.787148</v>
      </c>
      <c r="W12" s="65"/>
      <c r="X12" s="65"/>
      <c r="Y12" s="56"/>
      <c r="Z12" s="66">
        <f>SUM(Z7:Z11)</f>
        <v>140999433.787148</v>
      </c>
      <c r="AE12" s="65"/>
      <c r="AF12" s="65"/>
      <c r="AG12" s="56"/>
      <c r="AH12" s="66">
        <f>SUM(AH7:AH11)</f>
        <v>160073086.584068</v>
      </c>
      <c r="AI12" s="30"/>
    </row>
    <row r="13" spans="2:35" ht="15" thickBot="1" x14ac:dyDescent="0.4">
      <c r="H13"/>
      <c r="I13" s="67"/>
      <c r="J13" s="67"/>
      <c r="K13" s="68">
        <f>C14</f>
        <v>467520.98100000003</v>
      </c>
      <c r="L13" s="69" t="s">
        <v>25</v>
      </c>
      <c r="O13"/>
      <c r="P13" s="67"/>
      <c r="Q13" s="67"/>
      <c r="R13" s="68">
        <v>914969.33</v>
      </c>
      <c r="S13" s="69" t="s">
        <v>25</v>
      </c>
      <c r="W13"/>
      <c r="X13" s="67"/>
      <c r="Y13" s="67"/>
      <c r="Z13" s="68">
        <v>914969.33</v>
      </c>
      <c r="AA13" s="69" t="s">
        <v>25</v>
      </c>
      <c r="AE13"/>
      <c r="AF13" s="67"/>
      <c r="AG13" s="67"/>
      <c r="AH13" s="68">
        <v>467520.98100000003</v>
      </c>
      <c r="AI13" s="69" t="s">
        <v>169</v>
      </c>
    </row>
    <row r="14" spans="2:35" ht="15" thickBot="1" x14ac:dyDescent="0.4">
      <c r="B14" s="73" t="s">
        <v>25</v>
      </c>
      <c r="C14" s="411">
        <f>AH13</f>
        <v>467520.98100000003</v>
      </c>
      <c r="D14" s="411"/>
      <c r="E14" s="412"/>
      <c r="H14" t="s">
        <v>116</v>
      </c>
      <c r="I14" s="413" t="s">
        <v>27</v>
      </c>
      <c r="J14" s="413"/>
      <c r="K14" s="74">
        <f>D15</f>
        <v>-2155765.19</v>
      </c>
      <c r="L14" s="75" t="s">
        <v>28</v>
      </c>
      <c r="O14"/>
      <c r="P14" s="413" t="s">
        <v>27</v>
      </c>
      <c r="Q14" s="413"/>
      <c r="R14" s="74">
        <v>1416119.21</v>
      </c>
      <c r="S14" s="75" t="s">
        <v>28</v>
      </c>
      <c r="W14"/>
      <c r="X14" s="413" t="s">
        <v>27</v>
      </c>
      <c r="Y14" s="413"/>
      <c r="Z14" s="74">
        <v>1416119.21</v>
      </c>
      <c r="AA14" s="75" t="s">
        <v>28</v>
      </c>
      <c r="AE14"/>
      <c r="AF14" s="413" t="s">
        <v>27</v>
      </c>
      <c r="AG14" s="413"/>
      <c r="AH14" s="74">
        <f>-2855765.19+700000</f>
        <v>-2155765.19</v>
      </c>
      <c r="AI14" s="75" t="s">
        <v>172</v>
      </c>
    </row>
    <row r="15" spans="2:35" ht="15" thickBot="1" x14ac:dyDescent="0.4">
      <c r="B15" s="81" t="s">
        <v>28</v>
      </c>
      <c r="C15" s="82"/>
      <c r="D15" s="380">
        <f>AH14</f>
        <v>-2155765.19</v>
      </c>
      <c r="E15" s="381"/>
      <c r="H15" t="s">
        <v>116</v>
      </c>
      <c r="I15" s="56" t="s">
        <v>30</v>
      </c>
      <c r="J15" s="83"/>
      <c r="K15" s="84">
        <f>+K12+K13+K14</f>
        <v>113545871.678148</v>
      </c>
      <c r="O15"/>
      <c r="P15" s="56" t="s">
        <v>30</v>
      </c>
      <c r="Q15" s="83"/>
      <c r="R15" s="84">
        <f>+R12+R13+R14</f>
        <v>144799422.32714802</v>
      </c>
      <c r="W15"/>
      <c r="X15" s="56" t="s">
        <v>30</v>
      </c>
      <c r="Y15" s="83"/>
      <c r="Z15" s="84">
        <f>+Z12+Z13+Z14</f>
        <v>143330522.32714802</v>
      </c>
      <c r="AE15"/>
      <c r="AF15" s="56" t="s">
        <v>30</v>
      </c>
      <c r="AG15" s="83"/>
      <c r="AH15" s="84">
        <f>+AH12+AH13+AH14</f>
        <v>158384842.37506801</v>
      </c>
    </row>
    <row r="16" spans="2:35" ht="15" thickBot="1" x14ac:dyDescent="0.4">
      <c r="C16" s="85"/>
      <c r="D16" s="85"/>
      <c r="E16" s="85"/>
      <c r="H16"/>
      <c r="I16" s="56"/>
      <c r="J16" s="56"/>
      <c r="O16"/>
      <c r="P16" s="56"/>
      <c r="Q16" s="56"/>
      <c r="W16"/>
      <c r="X16" s="56"/>
      <c r="Y16" s="56"/>
      <c r="AE16"/>
      <c r="AF16" s="56"/>
      <c r="AG16" s="56"/>
      <c r="AH16" s="30"/>
    </row>
    <row r="17" spans="2:35" ht="15" thickBot="1" x14ac:dyDescent="0.4">
      <c r="B17" s="382" t="s">
        <v>31</v>
      </c>
      <c r="C17" s="383"/>
      <c r="D17" s="383"/>
      <c r="E17" s="384"/>
      <c r="H17"/>
      <c r="I17" s="7" t="s">
        <v>100</v>
      </c>
      <c r="J17" s="86"/>
      <c r="K17" s="86"/>
      <c r="L17" s="9"/>
      <c r="O17"/>
      <c r="P17" s="7" t="s">
        <v>100</v>
      </c>
      <c r="Q17" s="86"/>
      <c r="R17" s="86"/>
      <c r="S17" s="9"/>
      <c r="W17"/>
      <c r="X17" s="7" t="s">
        <v>100</v>
      </c>
      <c r="Y17" s="86"/>
      <c r="Z17" s="86"/>
      <c r="AA17" s="9"/>
      <c r="AE17"/>
      <c r="AF17" s="7" t="s">
        <v>100</v>
      </c>
      <c r="AG17" s="86"/>
      <c r="AH17" s="86"/>
      <c r="AI17" s="9"/>
    </row>
    <row r="18" spans="2:35" ht="15" customHeight="1" x14ac:dyDescent="0.35">
      <c r="B18" s="87" t="s">
        <v>33</v>
      </c>
      <c r="C18" s="88">
        <f>-SUM('LIFO as of 12.31.19 (01.08.20)'!C19:C21)</f>
        <v>-3377592.5</v>
      </c>
      <c r="D18" s="89"/>
      <c r="E18" s="90"/>
      <c r="H18" s="385" t="s">
        <v>34</v>
      </c>
      <c r="I18" s="91">
        <v>635.15750000000003</v>
      </c>
      <c r="J18" s="92">
        <v>513</v>
      </c>
      <c r="K18" s="92">
        <f>+I18*J18</f>
        <v>325835.79749999999</v>
      </c>
      <c r="L18" s="93">
        <v>2005</v>
      </c>
      <c r="O18" s="385" t="s">
        <v>34</v>
      </c>
      <c r="P18" s="91">
        <v>635.15750000000003</v>
      </c>
      <c r="Q18" s="92">
        <v>513</v>
      </c>
      <c r="R18" s="92">
        <f>+P18*Q18</f>
        <v>325835.79749999999</v>
      </c>
      <c r="S18" s="93">
        <v>2005</v>
      </c>
      <c r="W18" s="385" t="s">
        <v>34</v>
      </c>
      <c r="X18" s="91">
        <v>635.15750000000003</v>
      </c>
      <c r="Y18" s="92">
        <v>513</v>
      </c>
      <c r="Z18" s="92">
        <f>+X18*Y18</f>
        <v>325835.79749999999</v>
      </c>
      <c r="AA18" s="93">
        <v>2005</v>
      </c>
      <c r="AE18" s="437" t="s">
        <v>34</v>
      </c>
      <c r="AF18" s="91">
        <v>635.15750000000003</v>
      </c>
      <c r="AG18" s="92">
        <v>513</v>
      </c>
      <c r="AH18" s="92">
        <f>+AF18*AG18</f>
        <v>325835.79749999999</v>
      </c>
      <c r="AI18" s="93">
        <v>2005</v>
      </c>
    </row>
    <row r="19" spans="2:35" x14ac:dyDescent="0.35">
      <c r="B19" s="87" t="s">
        <v>36</v>
      </c>
      <c r="C19" s="88">
        <v>-847675</v>
      </c>
      <c r="D19" s="96"/>
      <c r="E19" s="97" t="s">
        <v>117</v>
      </c>
      <c r="H19" s="386"/>
      <c r="I19" s="91">
        <v>8241.6015000000007</v>
      </c>
      <c r="J19" s="92">
        <v>635.70000000000005</v>
      </c>
      <c r="K19" s="92">
        <f t="shared" ref="K19:K22" si="0">+I19*J19</f>
        <v>5239186.0735500008</v>
      </c>
      <c r="L19" s="93">
        <v>2006</v>
      </c>
      <c r="O19" s="386"/>
      <c r="P19" s="91">
        <v>8241.6015000000007</v>
      </c>
      <c r="Q19" s="92">
        <v>635.70000000000005</v>
      </c>
      <c r="R19" s="92">
        <f t="shared" ref="R19:R22" si="1">+P19*Q19</f>
        <v>5239186.0735500008</v>
      </c>
      <c r="S19" s="93">
        <v>2006</v>
      </c>
      <c r="W19" s="386"/>
      <c r="X19" s="91">
        <v>8241.6015000000007</v>
      </c>
      <c r="Y19" s="92">
        <v>635.70000000000005</v>
      </c>
      <c r="Z19" s="92">
        <f t="shared" ref="Z19:Z22" si="2">+X19*Y19</f>
        <v>5239186.0735500008</v>
      </c>
      <c r="AA19" s="93">
        <v>2006</v>
      </c>
      <c r="AE19" s="438"/>
      <c r="AF19" s="91">
        <v>8241.6015000000007</v>
      </c>
      <c r="AG19" s="92">
        <v>635.70000000000005</v>
      </c>
      <c r="AH19" s="92">
        <f t="shared" ref="AH19:AH22" si="3">+AF19*AG19</f>
        <v>5239186.0735500008</v>
      </c>
      <c r="AI19" s="93">
        <v>2006</v>
      </c>
    </row>
    <row r="20" spans="2:35" x14ac:dyDescent="0.35">
      <c r="B20" s="87" t="s">
        <v>38</v>
      </c>
      <c r="C20" s="98">
        <v>-1585.5</v>
      </c>
      <c r="D20" s="96"/>
      <c r="E20" s="97" t="s">
        <v>117</v>
      </c>
      <c r="H20" s="386"/>
      <c r="I20" s="91">
        <f>2706.7257-20.5754</f>
        <v>2686.1502999999998</v>
      </c>
      <c r="J20" s="92">
        <v>846.75</v>
      </c>
      <c r="K20" s="92">
        <f t="shared" si="0"/>
        <v>2274497.7665249999</v>
      </c>
      <c r="L20" s="93">
        <v>2008</v>
      </c>
      <c r="O20" s="386"/>
      <c r="P20" s="91">
        <f>2706.7257-20.5754</f>
        <v>2686.1502999999998</v>
      </c>
      <c r="Q20" s="92">
        <v>846.75</v>
      </c>
      <c r="R20" s="92">
        <f t="shared" si="1"/>
        <v>2274497.7665249999</v>
      </c>
      <c r="S20" s="93">
        <v>2008</v>
      </c>
      <c r="W20" s="386"/>
      <c r="X20" s="91">
        <f>2706.7257-20.5754</f>
        <v>2686.1502999999998</v>
      </c>
      <c r="Y20" s="92">
        <v>846.75</v>
      </c>
      <c r="Z20" s="92">
        <f t="shared" si="2"/>
        <v>2274497.7665249999</v>
      </c>
      <c r="AA20" s="93">
        <v>2008</v>
      </c>
      <c r="AE20" s="438"/>
      <c r="AF20" s="91">
        <f>2706.7257-20.5754</f>
        <v>2686.1502999999998</v>
      </c>
      <c r="AG20" s="92">
        <v>846.75</v>
      </c>
      <c r="AH20" s="92">
        <f t="shared" si="3"/>
        <v>2274497.7665249999</v>
      </c>
      <c r="AI20" s="93">
        <v>2008</v>
      </c>
    </row>
    <row r="21" spans="2:35" x14ac:dyDescent="0.35">
      <c r="B21" s="87" t="s">
        <v>39</v>
      </c>
      <c r="C21" s="88">
        <f>5523930+10635</f>
        <v>5534565</v>
      </c>
      <c r="D21" s="96"/>
      <c r="E21" s="97" t="s">
        <v>118</v>
      </c>
      <c r="H21" s="386"/>
      <c r="I21" s="91"/>
      <c r="J21" s="92">
        <v>1527.1</v>
      </c>
      <c r="K21" s="92">
        <f t="shared" si="0"/>
        <v>0</v>
      </c>
      <c r="L21" s="104" t="s">
        <v>113</v>
      </c>
      <c r="O21" s="386"/>
      <c r="P21" s="91">
        <f>668.4836-48.1355-620.3481</f>
        <v>0</v>
      </c>
      <c r="Q21" s="92">
        <v>1527.1</v>
      </c>
      <c r="R21" s="92">
        <f t="shared" si="1"/>
        <v>0</v>
      </c>
      <c r="S21" s="104" t="s">
        <v>113</v>
      </c>
      <c r="W21" s="386"/>
      <c r="X21" s="91">
        <v>13575</v>
      </c>
      <c r="Y21" s="92">
        <v>1527.1</v>
      </c>
      <c r="Z21" s="92">
        <f t="shared" si="2"/>
        <v>20730382.5</v>
      </c>
      <c r="AA21" s="104" t="s">
        <v>113</v>
      </c>
      <c r="AE21" s="438"/>
      <c r="AF21" s="91">
        <f>17205-225.4631</f>
        <v>16979.536899999999</v>
      </c>
      <c r="AG21" s="92">
        <v>1527.1</v>
      </c>
      <c r="AH21" s="92">
        <f t="shared" si="3"/>
        <v>25929450.799989998</v>
      </c>
      <c r="AI21" s="104" t="s">
        <v>113</v>
      </c>
    </row>
    <row r="22" spans="2:35" x14ac:dyDescent="0.35">
      <c r="B22" s="87" t="s">
        <v>103</v>
      </c>
      <c r="C22" s="88">
        <v>-471640</v>
      </c>
      <c r="D22" s="96"/>
      <c r="E22" s="97" t="s">
        <v>118</v>
      </c>
      <c r="H22" s="386"/>
      <c r="I22" s="91"/>
      <c r="J22" s="103"/>
      <c r="K22" s="92">
        <f t="shared" si="0"/>
        <v>0</v>
      </c>
      <c r="O22" s="386"/>
      <c r="P22" s="91"/>
      <c r="Q22" s="103"/>
      <c r="R22" s="92">
        <f t="shared" si="1"/>
        <v>0</v>
      </c>
      <c r="W22" s="386"/>
      <c r="X22" s="91"/>
      <c r="Y22" s="103"/>
      <c r="Z22" s="92">
        <f t="shared" si="2"/>
        <v>0</v>
      </c>
      <c r="AE22" s="438"/>
      <c r="AF22" s="91"/>
      <c r="AG22" s="103"/>
      <c r="AH22" s="92">
        <f t="shared" si="3"/>
        <v>0</v>
      </c>
    </row>
    <row r="23" spans="2:35" ht="15" thickBot="1" x14ac:dyDescent="0.4">
      <c r="B23" s="99" t="s">
        <v>41</v>
      </c>
      <c r="C23" s="100">
        <f>SUM(C18:C22)</f>
        <v>836072</v>
      </c>
      <c r="D23" s="101"/>
      <c r="E23" s="102" t="str">
        <f>B3</f>
        <v>Date as of : 12.29.2020</v>
      </c>
      <c r="H23" s="386"/>
      <c r="I23" s="106"/>
      <c r="J23" s="92"/>
      <c r="K23" s="92"/>
      <c r="L23" s="93"/>
      <c r="O23" s="386"/>
      <c r="P23" s="106"/>
      <c r="Q23" s="92"/>
      <c r="R23" s="92"/>
      <c r="S23" s="93"/>
      <c r="W23" s="386"/>
      <c r="X23" s="106"/>
      <c r="Y23" s="92"/>
      <c r="Z23" s="92"/>
      <c r="AA23" s="93"/>
      <c r="AE23" s="438"/>
      <c r="AF23" s="106"/>
      <c r="AG23" s="92"/>
      <c r="AH23" s="92"/>
      <c r="AI23" s="93"/>
    </row>
    <row r="24" spans="2:35" ht="15" thickBot="1" x14ac:dyDescent="0.4">
      <c r="B24" s="388" t="s">
        <v>125</v>
      </c>
      <c r="C24" s="389"/>
      <c r="D24" s="389"/>
      <c r="E24" s="390"/>
      <c r="H24" s="387"/>
      <c r="I24" s="108">
        <f>SUM(I18:I23)</f>
        <v>11562.909299999999</v>
      </c>
      <c r="J24" s="92"/>
      <c r="K24" s="109">
        <f>SUM(K18:K23)</f>
        <v>7839519.6375750005</v>
      </c>
      <c r="L24" s="93"/>
      <c r="O24" s="387"/>
      <c r="P24" s="108">
        <f>SUM(P18:P23)</f>
        <v>11562.909299999999</v>
      </c>
      <c r="Q24" s="92"/>
      <c r="R24" s="109">
        <f>SUM(R18:R23)</f>
        <v>7839519.6375750005</v>
      </c>
      <c r="S24" s="93"/>
      <c r="W24" s="387"/>
      <c r="X24" s="108">
        <f>SUM(X18:X23)</f>
        <v>25137.909299999999</v>
      </c>
      <c r="Y24" s="92"/>
      <c r="Z24" s="109">
        <f>SUM(Z18:Z23)</f>
        <v>28569902.137575001</v>
      </c>
      <c r="AA24" s="93"/>
      <c r="AE24" s="387"/>
      <c r="AF24" s="108">
        <f>SUM(AF18:AF23)</f>
        <v>28542.446199999998</v>
      </c>
      <c r="AG24" s="92"/>
      <c r="AH24" s="109">
        <f>SUM(AH18:AH23)</f>
        <v>33768970.437564999</v>
      </c>
      <c r="AI24" s="93"/>
    </row>
    <row r="25" spans="2:35" ht="15" thickTop="1" x14ac:dyDescent="0.35">
      <c r="B25" s="388" t="s">
        <v>126</v>
      </c>
      <c r="C25" s="389"/>
      <c r="D25" s="389"/>
      <c r="E25" s="390"/>
      <c r="I25" s="56"/>
      <c r="J25" s="115"/>
      <c r="L25" s="93"/>
      <c r="P25" s="56"/>
      <c r="Q25" s="115"/>
      <c r="S25" s="93"/>
      <c r="X25" s="56"/>
      <c r="Y25" s="115"/>
      <c r="AA25" s="93"/>
      <c r="AF25" s="56"/>
      <c r="AG25" s="115"/>
      <c r="AI25" s="93"/>
    </row>
    <row r="26" spans="2:35" ht="15" customHeight="1" x14ac:dyDescent="0.35">
      <c r="B26" s="391" t="s">
        <v>127</v>
      </c>
      <c r="C26" s="392"/>
      <c r="D26" s="392"/>
      <c r="E26" s="393"/>
      <c r="H26" s="394" t="s">
        <v>47</v>
      </c>
      <c r="I26" s="116">
        <v>981664.58790000004</v>
      </c>
      <c r="J26" s="233">
        <v>8.83</v>
      </c>
      <c r="K26" s="118">
        <f t="shared" ref="K26:K31" si="4">+I26*J26</f>
        <v>8668098.3111570012</v>
      </c>
      <c r="L26" s="93">
        <v>2005</v>
      </c>
      <c r="O26" s="394" t="s">
        <v>47</v>
      </c>
      <c r="P26" s="116">
        <v>981664.58790000004</v>
      </c>
      <c r="Q26" s="233">
        <v>8.83</v>
      </c>
      <c r="R26" s="118">
        <f t="shared" ref="R26:R31" si="5">+P26*Q26</f>
        <v>8668098.3111570012</v>
      </c>
      <c r="S26" s="93">
        <v>2005</v>
      </c>
      <c r="W26" s="394" t="s">
        <v>47</v>
      </c>
      <c r="X26" s="116">
        <v>981664.58790000004</v>
      </c>
      <c r="Y26" s="233">
        <v>8.83</v>
      </c>
      <c r="Z26" s="118">
        <f t="shared" ref="Z26:Z31" si="6">+X26*Y26</f>
        <v>8668098.3111570012</v>
      </c>
      <c r="AA26" s="93">
        <v>2005</v>
      </c>
      <c r="AE26" s="433" t="s">
        <v>47</v>
      </c>
      <c r="AF26" s="116">
        <v>981664.58790000004</v>
      </c>
      <c r="AG26" s="233">
        <v>8.83</v>
      </c>
      <c r="AH26" s="118">
        <f t="shared" ref="AH26:AH31" si="7">+AF26*AG26</f>
        <v>8668098.3111570012</v>
      </c>
      <c r="AI26" s="93">
        <v>2005</v>
      </c>
    </row>
    <row r="27" spans="2:35" ht="15" thickBot="1" x14ac:dyDescent="0.4">
      <c r="B27" s="396" t="s">
        <v>124</v>
      </c>
      <c r="C27" s="397"/>
      <c r="D27" s="397"/>
      <c r="E27" s="398"/>
      <c r="H27" s="395"/>
      <c r="I27" s="116">
        <v>649.01480000000004</v>
      </c>
      <c r="J27" s="233">
        <v>14.93</v>
      </c>
      <c r="K27" s="118">
        <f t="shared" si="4"/>
        <v>9689.7909639999998</v>
      </c>
      <c r="L27" s="93">
        <v>2008</v>
      </c>
      <c r="O27" s="395"/>
      <c r="P27" s="116">
        <v>649.01480000000004</v>
      </c>
      <c r="Q27" s="233">
        <v>14.93</v>
      </c>
      <c r="R27" s="118">
        <f t="shared" si="5"/>
        <v>9689.7909639999998</v>
      </c>
      <c r="S27" s="93">
        <v>2008</v>
      </c>
      <c r="W27" s="395"/>
      <c r="X27" s="116">
        <v>649.01480000000004</v>
      </c>
      <c r="Y27" s="233">
        <v>14.93</v>
      </c>
      <c r="Z27" s="118">
        <f t="shared" si="6"/>
        <v>9689.7909639999998</v>
      </c>
      <c r="AA27" s="93">
        <v>2008</v>
      </c>
      <c r="AE27" s="434"/>
      <c r="AF27" s="116">
        <v>649.01480000000004</v>
      </c>
      <c r="AG27" s="233">
        <v>14.93</v>
      </c>
      <c r="AH27" s="118">
        <f t="shared" si="7"/>
        <v>9689.7909639999998</v>
      </c>
      <c r="AI27" s="93">
        <v>2008</v>
      </c>
    </row>
    <row r="28" spans="2:35" ht="15" thickBot="1" x14ac:dyDescent="0.4">
      <c r="B28" s="93"/>
      <c r="C28" s="93"/>
      <c r="D28" s="93"/>
      <c r="E28" s="93"/>
      <c r="H28" s="395"/>
      <c r="I28" s="122">
        <f>213803.7135</f>
        <v>213803.71350000001</v>
      </c>
      <c r="J28" s="233">
        <v>11.08</v>
      </c>
      <c r="K28" s="118">
        <f t="shared" si="4"/>
        <v>2368945.1455800002</v>
      </c>
      <c r="L28" s="93">
        <v>2009</v>
      </c>
      <c r="O28" s="395"/>
      <c r="P28" s="122">
        <f>213803.7135</f>
        <v>213803.71350000001</v>
      </c>
      <c r="Q28" s="233">
        <v>11.08</v>
      </c>
      <c r="R28" s="118">
        <f t="shared" si="5"/>
        <v>2368945.1455800002</v>
      </c>
      <c r="S28" s="93">
        <v>2009</v>
      </c>
      <c r="W28" s="395"/>
      <c r="X28" s="122">
        <f>213803.7135</f>
        <v>213803.71350000001</v>
      </c>
      <c r="Y28" s="233">
        <v>11.08</v>
      </c>
      <c r="Z28" s="118">
        <f t="shared" si="6"/>
        <v>2368945.1455800002</v>
      </c>
      <c r="AA28" s="93">
        <v>2009</v>
      </c>
      <c r="AE28" s="434"/>
      <c r="AF28" s="122">
        <f>213803.7135</f>
        <v>213803.71350000001</v>
      </c>
      <c r="AG28" s="233">
        <v>11.08</v>
      </c>
      <c r="AH28" s="118">
        <f t="shared" si="7"/>
        <v>2368945.1455800002</v>
      </c>
      <c r="AI28" s="93">
        <v>2009</v>
      </c>
    </row>
    <row r="29" spans="2:35" ht="15" thickBot="1" x14ac:dyDescent="0.4">
      <c r="B29" s="119" t="s">
        <v>48</v>
      </c>
      <c r="C29" s="120" t="s">
        <v>165</v>
      </c>
      <c r="D29" s="120"/>
      <c r="E29" s="121">
        <v>31023830.890000001</v>
      </c>
      <c r="H29" s="395"/>
      <c r="I29" s="122">
        <f>1249196.5802-72195.341</f>
        <v>1177001.2392</v>
      </c>
      <c r="J29" s="233">
        <v>14</v>
      </c>
      <c r="K29" s="118">
        <f t="shared" si="4"/>
        <v>16478017.3488</v>
      </c>
      <c r="L29" s="93">
        <v>2016</v>
      </c>
      <c r="O29" s="395"/>
      <c r="P29" s="122">
        <f>1249196.5802-72195.341</f>
        <v>1177001.2392</v>
      </c>
      <c r="Q29" s="233">
        <v>14</v>
      </c>
      <c r="R29" s="118">
        <f t="shared" si="5"/>
        <v>16478017.3488</v>
      </c>
      <c r="S29" s="93">
        <v>2016</v>
      </c>
      <c r="W29" s="395"/>
      <c r="X29" s="122">
        <f>1249196.5802-72195.341</f>
        <v>1177001.2392</v>
      </c>
      <c r="Y29" s="233">
        <v>14</v>
      </c>
      <c r="Z29" s="118">
        <f t="shared" si="6"/>
        <v>16478017.3488</v>
      </c>
      <c r="AA29" s="93">
        <v>2016</v>
      </c>
      <c r="AE29" s="434"/>
      <c r="AF29" s="122">
        <v>1177001.2392</v>
      </c>
      <c r="AG29" s="233">
        <v>14</v>
      </c>
      <c r="AH29" s="118">
        <f t="shared" si="7"/>
        <v>16478017.3488</v>
      </c>
      <c r="AI29" s="93">
        <v>2016</v>
      </c>
    </row>
    <row r="30" spans="2:35" x14ac:dyDescent="0.35">
      <c r="B30" s="93"/>
      <c r="C30" s="93"/>
      <c r="D30" s="93"/>
      <c r="E30" s="93" t="s">
        <v>164</v>
      </c>
      <c r="H30" s="395"/>
      <c r="I30" s="122">
        <v>1047351.461</v>
      </c>
      <c r="J30" s="234">
        <v>15.44</v>
      </c>
      <c r="K30" s="118">
        <f t="shared" si="4"/>
        <v>16171106.557839999</v>
      </c>
      <c r="L30" s="104" t="s">
        <v>42</v>
      </c>
      <c r="O30" s="395"/>
      <c r="P30" s="122">
        <v>1047351.461</v>
      </c>
      <c r="Q30" s="234">
        <v>15.44</v>
      </c>
      <c r="R30" s="118">
        <f t="shared" si="5"/>
        <v>16171106.557839999</v>
      </c>
      <c r="S30" s="104" t="s">
        <v>42</v>
      </c>
      <c r="W30" s="395"/>
      <c r="X30" s="122">
        <v>1047351.461</v>
      </c>
      <c r="Y30" s="234">
        <v>15.44</v>
      </c>
      <c r="Z30" s="118">
        <f t="shared" si="6"/>
        <v>16171106.557839999</v>
      </c>
      <c r="AA30" s="104" t="s">
        <v>42</v>
      </c>
      <c r="AE30" s="434"/>
      <c r="AF30" s="122">
        <v>1047351.461</v>
      </c>
      <c r="AG30" s="234">
        <v>15.44</v>
      </c>
      <c r="AH30" s="118">
        <f t="shared" si="7"/>
        <v>16171106.557839999</v>
      </c>
      <c r="AI30" s="104" t="s">
        <v>42</v>
      </c>
    </row>
    <row r="31" spans="2:35" ht="15" thickBot="1" x14ac:dyDescent="0.4">
      <c r="B31" s="93"/>
      <c r="C31" s="93"/>
      <c r="D31" s="93"/>
      <c r="E31" s="123"/>
      <c r="H31" s="395"/>
      <c r="I31" s="122">
        <v>0</v>
      </c>
      <c r="J31" s="234">
        <v>17.925000000000001</v>
      </c>
      <c r="K31" s="118">
        <f t="shared" si="4"/>
        <v>0</v>
      </c>
      <c r="L31" s="104" t="s">
        <v>113</v>
      </c>
      <c r="O31" s="395"/>
      <c r="P31" s="122">
        <v>1025000</v>
      </c>
      <c r="Q31" s="234">
        <v>17.925000000000001</v>
      </c>
      <c r="R31" s="118">
        <f t="shared" si="5"/>
        <v>18373125</v>
      </c>
      <c r="S31" s="104" t="s">
        <v>113</v>
      </c>
      <c r="W31" s="395"/>
      <c r="X31" s="122">
        <v>0</v>
      </c>
      <c r="Y31" s="234">
        <v>17.925000000000001</v>
      </c>
      <c r="Z31" s="118">
        <f t="shared" si="6"/>
        <v>0</v>
      </c>
      <c r="AA31" s="104" t="s">
        <v>113</v>
      </c>
      <c r="AE31" s="434"/>
      <c r="AF31" s="122">
        <f>553000-18607.404</f>
        <v>534392.59600000002</v>
      </c>
      <c r="AG31" s="234">
        <v>17.925000000000001</v>
      </c>
      <c r="AH31" s="118">
        <f t="shared" si="7"/>
        <v>9578987.2833000012</v>
      </c>
      <c r="AI31" s="104" t="s">
        <v>113</v>
      </c>
    </row>
    <row r="32" spans="2:35" ht="15" thickBot="1" x14ac:dyDescent="0.4">
      <c r="B32" s="399" t="s">
        <v>49</v>
      </c>
      <c r="C32" s="400"/>
      <c r="D32" s="400"/>
      <c r="E32" s="401"/>
      <c r="H32" s="395"/>
      <c r="I32" s="125">
        <f>SUM(I26:I31)</f>
        <v>3420470.0164000001</v>
      </c>
      <c r="J32" s="126"/>
      <c r="K32" s="127">
        <f>SUM(K26:K31)</f>
        <v>43695857.154340997</v>
      </c>
      <c r="L32" s="93"/>
      <c r="O32" s="395"/>
      <c r="P32" s="125">
        <f>SUM(P26:P31)</f>
        <v>4445470.0164000001</v>
      </c>
      <c r="Q32" s="126"/>
      <c r="R32" s="127">
        <f>SUM(R26:R31)</f>
        <v>62068982.154340997</v>
      </c>
      <c r="S32" s="93"/>
      <c r="W32" s="395"/>
      <c r="X32" s="125">
        <f>SUM(X26:X31)</f>
        <v>3420470.0164000001</v>
      </c>
      <c r="Y32" s="126"/>
      <c r="Z32" s="127">
        <f>SUM(Z26:Z31)</f>
        <v>43695857.154340997</v>
      </c>
      <c r="AA32" s="93"/>
      <c r="AE32" s="435"/>
      <c r="AF32" s="125">
        <f>SUM(AF26:AF31)</f>
        <v>3954862.6124</v>
      </c>
      <c r="AG32" s="126"/>
      <c r="AH32" s="127">
        <f>SUM(AH26:AH31)</f>
        <v>53274844.437640995</v>
      </c>
      <c r="AI32" s="93"/>
    </row>
    <row r="33" spans="2:35" ht="15" thickTop="1" x14ac:dyDescent="0.35">
      <c r="B33" s="402"/>
      <c r="C33" s="436"/>
      <c r="D33" s="436"/>
      <c r="E33" s="404"/>
      <c r="I33" s="131"/>
      <c r="K33" s="132"/>
      <c r="L33" s="93"/>
      <c r="P33" s="131"/>
      <c r="R33" s="132"/>
      <c r="S33" s="93"/>
      <c r="X33" s="131"/>
      <c r="Z33" s="132"/>
      <c r="AA33" s="93"/>
      <c r="AF33" s="131"/>
      <c r="AH33" s="132"/>
      <c r="AI33" s="93"/>
    </row>
    <row r="34" spans="2:35" ht="15" thickBot="1" x14ac:dyDescent="0.4">
      <c r="B34" s="405"/>
      <c r="C34" s="406"/>
      <c r="D34" s="406"/>
      <c r="E34" s="407"/>
      <c r="H34" s="408" t="s">
        <v>51</v>
      </c>
      <c r="I34" s="134">
        <v>0</v>
      </c>
      <c r="J34" s="135"/>
      <c r="K34" s="136">
        <f>+I34*J34</f>
        <v>0</v>
      </c>
      <c r="L34" s="93"/>
      <c r="O34" s="408" t="s">
        <v>51</v>
      </c>
      <c r="P34" s="134">
        <v>0</v>
      </c>
      <c r="Q34" s="135"/>
      <c r="R34" s="136">
        <f>+P34*Q34</f>
        <v>0</v>
      </c>
      <c r="S34" s="93"/>
      <c r="W34" s="408" t="s">
        <v>51</v>
      </c>
      <c r="X34" s="134">
        <v>0</v>
      </c>
      <c r="Y34" s="135"/>
      <c r="Z34" s="136">
        <f>+X34*Y34</f>
        <v>0</v>
      </c>
      <c r="AA34" s="93"/>
      <c r="AE34" s="408" t="s">
        <v>51</v>
      </c>
      <c r="AF34" s="134">
        <v>146.6515</v>
      </c>
      <c r="AG34" s="139">
        <v>987</v>
      </c>
      <c r="AH34" s="136">
        <f>+AF34*AG34</f>
        <v>144745.03049999999</v>
      </c>
      <c r="AI34" s="104" t="s">
        <v>113</v>
      </c>
    </row>
    <row r="35" spans="2:35" x14ac:dyDescent="0.35">
      <c r="B35" s="350" t="s">
        <v>35</v>
      </c>
      <c r="C35" s="351"/>
      <c r="D35" s="351"/>
      <c r="E35" s="352"/>
      <c r="H35" s="409"/>
      <c r="I35" s="137">
        <v>0</v>
      </c>
      <c r="J35" s="135"/>
      <c r="K35" s="136">
        <f>+I35*J35</f>
        <v>0</v>
      </c>
      <c r="L35" s="93"/>
      <c r="O35" s="409"/>
      <c r="P35" s="137">
        <v>0</v>
      </c>
      <c r="Q35" s="135"/>
      <c r="R35" s="136">
        <f>+P35*Q35</f>
        <v>0</v>
      </c>
      <c r="S35" s="93"/>
      <c r="W35" s="409"/>
      <c r="X35" s="137">
        <v>0</v>
      </c>
      <c r="Y35" s="135"/>
      <c r="Z35" s="136">
        <f>+X35*Y35</f>
        <v>0</v>
      </c>
      <c r="AA35" s="93"/>
      <c r="AE35" s="409"/>
      <c r="AF35" s="137">
        <v>0</v>
      </c>
      <c r="AG35" s="135"/>
      <c r="AH35" s="136">
        <f>+AF35*AG35</f>
        <v>0</v>
      </c>
      <c r="AI35" s="93"/>
    </row>
    <row r="36" spans="2:35" x14ac:dyDescent="0.35">
      <c r="B36" s="353"/>
      <c r="C36" s="354"/>
      <c r="D36" s="354"/>
      <c r="E36" s="355"/>
      <c r="H36" s="409"/>
      <c r="I36" s="137">
        <v>0</v>
      </c>
      <c r="J36" s="135"/>
      <c r="K36" s="136">
        <f>+I36*J36</f>
        <v>0</v>
      </c>
      <c r="L36" s="93"/>
      <c r="O36" s="409"/>
      <c r="P36" s="137">
        <v>0</v>
      </c>
      <c r="Q36" s="135"/>
      <c r="R36" s="136">
        <f>+P36*Q36</f>
        <v>0</v>
      </c>
      <c r="S36" s="93"/>
      <c r="W36" s="409"/>
      <c r="X36" s="137">
        <v>0</v>
      </c>
      <c r="Y36" s="135"/>
      <c r="Z36" s="136">
        <f>+X36*Y36</f>
        <v>0</v>
      </c>
      <c r="AA36" s="93"/>
      <c r="AE36" s="409"/>
      <c r="AF36" s="137">
        <v>0</v>
      </c>
      <c r="AG36" s="135"/>
      <c r="AH36" s="136">
        <f>+AF36*AG36</f>
        <v>0</v>
      </c>
      <c r="AI36" s="93"/>
    </row>
    <row r="37" spans="2:35" ht="15" thickBot="1" x14ac:dyDescent="0.4">
      <c r="B37" s="356"/>
      <c r="C37" s="357"/>
      <c r="D37" s="357"/>
      <c r="E37" s="358"/>
      <c r="H37" s="409"/>
      <c r="I37" s="138"/>
      <c r="J37" s="139"/>
      <c r="K37" s="136"/>
      <c r="L37" s="104" t="s">
        <v>42</v>
      </c>
      <c r="O37" s="409"/>
      <c r="P37" s="138"/>
      <c r="Q37" s="139"/>
      <c r="R37" s="136"/>
      <c r="S37" s="104" t="s">
        <v>42</v>
      </c>
      <c r="W37" s="409"/>
      <c r="X37" s="138"/>
      <c r="Y37" s="139"/>
      <c r="Z37" s="136"/>
      <c r="AA37" s="104" t="s">
        <v>42</v>
      </c>
      <c r="AE37" s="409"/>
      <c r="AF37" s="138"/>
      <c r="AG37" s="139"/>
      <c r="AH37" s="136"/>
      <c r="AI37" s="104" t="s">
        <v>42</v>
      </c>
    </row>
    <row r="38" spans="2:35" x14ac:dyDescent="0.35">
      <c r="H38" s="409"/>
      <c r="I38" s="138"/>
      <c r="J38" s="135"/>
      <c r="K38" s="136"/>
      <c r="L38" s="93"/>
      <c r="O38" s="409"/>
      <c r="P38" s="138"/>
      <c r="Q38" s="135"/>
      <c r="R38" s="136"/>
      <c r="S38" s="93"/>
      <c r="W38" s="409"/>
      <c r="X38" s="138"/>
      <c r="Y38" s="135"/>
      <c r="Z38" s="136"/>
      <c r="AA38" s="93"/>
      <c r="AE38" s="409"/>
      <c r="AF38" s="138"/>
      <c r="AG38" s="135"/>
      <c r="AH38" s="136"/>
      <c r="AI38" s="93"/>
    </row>
    <row r="39" spans="2:35" ht="15" thickBot="1" x14ac:dyDescent="0.4">
      <c r="H39" s="410"/>
      <c r="I39" s="140">
        <f>SUM(I34:I38)</f>
        <v>0</v>
      </c>
      <c r="J39" s="136"/>
      <c r="K39" s="141">
        <f>SUM(K34:K38)</f>
        <v>0</v>
      </c>
      <c r="L39" s="93"/>
      <c r="O39" s="410"/>
      <c r="P39" s="140">
        <f>SUM(P34:P38)</f>
        <v>0</v>
      </c>
      <c r="Q39" s="136"/>
      <c r="R39" s="141">
        <f>SUM(R34:R38)</f>
        <v>0</v>
      </c>
      <c r="S39" s="93"/>
      <c r="W39" s="410"/>
      <c r="X39" s="140">
        <f>SUM(X34:X38)</f>
        <v>0</v>
      </c>
      <c r="Y39" s="136"/>
      <c r="Z39" s="141">
        <f>SUM(Z34:Z38)</f>
        <v>0</v>
      </c>
      <c r="AA39" s="93"/>
      <c r="AE39" s="410"/>
      <c r="AF39" s="140">
        <f>SUM(AF34:AF38)</f>
        <v>146.6515</v>
      </c>
      <c r="AG39" s="136"/>
      <c r="AH39" s="141">
        <f>SUM(AH34:AH38)</f>
        <v>144745.03049999999</v>
      </c>
      <c r="AI39" s="93"/>
    </row>
    <row r="40" spans="2:35" ht="15" thickTop="1" x14ac:dyDescent="0.35">
      <c r="C40" s="286" t="s">
        <v>155</v>
      </c>
      <c r="D40" s="287"/>
      <c r="E40" s="288"/>
      <c r="F40" s="224"/>
      <c r="I40" s="131"/>
      <c r="J40" s="145"/>
      <c r="K40" s="132"/>
      <c r="L40" s="93"/>
      <c r="P40" s="131"/>
      <c r="Q40" s="145"/>
      <c r="R40" s="132"/>
      <c r="S40" s="93"/>
      <c r="X40" s="131"/>
      <c r="Y40" s="145"/>
      <c r="Z40" s="132"/>
      <c r="AA40" s="93"/>
      <c r="AF40" s="131"/>
      <c r="AG40" s="145"/>
      <c r="AH40" s="132"/>
      <c r="AI40" s="93"/>
    </row>
    <row r="41" spans="2:35" x14ac:dyDescent="0.35">
      <c r="C41" s="251" t="s">
        <v>157</v>
      </c>
      <c r="D41" s="253"/>
      <c r="E41" s="254">
        <f>E55*0.67</f>
        <v>-3092191.0483999974</v>
      </c>
      <c r="F41" s="224"/>
      <c r="H41" s="359" t="s">
        <v>53</v>
      </c>
      <c r="I41" s="146">
        <v>517.16899999999998</v>
      </c>
      <c r="J41" s="147">
        <v>1267</v>
      </c>
      <c r="K41" s="148">
        <f>+I41*J41</f>
        <v>655253.12300000002</v>
      </c>
      <c r="L41" s="104" t="s">
        <v>42</v>
      </c>
      <c r="O41" s="359" t="s">
        <v>53</v>
      </c>
      <c r="P41" s="146">
        <v>517.16899999999998</v>
      </c>
      <c r="Q41" s="147">
        <v>1267</v>
      </c>
      <c r="R41" s="148">
        <f>+P41*Q41</f>
        <v>655253.12300000002</v>
      </c>
      <c r="S41" s="104" t="s">
        <v>42</v>
      </c>
      <c r="W41" s="359" t="s">
        <v>53</v>
      </c>
      <c r="X41" s="146">
        <v>517.16899999999998</v>
      </c>
      <c r="Y41" s="147">
        <v>1267</v>
      </c>
      <c r="Z41" s="148">
        <f>+X41*Y41</f>
        <v>655253.12300000002</v>
      </c>
      <c r="AA41" s="104" t="s">
        <v>42</v>
      </c>
      <c r="AE41" s="359" t="s">
        <v>53</v>
      </c>
      <c r="AF41" s="315">
        <v>286.58819999999997</v>
      </c>
      <c r="AG41" s="147">
        <v>1267</v>
      </c>
      <c r="AH41" s="148">
        <f>+AF41*AG41</f>
        <v>363107.24939999997</v>
      </c>
      <c r="AI41" s="104" t="s">
        <v>42</v>
      </c>
    </row>
    <row r="42" spans="2:35" x14ac:dyDescent="0.35">
      <c r="C42" s="243" t="s">
        <v>158</v>
      </c>
      <c r="D42" s="237"/>
      <c r="E42" s="244">
        <f>E55-E41</f>
        <v>-1523019.4715999984</v>
      </c>
      <c r="F42" s="224"/>
      <c r="H42" s="360"/>
      <c r="I42" s="146"/>
      <c r="J42" s="149"/>
      <c r="K42" s="148">
        <f>+I42*J42</f>
        <v>0</v>
      </c>
      <c r="L42" s="93"/>
      <c r="O42" s="360"/>
      <c r="P42" s="146"/>
      <c r="Q42" s="149"/>
      <c r="R42" s="148">
        <f>+P42*Q42</f>
        <v>0</v>
      </c>
      <c r="S42" s="93"/>
      <c r="W42" s="360"/>
      <c r="X42" s="146"/>
      <c r="Y42" s="149"/>
      <c r="Z42" s="148">
        <f>+X42*Y42</f>
        <v>0</v>
      </c>
      <c r="AA42" s="93"/>
      <c r="AE42" s="360"/>
      <c r="AF42" s="146"/>
      <c r="AG42" s="149">
        <v>1267</v>
      </c>
      <c r="AH42" s="148">
        <f>+AF42*AG42</f>
        <v>0</v>
      </c>
      <c r="AI42" s="93"/>
    </row>
    <row r="43" spans="2:35" x14ac:dyDescent="0.35">
      <c r="C43" s="251" t="s">
        <v>159</v>
      </c>
      <c r="D43" s="253"/>
      <c r="E43" s="254">
        <f>E41/C7</f>
        <v>-1629.1839032665951</v>
      </c>
      <c r="F43" s="224"/>
      <c r="H43" s="360"/>
      <c r="I43" s="150"/>
      <c r="J43" s="151"/>
      <c r="K43" s="148">
        <f>+I43*J43</f>
        <v>0</v>
      </c>
      <c r="L43" s="93"/>
      <c r="O43" s="360"/>
      <c r="P43" s="150"/>
      <c r="Q43" s="151"/>
      <c r="R43" s="148">
        <f>+P43*Q43</f>
        <v>0</v>
      </c>
      <c r="S43" s="93"/>
      <c r="W43" s="360"/>
      <c r="X43" s="150"/>
      <c r="Y43" s="151"/>
      <c r="Z43" s="148">
        <f>+X43*Y43</f>
        <v>0</v>
      </c>
      <c r="AA43" s="93"/>
      <c r="AE43" s="360"/>
      <c r="AF43" s="150"/>
      <c r="AG43" s="151"/>
      <c r="AH43" s="148">
        <f>+AF43*AG43</f>
        <v>0</v>
      </c>
      <c r="AI43" s="93"/>
    </row>
    <row r="44" spans="2:35" ht="15" thickBot="1" x14ac:dyDescent="0.4">
      <c r="C44" s="245" t="s">
        <v>160</v>
      </c>
      <c r="D44" s="247"/>
      <c r="E44" s="248">
        <f>E42/C8</f>
        <v>-57321.018878434261</v>
      </c>
      <c r="F44" s="224"/>
      <c r="H44" s="360"/>
      <c r="I44" s="152">
        <v>0</v>
      </c>
      <c r="J44" s="151"/>
      <c r="K44" s="148">
        <f>+I44*J44</f>
        <v>0</v>
      </c>
      <c r="L44" s="93"/>
      <c r="O44" s="360"/>
      <c r="P44" s="152">
        <v>0</v>
      </c>
      <c r="Q44" s="151"/>
      <c r="R44" s="148">
        <f>+P44*Q44</f>
        <v>0</v>
      </c>
      <c r="S44" s="93"/>
      <c r="W44" s="360"/>
      <c r="X44" s="152">
        <v>0</v>
      </c>
      <c r="Y44" s="151"/>
      <c r="Z44" s="148">
        <f>+X44*Y44</f>
        <v>0</v>
      </c>
      <c r="AA44" s="93"/>
      <c r="AE44" s="360"/>
      <c r="AF44" s="152">
        <v>0</v>
      </c>
      <c r="AG44" s="151"/>
      <c r="AH44" s="148">
        <f>+AF44*AG44</f>
        <v>0</v>
      </c>
      <c r="AI44" s="93"/>
    </row>
    <row r="45" spans="2:35" ht="15" thickBot="1" x14ac:dyDescent="0.4">
      <c r="E45" s="223"/>
      <c r="H45" s="361"/>
      <c r="I45" s="153">
        <f>SUM(I41:I44)</f>
        <v>517.16899999999998</v>
      </c>
      <c r="J45" s="148"/>
      <c r="K45" s="154">
        <f>SUM(K41:K44)</f>
        <v>655253.12300000002</v>
      </c>
      <c r="L45" s="93"/>
      <c r="O45" s="361"/>
      <c r="P45" s="153">
        <f>SUM(P41:P44)</f>
        <v>517.16899999999998</v>
      </c>
      <c r="Q45" s="148"/>
      <c r="R45" s="154">
        <f>SUM(R41:R44)</f>
        <v>655253.12300000002</v>
      </c>
      <c r="S45" s="93"/>
      <c r="W45" s="361"/>
      <c r="X45" s="153">
        <f>SUM(X41:X44)</f>
        <v>517.16899999999998</v>
      </c>
      <c r="Y45" s="148"/>
      <c r="Z45" s="154">
        <f>SUM(Z41:Z44)</f>
        <v>655253.12300000002</v>
      </c>
      <c r="AA45" s="93"/>
      <c r="AE45" s="361"/>
      <c r="AF45" s="153">
        <f>SUM(AF41:AF44)</f>
        <v>286.58819999999997</v>
      </c>
      <c r="AG45" s="148"/>
      <c r="AH45" s="154">
        <f>SUM(AH41:AH44)</f>
        <v>363107.24939999997</v>
      </c>
      <c r="AI45" s="93"/>
    </row>
    <row r="46" spans="2:35" ht="15" thickTop="1" x14ac:dyDescent="0.35">
      <c r="C46" s="431" t="s">
        <v>156</v>
      </c>
      <c r="D46" s="431"/>
      <c r="E46" s="223"/>
      <c r="I46" s="131"/>
      <c r="J46" s="132"/>
      <c r="K46" s="132"/>
      <c r="L46" s="93"/>
      <c r="P46" s="131"/>
      <c r="Q46" s="132"/>
      <c r="R46" s="132"/>
      <c r="S46" s="93"/>
      <c r="X46" s="131"/>
      <c r="Y46" s="132"/>
      <c r="Z46" s="132"/>
      <c r="AA46" s="93"/>
      <c r="AF46" s="131"/>
      <c r="AG46" s="132"/>
      <c r="AH46" s="132"/>
      <c r="AI46" s="93"/>
    </row>
    <row r="47" spans="2:35" x14ac:dyDescent="0.35">
      <c r="D47" s="222" t="s">
        <v>134</v>
      </c>
      <c r="E47" s="223">
        <v>144000000</v>
      </c>
      <c r="H47" s="432" t="s">
        <v>55</v>
      </c>
      <c r="I47" s="158">
        <v>72.56</v>
      </c>
      <c r="J47" s="159">
        <v>2300</v>
      </c>
      <c r="K47" s="160">
        <f>+I47*J47</f>
        <v>166888</v>
      </c>
      <c r="L47" s="104" t="s">
        <v>42</v>
      </c>
      <c r="O47" s="432" t="s">
        <v>55</v>
      </c>
      <c r="P47" s="158">
        <v>72.56</v>
      </c>
      <c r="Q47" s="159">
        <v>2300</v>
      </c>
      <c r="R47" s="160">
        <f>+P47*Q47</f>
        <v>166888</v>
      </c>
      <c r="S47" s="104" t="s">
        <v>42</v>
      </c>
      <c r="W47" s="432" t="s">
        <v>55</v>
      </c>
      <c r="X47" s="158">
        <v>72.56</v>
      </c>
      <c r="Y47" s="159">
        <v>2300</v>
      </c>
      <c r="Z47" s="160">
        <f>+X47*Y47</f>
        <v>166888</v>
      </c>
      <c r="AA47" s="104" t="s">
        <v>42</v>
      </c>
      <c r="AE47" s="432" t="s">
        <v>55</v>
      </c>
      <c r="AF47" s="158">
        <v>-1.6140000000000001</v>
      </c>
      <c r="AG47" s="159">
        <v>6000</v>
      </c>
      <c r="AH47" s="160">
        <f>+AF47*AG47</f>
        <v>-9684</v>
      </c>
      <c r="AI47" s="104" t="s">
        <v>113</v>
      </c>
    </row>
    <row r="48" spans="2:35" x14ac:dyDescent="0.35">
      <c r="D48" s="222" t="s">
        <v>135</v>
      </c>
      <c r="E48" s="223">
        <v>23384789.48</v>
      </c>
      <c r="H48" s="432"/>
      <c r="I48" s="158"/>
      <c r="J48" s="160"/>
      <c r="K48" s="160">
        <f>+I48*J48</f>
        <v>0</v>
      </c>
      <c r="L48" s="93"/>
      <c r="O48" s="432"/>
      <c r="P48" s="158"/>
      <c r="Q48" s="160"/>
      <c r="R48" s="160">
        <f>+P48*Q48</f>
        <v>0</v>
      </c>
      <c r="S48" s="93"/>
      <c r="W48" s="432"/>
      <c r="X48" s="158"/>
      <c r="Y48" s="160"/>
      <c r="Z48" s="160">
        <f>+X48*Y48</f>
        <v>0</v>
      </c>
      <c r="AA48" s="93"/>
      <c r="AE48" s="432"/>
      <c r="AF48" s="158"/>
      <c r="AG48" s="160"/>
      <c r="AH48" s="160">
        <f>+AF48*AG48</f>
        <v>0</v>
      </c>
      <c r="AI48" s="93"/>
    </row>
    <row r="49" spans="1:35" ht="15" thickBot="1" x14ac:dyDescent="0.4">
      <c r="D49" s="222" t="s">
        <v>136</v>
      </c>
      <c r="E49" s="223">
        <v>31000000</v>
      </c>
      <c r="H49" s="432"/>
      <c r="I49" s="164">
        <f>SUM(I47:I48)</f>
        <v>72.56</v>
      </c>
      <c r="J49" s="160"/>
      <c r="K49" s="165">
        <f>SUM(K47:K48)</f>
        <v>166888</v>
      </c>
      <c r="L49" s="93"/>
      <c r="O49" s="432"/>
      <c r="P49" s="164">
        <f>SUM(P47:P48)</f>
        <v>72.56</v>
      </c>
      <c r="Q49" s="160"/>
      <c r="R49" s="165">
        <f>SUM(R47:R48)</f>
        <v>166888</v>
      </c>
      <c r="S49" s="93"/>
      <c r="W49" s="432"/>
      <c r="X49" s="164">
        <f>SUM(X47:X48)</f>
        <v>72.56</v>
      </c>
      <c r="Y49" s="160"/>
      <c r="Z49" s="165">
        <f>SUM(Z47:Z48)</f>
        <v>166888</v>
      </c>
      <c r="AA49" s="93"/>
      <c r="AE49" s="432"/>
      <c r="AF49" s="164">
        <f>SUM(AF47:AF48)</f>
        <v>-1.6140000000000001</v>
      </c>
      <c r="AG49" s="160"/>
      <c r="AH49" s="165">
        <f>SUM(AH47:AH48)</f>
        <v>-9684</v>
      </c>
      <c r="AI49" s="93"/>
    </row>
    <row r="50" spans="1:35" ht="15" thickTop="1" x14ac:dyDescent="0.35">
      <c r="D50" s="222" t="s">
        <v>137</v>
      </c>
      <c r="E50" s="223">
        <f>E47-E48-E49</f>
        <v>89615210.519999996</v>
      </c>
      <c r="I50" s="170"/>
      <c r="J50" s="171"/>
      <c r="K50" s="68">
        <f>+K13</f>
        <v>467520.98100000003</v>
      </c>
      <c r="L50" s="69" t="s">
        <v>26</v>
      </c>
      <c r="P50" s="170"/>
      <c r="Q50" s="171"/>
      <c r="R50" s="68">
        <f>+R13</f>
        <v>914969.33</v>
      </c>
      <c r="S50" s="69" t="s">
        <v>26</v>
      </c>
      <c r="X50" s="170"/>
      <c r="Y50" s="171"/>
      <c r="Z50" s="68">
        <f>+Z13</f>
        <v>914969.33</v>
      </c>
      <c r="AA50" s="69" t="s">
        <v>26</v>
      </c>
      <c r="AF50" s="170"/>
      <c r="AG50" s="171"/>
      <c r="AH50" s="68">
        <f>+AH13</f>
        <v>467520.98100000003</v>
      </c>
      <c r="AI50" s="69" t="s">
        <v>26</v>
      </c>
    </row>
    <row r="51" spans="1:35" ht="15" thickBot="1" x14ac:dyDescent="0.4">
      <c r="D51" s="222"/>
      <c r="E51" s="223"/>
      <c r="I51" s="56" t="s">
        <v>30</v>
      </c>
      <c r="J51" s="132"/>
      <c r="K51" s="84">
        <f>+K24+K32+K39+K45+K50+K49</f>
        <v>52825038.895916</v>
      </c>
      <c r="P51" s="56" t="s">
        <v>30</v>
      </c>
      <c r="Q51" s="132"/>
      <c r="R51" s="84">
        <f>+R24+R32+R39+R45+R50+R49</f>
        <v>71645612.244915992</v>
      </c>
      <c r="X51" s="56" t="s">
        <v>30</v>
      </c>
      <c r="Y51" s="132"/>
      <c r="Z51" s="84">
        <f>+Z24+Z32+Z39+Z45+Z50+Z49</f>
        <v>74002869.744915992</v>
      </c>
      <c r="AF51" s="56" t="s">
        <v>30</v>
      </c>
      <c r="AG51" s="132"/>
      <c r="AH51" s="84">
        <f>+AH24+AH32+AH39+AH45+AH50+AH49</f>
        <v>88009504.136105999</v>
      </c>
    </row>
    <row r="52" spans="1:35" ht="15" thickTop="1" x14ac:dyDescent="0.35">
      <c r="D52" s="222" t="s">
        <v>138</v>
      </c>
      <c r="E52" s="223">
        <v>90000000</v>
      </c>
      <c r="J52" s="132"/>
      <c r="K52" s="132"/>
      <c r="Q52" s="132"/>
      <c r="R52" s="132"/>
      <c r="Y52" s="132"/>
      <c r="Z52" s="132"/>
      <c r="AG52" s="132"/>
      <c r="AH52" s="132"/>
    </row>
    <row r="53" spans="1:35" ht="15" thickBot="1" x14ac:dyDescent="0.4">
      <c r="D53" s="222" t="s">
        <v>145</v>
      </c>
      <c r="E53" s="223">
        <f>E52-E50</f>
        <v>384789.48000000417</v>
      </c>
      <c r="I53" s="56" t="s">
        <v>56</v>
      </c>
      <c r="J53" s="132"/>
      <c r="K53" s="177">
        <f>+K15-K51</f>
        <v>60720832.782232001</v>
      </c>
      <c r="P53" s="56" t="s">
        <v>56</v>
      </c>
      <c r="Q53" s="132"/>
      <c r="R53" s="177">
        <f>+R15-R51</f>
        <v>73153810.082232028</v>
      </c>
      <c r="X53" s="56" t="s">
        <v>56</v>
      </c>
      <c r="Y53" s="132"/>
      <c r="Z53" s="177">
        <f>+Z15-Z51</f>
        <v>69327652.582232028</v>
      </c>
      <c r="AF53" s="56" t="s">
        <v>56</v>
      </c>
      <c r="AG53" s="132"/>
      <c r="AH53" s="177">
        <f>+AH15-AH51</f>
        <v>70375338.23896201</v>
      </c>
    </row>
    <row r="54" spans="1:35" ht="15" thickTop="1" x14ac:dyDescent="0.35">
      <c r="D54" s="222" t="s">
        <v>161</v>
      </c>
      <c r="E54" s="223">
        <v>-5000000</v>
      </c>
      <c r="I54" s="56"/>
      <c r="J54" s="132"/>
      <c r="K54" s="289"/>
      <c r="P54" s="56"/>
      <c r="Q54" s="132"/>
      <c r="R54" s="289"/>
      <c r="X54" s="56"/>
      <c r="Y54" s="132"/>
      <c r="Z54" s="289"/>
      <c r="AG54" s="178"/>
      <c r="AH54" s="179"/>
    </row>
    <row r="55" spans="1:35" x14ac:dyDescent="0.35">
      <c r="D55" s="222" t="s">
        <v>139</v>
      </c>
      <c r="E55" s="223">
        <f>E53+E54</f>
        <v>-4615210.5199999958</v>
      </c>
      <c r="I55" s="56"/>
      <c r="J55" s="132"/>
      <c r="K55" s="289"/>
      <c r="P55" s="56"/>
      <c r="Q55" s="132"/>
      <c r="R55" s="289"/>
      <c r="X55" s="56"/>
      <c r="Y55" s="132"/>
      <c r="Z55" s="289"/>
      <c r="AF55" s="180" t="s">
        <v>109</v>
      </c>
      <c r="AG55" s="178"/>
      <c r="AH55" s="181">
        <v>30081777.469999999</v>
      </c>
    </row>
    <row r="56" spans="1:35" ht="15" thickBot="1" x14ac:dyDescent="0.4">
      <c r="D56" s="222"/>
      <c r="E56" s="193"/>
      <c r="J56" s="178"/>
      <c r="K56" s="179"/>
      <c r="Q56" s="178"/>
      <c r="R56" s="179"/>
      <c r="Y56" s="178"/>
      <c r="Z56" s="179"/>
      <c r="AE56" s="224"/>
      <c r="AF56" s="2" t="s">
        <v>110</v>
      </c>
      <c r="AG56" s="56"/>
      <c r="AH56" s="174">
        <f>+AH53</f>
        <v>70375338.23896201</v>
      </c>
    </row>
    <row r="57" spans="1:35" x14ac:dyDescent="0.35">
      <c r="A57" s="225"/>
      <c r="B57" s="226"/>
      <c r="C57" s="226"/>
      <c r="D57" s="227" t="s">
        <v>140</v>
      </c>
      <c r="E57" s="228">
        <f>E53/C8</f>
        <v>14482.103123824018</v>
      </c>
      <c r="I57" s="180" t="s">
        <v>109</v>
      </c>
      <c r="J57" s="178"/>
      <c r="K57" s="181">
        <v>30081777.469999999</v>
      </c>
      <c r="P57" s="180" t="s">
        <v>109</v>
      </c>
      <c r="Q57" s="178"/>
      <c r="R57" s="181">
        <v>30081777.469999999</v>
      </c>
      <c r="X57" s="180" t="s">
        <v>109</v>
      </c>
      <c r="Y57" s="178"/>
      <c r="Z57" s="181">
        <v>30081777.469999999</v>
      </c>
      <c r="AE57" s="224"/>
      <c r="AF57" s="2" t="s">
        <v>60</v>
      </c>
      <c r="AG57" s="56"/>
      <c r="AH57" s="183">
        <f>+AH55-AH56</f>
        <v>-40293560.768962011</v>
      </c>
    </row>
    <row r="58" spans="1:35" ht="15" thickBot="1" x14ac:dyDescent="0.4">
      <c r="A58" s="229"/>
      <c r="B58" s="230"/>
      <c r="C58" s="230"/>
      <c r="D58" s="231" t="s">
        <v>141</v>
      </c>
      <c r="E58" s="232">
        <f>E53/C7</f>
        <v>202.73418335089787</v>
      </c>
      <c r="H58" s="224"/>
      <c r="I58" s="2" t="s">
        <v>110</v>
      </c>
      <c r="J58" s="56"/>
      <c r="K58" s="174">
        <f>+K53</f>
        <v>60720832.782232001</v>
      </c>
      <c r="O58" s="224"/>
      <c r="P58" s="2" t="s">
        <v>110</v>
      </c>
      <c r="Q58" s="56"/>
      <c r="R58" s="174">
        <f>+R53</f>
        <v>73153810.082232028</v>
      </c>
      <c r="W58" s="224"/>
      <c r="X58" s="2" t="s">
        <v>110</v>
      </c>
      <c r="Y58" s="56"/>
      <c r="Z58" s="174">
        <f>+Z53</f>
        <v>69327652.582232028</v>
      </c>
      <c r="AF58" s="2" t="s">
        <v>111</v>
      </c>
      <c r="AG58" s="56"/>
      <c r="AH58" s="184">
        <v>31023831</v>
      </c>
      <c r="AI58" s="2" t="s">
        <v>164</v>
      </c>
    </row>
    <row r="59" spans="1:35" ht="15" thickBot="1" x14ac:dyDescent="0.4">
      <c r="E59" s="193"/>
      <c r="H59" s="224"/>
      <c r="I59" s="2" t="s">
        <v>60</v>
      </c>
      <c r="J59" s="56"/>
      <c r="K59" s="183">
        <f>+K57-K58</f>
        <v>-30639055.312232003</v>
      </c>
      <c r="O59" s="224"/>
      <c r="P59" s="2" t="s">
        <v>60</v>
      </c>
      <c r="Q59" s="56"/>
      <c r="R59" s="183">
        <f>+R57-R58</f>
        <v>-43072032.612232029</v>
      </c>
      <c r="W59" s="224"/>
      <c r="X59" s="2" t="s">
        <v>60</v>
      </c>
      <c r="Y59" s="56"/>
      <c r="Z59" s="183">
        <f>+Z57-Z58</f>
        <v>-39245875.112232029</v>
      </c>
      <c r="AF59" s="2" t="s">
        <v>112</v>
      </c>
      <c r="AG59" s="56"/>
      <c r="AH59" s="177">
        <f>+AH57+AH58</f>
        <v>-9269729.7689620107</v>
      </c>
    </row>
    <row r="60" spans="1:35" ht="15.5" thickTop="1" thickBot="1" x14ac:dyDescent="0.4">
      <c r="B60" s="283" t="s">
        <v>154</v>
      </c>
      <c r="C60" s="284"/>
      <c r="D60" s="285"/>
      <c r="E60" s="193"/>
      <c r="I60" s="2" t="s">
        <v>111</v>
      </c>
      <c r="J60" s="56"/>
      <c r="K60" s="184">
        <f>E29</f>
        <v>31023830.890000001</v>
      </c>
      <c r="L60" s="2" t="s">
        <v>119</v>
      </c>
      <c r="P60" s="2" t="s">
        <v>111</v>
      </c>
      <c r="Q60" s="56"/>
      <c r="R60" s="184">
        <f>K60</f>
        <v>31023830.890000001</v>
      </c>
      <c r="S60" s="2" t="s">
        <v>119</v>
      </c>
      <c r="X60" s="2" t="s">
        <v>111</v>
      </c>
      <c r="Y60" s="56"/>
      <c r="Z60" s="184">
        <f>K60</f>
        <v>31023830.890000001</v>
      </c>
      <c r="AA60" s="2" t="s">
        <v>119</v>
      </c>
      <c r="AF60" s="56"/>
      <c r="AG60" s="56"/>
    </row>
    <row r="61" spans="1:35" s="2" customFormat="1" ht="15" thickBot="1" x14ac:dyDescent="0.4">
      <c r="A61"/>
      <c r="B61" s="259" t="s">
        <v>148</v>
      </c>
      <c r="C61" s="260"/>
      <c r="D61" s="261" t="s">
        <v>134</v>
      </c>
      <c r="E61" s="262">
        <v>138300000</v>
      </c>
      <c r="F61" s="1"/>
      <c r="G61" s="3"/>
      <c r="H61" s="224"/>
      <c r="I61" s="2" t="s">
        <v>112</v>
      </c>
      <c r="J61" s="56"/>
      <c r="K61" s="177">
        <f>+K59+K60</f>
        <v>384775.57776799798</v>
      </c>
      <c r="M61" s="1"/>
      <c r="N61" s="3"/>
      <c r="O61" s="1"/>
      <c r="P61" s="2" t="s">
        <v>112</v>
      </c>
      <c r="Q61" s="56"/>
      <c r="R61" s="177">
        <f>+R59+R60</f>
        <v>-12048201.722232029</v>
      </c>
      <c r="T61"/>
      <c r="U61" s="1"/>
      <c r="V61" s="3"/>
      <c r="W61" s="1"/>
      <c r="X61" s="2" t="s">
        <v>112</v>
      </c>
      <c r="Y61" s="56"/>
      <c r="Z61" s="177">
        <f>+Z59+Z60</f>
        <v>-8222044.2222320288</v>
      </c>
      <c r="AB61"/>
      <c r="AC61" s="1"/>
      <c r="AD61" s="3"/>
      <c r="AE61" s="1"/>
      <c r="AF61" s="56"/>
      <c r="AG61" s="56"/>
    </row>
    <row r="62" spans="1:35" s="2" customFormat="1" ht="15.5" thickTop="1" thickBot="1" x14ac:dyDescent="0.4">
      <c r="A62"/>
      <c r="B62" s="272">
        <f>AF21</f>
        <v>16979.536899999999</v>
      </c>
      <c r="C62" s="264"/>
      <c r="D62" s="265" t="s">
        <v>135</v>
      </c>
      <c r="E62" s="266">
        <f>23384789.48</f>
        <v>23384789.48</v>
      </c>
      <c r="F62" s="1"/>
      <c r="G62" s="3"/>
      <c r="H62" s="224"/>
      <c r="I62" s="56"/>
      <c r="J62" s="56"/>
      <c r="M62" s="1"/>
      <c r="N62" s="3"/>
      <c r="O62" s="1"/>
      <c r="P62" s="56"/>
      <c r="Q62" s="56"/>
      <c r="T62"/>
      <c r="U62" s="1"/>
      <c r="V62" s="3"/>
      <c r="W62" s="1"/>
      <c r="X62" s="56"/>
      <c r="Y62" s="56"/>
      <c r="AB62"/>
      <c r="AC62" s="1"/>
      <c r="AD62" s="3"/>
      <c r="AE62" s="186"/>
      <c r="AF62" s="368" t="s">
        <v>65</v>
      </c>
      <c r="AG62" s="369"/>
      <c r="AH62" s="369"/>
      <c r="AI62" s="370"/>
    </row>
    <row r="63" spans="1:35" s="2" customFormat="1" ht="15" thickBot="1" x14ac:dyDescent="0.4">
      <c r="A63"/>
      <c r="B63" s="272">
        <f>AF31</f>
        <v>534392.59600000002</v>
      </c>
      <c r="C63" s="264"/>
      <c r="D63" s="265" t="s">
        <v>136</v>
      </c>
      <c r="E63" s="266">
        <v>25000000</v>
      </c>
      <c r="F63" s="1"/>
      <c r="G63" s="3"/>
      <c r="H63" s="224"/>
      <c r="I63" s="56"/>
      <c r="J63" s="56"/>
      <c r="M63" s="1"/>
      <c r="N63" s="3"/>
      <c r="O63" s="1"/>
      <c r="P63" s="56"/>
      <c r="Q63" s="56"/>
      <c r="U63" s="1"/>
      <c r="V63" s="3"/>
      <c r="W63" s="1"/>
      <c r="X63" s="56"/>
      <c r="Y63" s="56"/>
      <c r="AC63" s="1"/>
      <c r="AD63" s="3"/>
      <c r="AE63" s="186"/>
      <c r="AF63" s="56"/>
      <c r="AG63" s="56"/>
    </row>
    <row r="64" spans="1:35" s="2" customFormat="1" ht="15" thickBot="1" x14ac:dyDescent="0.4">
      <c r="B64" s="273" t="s">
        <v>150</v>
      </c>
      <c r="C64" s="264"/>
      <c r="D64" s="265" t="s">
        <v>162</v>
      </c>
      <c r="E64" s="266">
        <f>E61-E62-E63</f>
        <v>89915210.519999996</v>
      </c>
      <c r="F64" s="1"/>
      <c r="G64" s="3"/>
      <c r="H64" s="238"/>
      <c r="I64" s="368" t="s">
        <v>65</v>
      </c>
      <c r="J64" s="369"/>
      <c r="K64" s="369"/>
      <c r="L64" s="370"/>
      <c r="M64" s="1"/>
      <c r="N64" s="3"/>
      <c r="O64" s="186"/>
      <c r="P64" s="368" t="s">
        <v>65</v>
      </c>
      <c r="Q64" s="369"/>
      <c r="R64" s="369"/>
      <c r="S64" s="370"/>
      <c r="U64" s="1"/>
      <c r="V64" s="3"/>
      <c r="W64" s="186"/>
      <c r="X64" s="368" t="s">
        <v>65</v>
      </c>
      <c r="Y64" s="369"/>
      <c r="Z64" s="369"/>
      <c r="AA64" s="370"/>
      <c r="AC64" s="1"/>
      <c r="AD64" s="3"/>
      <c r="AE64" s="186"/>
      <c r="AF64" s="56"/>
      <c r="AG64" s="56"/>
      <c r="AI64" s="188" t="s">
        <v>66</v>
      </c>
    </row>
    <row r="65" spans="1:35" s="2" customFormat="1" ht="15" thickBot="1" x14ac:dyDescent="0.4">
      <c r="B65" s="273" t="s">
        <v>149</v>
      </c>
      <c r="C65" s="264"/>
      <c r="D65" s="265"/>
      <c r="E65" s="266"/>
      <c r="F65" s="1"/>
      <c r="G65" s="3"/>
      <c r="H65" s="238"/>
      <c r="I65" s="56"/>
      <c r="J65" s="56"/>
      <c r="M65" s="1"/>
      <c r="N65" s="3"/>
      <c r="O65" s="186"/>
      <c r="P65" s="56"/>
      <c r="Q65" s="56"/>
      <c r="U65" s="1"/>
      <c r="V65" s="3"/>
      <c r="W65" s="186"/>
      <c r="X65" s="56"/>
      <c r="Y65" s="56"/>
      <c r="AC65" s="1"/>
      <c r="AD65" s="3"/>
      <c r="AE65" s="186"/>
      <c r="AF65" s="56" t="s">
        <v>67</v>
      </c>
      <c r="AG65" s="56"/>
      <c r="AH65" s="30">
        <f>AH59</f>
        <v>-9269729.7689620107</v>
      </c>
    </row>
    <row r="66" spans="1:35" s="2" customFormat="1" ht="15" thickBot="1" x14ac:dyDescent="0.4">
      <c r="B66" s="263"/>
      <c r="C66" s="264"/>
      <c r="D66" s="265" t="s">
        <v>138</v>
      </c>
      <c r="E66" s="266">
        <v>90000000</v>
      </c>
      <c r="F66" s="1"/>
      <c r="G66" s="3"/>
      <c r="H66" s="238"/>
      <c r="I66" s="56"/>
      <c r="J66" s="56"/>
      <c r="L66" s="188" t="s">
        <v>66</v>
      </c>
      <c r="M66" s="1"/>
      <c r="N66" s="3"/>
      <c r="O66" s="186"/>
      <c r="P66" s="56"/>
      <c r="Q66" s="56"/>
      <c r="S66" s="188" t="s">
        <v>66</v>
      </c>
      <c r="U66" s="1"/>
      <c r="V66" s="3"/>
      <c r="W66" s="186"/>
      <c r="X66" s="56"/>
      <c r="Y66" s="56"/>
      <c r="AA66" s="188" t="s">
        <v>66</v>
      </c>
      <c r="AC66" s="1"/>
      <c r="AD66" s="3"/>
      <c r="AE66" s="186"/>
      <c r="AF66" s="56" t="s">
        <v>68</v>
      </c>
      <c r="AG66" s="56"/>
      <c r="AH66" s="189">
        <v>0</v>
      </c>
    </row>
    <row r="67" spans="1:35" s="2" customFormat="1" ht="15" thickBot="1" x14ac:dyDescent="0.4">
      <c r="B67" s="267"/>
      <c r="C67" s="101"/>
      <c r="D67" s="268" t="s">
        <v>145</v>
      </c>
      <c r="E67" s="269">
        <f>E66-E64</f>
        <v>84789.480000004172</v>
      </c>
      <c r="F67" s="1"/>
      <c r="G67" s="3"/>
      <c r="H67" s="238"/>
      <c r="I67" s="56" t="s">
        <v>67</v>
      </c>
      <c r="J67" s="56"/>
      <c r="K67" s="30">
        <f>K61</f>
        <v>384775.57776799798</v>
      </c>
      <c r="M67" s="1"/>
      <c r="N67" s="3"/>
      <c r="O67" s="186"/>
      <c r="P67" s="56" t="s">
        <v>67</v>
      </c>
      <c r="Q67" s="56"/>
      <c r="R67" s="30">
        <f>R61</f>
        <v>-12048201.722232029</v>
      </c>
      <c r="U67" s="1"/>
      <c r="V67" s="3"/>
      <c r="W67" s="186"/>
      <c r="X67" s="56" t="s">
        <v>67</v>
      </c>
      <c r="Y67" s="56"/>
      <c r="Z67" s="30">
        <f>Z61</f>
        <v>-8222044.2222320288</v>
      </c>
      <c r="AC67" s="1"/>
      <c r="AD67" s="3"/>
      <c r="AE67" s="186"/>
      <c r="AF67" s="56" t="s">
        <v>69</v>
      </c>
      <c r="AG67" s="56"/>
      <c r="AH67" s="192">
        <f>AH65+AH66</f>
        <v>-9269729.7689620107</v>
      </c>
    </row>
    <row r="68" spans="1:35" x14ac:dyDescent="0.35">
      <c r="A68" s="2"/>
      <c r="E68" s="193"/>
      <c r="H68" s="186"/>
      <c r="I68" s="56" t="s">
        <v>68</v>
      </c>
      <c r="J68" s="56"/>
      <c r="K68" s="189">
        <v>0</v>
      </c>
      <c r="O68" s="186"/>
      <c r="P68" s="56" t="s">
        <v>68</v>
      </c>
      <c r="Q68" s="56"/>
      <c r="R68" s="189">
        <v>0</v>
      </c>
      <c r="T68" s="2"/>
      <c r="W68" s="186"/>
      <c r="X68" s="56" t="s">
        <v>68</v>
      </c>
      <c r="Y68" s="56"/>
      <c r="Z68" s="189">
        <v>0</v>
      </c>
      <c r="AB68" s="2"/>
      <c r="AE68" s="186"/>
      <c r="AF68" s="56"/>
      <c r="AG68" s="56"/>
    </row>
    <row r="69" spans="1:35" ht="15" thickBot="1" x14ac:dyDescent="0.4">
      <c r="A69" s="2"/>
      <c r="E69" s="193"/>
      <c r="H69" s="186"/>
      <c r="I69" s="56" t="s">
        <v>69</v>
      </c>
      <c r="J69" s="56"/>
      <c r="K69" s="192">
        <f>K67+K68</f>
        <v>384775.57776799798</v>
      </c>
      <c r="O69" s="186"/>
      <c r="P69" s="56" t="s">
        <v>69</v>
      </c>
      <c r="Q69" s="56"/>
      <c r="R69" s="192">
        <f>R67+R68</f>
        <v>-12048201.722232029</v>
      </c>
      <c r="T69" s="2"/>
      <c r="W69" s="186"/>
      <c r="X69" s="56" t="s">
        <v>69</v>
      </c>
      <c r="Y69" s="56"/>
      <c r="Z69" s="192">
        <f>Z67+Z68</f>
        <v>-8222044.2222320288</v>
      </c>
      <c r="AB69" s="2"/>
      <c r="AF69" s="2" t="s">
        <v>70</v>
      </c>
    </row>
    <row r="70" spans="1:35" x14ac:dyDescent="0.35">
      <c r="A70" s="2"/>
      <c r="B70" s="239" t="s">
        <v>142</v>
      </c>
      <c r="C70" s="240"/>
      <c r="D70" s="241" t="s">
        <v>134</v>
      </c>
      <c r="E70" s="242">
        <v>133200000</v>
      </c>
      <c r="H70" s="186"/>
      <c r="I70" s="56"/>
      <c r="J70" s="56"/>
      <c r="O70" s="186"/>
      <c r="P70" s="56"/>
      <c r="Q70" s="56"/>
      <c r="W70" s="186"/>
      <c r="X70" s="56"/>
      <c r="Y70" s="56"/>
      <c r="AF70" s="2" t="s">
        <v>72</v>
      </c>
      <c r="AH70" s="189">
        <v>0</v>
      </c>
    </row>
    <row r="71" spans="1:35" s="2" customFormat="1" x14ac:dyDescent="0.35">
      <c r="A71"/>
      <c r="B71" s="270">
        <f>P31</f>
        <v>1025000</v>
      </c>
      <c r="C71" s="236"/>
      <c r="D71" s="237" t="s">
        <v>135</v>
      </c>
      <c r="E71" s="244">
        <f>23384789.48</f>
        <v>23384789.48</v>
      </c>
      <c r="F71" s="1"/>
      <c r="G71" s="3"/>
      <c r="H71" s="1"/>
      <c r="I71" s="2" t="s">
        <v>70</v>
      </c>
      <c r="M71" s="1"/>
      <c r="N71" s="3"/>
      <c r="O71" s="1"/>
      <c r="P71" s="2" t="s">
        <v>70</v>
      </c>
      <c r="T71"/>
      <c r="U71" s="1"/>
      <c r="V71" s="3"/>
      <c r="W71" s="1"/>
      <c r="X71" s="2" t="s">
        <v>70</v>
      </c>
      <c r="AB71"/>
      <c r="AC71" s="1"/>
      <c r="AD71" s="3"/>
      <c r="AE71" s="1"/>
      <c r="AF71" s="2" t="s">
        <v>74</v>
      </c>
      <c r="AH71" s="189">
        <f>17366.31+1425.51</f>
        <v>18791.82</v>
      </c>
    </row>
    <row r="72" spans="1:35" s="2" customFormat="1" ht="15" thickBot="1" x14ac:dyDescent="0.4">
      <c r="A72"/>
      <c r="B72" s="274" t="s">
        <v>150</v>
      </c>
      <c r="C72" s="236"/>
      <c r="D72" s="237" t="s">
        <v>136</v>
      </c>
      <c r="E72" s="244">
        <v>25000000</v>
      </c>
      <c r="F72" s="1"/>
      <c r="G72" s="3"/>
      <c r="H72" s="1"/>
      <c r="I72" s="2" t="s">
        <v>72</v>
      </c>
      <c r="K72" s="189">
        <v>0</v>
      </c>
      <c r="M72" s="1"/>
      <c r="N72" s="3"/>
      <c r="O72" s="1"/>
      <c r="P72" s="2" t="s">
        <v>72</v>
      </c>
      <c r="R72" s="189">
        <v>0</v>
      </c>
      <c r="T72"/>
      <c r="U72" s="1"/>
      <c r="V72" s="3"/>
      <c r="W72" s="1"/>
      <c r="X72" s="2" t="s">
        <v>72</v>
      </c>
      <c r="Z72" s="189">
        <v>0</v>
      </c>
      <c r="AB72"/>
      <c r="AC72" s="1"/>
      <c r="AD72" s="3"/>
      <c r="AE72" s="186"/>
      <c r="AF72" s="2" t="s">
        <v>75</v>
      </c>
      <c r="AH72" s="192">
        <f>SUM(AH70:AH71)</f>
        <v>18791.82</v>
      </c>
    </row>
    <row r="73" spans="1:35" s="2" customFormat="1" x14ac:dyDescent="0.35">
      <c r="A73"/>
      <c r="B73" s="243"/>
      <c r="C73" s="236"/>
      <c r="D73" s="237" t="s">
        <v>162</v>
      </c>
      <c r="E73" s="244">
        <f>E70-E71-E72</f>
        <v>84815210.519999996</v>
      </c>
      <c r="F73" s="1"/>
      <c r="G73" s="3"/>
      <c r="H73" s="1"/>
      <c r="I73" s="2" t="s">
        <v>74</v>
      </c>
      <c r="K73" s="189">
        <f>17366.31+1425.51</f>
        <v>18791.82</v>
      </c>
      <c r="M73" s="1"/>
      <c r="N73" s="3"/>
      <c r="O73" s="1"/>
      <c r="P73" s="2" t="s">
        <v>74</v>
      </c>
      <c r="R73" s="189">
        <f>17366.31+1425.51</f>
        <v>18791.82</v>
      </c>
      <c r="U73" s="1"/>
      <c r="V73" s="3"/>
      <c r="W73" s="1"/>
      <c r="X73" s="2" t="s">
        <v>74</v>
      </c>
      <c r="Z73" s="189">
        <f>17366.31+1425.51</f>
        <v>18791.82</v>
      </c>
      <c r="AC73" s="1"/>
      <c r="AD73" s="3"/>
      <c r="AE73" s="186"/>
      <c r="AH73" s="56"/>
    </row>
    <row r="74" spans="1:35" ht="15" thickBot="1" x14ac:dyDescent="0.4">
      <c r="A74" s="2"/>
      <c r="B74" s="243"/>
      <c r="C74" s="236"/>
      <c r="D74" s="237"/>
      <c r="E74" s="244"/>
      <c r="H74" s="186"/>
      <c r="I74" s="2" t="s">
        <v>75</v>
      </c>
      <c r="K74" s="192">
        <f>SUM(K72:K73)</f>
        <v>18791.82</v>
      </c>
      <c r="O74" s="186"/>
      <c r="P74" s="2" t="s">
        <v>75</v>
      </c>
      <c r="R74" s="192">
        <f>SUM(R72:R73)</f>
        <v>18791.82</v>
      </c>
      <c r="T74" s="2"/>
      <c r="W74" s="186"/>
      <c r="X74" s="2" t="s">
        <v>75</v>
      </c>
      <c r="Z74" s="192">
        <f>SUM(Z72:Z73)</f>
        <v>18791.82</v>
      </c>
      <c r="AB74" s="2"/>
      <c r="AE74" s="186"/>
      <c r="AF74" s="2" t="s">
        <v>76</v>
      </c>
    </row>
    <row r="75" spans="1:35" x14ac:dyDescent="0.35">
      <c r="A75" s="2"/>
      <c r="B75" s="243"/>
      <c r="C75" s="236"/>
      <c r="D75" s="237" t="s">
        <v>138</v>
      </c>
      <c r="E75" s="244">
        <v>90000000</v>
      </c>
      <c r="H75" s="186"/>
      <c r="K75" s="56"/>
      <c r="O75" s="186"/>
      <c r="R75" s="56"/>
      <c r="T75" s="2"/>
      <c r="W75" s="186"/>
      <c r="Z75" s="56"/>
      <c r="AB75" s="2"/>
      <c r="AF75" s="2" t="s">
        <v>77</v>
      </c>
      <c r="AH75" s="189">
        <v>0</v>
      </c>
      <c r="AI75" s="2" t="s">
        <v>106</v>
      </c>
    </row>
    <row r="76" spans="1:35" ht="15" thickBot="1" x14ac:dyDescent="0.4">
      <c r="A76" s="2"/>
      <c r="B76" s="245"/>
      <c r="C76" s="246"/>
      <c r="D76" s="247" t="s">
        <v>145</v>
      </c>
      <c r="E76" s="248">
        <f>E75-E73</f>
        <v>5184789.4800000042</v>
      </c>
      <c r="H76" s="186"/>
      <c r="I76" s="2" t="s">
        <v>76</v>
      </c>
      <c r="O76" s="186"/>
      <c r="P76" s="2" t="s">
        <v>76</v>
      </c>
      <c r="W76" s="186"/>
      <c r="X76" s="2" t="s">
        <v>76</v>
      </c>
      <c r="AF76" s="2" t="s">
        <v>79</v>
      </c>
      <c r="AH76" s="189">
        <v>0</v>
      </c>
      <c r="AI76" s="2" t="s">
        <v>107</v>
      </c>
    </row>
    <row r="77" spans="1:35" x14ac:dyDescent="0.35">
      <c r="I77" s="2" t="s">
        <v>77</v>
      </c>
      <c r="K77" s="189">
        <v>0</v>
      </c>
      <c r="L77" s="2" t="s">
        <v>106</v>
      </c>
      <c r="P77" s="2" t="s">
        <v>77</v>
      </c>
      <c r="R77" s="189">
        <v>0</v>
      </c>
      <c r="S77" s="2" t="s">
        <v>106</v>
      </c>
      <c r="X77" s="2" t="s">
        <v>77</v>
      </c>
      <c r="Z77" s="189">
        <v>0</v>
      </c>
      <c r="AA77" s="2" t="s">
        <v>106</v>
      </c>
      <c r="AF77" s="2" t="s">
        <v>81</v>
      </c>
      <c r="AH77" s="189">
        <v>0</v>
      </c>
      <c r="AI77" s="2" t="s">
        <v>82</v>
      </c>
    </row>
    <row r="78" spans="1:35" ht="15" thickBot="1" x14ac:dyDescent="0.4">
      <c r="I78" s="2" t="s">
        <v>79</v>
      </c>
      <c r="K78" s="189">
        <v>0</v>
      </c>
      <c r="L78" s="2" t="s">
        <v>107</v>
      </c>
      <c r="P78" s="2" t="s">
        <v>79</v>
      </c>
      <c r="R78" s="189">
        <v>0</v>
      </c>
      <c r="S78" s="2" t="s">
        <v>107</v>
      </c>
      <c r="X78" s="2" t="s">
        <v>79</v>
      </c>
      <c r="Z78" s="189">
        <v>0</v>
      </c>
      <c r="AA78" s="2" t="s">
        <v>107</v>
      </c>
      <c r="AF78" s="2" t="s">
        <v>83</v>
      </c>
      <c r="AH78" s="189">
        <v>0</v>
      </c>
    </row>
    <row r="79" spans="1:35" x14ac:dyDescent="0.35">
      <c r="B79" s="13" t="s">
        <v>146</v>
      </c>
      <c r="C79" s="15"/>
      <c r="D79" s="249" t="s">
        <v>134</v>
      </c>
      <c r="E79" s="250">
        <v>133300000</v>
      </c>
      <c r="I79" s="2" t="s">
        <v>81</v>
      </c>
      <c r="K79" s="189">
        <v>0</v>
      </c>
      <c r="L79" s="2" t="s">
        <v>82</v>
      </c>
      <c r="P79" s="2" t="s">
        <v>81</v>
      </c>
      <c r="R79" s="189">
        <v>0</v>
      </c>
      <c r="S79" s="2" t="s">
        <v>82</v>
      </c>
      <c r="X79" s="2" t="s">
        <v>81</v>
      </c>
      <c r="Z79" s="189">
        <v>0</v>
      </c>
      <c r="AA79" s="2" t="s">
        <v>82</v>
      </c>
      <c r="AE79" s="1" t="s">
        <v>122</v>
      </c>
      <c r="AF79" s="2" t="s">
        <v>84</v>
      </c>
      <c r="AH79" s="190">
        <f>AH95</f>
        <v>-3752183.5</v>
      </c>
      <c r="AI79" s="190"/>
    </row>
    <row r="80" spans="1:35" ht="15" thickBot="1" x14ac:dyDescent="0.4">
      <c r="B80" s="271">
        <f>X21</f>
        <v>13575</v>
      </c>
      <c r="C80" s="252"/>
      <c r="D80" s="253" t="s">
        <v>135</v>
      </c>
      <c r="E80" s="254">
        <f>23384789.48</f>
        <v>23384789.48</v>
      </c>
      <c r="I80" s="2" t="s">
        <v>83</v>
      </c>
      <c r="K80" s="189">
        <v>0</v>
      </c>
      <c r="P80" s="2" t="s">
        <v>83</v>
      </c>
      <c r="R80" s="189">
        <v>0</v>
      </c>
      <c r="X80" s="2" t="s">
        <v>83</v>
      </c>
      <c r="Z80" s="189">
        <v>0</v>
      </c>
      <c r="AF80" s="2" t="s">
        <v>85</v>
      </c>
      <c r="AH80" s="192">
        <f>SUM(AH75:AH79)</f>
        <v>-3752183.5</v>
      </c>
      <c r="AI80" s="190"/>
    </row>
    <row r="81" spans="2:40" x14ac:dyDescent="0.35">
      <c r="B81" s="310" t="s">
        <v>149</v>
      </c>
      <c r="C81" s="252"/>
      <c r="D81" s="253" t="s">
        <v>136</v>
      </c>
      <c r="E81" s="254">
        <v>25000000</v>
      </c>
      <c r="H81" s="1" t="s">
        <v>122</v>
      </c>
      <c r="I81" s="2" t="s">
        <v>84</v>
      </c>
      <c r="K81" s="190">
        <f>K97</f>
        <v>836072</v>
      </c>
      <c r="L81" s="190"/>
      <c r="O81" s="1" t="s">
        <v>122</v>
      </c>
      <c r="P81" s="2" t="s">
        <v>84</v>
      </c>
      <c r="R81" s="190">
        <f>R97</f>
        <v>836072</v>
      </c>
      <c r="S81" s="190"/>
      <c r="W81" s="1" t="s">
        <v>122</v>
      </c>
      <c r="X81" s="2" t="s">
        <v>84</v>
      </c>
      <c r="Z81" s="190">
        <f>Z97</f>
        <v>836072</v>
      </c>
      <c r="AA81" s="190"/>
      <c r="AI81" s="190"/>
    </row>
    <row r="82" spans="2:40" ht="15" thickBot="1" x14ac:dyDescent="0.4">
      <c r="B82" s="251"/>
      <c r="C82" s="252"/>
      <c r="D82" s="253" t="s">
        <v>162</v>
      </c>
      <c r="E82" s="254">
        <f>E79-E80-E81</f>
        <v>84915210.519999996</v>
      </c>
      <c r="I82" s="2" t="s">
        <v>85</v>
      </c>
      <c r="K82" s="192">
        <f>SUM(K77:K81)</f>
        <v>836072</v>
      </c>
      <c r="L82" s="190"/>
      <c r="P82" s="2" t="s">
        <v>85</v>
      </c>
      <c r="R82" s="192">
        <f>SUM(R77:R81)</f>
        <v>836072</v>
      </c>
      <c r="S82" s="190"/>
      <c r="X82" s="2" t="s">
        <v>85</v>
      </c>
      <c r="Z82" s="192">
        <f>SUM(Z77:Z81)</f>
        <v>836072</v>
      </c>
      <c r="AA82" s="190"/>
      <c r="AF82" s="2" t="s">
        <v>86</v>
      </c>
      <c r="AH82" s="195">
        <f>AH67+AH72+AH80</f>
        <v>-13003121.44896201</v>
      </c>
    </row>
    <row r="83" spans="2:40" x14ac:dyDescent="0.35">
      <c r="B83" s="251"/>
      <c r="C83" s="252"/>
      <c r="D83" s="253"/>
      <c r="E83" s="254"/>
      <c r="L83" s="190"/>
      <c r="S83" s="190"/>
      <c r="AA83" s="190"/>
      <c r="AH83" s="196"/>
    </row>
    <row r="84" spans="2:40" x14ac:dyDescent="0.35">
      <c r="B84" s="251"/>
      <c r="C84" s="252"/>
      <c r="D84" s="253" t="s">
        <v>138</v>
      </c>
      <c r="E84" s="254">
        <v>90000000</v>
      </c>
      <c r="I84" s="2" t="s">
        <v>86</v>
      </c>
      <c r="K84" s="195">
        <f>K69+K74+K82</f>
        <v>1239639.397767998</v>
      </c>
      <c r="P84" s="2" t="s">
        <v>86</v>
      </c>
      <c r="R84" s="195">
        <f>R69+R74+R82</f>
        <v>-11193337.902232029</v>
      </c>
      <c r="X84" s="2" t="s">
        <v>86</v>
      </c>
      <c r="Z84" s="195">
        <f>Z69+Z74+Z82</f>
        <v>-7367180.4022320285</v>
      </c>
      <c r="AF84" s="2" t="s">
        <v>87</v>
      </c>
      <c r="AH84" s="195">
        <v>0</v>
      </c>
    </row>
    <row r="85" spans="2:40" ht="15" thickBot="1" x14ac:dyDescent="0.4">
      <c r="B85" s="255"/>
      <c r="C85" s="256"/>
      <c r="D85" s="257" t="s">
        <v>145</v>
      </c>
      <c r="E85" s="258">
        <f>E84-E82</f>
        <v>5084789.4800000042</v>
      </c>
      <c r="K85" s="196"/>
      <c r="R85" s="196"/>
      <c r="Z85" s="196"/>
    </row>
    <row r="86" spans="2:40" ht="15" thickBot="1" x14ac:dyDescent="0.4">
      <c r="B86" s="2"/>
      <c r="C86" s="2"/>
      <c r="D86" s="2"/>
      <c r="E86" s="2"/>
      <c r="I86" s="2" t="s">
        <v>87</v>
      </c>
      <c r="K86" s="195">
        <v>0</v>
      </c>
      <c r="P86" s="2" t="s">
        <v>87</v>
      </c>
      <c r="R86" s="195">
        <v>0</v>
      </c>
      <c r="X86" s="2" t="s">
        <v>87</v>
      </c>
      <c r="Z86" s="195">
        <v>0</v>
      </c>
      <c r="AF86" s="2" t="s">
        <v>88</v>
      </c>
      <c r="AH86" s="197">
        <f>AH82-AH84</f>
        <v>-13003121.44896201</v>
      </c>
    </row>
    <row r="87" spans="2:40" ht="15" thickTop="1" x14ac:dyDescent="0.35">
      <c r="B87" s="2"/>
      <c r="C87" s="2"/>
      <c r="D87" s="2"/>
      <c r="E87" s="2"/>
    </row>
    <row r="88" spans="2:40" ht="15" thickBot="1" x14ac:dyDescent="0.4">
      <c r="B88" s="2"/>
      <c r="C88" s="2"/>
      <c r="D88" s="2"/>
      <c r="E88" s="30"/>
      <c r="I88" s="2" t="s">
        <v>88</v>
      </c>
      <c r="K88" s="197">
        <f>K84-K86</f>
        <v>1239639.397767998</v>
      </c>
      <c r="P88" s="2" t="s">
        <v>88</v>
      </c>
      <c r="R88" s="197">
        <f>R84-R86</f>
        <v>-11193337.902232029</v>
      </c>
      <c r="X88" s="2" t="s">
        <v>88</v>
      </c>
      <c r="Z88" s="197">
        <f>Z84-Z86</f>
        <v>-7367180.4022320285</v>
      </c>
    </row>
    <row r="89" spans="2:40" ht="15" thickTop="1" x14ac:dyDescent="0.35">
      <c r="B89" s="2"/>
      <c r="C89" s="2"/>
      <c r="D89" s="2"/>
      <c r="E89" s="2"/>
      <c r="AF89" s="371" t="s">
        <v>31</v>
      </c>
      <c r="AG89" s="371"/>
    </row>
    <row r="90" spans="2:40" ht="21" customHeight="1" thickBot="1" x14ac:dyDescent="0.4">
      <c r="B90" s="2"/>
      <c r="C90" s="2"/>
      <c r="D90" s="2"/>
      <c r="E90" s="2"/>
      <c r="AG90" s="309" t="s">
        <v>33</v>
      </c>
      <c r="AH90" s="199">
        <v>-3377592.5</v>
      </c>
    </row>
    <row r="91" spans="2:40" ht="21.75" customHeight="1" x14ac:dyDescent="0.35">
      <c r="B91" s="2"/>
      <c r="C91" s="2"/>
      <c r="D91" s="2"/>
      <c r="E91" s="2"/>
      <c r="I91" s="371" t="s">
        <v>31</v>
      </c>
      <c r="J91" s="371"/>
      <c r="P91" s="371" t="s">
        <v>31</v>
      </c>
      <c r="Q91" s="371"/>
      <c r="X91" s="371" t="s">
        <v>31</v>
      </c>
      <c r="Y91" s="371"/>
      <c r="AE91" s="374" t="s">
        <v>89</v>
      </c>
      <c r="AF91" s="309" t="s">
        <v>120</v>
      </c>
      <c r="AG91" s="311" t="s">
        <v>36</v>
      </c>
      <c r="AH91" s="199">
        <v>-35945</v>
      </c>
      <c r="AI91" s="2" t="s">
        <v>37</v>
      </c>
    </row>
    <row r="92" spans="2:40" ht="15" thickBot="1" x14ac:dyDescent="0.4">
      <c r="B92" s="2"/>
      <c r="C92" s="2"/>
      <c r="D92" s="2"/>
      <c r="E92" s="2"/>
      <c r="J92" s="309" t="s">
        <v>33</v>
      </c>
      <c r="K92" s="199">
        <f>C18</f>
        <v>-3377592.5</v>
      </c>
      <c r="Q92" s="309" t="s">
        <v>33</v>
      </c>
      <c r="R92" s="199">
        <v>-3377592.5</v>
      </c>
      <c r="Y92" s="309" t="s">
        <v>33</v>
      </c>
      <c r="Z92" s="199">
        <v>-3377592.5</v>
      </c>
      <c r="AE92" s="375"/>
      <c r="AF92" s="309" t="s">
        <v>120</v>
      </c>
      <c r="AG92" s="311" t="s">
        <v>38</v>
      </c>
      <c r="AH92" s="199">
        <v>-5546</v>
      </c>
      <c r="AI92" s="2" t="s">
        <v>37</v>
      </c>
      <c r="AK92">
        <v>-0.2</v>
      </c>
      <c r="AL92">
        <v>174</v>
      </c>
      <c r="AM92">
        <v>5000</v>
      </c>
      <c r="AN92">
        <f>AK92*AL92*AM92</f>
        <v>-174000.00000000003</v>
      </c>
    </row>
    <row r="93" spans="2:40" ht="15" thickBot="1" x14ac:dyDescent="0.4">
      <c r="B93" s="2"/>
      <c r="C93" s="2"/>
      <c r="D93" s="2"/>
      <c r="E93" s="2"/>
      <c r="H93" s="374" t="s">
        <v>89</v>
      </c>
      <c r="I93" s="309" t="s">
        <v>120</v>
      </c>
      <c r="J93" s="309" t="s">
        <v>36</v>
      </c>
      <c r="K93" s="199">
        <f t="shared" ref="K93:K96" si="8">C19</f>
        <v>-847675</v>
      </c>
      <c r="L93" s="2" t="s">
        <v>37</v>
      </c>
      <c r="O93" s="374" t="s">
        <v>89</v>
      </c>
      <c r="P93" s="309" t="s">
        <v>120</v>
      </c>
      <c r="Q93" s="309" t="s">
        <v>36</v>
      </c>
      <c r="R93" s="199">
        <v>-847675</v>
      </c>
      <c r="S93" s="2" t="s">
        <v>37</v>
      </c>
      <c r="W93" s="374" t="s">
        <v>89</v>
      </c>
      <c r="X93" s="309" t="s">
        <v>120</v>
      </c>
      <c r="Y93" s="309" t="s">
        <v>36</v>
      </c>
      <c r="Z93" s="199">
        <v>-847675</v>
      </c>
      <c r="AA93" s="2" t="s">
        <v>37</v>
      </c>
      <c r="AE93" s="376"/>
      <c r="AF93" s="309" t="s">
        <v>92</v>
      </c>
      <c r="AG93" s="311" t="s">
        <v>39</v>
      </c>
      <c r="AH93" s="199">
        <v>-140510</v>
      </c>
      <c r="AI93" s="2" t="s">
        <v>121</v>
      </c>
    </row>
    <row r="94" spans="2:40" x14ac:dyDescent="0.35">
      <c r="B94" s="2"/>
      <c r="C94" s="2"/>
      <c r="D94" s="2"/>
      <c r="E94" s="2"/>
      <c r="H94" s="375"/>
      <c r="I94" s="309" t="s">
        <v>120</v>
      </c>
      <c r="J94" s="309" t="s">
        <v>38</v>
      </c>
      <c r="K94" s="199">
        <f t="shared" si="8"/>
        <v>-1585.5</v>
      </c>
      <c r="L94" s="2" t="s">
        <v>37</v>
      </c>
      <c r="O94" s="375"/>
      <c r="P94" s="309" t="s">
        <v>120</v>
      </c>
      <c r="Q94" s="309" t="s">
        <v>38</v>
      </c>
      <c r="R94" s="199">
        <v>-1585.5</v>
      </c>
      <c r="S94" s="2" t="s">
        <v>37</v>
      </c>
      <c r="W94" s="375"/>
      <c r="X94" s="309" t="s">
        <v>120</v>
      </c>
      <c r="Y94" s="309" t="s">
        <v>38</v>
      </c>
      <c r="Z94" s="199">
        <v>-1585.5</v>
      </c>
      <c r="AA94" s="2" t="s">
        <v>37</v>
      </c>
      <c r="AF94" s="309" t="s">
        <v>171</v>
      </c>
      <c r="AG94" s="311" t="s">
        <v>103</v>
      </c>
      <c r="AH94" s="199">
        <v>-192590</v>
      </c>
    </row>
    <row r="95" spans="2:40" ht="15" thickBot="1" x14ac:dyDescent="0.4">
      <c r="B95" s="2"/>
      <c r="C95" s="2"/>
      <c r="D95" s="2"/>
      <c r="E95" s="2"/>
      <c r="H95" s="376"/>
      <c r="I95" s="309" t="s">
        <v>92</v>
      </c>
      <c r="J95" s="309" t="s">
        <v>39</v>
      </c>
      <c r="K95" s="199">
        <f t="shared" si="8"/>
        <v>5534565</v>
      </c>
      <c r="L95" s="2" t="s">
        <v>121</v>
      </c>
      <c r="O95" s="376"/>
      <c r="P95" s="309" t="s">
        <v>92</v>
      </c>
      <c r="Q95" s="309" t="s">
        <v>39</v>
      </c>
      <c r="R95" s="199">
        <v>5534565</v>
      </c>
      <c r="S95" s="2" t="s">
        <v>121</v>
      </c>
      <c r="W95" s="376"/>
      <c r="X95" s="309" t="s">
        <v>92</v>
      </c>
      <c r="Y95" s="309" t="s">
        <v>39</v>
      </c>
      <c r="Z95" s="199">
        <v>5534565</v>
      </c>
      <c r="AA95" s="2" t="s">
        <v>121</v>
      </c>
      <c r="AG95" s="311" t="s">
        <v>41</v>
      </c>
      <c r="AH95" s="200">
        <f>SUM(AH90:AH94)</f>
        <v>-3752183.5</v>
      </c>
    </row>
    <row r="96" spans="2:40" x14ac:dyDescent="0.35">
      <c r="B96" s="2"/>
      <c r="C96" s="2"/>
      <c r="D96" s="2"/>
      <c r="E96" s="2"/>
      <c r="I96" s="309" t="s">
        <v>120</v>
      </c>
      <c r="J96" s="309" t="s">
        <v>103</v>
      </c>
      <c r="K96" s="199">
        <f t="shared" si="8"/>
        <v>-471640</v>
      </c>
      <c r="P96" s="309" t="s">
        <v>120</v>
      </c>
      <c r="Q96" s="309" t="s">
        <v>103</v>
      </c>
      <c r="R96" s="199">
        <v>-471640</v>
      </c>
      <c r="X96" s="309" t="s">
        <v>120</v>
      </c>
      <c r="Y96" s="309" t="s">
        <v>103</v>
      </c>
      <c r="Z96" s="199">
        <v>-471640</v>
      </c>
    </row>
    <row r="97" spans="1:35" x14ac:dyDescent="0.35">
      <c r="B97" s="2"/>
      <c r="C97" s="2"/>
      <c r="D97" s="2"/>
      <c r="E97" s="2"/>
      <c r="J97" s="309" t="s">
        <v>41</v>
      </c>
      <c r="K97" s="200">
        <f>SUM(K92:K96)</f>
        <v>836072</v>
      </c>
      <c r="L97" s="2" t="str">
        <f>B3</f>
        <v>Date as of : 12.29.2020</v>
      </c>
      <c r="Q97" s="309" t="s">
        <v>41</v>
      </c>
      <c r="R97" s="200">
        <f>SUM(R92:R96)</f>
        <v>836072</v>
      </c>
      <c r="S97" s="2">
        <f>K2</f>
        <v>0</v>
      </c>
      <c r="Y97" s="309" t="s">
        <v>41</v>
      </c>
      <c r="Z97" s="200">
        <f>SUM(Z92:Z96)</f>
        <v>836072</v>
      </c>
      <c r="AA97" s="2">
        <f>Q3</f>
        <v>0</v>
      </c>
    </row>
    <row r="98" spans="1:35" ht="15" thickBot="1" x14ac:dyDescent="0.4">
      <c r="E98" s="194"/>
      <c r="AH98" s="235"/>
    </row>
    <row r="99" spans="1:35" ht="15" thickBot="1" x14ac:dyDescent="0.4">
      <c r="AF99" s="333" t="s">
        <v>123</v>
      </c>
      <c r="AG99" s="334"/>
    </row>
    <row r="100" spans="1:35" ht="15" thickBot="1" x14ac:dyDescent="0.4">
      <c r="R100" s="235"/>
      <c r="Z100" s="235"/>
    </row>
    <row r="101" spans="1:35" ht="15" thickBot="1" x14ac:dyDescent="0.4">
      <c r="I101" s="333" t="s">
        <v>123</v>
      </c>
      <c r="J101" s="334"/>
      <c r="P101" s="333" t="s">
        <v>123</v>
      </c>
      <c r="Q101" s="334"/>
      <c r="X101" s="333" t="s">
        <v>123</v>
      </c>
      <c r="Y101" s="334"/>
    </row>
    <row r="105" spans="1:35" x14ac:dyDescent="0.35">
      <c r="AI105"/>
    </row>
    <row r="111" spans="1:35" s="2" customFormat="1" x14ac:dyDescent="0.35">
      <c r="A111"/>
      <c r="B111"/>
      <c r="C111"/>
      <c r="D111"/>
      <c r="E111"/>
      <c r="F111" s="1"/>
      <c r="G111" s="3"/>
      <c r="H111" s="1"/>
      <c r="M111" s="1"/>
      <c r="N111" s="3"/>
      <c r="O111" s="1"/>
      <c r="T111"/>
      <c r="U111" s="1"/>
      <c r="V111" s="3"/>
      <c r="W111" s="1"/>
      <c r="AB111"/>
      <c r="AC111" s="1"/>
      <c r="AD111" s="3"/>
      <c r="AE111" s="1"/>
    </row>
    <row r="112" spans="1:35" s="2" customFormat="1" x14ac:dyDescent="0.35">
      <c r="A112"/>
      <c r="B112"/>
      <c r="C112"/>
      <c r="D112"/>
      <c r="E112"/>
      <c r="F112" s="1"/>
      <c r="G112" s="3"/>
      <c r="H112" s="1"/>
      <c r="M112" s="1"/>
      <c r="N112" s="3"/>
      <c r="O112" s="1"/>
      <c r="T112"/>
      <c r="U112" s="1"/>
      <c r="V112" s="3"/>
      <c r="W112" s="1"/>
      <c r="AB112"/>
      <c r="AC112" s="1"/>
      <c r="AD112" s="3"/>
      <c r="AE112" s="1"/>
    </row>
    <row r="113" spans="1:33" s="2" customFormat="1" ht="15" thickBot="1" x14ac:dyDescent="0.4">
      <c r="A113"/>
      <c r="B113"/>
      <c r="C113"/>
      <c r="D113"/>
      <c r="E113"/>
      <c r="F113" s="1"/>
      <c r="G113" s="3"/>
      <c r="H113" s="1"/>
      <c r="M113" s="1"/>
      <c r="N113" s="3"/>
      <c r="O113" s="1"/>
      <c r="U113" s="1"/>
      <c r="V113" s="3"/>
      <c r="W113" s="1"/>
      <c r="AC113" s="1"/>
      <c r="AD113" s="3"/>
      <c r="AE113" s="1"/>
      <c r="AF113" s="2" t="s">
        <v>170</v>
      </c>
    </row>
    <row r="114" spans="1:33" s="2" customFormat="1" ht="15" thickBot="1" x14ac:dyDescent="0.4">
      <c r="B114"/>
      <c r="C114"/>
      <c r="D114"/>
      <c r="E114"/>
      <c r="F114" s="1"/>
      <c r="G114" s="3"/>
      <c r="H114" s="1"/>
      <c r="M114" s="1"/>
      <c r="N114" s="3"/>
      <c r="O114" s="1"/>
      <c r="U114" s="1"/>
      <c r="V114" s="3"/>
      <c r="W114" s="1"/>
      <c r="AC114" s="1"/>
      <c r="AD114" s="3"/>
      <c r="AE114" s="1"/>
      <c r="AF114" s="333" t="s">
        <v>36</v>
      </c>
      <c r="AG114" s="334"/>
    </row>
    <row r="115" spans="1:33" s="2" customFormat="1" ht="15" thickBot="1" x14ac:dyDescent="0.4">
      <c r="B115"/>
      <c r="C115"/>
      <c r="D115"/>
      <c r="E115"/>
      <c r="F115" s="1"/>
      <c r="G115" s="3"/>
      <c r="H115" s="1"/>
      <c r="M115" s="1"/>
      <c r="N115" s="3"/>
      <c r="O115" s="1"/>
      <c r="U115" s="1"/>
      <c r="V115" s="3"/>
      <c r="W115" s="1"/>
      <c r="AC115" s="1"/>
      <c r="AD115" s="3"/>
      <c r="AE115" s="1"/>
    </row>
    <row r="116" spans="1:33" ht="15" thickBot="1" x14ac:dyDescent="0.4">
      <c r="A116" s="2"/>
      <c r="I116" s="333" t="s">
        <v>36</v>
      </c>
      <c r="J116" s="334"/>
      <c r="P116" s="333" t="s">
        <v>36</v>
      </c>
      <c r="Q116" s="334"/>
      <c r="T116" s="2"/>
      <c r="X116" s="333" t="s">
        <v>36</v>
      </c>
      <c r="Y116" s="334"/>
      <c r="AB116" s="2"/>
    </row>
    <row r="117" spans="1:33" x14ac:dyDescent="0.35">
      <c r="A117" s="2"/>
      <c r="T117" s="2"/>
      <c r="AB117" s="2"/>
    </row>
    <row r="118" spans="1:33" x14ac:dyDescent="0.35">
      <c r="A118" s="2"/>
    </row>
    <row r="130" spans="7:33" x14ac:dyDescent="0.35">
      <c r="G130"/>
      <c r="N130"/>
      <c r="V130"/>
      <c r="AD130"/>
    </row>
    <row r="131" spans="7:33" x14ac:dyDescent="0.35">
      <c r="G131"/>
      <c r="N131"/>
      <c r="V131"/>
      <c r="AD131"/>
    </row>
    <row r="132" spans="7:33" x14ac:dyDescent="0.35">
      <c r="G132"/>
      <c r="N132"/>
      <c r="V132"/>
      <c r="AD132"/>
      <c r="AF132" s="2" t="s">
        <v>170</v>
      </c>
    </row>
    <row r="133" spans="7:33" ht="15" thickBot="1" x14ac:dyDescent="0.4">
      <c r="G133"/>
      <c r="N133"/>
      <c r="V133"/>
      <c r="AD133"/>
    </row>
    <row r="134" spans="7:33" ht="15" thickBot="1" x14ac:dyDescent="0.4">
      <c r="G134"/>
      <c r="N134"/>
      <c r="V134"/>
      <c r="AD134"/>
      <c r="AF134" s="333" t="s">
        <v>95</v>
      </c>
      <c r="AG134" s="334"/>
    </row>
    <row r="135" spans="7:33" ht="15" thickBot="1" x14ac:dyDescent="0.4">
      <c r="G135"/>
      <c r="N135"/>
      <c r="V135"/>
      <c r="AD135"/>
    </row>
    <row r="136" spans="7:33" ht="15" thickBot="1" x14ac:dyDescent="0.4">
      <c r="G136"/>
      <c r="I136" s="333" t="s">
        <v>95</v>
      </c>
      <c r="J136" s="334"/>
      <c r="N136"/>
      <c r="P136" s="333" t="s">
        <v>95</v>
      </c>
      <c r="Q136" s="334"/>
      <c r="V136"/>
      <c r="X136" s="333" t="s">
        <v>95</v>
      </c>
      <c r="Y136" s="334"/>
      <c r="AD136"/>
    </row>
    <row r="137" spans="7:33" x14ac:dyDescent="0.35">
      <c r="G137"/>
      <c r="N137"/>
      <c r="V137"/>
      <c r="AD137"/>
    </row>
    <row r="138" spans="7:33" x14ac:dyDescent="0.35">
      <c r="G138"/>
      <c r="N138"/>
      <c r="V138"/>
      <c r="AD138"/>
    </row>
    <row r="153" spans="1:33" x14ac:dyDescent="0.35">
      <c r="AF153" s="2" t="s">
        <v>170</v>
      </c>
    </row>
    <row r="156" spans="1:33" ht="15" thickBot="1" x14ac:dyDescent="0.4"/>
    <row r="157" spans="1:33" s="2" customFormat="1" ht="15" thickBot="1" x14ac:dyDescent="0.4">
      <c r="A157"/>
      <c r="B157"/>
      <c r="C157"/>
      <c r="D157"/>
      <c r="E157"/>
      <c r="F157" s="1"/>
      <c r="G157" s="3"/>
      <c r="H157" s="1"/>
      <c r="M157" s="1"/>
      <c r="N157" s="3"/>
      <c r="O157" s="1"/>
      <c r="T157"/>
      <c r="U157" s="1"/>
      <c r="V157" s="3"/>
      <c r="W157" s="1"/>
      <c r="AB157"/>
      <c r="AC157" s="1"/>
      <c r="AD157" s="3"/>
      <c r="AE157" s="1"/>
      <c r="AF157" s="333" t="s">
        <v>94</v>
      </c>
      <c r="AG157" s="334"/>
    </row>
    <row r="158" spans="1:33" s="2" customFormat="1" ht="15" thickBot="1" x14ac:dyDescent="0.4">
      <c r="A158"/>
      <c r="B158"/>
      <c r="C158"/>
      <c r="D158"/>
      <c r="E158"/>
      <c r="F158" s="1"/>
      <c r="G158" s="3"/>
      <c r="H158" s="1"/>
      <c r="M158" s="1"/>
      <c r="N158" s="3"/>
      <c r="O158" s="1"/>
      <c r="T158"/>
      <c r="U158" s="1"/>
      <c r="V158" s="3"/>
      <c r="W158" s="1"/>
      <c r="AB158"/>
      <c r="AC158" s="1"/>
      <c r="AD158" s="3"/>
      <c r="AE158" s="1"/>
    </row>
    <row r="159" spans="1:33" ht="15" thickBot="1" x14ac:dyDescent="0.4">
      <c r="I159" s="333" t="s">
        <v>94</v>
      </c>
      <c r="J159" s="334"/>
      <c r="P159" s="333" t="s">
        <v>94</v>
      </c>
      <c r="Q159" s="334"/>
      <c r="T159" s="2"/>
      <c r="X159" s="333" t="s">
        <v>94</v>
      </c>
      <c r="Y159" s="334"/>
      <c r="AB159" s="2"/>
    </row>
    <row r="160" spans="1:33" x14ac:dyDescent="0.35">
      <c r="A160" s="2"/>
      <c r="T160" s="2"/>
      <c r="AB160" s="2"/>
    </row>
    <row r="161" spans="1:1" x14ac:dyDescent="0.35">
      <c r="A161" s="2"/>
    </row>
    <row r="188" spans="9:33" ht="15" thickBot="1" x14ac:dyDescent="0.4">
      <c r="AF188" s="2" t="s">
        <v>170</v>
      </c>
    </row>
    <row r="189" spans="9:33" ht="15" thickBot="1" x14ac:dyDescent="0.4">
      <c r="AF189" s="333" t="s">
        <v>103</v>
      </c>
      <c r="AG189" s="334"/>
    </row>
    <row r="190" spans="9:33" ht="15" thickBot="1" x14ac:dyDescent="0.4"/>
    <row r="191" spans="9:33" ht="15" thickBot="1" x14ac:dyDescent="0.4">
      <c r="I191" s="333" t="s">
        <v>103</v>
      </c>
      <c r="J191" s="334"/>
      <c r="P191" s="333" t="s">
        <v>103</v>
      </c>
      <c r="Q191" s="334"/>
      <c r="X191" s="333" t="s">
        <v>103</v>
      </c>
      <c r="Y191" s="334"/>
    </row>
    <row r="205" spans="1:35" s="1" customFormat="1" x14ac:dyDescent="0.35">
      <c r="A205"/>
      <c r="B205"/>
      <c r="C205"/>
      <c r="D205"/>
      <c r="E205"/>
      <c r="G205" s="3"/>
      <c r="I205" s="2"/>
      <c r="J205" s="2"/>
      <c r="K205" s="2"/>
      <c r="L205" s="2"/>
      <c r="N205" s="3"/>
      <c r="P205" s="2"/>
      <c r="Q205" s="2"/>
      <c r="R205" s="2"/>
      <c r="S205" s="2"/>
      <c r="T205"/>
      <c r="V205" s="3"/>
      <c r="X205" s="2"/>
      <c r="Y205" s="2"/>
      <c r="Z205" s="2"/>
      <c r="AA205" s="2"/>
      <c r="AB205"/>
      <c r="AD205" s="3"/>
      <c r="AF205" s="2"/>
      <c r="AG205" s="2"/>
      <c r="AH205" s="2"/>
      <c r="AI205" s="2"/>
    </row>
    <row r="206" spans="1:35" s="1" customFormat="1" x14ac:dyDescent="0.35">
      <c r="A206"/>
      <c r="B206"/>
      <c r="C206"/>
      <c r="D206"/>
      <c r="E206"/>
      <c r="G206" s="3"/>
      <c r="I206" s="2"/>
      <c r="J206" s="2"/>
      <c r="K206" s="2"/>
      <c r="L206" s="2"/>
      <c r="N206" s="3"/>
      <c r="P206" s="2"/>
      <c r="Q206" s="2"/>
      <c r="R206" s="2"/>
      <c r="S206" s="2"/>
      <c r="T206"/>
      <c r="V206" s="3"/>
      <c r="X206" s="2"/>
      <c r="Y206" s="2"/>
      <c r="Z206" s="2"/>
      <c r="AA206" s="2"/>
      <c r="AB206"/>
      <c r="AD206" s="3"/>
      <c r="AF206" s="2"/>
      <c r="AG206" s="2"/>
      <c r="AH206" s="2"/>
      <c r="AI206" s="2"/>
    </row>
    <row r="207" spans="1:35" x14ac:dyDescent="0.35">
      <c r="A207" s="1"/>
      <c r="T207" s="1"/>
      <c r="AB207" s="1"/>
    </row>
    <row r="208" spans="1:35" x14ac:dyDescent="0.35">
      <c r="A208" s="1"/>
      <c r="T208" s="1"/>
      <c r="AB208" s="1"/>
    </row>
    <row r="218" spans="32:32" x14ac:dyDescent="0.35">
      <c r="AF218" s="2" t="s">
        <v>170</v>
      </c>
    </row>
    <row r="228" spans="1:35" x14ac:dyDescent="0.35">
      <c r="F228"/>
      <c r="M228"/>
      <c r="U228"/>
      <c r="AC228"/>
    </row>
    <row r="229" spans="1:35" s="3" customFormat="1" x14ac:dyDescent="0.35">
      <c r="A229"/>
      <c r="B229"/>
      <c r="C229"/>
      <c r="D229"/>
      <c r="E229"/>
      <c r="F229" s="1"/>
      <c r="H229" s="1"/>
      <c r="I229" s="2"/>
      <c r="J229" s="2"/>
      <c r="K229" s="2"/>
      <c r="L229" s="2"/>
      <c r="M229" s="1"/>
      <c r="O229" s="1"/>
      <c r="P229" s="2"/>
      <c r="Q229" s="2"/>
      <c r="R229" s="2"/>
      <c r="S229" s="2"/>
      <c r="T229"/>
      <c r="U229" s="1"/>
      <c r="W229" s="1"/>
      <c r="X229" s="2"/>
      <c r="Y229" s="2"/>
      <c r="Z229" s="2"/>
      <c r="AA229" s="2"/>
      <c r="AB229"/>
      <c r="AC229" s="1"/>
      <c r="AE229" s="1"/>
      <c r="AF229" s="2"/>
      <c r="AG229" s="2"/>
      <c r="AH229" s="2"/>
      <c r="AI229" s="2"/>
    </row>
    <row r="231" spans="1:35" x14ac:dyDescent="0.35">
      <c r="A231" s="3"/>
      <c r="T231" s="3"/>
      <c r="AB231" s="3"/>
    </row>
    <row r="252" spans="6:35" ht="15" customHeight="1" thickBot="1" x14ac:dyDescent="0.4"/>
    <row r="253" spans="6:35" ht="15" customHeight="1" thickBot="1" x14ac:dyDescent="0.4">
      <c r="AE253" s="206"/>
      <c r="AF253" s="206"/>
      <c r="AG253" s="206"/>
      <c r="AH253" s="206"/>
      <c r="AI253" s="206"/>
    </row>
    <row r="254" spans="6:35" ht="15.75" customHeight="1" thickBot="1" x14ac:dyDescent="0.4">
      <c r="F254" s="206"/>
      <c r="G254" s="206"/>
      <c r="M254" s="206"/>
      <c r="N254" s="206"/>
      <c r="U254" s="206"/>
      <c r="V254" s="206"/>
      <c r="AC254" s="206"/>
      <c r="AD254" s="206"/>
      <c r="AE254" s="209"/>
      <c r="AF254" s="209"/>
      <c r="AG254" s="209"/>
      <c r="AH254" s="209"/>
      <c r="AI254" s="209"/>
    </row>
    <row r="255" spans="6:35" ht="26.5" thickBot="1" x14ac:dyDescent="0.4">
      <c r="F255" s="209"/>
      <c r="G255" s="209"/>
      <c r="H255" s="206"/>
      <c r="I255" s="206"/>
      <c r="J255" s="206"/>
      <c r="K255" s="206"/>
      <c r="L255" s="206"/>
      <c r="M255" s="209"/>
      <c r="N255" s="209"/>
      <c r="O255" s="206"/>
      <c r="P255" s="206"/>
      <c r="Q255" s="206"/>
      <c r="R255" s="206"/>
      <c r="S255" s="206"/>
      <c r="U255" s="209"/>
      <c r="V255" s="209"/>
      <c r="W255" s="206"/>
      <c r="X255" s="206"/>
      <c r="Y255" s="206"/>
      <c r="Z255" s="206"/>
      <c r="AA255" s="206"/>
      <c r="AC255" s="209"/>
      <c r="AD255" s="209"/>
      <c r="AE255" s="212"/>
      <c r="AF255" s="212"/>
      <c r="AG255" s="212"/>
      <c r="AH255" s="212"/>
      <c r="AI255" s="212"/>
    </row>
    <row r="256" spans="6:35" ht="26.5" thickBot="1" x14ac:dyDescent="0.4">
      <c r="F256" s="212"/>
      <c r="G256" s="212"/>
      <c r="H256" s="209"/>
      <c r="I256" s="209"/>
      <c r="J256" s="209"/>
      <c r="K256" s="209"/>
      <c r="L256" s="209"/>
      <c r="M256" s="212"/>
      <c r="N256" s="212"/>
      <c r="O256" s="209"/>
      <c r="P256" s="209"/>
      <c r="Q256" s="209"/>
      <c r="R256" s="209"/>
      <c r="S256" s="209"/>
      <c r="U256" s="212"/>
      <c r="V256" s="212"/>
      <c r="W256" s="209"/>
      <c r="X256" s="209"/>
      <c r="Y256" s="209"/>
      <c r="Z256" s="209"/>
      <c r="AA256" s="209"/>
      <c r="AC256" s="212"/>
      <c r="AD256" s="212"/>
    </row>
    <row r="257" spans="2:27" ht="26.5" thickBot="1" x14ac:dyDescent="0.4">
      <c r="H257" s="212"/>
      <c r="I257" s="212"/>
      <c r="J257" s="212"/>
      <c r="K257" s="212"/>
      <c r="L257" s="212"/>
      <c r="O257" s="212"/>
      <c r="P257" s="212"/>
      <c r="Q257" s="212"/>
      <c r="R257" s="212"/>
      <c r="S257" s="212"/>
      <c r="W257" s="212"/>
      <c r="X257" s="212"/>
      <c r="Y257" s="212"/>
      <c r="Z257" s="212"/>
      <c r="AA257" s="212"/>
    </row>
    <row r="262" spans="2:27" ht="15" thickBot="1" x14ac:dyDescent="0.4"/>
    <row r="263" spans="2:27" ht="52" x14ac:dyDescent="0.35">
      <c r="B263" s="205" t="s">
        <v>96</v>
      </c>
      <c r="C263" s="206"/>
      <c r="D263" s="206"/>
      <c r="E263" s="206"/>
    </row>
    <row r="264" spans="2:27" ht="26" x14ac:dyDescent="0.35">
      <c r="B264" s="208"/>
      <c r="C264" s="209"/>
      <c r="D264" s="209"/>
      <c r="E264" s="209"/>
    </row>
    <row r="265" spans="2:27" ht="26.5" thickBot="1" x14ac:dyDescent="0.4">
      <c r="B265" s="211"/>
      <c r="C265" s="212"/>
      <c r="D265" s="212"/>
      <c r="E265" s="212"/>
    </row>
    <row r="311" spans="6:35" ht="15" customHeight="1" thickBot="1" x14ac:dyDescent="0.4"/>
    <row r="312" spans="6:35" ht="15" customHeight="1" thickBot="1" x14ac:dyDescent="0.4">
      <c r="AE312" s="206"/>
      <c r="AF312" s="206"/>
      <c r="AG312" s="206"/>
      <c r="AH312" s="206"/>
      <c r="AI312" s="206"/>
    </row>
    <row r="313" spans="6:35" ht="15.75" customHeight="1" thickBot="1" x14ac:dyDescent="0.4">
      <c r="F313" s="206"/>
      <c r="G313" s="206"/>
      <c r="M313" s="206"/>
      <c r="N313" s="206"/>
      <c r="U313" s="206"/>
      <c r="V313" s="206"/>
      <c r="AC313" s="206"/>
      <c r="AD313" s="206"/>
      <c r="AE313" s="209"/>
      <c r="AF313" s="209"/>
      <c r="AG313" s="209"/>
      <c r="AH313" s="209"/>
      <c r="AI313" s="209"/>
    </row>
    <row r="314" spans="6:35" ht="26.5" thickBot="1" x14ac:dyDescent="0.4">
      <c r="F314" s="209"/>
      <c r="G314" s="209"/>
      <c r="H314" s="206"/>
      <c r="I314" s="206"/>
      <c r="J314" s="206"/>
      <c r="K314" s="206"/>
      <c r="L314" s="206"/>
      <c r="M314" s="209"/>
      <c r="N314" s="209"/>
      <c r="O314" s="206"/>
      <c r="P314" s="206"/>
      <c r="Q314" s="206"/>
      <c r="R314" s="206"/>
      <c r="S314" s="206"/>
      <c r="U314" s="209"/>
      <c r="V314" s="209"/>
      <c r="W314" s="206"/>
      <c r="X314" s="206"/>
      <c r="Y314" s="206"/>
      <c r="Z314" s="206"/>
      <c r="AA314" s="206"/>
      <c r="AC314" s="209"/>
      <c r="AD314" s="209"/>
      <c r="AE314" s="212"/>
      <c r="AF314" s="212"/>
      <c r="AG314" s="212"/>
      <c r="AH314" s="212"/>
      <c r="AI314" s="212"/>
    </row>
    <row r="315" spans="6:35" ht="26.5" thickBot="1" x14ac:dyDescent="0.4">
      <c r="F315" s="212"/>
      <c r="G315" s="212"/>
      <c r="H315" s="209"/>
      <c r="I315" s="209"/>
      <c r="J315" s="209"/>
      <c r="K315" s="209"/>
      <c r="L315" s="209"/>
      <c r="M315" s="212"/>
      <c r="N315" s="212"/>
      <c r="O315" s="209"/>
      <c r="P315" s="209"/>
      <c r="Q315" s="209"/>
      <c r="R315" s="209"/>
      <c r="S315" s="209"/>
      <c r="U315" s="212"/>
      <c r="V315" s="212"/>
      <c r="W315" s="209"/>
      <c r="X315" s="209"/>
      <c r="Y315" s="209"/>
      <c r="Z315" s="209"/>
      <c r="AA315" s="209"/>
      <c r="AC315" s="212"/>
      <c r="AD315" s="212"/>
    </row>
    <row r="316" spans="6:35" ht="26.5" thickBot="1" x14ac:dyDescent="0.4">
      <c r="H316" s="212"/>
      <c r="I316" s="212"/>
      <c r="J316" s="212"/>
      <c r="K316" s="212"/>
      <c r="L316" s="212"/>
      <c r="O316" s="212"/>
      <c r="P316" s="212"/>
      <c r="Q316" s="212"/>
      <c r="R316" s="212"/>
      <c r="S316" s="212"/>
      <c r="W316" s="212"/>
      <c r="X316" s="212"/>
      <c r="Y316" s="212"/>
      <c r="Z316" s="212"/>
      <c r="AA316" s="212"/>
      <c r="AE316" s="1" t="s">
        <v>102</v>
      </c>
    </row>
    <row r="318" spans="6:35" x14ac:dyDescent="0.35">
      <c r="H318" s="1" t="s">
        <v>102</v>
      </c>
      <c r="O318" s="1" t="s">
        <v>102</v>
      </c>
      <c r="W318" s="1" t="s">
        <v>102</v>
      </c>
    </row>
    <row r="321" spans="2:35" ht="15" thickBot="1" x14ac:dyDescent="0.4"/>
    <row r="322" spans="2:35" ht="26" x14ac:dyDescent="0.35">
      <c r="B322" s="205" t="s">
        <v>25</v>
      </c>
      <c r="C322" s="206"/>
      <c r="D322" s="206"/>
      <c r="E322" s="206"/>
    </row>
    <row r="323" spans="2:35" ht="26" x14ac:dyDescent="0.35">
      <c r="B323" s="208"/>
      <c r="C323" s="209"/>
      <c r="D323" s="209"/>
      <c r="E323" s="209"/>
    </row>
    <row r="324" spans="2:35" ht="26.5" thickBot="1" x14ac:dyDescent="0.4">
      <c r="B324" s="211"/>
      <c r="C324" s="212"/>
      <c r="D324" s="212"/>
      <c r="E324" s="212"/>
    </row>
    <row r="328" spans="2:35" ht="15" customHeight="1" thickBot="1" x14ac:dyDescent="0.4"/>
    <row r="329" spans="2:35" ht="15" customHeight="1" thickBot="1" x14ac:dyDescent="0.4">
      <c r="AE329" s="206"/>
      <c r="AF329" s="206"/>
      <c r="AG329" s="206"/>
      <c r="AH329" s="206"/>
      <c r="AI329" s="206"/>
    </row>
    <row r="330" spans="2:35" ht="15.75" customHeight="1" thickBot="1" x14ac:dyDescent="0.4">
      <c r="F330" s="206"/>
      <c r="G330" s="206"/>
      <c r="M330" s="206"/>
      <c r="N330" s="206"/>
      <c r="U330" s="206"/>
      <c r="V330" s="206"/>
      <c r="AC330" s="206"/>
      <c r="AD330" s="206"/>
      <c r="AE330" s="209"/>
      <c r="AF330" s="209"/>
      <c r="AG330" s="209"/>
      <c r="AH330" s="209"/>
      <c r="AI330" s="209"/>
    </row>
    <row r="331" spans="2:35" ht="26.5" thickBot="1" x14ac:dyDescent="0.4">
      <c r="F331" s="209"/>
      <c r="G331" s="209"/>
      <c r="H331" s="206"/>
      <c r="I331" s="206"/>
      <c r="J331" s="206"/>
      <c r="K331" s="206"/>
      <c r="L331" s="206"/>
      <c r="M331" s="209"/>
      <c r="N331" s="209"/>
      <c r="O331" s="206"/>
      <c r="P331" s="206"/>
      <c r="Q331" s="206"/>
      <c r="R331" s="206"/>
      <c r="S331" s="206"/>
      <c r="U331" s="209"/>
      <c r="V331" s="209"/>
      <c r="W331" s="206"/>
      <c r="X331" s="206"/>
      <c r="Y331" s="206"/>
      <c r="Z331" s="206"/>
      <c r="AA331" s="206"/>
      <c r="AC331" s="209"/>
      <c r="AD331" s="209"/>
      <c r="AE331" s="212"/>
      <c r="AF331" s="212"/>
      <c r="AG331" s="212"/>
      <c r="AH331" s="212"/>
      <c r="AI331" s="212"/>
    </row>
    <row r="332" spans="2:35" ht="26.5" thickBot="1" x14ac:dyDescent="0.4">
      <c r="F332" s="212"/>
      <c r="G332" s="212"/>
      <c r="H332" s="209"/>
      <c r="I332" s="209"/>
      <c r="J332" s="209"/>
      <c r="K332" s="209"/>
      <c r="L332" s="209"/>
      <c r="M332" s="212"/>
      <c r="N332" s="212"/>
      <c r="O332" s="209"/>
      <c r="P332" s="209"/>
      <c r="Q332" s="209"/>
      <c r="R332" s="209"/>
      <c r="S332" s="209"/>
      <c r="U332" s="212"/>
      <c r="V332" s="212"/>
      <c r="W332" s="209"/>
      <c r="X332" s="209"/>
      <c r="Y332" s="209"/>
      <c r="Z332" s="209"/>
      <c r="AA332" s="209"/>
      <c r="AC332" s="212"/>
      <c r="AD332" s="212"/>
    </row>
    <row r="333" spans="2:35" ht="26.5" thickBot="1" x14ac:dyDescent="0.4">
      <c r="H333" s="212"/>
      <c r="I333" s="212"/>
      <c r="J333" s="212"/>
      <c r="K333" s="212"/>
      <c r="L333" s="212"/>
      <c r="O333" s="212"/>
      <c r="P333" s="212"/>
      <c r="Q333" s="212"/>
      <c r="R333" s="212"/>
      <c r="S333" s="212"/>
      <c r="W333" s="212"/>
      <c r="X333" s="212"/>
      <c r="Y333" s="212"/>
      <c r="Z333" s="212"/>
      <c r="AA333" s="212"/>
    </row>
    <row r="338" spans="2:5" ht="15" thickBot="1" x14ac:dyDescent="0.4"/>
    <row r="339" spans="2:5" ht="78" x14ac:dyDescent="0.35">
      <c r="B339" s="205" t="s">
        <v>97</v>
      </c>
      <c r="C339" s="206"/>
      <c r="D339" s="206"/>
      <c r="E339" s="206"/>
    </row>
    <row r="340" spans="2:5" ht="26" x14ac:dyDescent="0.35">
      <c r="B340" s="208"/>
      <c r="C340" s="209"/>
      <c r="D340" s="209"/>
      <c r="E340" s="209"/>
    </row>
    <row r="341" spans="2:5" ht="26.5" thickBot="1" x14ac:dyDescent="0.4">
      <c r="B341" s="211"/>
      <c r="C341" s="212"/>
      <c r="D341" s="212"/>
      <c r="E341" s="212"/>
    </row>
    <row r="377" spans="8:35" x14ac:dyDescent="0.35">
      <c r="AE377"/>
      <c r="AF377"/>
      <c r="AG377"/>
      <c r="AH377"/>
      <c r="AI377"/>
    </row>
    <row r="378" spans="8:35" x14ac:dyDescent="0.35">
      <c r="AE378"/>
      <c r="AF378"/>
      <c r="AG378"/>
      <c r="AH378"/>
      <c r="AI378"/>
    </row>
    <row r="379" spans="8:35" x14ac:dyDescent="0.35">
      <c r="H379"/>
      <c r="I379"/>
      <c r="J379"/>
      <c r="K379"/>
      <c r="L379"/>
      <c r="O379"/>
      <c r="P379"/>
      <c r="Q379"/>
      <c r="R379"/>
      <c r="S379"/>
      <c r="W379"/>
      <c r="X379"/>
      <c r="Y379"/>
      <c r="Z379"/>
      <c r="AA379"/>
    </row>
    <row r="380" spans="8:35" x14ac:dyDescent="0.35">
      <c r="H380"/>
      <c r="I380"/>
      <c r="J380"/>
      <c r="K380"/>
      <c r="L380"/>
      <c r="O380"/>
      <c r="P380"/>
      <c r="Q380"/>
      <c r="R380"/>
      <c r="S380"/>
      <c r="W380"/>
      <c r="X380"/>
      <c r="Y380"/>
      <c r="Z380"/>
      <c r="AA380"/>
    </row>
    <row r="386" spans="3:5" ht="15" thickBot="1" x14ac:dyDescent="0.4"/>
    <row r="387" spans="3:5" x14ac:dyDescent="0.35">
      <c r="C387" s="425" t="s">
        <v>98</v>
      </c>
      <c r="D387" s="426"/>
      <c r="E387" s="427"/>
    </row>
    <row r="388" spans="3:5" ht="15" thickBot="1" x14ac:dyDescent="0.4">
      <c r="C388" s="428"/>
      <c r="D388" s="429"/>
      <c r="E388" s="430"/>
    </row>
  </sheetData>
  <mergeCells count="77">
    <mergeCell ref="AF14:AG14"/>
    <mergeCell ref="C1:C2"/>
    <mergeCell ref="P1:S2"/>
    <mergeCell ref="X1:AA2"/>
    <mergeCell ref="AF1:AI2"/>
    <mergeCell ref="I2:L3"/>
    <mergeCell ref="B3:E5"/>
    <mergeCell ref="P3:S3"/>
    <mergeCell ref="X3:AA3"/>
    <mergeCell ref="AF3:AI3"/>
    <mergeCell ref="AE18:AE24"/>
    <mergeCell ref="B24:E24"/>
    <mergeCell ref="B12:E12"/>
    <mergeCell ref="C14:E14"/>
    <mergeCell ref="I14:J14"/>
    <mergeCell ref="P14:Q14"/>
    <mergeCell ref="X14:Y14"/>
    <mergeCell ref="D15:E15"/>
    <mergeCell ref="B17:E17"/>
    <mergeCell ref="H18:H24"/>
    <mergeCell ref="O18:O24"/>
    <mergeCell ref="W18:W24"/>
    <mergeCell ref="AE26:AE32"/>
    <mergeCell ref="B27:E27"/>
    <mergeCell ref="B32:E34"/>
    <mergeCell ref="H34:H39"/>
    <mergeCell ref="O34:O39"/>
    <mergeCell ref="B25:E25"/>
    <mergeCell ref="B26:E26"/>
    <mergeCell ref="H26:H32"/>
    <mergeCell ref="O26:O32"/>
    <mergeCell ref="W26:W32"/>
    <mergeCell ref="AF62:AI62"/>
    <mergeCell ref="W34:W39"/>
    <mergeCell ref="AE34:AE39"/>
    <mergeCell ref="B35:E37"/>
    <mergeCell ref="H41:H45"/>
    <mergeCell ref="O41:O45"/>
    <mergeCell ref="W41:W45"/>
    <mergeCell ref="AE41:AE45"/>
    <mergeCell ref="C46:D46"/>
    <mergeCell ref="H47:H49"/>
    <mergeCell ref="O47:O49"/>
    <mergeCell ref="W47:W49"/>
    <mergeCell ref="AE47:AE49"/>
    <mergeCell ref="AF99:AG99"/>
    <mergeCell ref="I101:J101"/>
    <mergeCell ref="P101:Q101"/>
    <mergeCell ref="X101:Y101"/>
    <mergeCell ref="I64:L64"/>
    <mergeCell ref="P64:S64"/>
    <mergeCell ref="X64:AA64"/>
    <mergeCell ref="AF89:AG89"/>
    <mergeCell ref="I91:J91"/>
    <mergeCell ref="P91:Q91"/>
    <mergeCell ref="X91:Y91"/>
    <mergeCell ref="AE91:AE93"/>
    <mergeCell ref="I136:J136"/>
    <mergeCell ref="P136:Q136"/>
    <mergeCell ref="X136:Y136"/>
    <mergeCell ref="H93:H95"/>
    <mergeCell ref="O93:O95"/>
    <mergeCell ref="W93:W95"/>
    <mergeCell ref="AF114:AG114"/>
    <mergeCell ref="I116:J116"/>
    <mergeCell ref="P116:Q116"/>
    <mergeCell ref="X116:Y116"/>
    <mergeCell ref="AF134:AG134"/>
    <mergeCell ref="C387:E388"/>
    <mergeCell ref="AF157:AG157"/>
    <mergeCell ref="I159:J159"/>
    <mergeCell ref="P159:Q159"/>
    <mergeCell ref="X159:Y159"/>
    <mergeCell ref="AF189:AG189"/>
    <mergeCell ref="I191:J191"/>
    <mergeCell ref="P191:Q191"/>
    <mergeCell ref="X191:Y191"/>
  </mergeCells>
  <pageMargins left="0.7" right="0.7" top="0.75" bottom="0.75" header="0.3" footer="0.3"/>
  <pageSetup scale="64" orientation="portrait" r:id="rId1"/>
  <rowBreaks count="1" manualBreakCount="1">
    <brk id="59" max="16383" man="1"/>
  </rowBreaks>
  <colBreaks count="1" manualBreakCount="1">
    <brk id="7" max="1048575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370E9-9287-49B5-AE67-7BB893331FB3}">
  <dimension ref="A1:AI388"/>
  <sheetViews>
    <sheetView topLeftCell="A31" zoomScale="90" zoomScaleNormal="90" workbookViewId="0">
      <selection activeCell="E47" sqref="E47"/>
    </sheetView>
  </sheetViews>
  <sheetFormatPr defaultRowHeight="14.5" x14ac:dyDescent="0.35"/>
  <cols>
    <col min="1" max="1" width="3.26953125" customWidth="1"/>
    <col min="2" max="2" width="21.54296875" bestFit="1" customWidth="1"/>
    <col min="3" max="3" width="13" bestFit="1" customWidth="1"/>
    <col min="4" max="4" width="19.1796875" customWidth="1"/>
    <col min="5" max="5" width="22.7265625" bestFit="1" customWidth="1"/>
    <col min="6" max="6" width="3.453125" style="1" customWidth="1"/>
    <col min="7" max="7" width="3.453125" style="3" hidden="1" customWidth="1"/>
    <col min="8" max="8" width="29.81640625" style="1" hidden="1" customWidth="1"/>
    <col min="9" max="9" width="39.453125" style="2" hidden="1" customWidth="1"/>
    <col min="10" max="10" width="15.54296875" style="2" hidden="1" customWidth="1"/>
    <col min="11" max="11" width="26.81640625" style="2" hidden="1" customWidth="1"/>
    <col min="12" max="12" width="28.26953125" style="2" hidden="1" customWidth="1"/>
    <col min="13" max="13" width="3.453125" style="1" hidden="1" customWidth="1"/>
    <col min="14" max="14" width="3.453125" style="3" hidden="1" customWidth="1"/>
    <col min="15" max="15" width="29.81640625" style="1" hidden="1" customWidth="1"/>
    <col min="16" max="16" width="39.453125" style="2" hidden="1" customWidth="1"/>
    <col min="17" max="17" width="15.54296875" style="2" hidden="1" customWidth="1"/>
    <col min="18" max="18" width="26.81640625" style="2" hidden="1" customWidth="1"/>
    <col min="19" max="19" width="28.26953125" style="2" hidden="1" customWidth="1"/>
    <col min="20" max="20" width="9.1796875" hidden="1" customWidth="1"/>
    <col min="21" max="21" width="3.453125" style="1" hidden="1" customWidth="1"/>
    <col min="22" max="22" width="3.453125" style="3" hidden="1" customWidth="1"/>
    <col min="23" max="23" width="29.81640625" style="1" hidden="1" customWidth="1"/>
    <col min="24" max="24" width="39.453125" style="2" hidden="1" customWidth="1"/>
    <col min="25" max="25" width="15.54296875" style="2" hidden="1" customWidth="1"/>
    <col min="26" max="26" width="26.81640625" style="2" hidden="1" customWidth="1"/>
    <col min="27" max="27" width="28.26953125" style="2" hidden="1" customWidth="1"/>
    <col min="28" max="28" width="9.1796875" hidden="1" customWidth="1"/>
    <col min="29" max="29" width="3.453125" style="1" hidden="1" customWidth="1"/>
    <col min="30" max="30" width="3.453125" style="3" customWidth="1"/>
    <col min="31" max="31" width="29.81640625" style="1" bestFit="1" customWidth="1"/>
    <col min="32" max="32" width="39.453125" style="2" customWidth="1"/>
    <col min="33" max="33" width="15.54296875" style="2" customWidth="1"/>
    <col min="34" max="34" width="26.81640625" style="2" customWidth="1"/>
    <col min="35" max="35" width="28.26953125" style="2" bestFit="1" customWidth="1"/>
    <col min="36" max="47" width="9.1796875" customWidth="1"/>
  </cols>
  <sheetData>
    <row r="1" spans="2:35" ht="15" thickBot="1" x14ac:dyDescent="0.4">
      <c r="C1" s="414">
        <v>2020</v>
      </c>
      <c r="P1" s="439" t="s">
        <v>144</v>
      </c>
      <c r="Q1" s="440"/>
      <c r="R1" s="440"/>
      <c r="S1" s="441"/>
      <c r="X1" s="445" t="s">
        <v>143</v>
      </c>
      <c r="Y1" s="446"/>
      <c r="Z1" s="446"/>
      <c r="AA1" s="447"/>
      <c r="AF1" s="451" t="s">
        <v>147</v>
      </c>
      <c r="AG1" s="452"/>
      <c r="AH1" s="452"/>
      <c r="AI1" s="453"/>
    </row>
    <row r="2" spans="2:35" ht="15.75" customHeight="1" thickBot="1" x14ac:dyDescent="0.4">
      <c r="C2" s="415"/>
      <c r="F2" s="224"/>
      <c r="H2"/>
      <c r="I2" s="416" t="s">
        <v>5</v>
      </c>
      <c r="J2" s="417"/>
      <c r="K2" s="417"/>
      <c r="L2" s="418"/>
      <c r="M2" s="224"/>
      <c r="O2"/>
      <c r="P2" s="442"/>
      <c r="Q2" s="443"/>
      <c r="R2" s="443"/>
      <c r="S2" s="444"/>
      <c r="U2" s="224"/>
      <c r="W2"/>
      <c r="X2" s="448"/>
      <c r="Y2" s="449"/>
      <c r="Z2" s="449"/>
      <c r="AA2" s="450"/>
      <c r="AC2" s="224"/>
      <c r="AE2"/>
      <c r="AF2" s="454"/>
      <c r="AG2" s="455"/>
      <c r="AH2" s="455"/>
      <c r="AI2" s="456"/>
    </row>
    <row r="3" spans="2:35" ht="15" customHeight="1" thickBot="1" x14ac:dyDescent="0.4">
      <c r="B3" s="399" t="s">
        <v>163</v>
      </c>
      <c r="C3" s="400"/>
      <c r="D3" s="400"/>
      <c r="E3" s="401"/>
      <c r="F3" s="224"/>
      <c r="H3"/>
      <c r="I3" s="419"/>
      <c r="J3" s="420"/>
      <c r="K3" s="420"/>
      <c r="L3" s="421"/>
      <c r="M3" s="224"/>
      <c r="O3"/>
      <c r="P3" s="368" t="s">
        <v>5</v>
      </c>
      <c r="Q3" s="369"/>
      <c r="R3" s="369"/>
      <c r="S3" s="370"/>
      <c r="U3" s="224"/>
      <c r="W3"/>
      <c r="X3" s="368" t="s">
        <v>5</v>
      </c>
      <c r="Y3" s="369"/>
      <c r="Z3" s="369"/>
      <c r="AA3" s="370"/>
      <c r="AC3" s="224"/>
      <c r="AE3"/>
      <c r="AF3" s="368" t="s">
        <v>5</v>
      </c>
      <c r="AG3" s="369"/>
      <c r="AH3" s="369"/>
      <c r="AI3" s="370"/>
    </row>
    <row r="4" spans="2:35" ht="15.75" customHeight="1" thickBot="1" x14ac:dyDescent="0.4">
      <c r="B4" s="402"/>
      <c r="C4" s="403"/>
      <c r="D4" s="403"/>
      <c r="E4" s="404"/>
      <c r="H4"/>
      <c r="O4"/>
      <c r="W4"/>
      <c r="AE4"/>
    </row>
    <row r="5" spans="2:35" ht="15.75" customHeight="1" thickBot="1" x14ac:dyDescent="0.4">
      <c r="B5" s="405"/>
      <c r="C5" s="406"/>
      <c r="D5" s="406"/>
      <c r="E5" s="407"/>
      <c r="H5"/>
      <c r="I5" s="7" t="s">
        <v>99</v>
      </c>
      <c r="J5" s="8"/>
      <c r="K5" s="9"/>
      <c r="L5" s="9"/>
      <c r="O5"/>
      <c r="P5" s="7" t="s">
        <v>99</v>
      </c>
      <c r="Q5" s="8"/>
      <c r="R5" s="9"/>
      <c r="S5" s="9"/>
      <c r="W5"/>
      <c r="X5" s="7" t="s">
        <v>99</v>
      </c>
      <c r="Y5" s="8"/>
      <c r="Z5" s="9"/>
      <c r="AA5" s="9"/>
      <c r="AE5"/>
      <c r="AF5" s="7" t="s">
        <v>99</v>
      </c>
      <c r="AG5" s="8"/>
      <c r="AH5" s="9"/>
      <c r="AI5" s="9"/>
    </row>
    <row r="6" spans="2:35" ht="15.75" customHeight="1" thickBot="1" x14ac:dyDescent="0.4">
      <c r="B6" s="13"/>
      <c r="C6" s="304" t="s">
        <v>11</v>
      </c>
      <c r="D6" s="15"/>
      <c r="E6" s="305"/>
      <c r="F6" s="224"/>
      <c r="H6"/>
      <c r="I6" s="17" t="s">
        <v>13</v>
      </c>
      <c r="J6" s="17" t="s">
        <v>14</v>
      </c>
      <c r="K6" s="18" t="s">
        <v>15</v>
      </c>
      <c r="O6"/>
      <c r="P6" s="17" t="s">
        <v>13</v>
      </c>
      <c r="Q6" s="17" t="s">
        <v>14</v>
      </c>
      <c r="R6" s="18" t="s">
        <v>15</v>
      </c>
      <c r="W6"/>
      <c r="X6" s="17" t="s">
        <v>13</v>
      </c>
      <c r="Y6" s="17" t="s">
        <v>14</v>
      </c>
      <c r="Z6" s="18" t="s">
        <v>15</v>
      </c>
      <c r="AE6"/>
      <c r="AF6" s="17" t="s">
        <v>13</v>
      </c>
      <c r="AG6" s="17" t="s">
        <v>14</v>
      </c>
      <c r="AH6" s="18" t="s">
        <v>15</v>
      </c>
    </row>
    <row r="7" spans="2:35" x14ac:dyDescent="0.35">
      <c r="B7" s="20" t="s">
        <v>19</v>
      </c>
      <c r="C7" s="21">
        <v>1879.7</v>
      </c>
      <c r="D7" s="252"/>
      <c r="E7" s="290"/>
      <c r="F7" s="224"/>
      <c r="H7"/>
      <c r="I7" s="24">
        <f>+I24</f>
        <v>11562.909299999999</v>
      </c>
      <c r="J7" s="25">
        <f>C7</f>
        <v>1879.7</v>
      </c>
      <c r="K7" s="26">
        <f>+I7*J7</f>
        <v>21734800.61121</v>
      </c>
      <c r="O7"/>
      <c r="P7" s="24">
        <f>P24</f>
        <v>11562.909299999999</v>
      </c>
      <c r="Q7" s="25">
        <f>C7</f>
        <v>1879.7</v>
      </c>
      <c r="R7" s="26">
        <f>P7*Q7</f>
        <v>21734800.61121</v>
      </c>
      <c r="W7"/>
      <c r="X7" s="24">
        <f>X24</f>
        <v>25137.909299999999</v>
      </c>
      <c r="Y7" s="25">
        <f>C7</f>
        <v>1879.7</v>
      </c>
      <c r="Z7" s="26">
        <f>X7*Y7</f>
        <v>47251728.111210003</v>
      </c>
      <c r="AE7"/>
      <c r="AF7" s="24">
        <f>AF24</f>
        <v>24562.909299999999</v>
      </c>
      <c r="AG7" s="25">
        <f>C7</f>
        <v>1879.7</v>
      </c>
      <c r="AH7" s="26">
        <f>AF7*AG7</f>
        <v>46170900.611210003</v>
      </c>
      <c r="AI7" s="190"/>
    </row>
    <row r="8" spans="2:35" x14ac:dyDescent="0.35">
      <c r="B8" s="31" t="s">
        <v>20</v>
      </c>
      <c r="C8" s="32">
        <v>26.138000000000002</v>
      </c>
      <c r="D8" s="236"/>
      <c r="E8" s="291"/>
      <c r="F8" s="224"/>
      <c r="H8"/>
      <c r="I8" s="35">
        <f>+I32</f>
        <v>3420470.0164000001</v>
      </c>
      <c r="J8" s="36">
        <f>C8</f>
        <v>26.138000000000002</v>
      </c>
      <c r="K8" s="37">
        <f>+I8*J8</f>
        <v>89404245.288663208</v>
      </c>
      <c r="O8"/>
      <c r="P8" s="35">
        <f>P32</f>
        <v>4445470.0164000001</v>
      </c>
      <c r="Q8" s="36">
        <f>C8</f>
        <v>26.138000000000002</v>
      </c>
      <c r="R8" s="37">
        <f>P8*Q8</f>
        <v>116195695.28866321</v>
      </c>
      <c r="W8"/>
      <c r="X8" s="35">
        <f>X32</f>
        <v>3420470.0164000001</v>
      </c>
      <c r="Y8" s="36">
        <f>C8</f>
        <v>26.138000000000002</v>
      </c>
      <c r="Z8" s="37">
        <f>X8*Y8</f>
        <v>89404245.288663208</v>
      </c>
      <c r="AE8"/>
      <c r="AF8" s="35">
        <f>AF32</f>
        <v>3720470.0164000001</v>
      </c>
      <c r="AG8" s="36">
        <f>C8</f>
        <v>26.138000000000002</v>
      </c>
      <c r="AH8" s="37">
        <f>AF8*AG8</f>
        <v>97245645.288663208</v>
      </c>
      <c r="AI8" s="190"/>
    </row>
    <row r="9" spans="2:35" x14ac:dyDescent="0.35">
      <c r="B9" s="40" t="s">
        <v>21</v>
      </c>
      <c r="C9" s="41">
        <v>1055.7</v>
      </c>
      <c r="D9" s="292"/>
      <c r="E9" s="293"/>
      <c r="F9" s="224"/>
      <c r="H9"/>
      <c r="I9" s="44">
        <f>I39</f>
        <v>0</v>
      </c>
      <c r="J9" s="45">
        <f>C9</f>
        <v>1055.7</v>
      </c>
      <c r="K9" s="46">
        <f>+I9*J9</f>
        <v>0</v>
      </c>
      <c r="O9"/>
      <c r="P9" s="44">
        <f>P39</f>
        <v>0</v>
      </c>
      <c r="Q9" s="45">
        <f>C9</f>
        <v>1055.7</v>
      </c>
      <c r="R9" s="46">
        <f>P9*Q9</f>
        <v>0</v>
      </c>
      <c r="W9"/>
      <c r="X9" s="44">
        <f>X39</f>
        <v>0</v>
      </c>
      <c r="Y9" s="45">
        <f>C9</f>
        <v>1055.7</v>
      </c>
      <c r="Z9" s="46">
        <f>X9*Y9</f>
        <v>0</v>
      </c>
      <c r="AE9"/>
      <c r="AF9" s="44">
        <f>AF39</f>
        <v>0</v>
      </c>
      <c r="AG9" s="45">
        <f>C9</f>
        <v>1055.7</v>
      </c>
      <c r="AH9" s="46">
        <f>AF9*AG9</f>
        <v>0</v>
      </c>
      <c r="AI9" s="190"/>
    </row>
    <row r="10" spans="2:35" ht="14.5" customHeight="1" x14ac:dyDescent="0.35">
      <c r="B10" s="49" t="s">
        <v>22</v>
      </c>
      <c r="C10" s="50">
        <v>2331.5</v>
      </c>
      <c r="D10" s="294"/>
      <c r="E10" s="295"/>
      <c r="F10" s="224"/>
      <c r="H10"/>
      <c r="I10" s="53">
        <f>I45</f>
        <v>517.16899999999998</v>
      </c>
      <c r="J10" s="54">
        <f>C10</f>
        <v>2331.5</v>
      </c>
      <c r="K10" s="55">
        <f>+I10*J10</f>
        <v>1205779.5234999999</v>
      </c>
      <c r="O10"/>
      <c r="P10" s="53">
        <f>P45</f>
        <v>517.16899999999998</v>
      </c>
      <c r="Q10" s="54">
        <f>C10</f>
        <v>2331.5</v>
      </c>
      <c r="R10" s="55">
        <f>P10*Q10</f>
        <v>1205779.5234999999</v>
      </c>
      <c r="W10"/>
      <c r="X10" s="53">
        <f>X45</f>
        <v>517.16899999999998</v>
      </c>
      <c r="Y10" s="54">
        <f>C10</f>
        <v>2331.5</v>
      </c>
      <c r="Z10" s="55">
        <f>X10*Y10</f>
        <v>1205779.5234999999</v>
      </c>
      <c r="AE10"/>
      <c r="AF10" s="53">
        <f>AF45</f>
        <v>181.99900000000002</v>
      </c>
      <c r="AG10" s="54">
        <f>C10</f>
        <v>2331.5</v>
      </c>
      <c r="AH10" s="55">
        <f>AF10*AG10</f>
        <v>424330.66850000003</v>
      </c>
      <c r="AI10" s="190"/>
    </row>
    <row r="11" spans="2:35" ht="15" thickBot="1" x14ac:dyDescent="0.4">
      <c r="B11" s="296" t="s">
        <v>23</v>
      </c>
      <c r="C11" s="58">
        <v>16650</v>
      </c>
      <c r="D11" s="297"/>
      <c r="E11" s="298"/>
      <c r="F11" s="224"/>
      <c r="H11"/>
      <c r="I11" s="61">
        <v>72.561999999999998</v>
      </c>
      <c r="J11" s="62">
        <f>C11</f>
        <v>16650</v>
      </c>
      <c r="K11" s="63">
        <f>+I11*J11</f>
        <v>1208157.3</v>
      </c>
      <c r="O11"/>
      <c r="P11" s="61">
        <f>P49</f>
        <v>72.56</v>
      </c>
      <c r="Q11" s="62">
        <f>C11</f>
        <v>16650</v>
      </c>
      <c r="R11" s="63">
        <f>P11*Q11</f>
        <v>1208124</v>
      </c>
      <c r="W11"/>
      <c r="X11" s="61">
        <f>X49</f>
        <v>72.56</v>
      </c>
      <c r="Y11" s="62">
        <f>C11</f>
        <v>16650</v>
      </c>
      <c r="Z11" s="63">
        <f>X11*Y11</f>
        <v>1208124</v>
      </c>
      <c r="AE11"/>
      <c r="AF11" s="61">
        <f>AF49</f>
        <v>0</v>
      </c>
      <c r="AG11" s="62">
        <f>C11</f>
        <v>16650</v>
      </c>
      <c r="AH11" s="63">
        <f>AF11*AG11</f>
        <v>0</v>
      </c>
      <c r="AI11" s="190"/>
    </row>
    <row r="12" spans="2:35" ht="15" thickBot="1" x14ac:dyDescent="0.4">
      <c r="B12" s="405" t="s">
        <v>153</v>
      </c>
      <c r="C12" s="406"/>
      <c r="D12" s="406"/>
      <c r="E12" s="407"/>
      <c r="H12" s="65"/>
      <c r="I12" s="65"/>
      <c r="J12" s="56"/>
      <c r="K12" s="66">
        <f>SUM(K7:K11)</f>
        <v>113552982.7233732</v>
      </c>
      <c r="O12" s="65"/>
      <c r="P12" s="65"/>
      <c r="Q12" s="56"/>
      <c r="R12" s="66">
        <f>SUM(R7:R11)</f>
        <v>140344399.42337319</v>
      </c>
      <c r="W12" s="65"/>
      <c r="X12" s="65"/>
      <c r="Y12" s="56"/>
      <c r="Z12" s="66">
        <f>SUM(Z7:Z11)</f>
        <v>139069876.92337319</v>
      </c>
      <c r="AE12" s="65"/>
      <c r="AF12" s="65"/>
      <c r="AG12" s="56"/>
      <c r="AH12" s="66">
        <f>SUM(AH7:AH11)</f>
        <v>143840876.5683732</v>
      </c>
      <c r="AI12" s="30"/>
    </row>
    <row r="13" spans="2:35" ht="15" thickBot="1" x14ac:dyDescent="0.4">
      <c r="H13"/>
      <c r="I13" s="67"/>
      <c r="J13" s="67"/>
      <c r="K13" s="68">
        <f>C14</f>
        <v>467520.98100000003</v>
      </c>
      <c r="L13" s="69" t="s">
        <v>25</v>
      </c>
      <c r="O13"/>
      <c r="P13" s="67"/>
      <c r="Q13" s="67"/>
      <c r="R13" s="68">
        <v>914969.33</v>
      </c>
      <c r="S13" s="69" t="s">
        <v>25</v>
      </c>
      <c r="W13"/>
      <c r="X13" s="67"/>
      <c r="Y13" s="67"/>
      <c r="Z13" s="68">
        <v>914969.33</v>
      </c>
      <c r="AA13" s="69" t="s">
        <v>25</v>
      </c>
      <c r="AE13"/>
      <c r="AF13" s="67"/>
      <c r="AG13" s="67"/>
      <c r="AH13" s="68">
        <v>467520.98100000003</v>
      </c>
      <c r="AI13" s="69" t="s">
        <v>169</v>
      </c>
    </row>
    <row r="14" spans="2:35" ht="15" thickBot="1" x14ac:dyDescent="0.4">
      <c r="B14" s="73" t="s">
        <v>25</v>
      </c>
      <c r="C14" s="411">
        <f>AH13</f>
        <v>467520.98100000003</v>
      </c>
      <c r="D14" s="411"/>
      <c r="E14" s="412"/>
      <c r="H14" t="s">
        <v>116</v>
      </c>
      <c r="I14" s="413" t="s">
        <v>27</v>
      </c>
      <c r="J14" s="413"/>
      <c r="K14" s="74">
        <f>D15</f>
        <v>-2855765.19</v>
      </c>
      <c r="L14" s="75" t="s">
        <v>28</v>
      </c>
      <c r="O14"/>
      <c r="P14" s="413" t="s">
        <v>27</v>
      </c>
      <c r="Q14" s="413"/>
      <c r="R14" s="74">
        <v>1416119.21</v>
      </c>
      <c r="S14" s="75" t="s">
        <v>28</v>
      </c>
      <c r="W14"/>
      <c r="X14" s="413" t="s">
        <v>27</v>
      </c>
      <c r="Y14" s="413"/>
      <c r="Z14" s="74">
        <v>1416119.21</v>
      </c>
      <c r="AA14" s="75" t="s">
        <v>28</v>
      </c>
      <c r="AE14"/>
      <c r="AF14" s="413" t="s">
        <v>27</v>
      </c>
      <c r="AG14" s="413"/>
      <c r="AH14" s="74">
        <v>-2855765.19</v>
      </c>
      <c r="AI14" s="75" t="s">
        <v>167</v>
      </c>
    </row>
    <row r="15" spans="2:35" ht="15" thickBot="1" x14ac:dyDescent="0.4">
      <c r="B15" s="81" t="s">
        <v>28</v>
      </c>
      <c r="C15" s="82"/>
      <c r="D15" s="380">
        <f>AH14</f>
        <v>-2855765.19</v>
      </c>
      <c r="E15" s="381"/>
      <c r="H15" t="s">
        <v>116</v>
      </c>
      <c r="I15" s="56" t="s">
        <v>30</v>
      </c>
      <c r="J15" s="83"/>
      <c r="K15" s="84">
        <f>+K12+K13+K14</f>
        <v>111164738.51437321</v>
      </c>
      <c r="O15"/>
      <c r="P15" s="56" t="s">
        <v>30</v>
      </c>
      <c r="Q15" s="83"/>
      <c r="R15" s="84">
        <f>+R12+R13+R14</f>
        <v>142675487.96337321</v>
      </c>
      <c r="W15"/>
      <c r="X15" s="56" t="s">
        <v>30</v>
      </c>
      <c r="Y15" s="83"/>
      <c r="Z15" s="84">
        <f>+Z12+Z13+Z14</f>
        <v>141400965.46337321</v>
      </c>
      <c r="AE15"/>
      <c r="AF15" s="56" t="s">
        <v>30</v>
      </c>
      <c r="AG15" s="83"/>
      <c r="AH15" s="84">
        <f>+AH12+AH13+AH14</f>
        <v>141452632.35937321</v>
      </c>
    </row>
    <row r="16" spans="2:35" ht="15" thickBot="1" x14ac:dyDescent="0.4">
      <c r="C16" s="85"/>
      <c r="D16" s="85"/>
      <c r="E16" s="85"/>
      <c r="H16"/>
      <c r="I16" s="56"/>
      <c r="J16" s="56"/>
      <c r="O16"/>
      <c r="P16" s="56"/>
      <c r="Q16" s="56"/>
      <c r="W16"/>
      <c r="X16" s="56"/>
      <c r="Y16" s="56"/>
      <c r="AE16"/>
      <c r="AF16" s="56"/>
      <c r="AG16" s="56"/>
      <c r="AH16" s="30"/>
    </row>
    <row r="17" spans="2:35" ht="15" thickBot="1" x14ac:dyDescent="0.4">
      <c r="B17" s="382" t="s">
        <v>31</v>
      </c>
      <c r="C17" s="383"/>
      <c r="D17" s="383"/>
      <c r="E17" s="384"/>
      <c r="H17"/>
      <c r="I17" s="7" t="s">
        <v>100</v>
      </c>
      <c r="J17" s="86"/>
      <c r="K17" s="86"/>
      <c r="L17" s="9"/>
      <c r="O17"/>
      <c r="P17" s="7" t="s">
        <v>100</v>
      </c>
      <c r="Q17" s="86"/>
      <c r="R17" s="86"/>
      <c r="S17" s="9"/>
      <c r="W17"/>
      <c r="X17" s="7" t="s">
        <v>100</v>
      </c>
      <c r="Y17" s="86"/>
      <c r="Z17" s="86"/>
      <c r="AA17" s="9"/>
      <c r="AE17"/>
      <c r="AF17" s="7" t="s">
        <v>100</v>
      </c>
      <c r="AG17" s="86"/>
      <c r="AH17" s="86"/>
      <c r="AI17" s="9"/>
    </row>
    <row r="18" spans="2:35" ht="15" customHeight="1" x14ac:dyDescent="0.35">
      <c r="B18" s="87" t="s">
        <v>33</v>
      </c>
      <c r="C18" s="88">
        <f>-SUM('LIFO as of 12.31.19 (01.08.20)'!C19:C21)</f>
        <v>-3377592.5</v>
      </c>
      <c r="D18" s="89"/>
      <c r="E18" s="90"/>
      <c r="H18" s="385" t="s">
        <v>34</v>
      </c>
      <c r="I18" s="91">
        <v>635.15750000000003</v>
      </c>
      <c r="J18" s="92">
        <v>513</v>
      </c>
      <c r="K18" s="92">
        <f>+I18*J18</f>
        <v>325835.79749999999</v>
      </c>
      <c r="L18" s="93">
        <v>2005</v>
      </c>
      <c r="O18" s="385" t="s">
        <v>34</v>
      </c>
      <c r="P18" s="91">
        <v>635.15750000000003</v>
      </c>
      <c r="Q18" s="92">
        <v>513</v>
      </c>
      <c r="R18" s="92">
        <f>+P18*Q18</f>
        <v>325835.79749999999</v>
      </c>
      <c r="S18" s="93">
        <v>2005</v>
      </c>
      <c r="W18" s="385" t="s">
        <v>34</v>
      </c>
      <c r="X18" s="91">
        <v>635.15750000000003</v>
      </c>
      <c r="Y18" s="92">
        <v>513</v>
      </c>
      <c r="Z18" s="92">
        <f>+X18*Y18</f>
        <v>325835.79749999999</v>
      </c>
      <c r="AA18" s="93">
        <v>2005</v>
      </c>
      <c r="AE18" s="437" t="s">
        <v>34</v>
      </c>
      <c r="AF18" s="91">
        <v>635.15750000000003</v>
      </c>
      <c r="AG18" s="92">
        <v>513</v>
      </c>
      <c r="AH18" s="92">
        <f>+AF18*AG18</f>
        <v>325835.79749999999</v>
      </c>
      <c r="AI18" s="93">
        <v>2005</v>
      </c>
    </row>
    <row r="19" spans="2:35" x14ac:dyDescent="0.35">
      <c r="B19" s="87" t="s">
        <v>36</v>
      </c>
      <c r="C19" s="88">
        <v>-847675</v>
      </c>
      <c r="D19" s="96"/>
      <c r="E19" s="97" t="s">
        <v>117</v>
      </c>
      <c r="H19" s="386"/>
      <c r="I19" s="91">
        <v>8241.6015000000007</v>
      </c>
      <c r="J19" s="92">
        <v>635.70000000000005</v>
      </c>
      <c r="K19" s="92">
        <f t="shared" ref="K19:K22" si="0">+I19*J19</f>
        <v>5239186.0735500008</v>
      </c>
      <c r="L19" s="93">
        <v>2006</v>
      </c>
      <c r="O19" s="386"/>
      <c r="P19" s="91">
        <v>8241.6015000000007</v>
      </c>
      <c r="Q19" s="92">
        <v>635.70000000000005</v>
      </c>
      <c r="R19" s="92">
        <f t="shared" ref="R19:R22" si="1">+P19*Q19</f>
        <v>5239186.0735500008</v>
      </c>
      <c r="S19" s="93">
        <v>2006</v>
      </c>
      <c r="W19" s="386"/>
      <c r="X19" s="91">
        <v>8241.6015000000007</v>
      </c>
      <c r="Y19" s="92">
        <v>635.70000000000005</v>
      </c>
      <c r="Z19" s="92">
        <f t="shared" ref="Z19:Z22" si="2">+X19*Y19</f>
        <v>5239186.0735500008</v>
      </c>
      <c r="AA19" s="93">
        <v>2006</v>
      </c>
      <c r="AE19" s="438"/>
      <c r="AF19" s="91">
        <v>8241.6015000000007</v>
      </c>
      <c r="AG19" s="92">
        <v>635.70000000000005</v>
      </c>
      <c r="AH19" s="92">
        <f t="shared" ref="AH19:AH22" si="3">+AF19*AG19</f>
        <v>5239186.0735500008</v>
      </c>
      <c r="AI19" s="93">
        <v>2006</v>
      </c>
    </row>
    <row r="20" spans="2:35" x14ac:dyDescent="0.35">
      <c r="B20" s="87" t="s">
        <v>38</v>
      </c>
      <c r="C20" s="98">
        <v>-1585.5</v>
      </c>
      <c r="D20" s="96"/>
      <c r="E20" s="97" t="s">
        <v>117</v>
      </c>
      <c r="H20" s="386"/>
      <c r="I20" s="91">
        <f>2706.7257-20.5754</f>
        <v>2686.1502999999998</v>
      </c>
      <c r="J20" s="92">
        <v>846.75</v>
      </c>
      <c r="K20" s="92">
        <f t="shared" si="0"/>
        <v>2274497.7665249999</v>
      </c>
      <c r="L20" s="93">
        <v>2008</v>
      </c>
      <c r="O20" s="386"/>
      <c r="P20" s="91">
        <f>2706.7257-20.5754</f>
        <v>2686.1502999999998</v>
      </c>
      <c r="Q20" s="92">
        <v>846.75</v>
      </c>
      <c r="R20" s="92">
        <f t="shared" si="1"/>
        <v>2274497.7665249999</v>
      </c>
      <c r="S20" s="93">
        <v>2008</v>
      </c>
      <c r="W20" s="386"/>
      <c r="X20" s="91">
        <f>2706.7257-20.5754</f>
        <v>2686.1502999999998</v>
      </c>
      <c r="Y20" s="92">
        <v>846.75</v>
      </c>
      <c r="Z20" s="92">
        <f t="shared" si="2"/>
        <v>2274497.7665249999</v>
      </c>
      <c r="AA20" s="93">
        <v>2008</v>
      </c>
      <c r="AE20" s="438"/>
      <c r="AF20" s="91">
        <f>2706.7257-20.5754</f>
        <v>2686.1502999999998</v>
      </c>
      <c r="AG20" s="92">
        <v>846.75</v>
      </c>
      <c r="AH20" s="92">
        <f t="shared" si="3"/>
        <v>2274497.7665249999</v>
      </c>
      <c r="AI20" s="93">
        <v>2008</v>
      </c>
    </row>
    <row r="21" spans="2:35" x14ac:dyDescent="0.35">
      <c r="B21" s="87" t="s">
        <v>39</v>
      </c>
      <c r="C21" s="88">
        <f>5523930+10635</f>
        <v>5534565</v>
      </c>
      <c r="D21" s="96"/>
      <c r="E21" s="97" t="s">
        <v>118</v>
      </c>
      <c r="H21" s="386"/>
      <c r="I21" s="91"/>
      <c r="J21" s="92">
        <v>1527.1</v>
      </c>
      <c r="K21" s="92">
        <f t="shared" si="0"/>
        <v>0</v>
      </c>
      <c r="L21" s="104" t="s">
        <v>113</v>
      </c>
      <c r="O21" s="386"/>
      <c r="P21" s="91">
        <f>668.4836-48.1355-620.3481</f>
        <v>0</v>
      </c>
      <c r="Q21" s="92">
        <v>1527.1</v>
      </c>
      <c r="R21" s="92">
        <f t="shared" si="1"/>
        <v>0</v>
      </c>
      <c r="S21" s="104" t="s">
        <v>113</v>
      </c>
      <c r="W21" s="386"/>
      <c r="X21" s="91">
        <v>13575</v>
      </c>
      <c r="Y21" s="92">
        <v>1527.1</v>
      </c>
      <c r="Z21" s="92">
        <f t="shared" si="2"/>
        <v>20730382.5</v>
      </c>
      <c r="AA21" s="104" t="s">
        <v>113</v>
      </c>
      <c r="AE21" s="438"/>
      <c r="AF21" s="91">
        <v>13000</v>
      </c>
      <c r="AG21" s="92">
        <v>1527.1</v>
      </c>
      <c r="AH21" s="92">
        <f t="shared" si="3"/>
        <v>19852300</v>
      </c>
      <c r="AI21" s="104" t="s">
        <v>113</v>
      </c>
    </row>
    <row r="22" spans="2:35" x14ac:dyDescent="0.35">
      <c r="B22" s="87" t="s">
        <v>103</v>
      </c>
      <c r="C22" s="88">
        <v>-471640</v>
      </c>
      <c r="D22" s="96"/>
      <c r="E22" s="97" t="s">
        <v>118</v>
      </c>
      <c r="H22" s="386"/>
      <c r="I22" s="91"/>
      <c r="J22" s="103"/>
      <c r="K22" s="92">
        <f t="shared" si="0"/>
        <v>0</v>
      </c>
      <c r="O22" s="386"/>
      <c r="P22" s="91"/>
      <c r="Q22" s="103"/>
      <c r="R22" s="92">
        <f t="shared" si="1"/>
        <v>0</v>
      </c>
      <c r="W22" s="386"/>
      <c r="X22" s="91"/>
      <c r="Y22" s="103"/>
      <c r="Z22" s="92">
        <f t="shared" si="2"/>
        <v>0</v>
      </c>
      <c r="AE22" s="438"/>
      <c r="AF22" s="91"/>
      <c r="AG22" s="103"/>
      <c r="AH22" s="92">
        <f t="shared" si="3"/>
        <v>0</v>
      </c>
    </row>
    <row r="23" spans="2:35" ht="15" thickBot="1" x14ac:dyDescent="0.4">
      <c r="B23" s="99" t="s">
        <v>41</v>
      </c>
      <c r="C23" s="100">
        <f>SUM(C18:C22)</f>
        <v>836072</v>
      </c>
      <c r="D23" s="101"/>
      <c r="E23" s="102" t="str">
        <f>B3</f>
        <v>Date as of : 12.29.2020</v>
      </c>
      <c r="H23" s="386"/>
      <c r="I23" s="106"/>
      <c r="J23" s="92"/>
      <c r="K23" s="92"/>
      <c r="L23" s="93"/>
      <c r="O23" s="386"/>
      <c r="P23" s="106"/>
      <c r="Q23" s="92"/>
      <c r="R23" s="92"/>
      <c r="S23" s="93"/>
      <c r="W23" s="386"/>
      <c r="X23" s="106"/>
      <c r="Y23" s="92"/>
      <c r="Z23" s="92"/>
      <c r="AA23" s="93"/>
      <c r="AE23" s="438"/>
      <c r="AF23" s="106"/>
      <c r="AG23" s="92"/>
      <c r="AH23" s="92"/>
      <c r="AI23" s="93"/>
    </row>
    <row r="24" spans="2:35" ht="15" thickBot="1" x14ac:dyDescent="0.4">
      <c r="B24" s="388" t="s">
        <v>125</v>
      </c>
      <c r="C24" s="389"/>
      <c r="D24" s="389"/>
      <c r="E24" s="390"/>
      <c r="H24" s="387"/>
      <c r="I24" s="108">
        <f>SUM(I18:I23)</f>
        <v>11562.909299999999</v>
      </c>
      <c r="J24" s="92"/>
      <c r="K24" s="109">
        <f>SUM(K18:K23)</f>
        <v>7839519.6375750005</v>
      </c>
      <c r="L24" s="93"/>
      <c r="O24" s="387"/>
      <c r="P24" s="108">
        <f>SUM(P18:P23)</f>
        <v>11562.909299999999</v>
      </c>
      <c r="Q24" s="92"/>
      <c r="R24" s="109">
        <f>SUM(R18:R23)</f>
        <v>7839519.6375750005</v>
      </c>
      <c r="S24" s="93"/>
      <c r="W24" s="387"/>
      <c r="X24" s="108">
        <f>SUM(X18:X23)</f>
        <v>25137.909299999999</v>
      </c>
      <c r="Y24" s="92"/>
      <c r="Z24" s="109">
        <f>SUM(Z18:Z23)</f>
        <v>28569902.137575001</v>
      </c>
      <c r="AA24" s="93"/>
      <c r="AE24" s="387"/>
      <c r="AF24" s="108">
        <f>SUM(AF18:AF23)</f>
        <v>24562.909299999999</v>
      </c>
      <c r="AG24" s="92"/>
      <c r="AH24" s="109">
        <f>SUM(AH18:AH23)</f>
        <v>27691819.637575001</v>
      </c>
      <c r="AI24" s="93"/>
    </row>
    <row r="25" spans="2:35" ht="15" thickTop="1" x14ac:dyDescent="0.35">
      <c r="B25" s="388" t="s">
        <v>126</v>
      </c>
      <c r="C25" s="389"/>
      <c r="D25" s="389"/>
      <c r="E25" s="390"/>
      <c r="I25" s="56"/>
      <c r="J25" s="115"/>
      <c r="L25" s="93"/>
      <c r="P25" s="56"/>
      <c r="Q25" s="115"/>
      <c r="S25" s="93"/>
      <c r="X25" s="56"/>
      <c r="Y25" s="115"/>
      <c r="AA25" s="93"/>
      <c r="AF25" s="56"/>
      <c r="AG25" s="115"/>
      <c r="AI25" s="93"/>
    </row>
    <row r="26" spans="2:35" ht="15" customHeight="1" x14ac:dyDescent="0.35">
      <c r="B26" s="391" t="s">
        <v>127</v>
      </c>
      <c r="C26" s="392"/>
      <c r="D26" s="392"/>
      <c r="E26" s="393"/>
      <c r="H26" s="394" t="s">
        <v>47</v>
      </c>
      <c r="I26" s="116">
        <v>981664.58790000004</v>
      </c>
      <c r="J26" s="233">
        <v>8.83</v>
      </c>
      <c r="K26" s="118">
        <f t="shared" ref="K26:K31" si="4">+I26*J26</f>
        <v>8668098.3111570012</v>
      </c>
      <c r="L26" s="93">
        <v>2005</v>
      </c>
      <c r="O26" s="394" t="s">
        <v>47</v>
      </c>
      <c r="P26" s="116">
        <v>981664.58790000004</v>
      </c>
      <c r="Q26" s="233">
        <v>8.83</v>
      </c>
      <c r="R26" s="118">
        <f t="shared" ref="R26:R31" si="5">+P26*Q26</f>
        <v>8668098.3111570012</v>
      </c>
      <c r="S26" s="93">
        <v>2005</v>
      </c>
      <c r="W26" s="394" t="s">
        <v>47</v>
      </c>
      <c r="X26" s="116">
        <v>981664.58790000004</v>
      </c>
      <c r="Y26" s="233">
        <v>8.83</v>
      </c>
      <c r="Z26" s="118">
        <f t="shared" ref="Z26:Z31" si="6">+X26*Y26</f>
        <v>8668098.3111570012</v>
      </c>
      <c r="AA26" s="93">
        <v>2005</v>
      </c>
      <c r="AE26" s="433" t="s">
        <v>47</v>
      </c>
      <c r="AF26" s="116">
        <v>981664.58790000004</v>
      </c>
      <c r="AG26" s="233">
        <v>8.83</v>
      </c>
      <c r="AH26" s="118">
        <f t="shared" ref="AH26:AH31" si="7">+AF26*AG26</f>
        <v>8668098.3111570012</v>
      </c>
      <c r="AI26" s="93">
        <v>2005</v>
      </c>
    </row>
    <row r="27" spans="2:35" ht="15" thickBot="1" x14ac:dyDescent="0.4">
      <c r="B27" s="396" t="s">
        <v>124</v>
      </c>
      <c r="C27" s="397"/>
      <c r="D27" s="397"/>
      <c r="E27" s="398"/>
      <c r="H27" s="395"/>
      <c r="I27" s="116">
        <v>649.01480000000004</v>
      </c>
      <c r="J27" s="233">
        <v>14.93</v>
      </c>
      <c r="K27" s="118">
        <f t="shared" si="4"/>
        <v>9689.7909639999998</v>
      </c>
      <c r="L27" s="93">
        <v>2008</v>
      </c>
      <c r="O27" s="395"/>
      <c r="P27" s="116">
        <v>649.01480000000004</v>
      </c>
      <c r="Q27" s="233">
        <v>14.93</v>
      </c>
      <c r="R27" s="118">
        <f t="shared" si="5"/>
        <v>9689.7909639999998</v>
      </c>
      <c r="S27" s="93">
        <v>2008</v>
      </c>
      <c r="W27" s="395"/>
      <c r="X27" s="116">
        <v>649.01480000000004</v>
      </c>
      <c r="Y27" s="233">
        <v>14.93</v>
      </c>
      <c r="Z27" s="118">
        <f t="shared" si="6"/>
        <v>9689.7909639999998</v>
      </c>
      <c r="AA27" s="93">
        <v>2008</v>
      </c>
      <c r="AE27" s="434"/>
      <c r="AF27" s="116">
        <v>649.01480000000004</v>
      </c>
      <c r="AG27" s="233">
        <v>14.93</v>
      </c>
      <c r="AH27" s="118">
        <f t="shared" si="7"/>
        <v>9689.7909639999998</v>
      </c>
      <c r="AI27" s="93">
        <v>2008</v>
      </c>
    </row>
    <row r="28" spans="2:35" ht="15" thickBot="1" x14ac:dyDescent="0.4">
      <c r="B28" s="93"/>
      <c r="C28" s="93"/>
      <c r="D28" s="93"/>
      <c r="E28" s="93"/>
      <c r="H28" s="395"/>
      <c r="I28" s="122">
        <f>213803.7135</f>
        <v>213803.71350000001</v>
      </c>
      <c r="J28" s="233">
        <v>11.08</v>
      </c>
      <c r="K28" s="118">
        <f t="shared" si="4"/>
        <v>2368945.1455800002</v>
      </c>
      <c r="L28" s="93">
        <v>2009</v>
      </c>
      <c r="O28" s="395"/>
      <c r="P28" s="122">
        <f>213803.7135</f>
        <v>213803.71350000001</v>
      </c>
      <c r="Q28" s="233">
        <v>11.08</v>
      </c>
      <c r="R28" s="118">
        <f t="shared" si="5"/>
        <v>2368945.1455800002</v>
      </c>
      <c r="S28" s="93">
        <v>2009</v>
      </c>
      <c r="W28" s="395"/>
      <c r="X28" s="122">
        <f>213803.7135</f>
        <v>213803.71350000001</v>
      </c>
      <c r="Y28" s="233">
        <v>11.08</v>
      </c>
      <c r="Z28" s="118">
        <f t="shared" si="6"/>
        <v>2368945.1455800002</v>
      </c>
      <c r="AA28" s="93">
        <v>2009</v>
      </c>
      <c r="AE28" s="434"/>
      <c r="AF28" s="122">
        <f>213803.7135</f>
        <v>213803.71350000001</v>
      </c>
      <c r="AG28" s="233">
        <v>11.08</v>
      </c>
      <c r="AH28" s="118">
        <f t="shared" si="7"/>
        <v>2368945.1455800002</v>
      </c>
      <c r="AI28" s="93">
        <v>2009</v>
      </c>
    </row>
    <row r="29" spans="2:35" ht="15" thickBot="1" x14ac:dyDescent="0.4">
      <c r="B29" s="119" t="s">
        <v>48</v>
      </c>
      <c r="C29" s="120" t="s">
        <v>165</v>
      </c>
      <c r="D29" s="120"/>
      <c r="E29" s="121">
        <v>31023830.890000001</v>
      </c>
      <c r="H29" s="395"/>
      <c r="I29" s="122">
        <f>1249196.5802-72195.341</f>
        <v>1177001.2392</v>
      </c>
      <c r="J29" s="233">
        <v>14</v>
      </c>
      <c r="K29" s="118">
        <f t="shared" si="4"/>
        <v>16478017.3488</v>
      </c>
      <c r="L29" s="93">
        <v>2016</v>
      </c>
      <c r="O29" s="395"/>
      <c r="P29" s="122">
        <f>1249196.5802-72195.341</f>
        <v>1177001.2392</v>
      </c>
      <c r="Q29" s="233">
        <v>14</v>
      </c>
      <c r="R29" s="118">
        <f t="shared" si="5"/>
        <v>16478017.3488</v>
      </c>
      <c r="S29" s="93">
        <v>2016</v>
      </c>
      <c r="W29" s="395"/>
      <c r="X29" s="122">
        <f>1249196.5802-72195.341</f>
        <v>1177001.2392</v>
      </c>
      <c r="Y29" s="233">
        <v>14</v>
      </c>
      <c r="Z29" s="118">
        <f t="shared" si="6"/>
        <v>16478017.3488</v>
      </c>
      <c r="AA29" s="93">
        <v>2016</v>
      </c>
      <c r="AE29" s="434"/>
      <c r="AF29" s="122">
        <v>1177001.2392</v>
      </c>
      <c r="AG29" s="233">
        <v>14</v>
      </c>
      <c r="AH29" s="118">
        <f t="shared" si="7"/>
        <v>16478017.3488</v>
      </c>
      <c r="AI29" s="93">
        <v>2016</v>
      </c>
    </row>
    <row r="30" spans="2:35" x14ac:dyDescent="0.35">
      <c r="B30" s="93"/>
      <c r="C30" s="93"/>
      <c r="D30" s="93"/>
      <c r="E30" s="93" t="s">
        <v>164</v>
      </c>
      <c r="H30" s="395"/>
      <c r="I30" s="122">
        <v>1047351.461</v>
      </c>
      <c r="J30" s="234">
        <v>15.44</v>
      </c>
      <c r="K30" s="118">
        <f t="shared" si="4"/>
        <v>16171106.557839999</v>
      </c>
      <c r="L30" s="104" t="s">
        <v>42</v>
      </c>
      <c r="O30" s="395"/>
      <c r="P30" s="122">
        <v>1047351.461</v>
      </c>
      <c r="Q30" s="234">
        <v>15.44</v>
      </c>
      <c r="R30" s="118">
        <f t="shared" si="5"/>
        <v>16171106.557839999</v>
      </c>
      <c r="S30" s="104" t="s">
        <v>42</v>
      </c>
      <c r="W30" s="395"/>
      <c r="X30" s="122">
        <v>1047351.461</v>
      </c>
      <c r="Y30" s="234">
        <v>15.44</v>
      </c>
      <c r="Z30" s="118">
        <f t="shared" si="6"/>
        <v>16171106.557839999</v>
      </c>
      <c r="AA30" s="104" t="s">
        <v>42</v>
      </c>
      <c r="AE30" s="434"/>
      <c r="AF30" s="122">
        <v>1047351.461</v>
      </c>
      <c r="AG30" s="234">
        <v>15.44</v>
      </c>
      <c r="AH30" s="118">
        <f t="shared" si="7"/>
        <v>16171106.557839999</v>
      </c>
      <c r="AI30" s="104" t="s">
        <v>42</v>
      </c>
    </row>
    <row r="31" spans="2:35" ht="15" thickBot="1" x14ac:dyDescent="0.4">
      <c r="B31" s="93"/>
      <c r="C31" s="93"/>
      <c r="D31" s="93"/>
      <c r="E31" s="123"/>
      <c r="H31" s="395"/>
      <c r="I31" s="122">
        <v>0</v>
      </c>
      <c r="J31" s="234">
        <v>17.925000000000001</v>
      </c>
      <c r="K31" s="118">
        <f t="shared" si="4"/>
        <v>0</v>
      </c>
      <c r="L31" s="104" t="s">
        <v>113</v>
      </c>
      <c r="O31" s="395"/>
      <c r="P31" s="122">
        <v>1025000</v>
      </c>
      <c r="Q31" s="234">
        <v>17.925000000000001</v>
      </c>
      <c r="R31" s="118">
        <f t="shared" si="5"/>
        <v>18373125</v>
      </c>
      <c r="S31" s="104" t="s">
        <v>113</v>
      </c>
      <c r="W31" s="395"/>
      <c r="X31" s="122">
        <v>0</v>
      </c>
      <c r="Y31" s="234">
        <v>17.925000000000001</v>
      </c>
      <c r="Z31" s="118">
        <f t="shared" si="6"/>
        <v>0</v>
      </c>
      <c r="AA31" s="104" t="s">
        <v>113</v>
      </c>
      <c r="AE31" s="434"/>
      <c r="AF31" s="122">
        <v>300000</v>
      </c>
      <c r="AG31" s="234">
        <v>17.925000000000001</v>
      </c>
      <c r="AH31" s="118">
        <f t="shared" si="7"/>
        <v>5377500</v>
      </c>
      <c r="AI31" s="104" t="s">
        <v>113</v>
      </c>
    </row>
    <row r="32" spans="2:35" ht="15" thickBot="1" x14ac:dyDescent="0.4">
      <c r="B32" s="399" t="s">
        <v>49</v>
      </c>
      <c r="C32" s="400"/>
      <c r="D32" s="400"/>
      <c r="E32" s="401"/>
      <c r="H32" s="395"/>
      <c r="I32" s="125">
        <f>SUM(I26:I31)</f>
        <v>3420470.0164000001</v>
      </c>
      <c r="J32" s="126"/>
      <c r="K32" s="127">
        <f>SUM(K26:K31)</f>
        <v>43695857.154340997</v>
      </c>
      <c r="L32" s="93"/>
      <c r="O32" s="395"/>
      <c r="P32" s="125">
        <f>SUM(P26:P31)</f>
        <v>4445470.0164000001</v>
      </c>
      <c r="Q32" s="126"/>
      <c r="R32" s="127">
        <f>SUM(R26:R31)</f>
        <v>62068982.154340997</v>
      </c>
      <c r="S32" s="93"/>
      <c r="W32" s="395"/>
      <c r="X32" s="125">
        <f>SUM(X26:X31)</f>
        <v>3420470.0164000001</v>
      </c>
      <c r="Y32" s="126"/>
      <c r="Z32" s="127">
        <f>SUM(Z26:Z31)</f>
        <v>43695857.154340997</v>
      </c>
      <c r="AA32" s="93"/>
      <c r="AE32" s="435"/>
      <c r="AF32" s="125">
        <f>SUM(AF26:AF31)</f>
        <v>3720470.0164000001</v>
      </c>
      <c r="AG32" s="126"/>
      <c r="AH32" s="127">
        <f>SUM(AH26:AH31)</f>
        <v>49073357.154340997</v>
      </c>
      <c r="AI32" s="93"/>
    </row>
    <row r="33" spans="2:35" ht="15" thickTop="1" x14ac:dyDescent="0.35">
      <c r="B33" s="402"/>
      <c r="C33" s="436"/>
      <c r="D33" s="436"/>
      <c r="E33" s="404"/>
      <c r="I33" s="131"/>
      <c r="K33" s="132"/>
      <c r="L33" s="93"/>
      <c r="P33" s="131"/>
      <c r="R33" s="132"/>
      <c r="S33" s="93"/>
      <c r="X33" s="131"/>
      <c r="Z33" s="132"/>
      <c r="AA33" s="93"/>
      <c r="AF33" s="131"/>
      <c r="AH33" s="132"/>
      <c r="AI33" s="93"/>
    </row>
    <row r="34" spans="2:35" ht="15" thickBot="1" x14ac:dyDescent="0.4">
      <c r="B34" s="405"/>
      <c r="C34" s="406"/>
      <c r="D34" s="406"/>
      <c r="E34" s="407"/>
      <c r="H34" s="408" t="s">
        <v>51</v>
      </c>
      <c r="I34" s="134">
        <v>0</v>
      </c>
      <c r="J34" s="135"/>
      <c r="K34" s="136">
        <f>+I34*J34</f>
        <v>0</v>
      </c>
      <c r="L34" s="93"/>
      <c r="O34" s="408" t="s">
        <v>51</v>
      </c>
      <c r="P34" s="134">
        <v>0</v>
      </c>
      <c r="Q34" s="135"/>
      <c r="R34" s="136">
        <f>+P34*Q34</f>
        <v>0</v>
      </c>
      <c r="S34" s="93"/>
      <c r="W34" s="408" t="s">
        <v>51</v>
      </c>
      <c r="X34" s="134">
        <v>0</v>
      </c>
      <c r="Y34" s="135"/>
      <c r="Z34" s="136">
        <f>+X34*Y34</f>
        <v>0</v>
      </c>
      <c r="AA34" s="93"/>
      <c r="AE34" s="408" t="s">
        <v>51</v>
      </c>
      <c r="AF34" s="134">
        <v>0</v>
      </c>
      <c r="AG34" s="135"/>
      <c r="AH34" s="136">
        <f>+AF34*AG34</f>
        <v>0</v>
      </c>
      <c r="AI34" s="93"/>
    </row>
    <row r="35" spans="2:35" x14ac:dyDescent="0.35">
      <c r="B35" s="350" t="s">
        <v>35</v>
      </c>
      <c r="C35" s="351"/>
      <c r="D35" s="351"/>
      <c r="E35" s="352"/>
      <c r="H35" s="409"/>
      <c r="I35" s="137">
        <v>0</v>
      </c>
      <c r="J35" s="135"/>
      <c r="K35" s="136">
        <f>+I35*J35</f>
        <v>0</v>
      </c>
      <c r="L35" s="93"/>
      <c r="O35" s="409"/>
      <c r="P35" s="137">
        <v>0</v>
      </c>
      <c r="Q35" s="135"/>
      <c r="R35" s="136">
        <f>+P35*Q35</f>
        <v>0</v>
      </c>
      <c r="S35" s="93"/>
      <c r="W35" s="409"/>
      <c r="X35" s="137">
        <v>0</v>
      </c>
      <c r="Y35" s="135"/>
      <c r="Z35" s="136">
        <f>+X35*Y35</f>
        <v>0</v>
      </c>
      <c r="AA35" s="93"/>
      <c r="AE35" s="409"/>
      <c r="AF35" s="137">
        <v>0</v>
      </c>
      <c r="AG35" s="135"/>
      <c r="AH35" s="136">
        <f>+AF35*AG35</f>
        <v>0</v>
      </c>
      <c r="AI35" s="93"/>
    </row>
    <row r="36" spans="2:35" x14ac:dyDescent="0.35">
      <c r="B36" s="353"/>
      <c r="C36" s="354"/>
      <c r="D36" s="354"/>
      <c r="E36" s="355"/>
      <c r="H36" s="409"/>
      <c r="I36" s="137">
        <v>0</v>
      </c>
      <c r="J36" s="135"/>
      <c r="K36" s="136">
        <f>+I36*J36</f>
        <v>0</v>
      </c>
      <c r="L36" s="93"/>
      <c r="O36" s="409"/>
      <c r="P36" s="137">
        <v>0</v>
      </c>
      <c r="Q36" s="135"/>
      <c r="R36" s="136">
        <f>+P36*Q36</f>
        <v>0</v>
      </c>
      <c r="S36" s="93"/>
      <c r="W36" s="409"/>
      <c r="X36" s="137">
        <v>0</v>
      </c>
      <c r="Y36" s="135"/>
      <c r="Z36" s="136">
        <f>+X36*Y36</f>
        <v>0</v>
      </c>
      <c r="AA36" s="93"/>
      <c r="AE36" s="409"/>
      <c r="AF36" s="137">
        <v>0</v>
      </c>
      <c r="AG36" s="135"/>
      <c r="AH36" s="136">
        <f>+AF36*AG36</f>
        <v>0</v>
      </c>
      <c r="AI36" s="93"/>
    </row>
    <row r="37" spans="2:35" ht="15" thickBot="1" x14ac:dyDescent="0.4">
      <c r="B37" s="356"/>
      <c r="C37" s="357"/>
      <c r="D37" s="357"/>
      <c r="E37" s="358"/>
      <c r="H37" s="409"/>
      <c r="I37" s="138"/>
      <c r="J37" s="139"/>
      <c r="K37" s="136"/>
      <c r="L37" s="104" t="s">
        <v>42</v>
      </c>
      <c r="O37" s="409"/>
      <c r="P37" s="138"/>
      <c r="Q37" s="139"/>
      <c r="R37" s="136"/>
      <c r="S37" s="104" t="s">
        <v>42</v>
      </c>
      <c r="W37" s="409"/>
      <c r="X37" s="138"/>
      <c r="Y37" s="139"/>
      <c r="Z37" s="136"/>
      <c r="AA37" s="104" t="s">
        <v>42</v>
      </c>
      <c r="AE37" s="409"/>
      <c r="AF37" s="138"/>
      <c r="AG37" s="139"/>
      <c r="AH37" s="136"/>
      <c r="AI37" s="104" t="s">
        <v>42</v>
      </c>
    </row>
    <row r="38" spans="2:35" x14ac:dyDescent="0.35">
      <c r="H38" s="409"/>
      <c r="I38" s="138"/>
      <c r="J38" s="135"/>
      <c r="K38" s="136"/>
      <c r="L38" s="93"/>
      <c r="O38" s="409"/>
      <c r="P38" s="138"/>
      <c r="Q38" s="135"/>
      <c r="R38" s="136"/>
      <c r="S38" s="93"/>
      <c r="W38" s="409"/>
      <c r="X38" s="138"/>
      <c r="Y38" s="135"/>
      <c r="Z38" s="136"/>
      <c r="AA38" s="93"/>
      <c r="AE38" s="409"/>
      <c r="AF38" s="138"/>
      <c r="AG38" s="135"/>
      <c r="AH38" s="136"/>
      <c r="AI38" s="93"/>
    </row>
    <row r="39" spans="2:35" ht="15" thickBot="1" x14ac:dyDescent="0.4">
      <c r="H39" s="410"/>
      <c r="I39" s="140">
        <f>SUM(I34:I38)</f>
        <v>0</v>
      </c>
      <c r="J39" s="136"/>
      <c r="K39" s="141">
        <f>SUM(K34:K38)</f>
        <v>0</v>
      </c>
      <c r="L39" s="93"/>
      <c r="O39" s="410"/>
      <c r="P39" s="140">
        <f>SUM(P34:P38)</f>
        <v>0</v>
      </c>
      <c r="Q39" s="136"/>
      <c r="R39" s="141">
        <f>SUM(R34:R38)</f>
        <v>0</v>
      </c>
      <c r="S39" s="93"/>
      <c r="W39" s="410"/>
      <c r="X39" s="140">
        <f>SUM(X34:X38)</f>
        <v>0</v>
      </c>
      <c r="Y39" s="136"/>
      <c r="Z39" s="141">
        <f>SUM(Z34:Z38)</f>
        <v>0</v>
      </c>
      <c r="AA39" s="93"/>
      <c r="AE39" s="410"/>
      <c r="AF39" s="140">
        <f>SUM(AF34:AF38)</f>
        <v>0</v>
      </c>
      <c r="AG39" s="136"/>
      <c r="AH39" s="141">
        <f>SUM(AH34:AH38)</f>
        <v>0</v>
      </c>
      <c r="AI39" s="93"/>
    </row>
    <row r="40" spans="2:35" ht="15" thickTop="1" x14ac:dyDescent="0.35">
      <c r="C40" s="286" t="s">
        <v>155</v>
      </c>
      <c r="D40" s="287"/>
      <c r="E40" s="288"/>
      <c r="F40" s="224"/>
      <c r="I40" s="131"/>
      <c r="J40" s="145"/>
      <c r="K40" s="132"/>
      <c r="L40" s="93"/>
      <c r="P40" s="131"/>
      <c r="Q40" s="145"/>
      <c r="R40" s="132"/>
      <c r="S40" s="93"/>
      <c r="X40" s="131"/>
      <c r="Y40" s="145"/>
      <c r="Z40" s="132"/>
      <c r="AA40" s="93"/>
      <c r="AF40" s="131"/>
      <c r="AG40" s="145"/>
      <c r="AH40" s="132"/>
      <c r="AI40" s="93"/>
    </row>
    <row r="41" spans="2:35" x14ac:dyDescent="0.35">
      <c r="C41" s="251" t="s">
        <v>157</v>
      </c>
      <c r="D41" s="253"/>
      <c r="E41" s="254">
        <f>E55*0.67</f>
        <v>-3092191.0483999974</v>
      </c>
      <c r="F41" s="224"/>
      <c r="H41" s="359" t="s">
        <v>53</v>
      </c>
      <c r="I41" s="146">
        <v>517.16899999999998</v>
      </c>
      <c r="J41" s="147">
        <v>1267</v>
      </c>
      <c r="K41" s="148">
        <f>+I41*J41</f>
        <v>655253.12300000002</v>
      </c>
      <c r="L41" s="104" t="s">
        <v>42</v>
      </c>
      <c r="O41" s="359" t="s">
        <v>53</v>
      </c>
      <c r="P41" s="146">
        <v>517.16899999999998</v>
      </c>
      <c r="Q41" s="147">
        <v>1267</v>
      </c>
      <c r="R41" s="148">
        <f>+P41*Q41</f>
        <v>655253.12300000002</v>
      </c>
      <c r="S41" s="104" t="s">
        <v>42</v>
      </c>
      <c r="W41" s="359" t="s">
        <v>53</v>
      </c>
      <c r="X41" s="146">
        <v>517.16899999999998</v>
      </c>
      <c r="Y41" s="147">
        <v>1267</v>
      </c>
      <c r="Z41" s="148">
        <f>+X41*Y41</f>
        <v>655253.12300000002</v>
      </c>
      <c r="AA41" s="104" t="s">
        <v>42</v>
      </c>
      <c r="AE41" s="359" t="s">
        <v>53</v>
      </c>
      <c r="AF41" s="146">
        <v>517.16899999999998</v>
      </c>
      <c r="AG41" s="147">
        <v>1267</v>
      </c>
      <c r="AH41" s="148">
        <f>+AF41*AG41</f>
        <v>655253.12300000002</v>
      </c>
      <c r="AI41" s="104" t="s">
        <v>42</v>
      </c>
    </row>
    <row r="42" spans="2:35" x14ac:dyDescent="0.35">
      <c r="C42" s="243" t="s">
        <v>158</v>
      </c>
      <c r="D42" s="237"/>
      <c r="E42" s="244">
        <f>E55-E41</f>
        <v>-1523019.4715999984</v>
      </c>
      <c r="F42" s="224"/>
      <c r="H42" s="360"/>
      <c r="I42" s="146"/>
      <c r="J42" s="149"/>
      <c r="K42" s="148">
        <f>+I42*J42</f>
        <v>0</v>
      </c>
      <c r="L42" s="93"/>
      <c r="O42" s="360"/>
      <c r="P42" s="146"/>
      <c r="Q42" s="149"/>
      <c r="R42" s="148">
        <f>+P42*Q42</f>
        <v>0</v>
      </c>
      <c r="S42" s="93"/>
      <c r="W42" s="360"/>
      <c r="X42" s="146"/>
      <c r="Y42" s="149"/>
      <c r="Z42" s="148">
        <f>+X42*Y42</f>
        <v>0</v>
      </c>
      <c r="AA42" s="93"/>
      <c r="AE42" s="360"/>
      <c r="AF42" s="146">
        <f>182-517.17</f>
        <v>-335.16999999999996</v>
      </c>
      <c r="AG42" s="149">
        <v>1267</v>
      </c>
      <c r="AH42" s="148">
        <f>+AF42*AG42</f>
        <v>-424660.38999999996</v>
      </c>
      <c r="AI42" s="93"/>
    </row>
    <row r="43" spans="2:35" x14ac:dyDescent="0.35">
      <c r="C43" s="251" t="s">
        <v>159</v>
      </c>
      <c r="D43" s="253"/>
      <c r="E43" s="254">
        <f>E41/C7</f>
        <v>-1645.0449797308067</v>
      </c>
      <c r="F43" s="224"/>
      <c r="H43" s="360"/>
      <c r="I43" s="150"/>
      <c r="J43" s="151"/>
      <c r="K43" s="148">
        <f>+I43*J43</f>
        <v>0</v>
      </c>
      <c r="L43" s="93"/>
      <c r="O43" s="360"/>
      <c r="P43" s="150"/>
      <c r="Q43" s="151"/>
      <c r="R43" s="148">
        <f>+P43*Q43</f>
        <v>0</v>
      </c>
      <c r="S43" s="93"/>
      <c r="W43" s="360"/>
      <c r="X43" s="150"/>
      <c r="Y43" s="151"/>
      <c r="Z43" s="148">
        <f>+X43*Y43</f>
        <v>0</v>
      </c>
      <c r="AA43" s="93"/>
      <c r="AE43" s="360"/>
      <c r="AF43" s="150"/>
      <c r="AG43" s="151"/>
      <c r="AH43" s="148">
        <f>+AF43*AG43</f>
        <v>0</v>
      </c>
      <c r="AI43" s="93"/>
    </row>
    <row r="44" spans="2:35" ht="15" thickBot="1" x14ac:dyDescent="0.4">
      <c r="C44" s="245" t="s">
        <v>160</v>
      </c>
      <c r="D44" s="247"/>
      <c r="E44" s="248">
        <f>E42/C8</f>
        <v>-58268.401239574501</v>
      </c>
      <c r="F44" s="224"/>
      <c r="H44" s="360"/>
      <c r="I44" s="152">
        <v>0</v>
      </c>
      <c r="J44" s="151"/>
      <c r="K44" s="148">
        <f>+I44*J44</f>
        <v>0</v>
      </c>
      <c r="L44" s="93"/>
      <c r="O44" s="360"/>
      <c r="P44" s="152">
        <v>0</v>
      </c>
      <c r="Q44" s="151"/>
      <c r="R44" s="148">
        <f>+P44*Q44</f>
        <v>0</v>
      </c>
      <c r="S44" s="93"/>
      <c r="W44" s="360"/>
      <c r="X44" s="152">
        <v>0</v>
      </c>
      <c r="Y44" s="151"/>
      <c r="Z44" s="148">
        <f>+X44*Y44</f>
        <v>0</v>
      </c>
      <c r="AA44" s="93"/>
      <c r="AE44" s="360"/>
      <c r="AF44" s="152">
        <v>0</v>
      </c>
      <c r="AG44" s="151"/>
      <c r="AH44" s="148">
        <f>+AF44*AG44</f>
        <v>0</v>
      </c>
      <c r="AI44" s="93"/>
    </row>
    <row r="45" spans="2:35" ht="15" thickBot="1" x14ac:dyDescent="0.4">
      <c r="E45" s="223"/>
      <c r="H45" s="361"/>
      <c r="I45" s="153">
        <f>SUM(I41:I44)</f>
        <v>517.16899999999998</v>
      </c>
      <c r="J45" s="148"/>
      <c r="K45" s="154">
        <f>SUM(K41:K44)</f>
        <v>655253.12300000002</v>
      </c>
      <c r="L45" s="93"/>
      <c r="O45" s="361"/>
      <c r="P45" s="153">
        <f>SUM(P41:P44)</f>
        <v>517.16899999999998</v>
      </c>
      <c r="Q45" s="148"/>
      <c r="R45" s="154">
        <f>SUM(R41:R44)</f>
        <v>655253.12300000002</v>
      </c>
      <c r="S45" s="93"/>
      <c r="W45" s="361"/>
      <c r="X45" s="153">
        <f>SUM(X41:X44)</f>
        <v>517.16899999999998</v>
      </c>
      <c r="Y45" s="148"/>
      <c r="Z45" s="154">
        <f>SUM(Z41:Z44)</f>
        <v>655253.12300000002</v>
      </c>
      <c r="AA45" s="93"/>
      <c r="AE45" s="361"/>
      <c r="AF45" s="153">
        <f>SUM(AF41:AF44)</f>
        <v>181.99900000000002</v>
      </c>
      <c r="AG45" s="148"/>
      <c r="AH45" s="154">
        <f>SUM(AH41:AH44)</f>
        <v>230592.73300000007</v>
      </c>
      <c r="AI45" s="93"/>
    </row>
    <row r="46" spans="2:35" ht="15" thickTop="1" x14ac:dyDescent="0.35">
      <c r="C46" s="431" t="s">
        <v>156</v>
      </c>
      <c r="D46" s="431"/>
      <c r="E46" s="223"/>
      <c r="I46" s="131"/>
      <c r="J46" s="132"/>
      <c r="K46" s="132"/>
      <c r="L46" s="93"/>
      <c r="P46" s="131"/>
      <c r="Q46" s="132"/>
      <c r="R46" s="132"/>
      <c r="S46" s="93"/>
      <c r="X46" s="131"/>
      <c r="Y46" s="132"/>
      <c r="Z46" s="132"/>
      <c r="AA46" s="93"/>
      <c r="AF46" s="131"/>
      <c r="AG46" s="132"/>
      <c r="AH46" s="132"/>
      <c r="AI46" s="93"/>
    </row>
    <row r="47" spans="2:35" x14ac:dyDescent="0.35">
      <c r="D47" s="222" t="s">
        <v>134</v>
      </c>
      <c r="E47" s="223">
        <v>144000000</v>
      </c>
      <c r="H47" s="432" t="s">
        <v>55</v>
      </c>
      <c r="I47" s="158">
        <v>72.56</v>
      </c>
      <c r="J47" s="159">
        <v>2300</v>
      </c>
      <c r="K47" s="160">
        <f>+I47*J47</f>
        <v>166888</v>
      </c>
      <c r="L47" s="104" t="s">
        <v>42</v>
      </c>
      <c r="O47" s="432" t="s">
        <v>55</v>
      </c>
      <c r="P47" s="158">
        <v>72.56</v>
      </c>
      <c r="Q47" s="159">
        <v>2300</v>
      </c>
      <c r="R47" s="160">
        <f>+P47*Q47</f>
        <v>166888</v>
      </c>
      <c r="S47" s="104" t="s">
        <v>42</v>
      </c>
      <c r="W47" s="432" t="s">
        <v>55</v>
      </c>
      <c r="X47" s="158">
        <v>72.56</v>
      </c>
      <c r="Y47" s="159">
        <v>2300</v>
      </c>
      <c r="Z47" s="160">
        <f>+X47*Y47</f>
        <v>166888</v>
      </c>
      <c r="AA47" s="104" t="s">
        <v>42</v>
      </c>
      <c r="AE47" s="432" t="s">
        <v>55</v>
      </c>
      <c r="AF47" s="158">
        <v>72.56</v>
      </c>
      <c r="AG47" s="159">
        <v>2300</v>
      </c>
      <c r="AH47" s="160">
        <f>+AF47*AG47</f>
        <v>166888</v>
      </c>
      <c r="AI47" s="104" t="s">
        <v>42</v>
      </c>
    </row>
    <row r="48" spans="2:35" x14ac:dyDescent="0.35">
      <c r="D48" s="222" t="s">
        <v>135</v>
      </c>
      <c r="E48" s="223">
        <v>23384789.48</v>
      </c>
      <c r="H48" s="432"/>
      <c r="I48" s="158"/>
      <c r="J48" s="160"/>
      <c r="K48" s="160">
        <f>+I48*J48</f>
        <v>0</v>
      </c>
      <c r="L48" s="93"/>
      <c r="O48" s="432"/>
      <c r="P48" s="158"/>
      <c r="Q48" s="160"/>
      <c r="R48" s="160">
        <f>+P48*Q48</f>
        <v>0</v>
      </c>
      <c r="S48" s="93"/>
      <c r="W48" s="432"/>
      <c r="X48" s="158"/>
      <c r="Y48" s="160"/>
      <c r="Z48" s="160">
        <f>+X48*Y48</f>
        <v>0</v>
      </c>
      <c r="AA48" s="93"/>
      <c r="AE48" s="432"/>
      <c r="AF48" s="158">
        <v>-72.56</v>
      </c>
      <c r="AG48" s="160">
        <v>2300</v>
      </c>
      <c r="AH48" s="160">
        <f>+AF48*AG48</f>
        <v>-166888</v>
      </c>
      <c r="AI48" s="93"/>
    </row>
    <row r="49" spans="1:35" ht="15" thickBot="1" x14ac:dyDescent="0.4">
      <c r="D49" s="222" t="s">
        <v>136</v>
      </c>
      <c r="E49" s="223">
        <v>31000000</v>
      </c>
      <c r="H49" s="432"/>
      <c r="I49" s="164">
        <f>SUM(I47:I48)</f>
        <v>72.56</v>
      </c>
      <c r="J49" s="160"/>
      <c r="K49" s="165">
        <f>SUM(K47:K48)</f>
        <v>166888</v>
      </c>
      <c r="L49" s="93"/>
      <c r="O49" s="432"/>
      <c r="P49" s="164">
        <f>SUM(P47:P48)</f>
        <v>72.56</v>
      </c>
      <c r="Q49" s="160"/>
      <c r="R49" s="165">
        <f>SUM(R47:R48)</f>
        <v>166888</v>
      </c>
      <c r="S49" s="93"/>
      <c r="W49" s="432"/>
      <c r="X49" s="164">
        <f>SUM(X47:X48)</f>
        <v>72.56</v>
      </c>
      <c r="Y49" s="160"/>
      <c r="Z49" s="165">
        <f>SUM(Z47:Z48)</f>
        <v>166888</v>
      </c>
      <c r="AA49" s="93"/>
      <c r="AE49" s="432"/>
      <c r="AF49" s="164">
        <f>SUM(AF47:AF48)</f>
        <v>0</v>
      </c>
      <c r="AG49" s="160"/>
      <c r="AH49" s="165">
        <f>SUM(AH47:AH48)</f>
        <v>0</v>
      </c>
      <c r="AI49" s="93"/>
    </row>
    <row r="50" spans="1:35" ht="15" thickTop="1" x14ac:dyDescent="0.35">
      <c r="D50" s="222" t="s">
        <v>137</v>
      </c>
      <c r="E50" s="223">
        <f>E47-E48-E49</f>
        <v>89615210.519999996</v>
      </c>
      <c r="I50" s="170"/>
      <c r="J50" s="171"/>
      <c r="K50" s="68">
        <f>+K13</f>
        <v>467520.98100000003</v>
      </c>
      <c r="L50" s="69" t="s">
        <v>26</v>
      </c>
      <c r="P50" s="170"/>
      <c r="Q50" s="171"/>
      <c r="R50" s="68">
        <f>+R13</f>
        <v>914969.33</v>
      </c>
      <c r="S50" s="69" t="s">
        <v>26</v>
      </c>
      <c r="X50" s="170"/>
      <c r="Y50" s="171"/>
      <c r="Z50" s="68">
        <f>+Z13</f>
        <v>914969.33</v>
      </c>
      <c r="AA50" s="69" t="s">
        <v>26</v>
      </c>
      <c r="AF50" s="170"/>
      <c r="AG50" s="171"/>
      <c r="AH50" s="68">
        <f>+AH13</f>
        <v>467520.98100000003</v>
      </c>
      <c r="AI50" s="69" t="s">
        <v>26</v>
      </c>
    </row>
    <row r="51" spans="1:35" ht="15" thickBot="1" x14ac:dyDescent="0.4">
      <c r="D51" s="222"/>
      <c r="E51" s="223"/>
      <c r="I51" s="56" t="s">
        <v>30</v>
      </c>
      <c r="J51" s="132"/>
      <c r="K51" s="84">
        <f>+K24+K32+K39+K45+K50+K49</f>
        <v>52825038.895916</v>
      </c>
      <c r="P51" s="56" t="s">
        <v>30</v>
      </c>
      <c r="Q51" s="132"/>
      <c r="R51" s="84">
        <f>+R24+R32+R39+R45+R50+R49</f>
        <v>71645612.244915992</v>
      </c>
      <c r="X51" s="56" t="s">
        <v>30</v>
      </c>
      <c r="Y51" s="132"/>
      <c r="Z51" s="84">
        <f>+Z24+Z32+Z39+Z45+Z50+Z49</f>
        <v>74002869.744915992</v>
      </c>
      <c r="AF51" s="56" t="s">
        <v>30</v>
      </c>
      <c r="AG51" s="132"/>
      <c r="AH51" s="84">
        <f>+AH24+AH32+AH39+AH45+AH50+AH49</f>
        <v>77463290.505915999</v>
      </c>
    </row>
    <row r="52" spans="1:35" ht="15" thickTop="1" x14ac:dyDescent="0.35">
      <c r="D52" s="222" t="s">
        <v>138</v>
      </c>
      <c r="E52" s="223">
        <v>90000000</v>
      </c>
      <c r="J52" s="132"/>
      <c r="K52" s="132"/>
      <c r="Q52" s="132"/>
      <c r="R52" s="132"/>
      <c r="Y52" s="132"/>
      <c r="Z52" s="132"/>
      <c r="AG52" s="132"/>
      <c r="AH52" s="132"/>
    </row>
    <row r="53" spans="1:35" ht="15" thickBot="1" x14ac:dyDescent="0.4">
      <c r="D53" s="222" t="s">
        <v>145</v>
      </c>
      <c r="E53" s="223">
        <f>E52-E50</f>
        <v>384789.48000000417</v>
      </c>
      <c r="I53" s="56" t="s">
        <v>56</v>
      </c>
      <c r="J53" s="132"/>
      <c r="K53" s="177">
        <f>+K15-K51</f>
        <v>58339699.618457213</v>
      </c>
      <c r="P53" s="56" t="s">
        <v>56</v>
      </c>
      <c r="Q53" s="132"/>
      <c r="R53" s="177">
        <f>+R15-R51</f>
        <v>71029875.718457222</v>
      </c>
      <c r="X53" s="56" t="s">
        <v>56</v>
      </c>
      <c r="Y53" s="132"/>
      <c r="Z53" s="177">
        <f>+Z15-Z51</f>
        <v>67398095.718457222</v>
      </c>
      <c r="AF53" s="56" t="s">
        <v>56</v>
      </c>
      <c r="AG53" s="132"/>
      <c r="AH53" s="177">
        <f>+AH15-AH51</f>
        <v>63989341.853457212</v>
      </c>
    </row>
    <row r="54" spans="1:35" ht="15" thickTop="1" x14ac:dyDescent="0.35">
      <c r="D54" s="222" t="s">
        <v>161</v>
      </c>
      <c r="E54" s="223">
        <v>-5000000</v>
      </c>
      <c r="I54" s="56"/>
      <c r="J54" s="132"/>
      <c r="K54" s="289"/>
      <c r="P54" s="56"/>
      <c r="Q54" s="132"/>
      <c r="R54" s="289"/>
      <c r="X54" s="56"/>
      <c r="Y54" s="132"/>
      <c r="Z54" s="289"/>
      <c r="AG54" s="178"/>
      <c r="AH54" s="179"/>
    </row>
    <row r="55" spans="1:35" x14ac:dyDescent="0.35">
      <c r="D55" s="222" t="s">
        <v>139</v>
      </c>
      <c r="E55" s="223">
        <f>E53+E54</f>
        <v>-4615210.5199999958</v>
      </c>
      <c r="I55" s="56"/>
      <c r="J55" s="132"/>
      <c r="K55" s="289"/>
      <c r="P55" s="56"/>
      <c r="Q55" s="132"/>
      <c r="R55" s="289"/>
      <c r="X55" s="56"/>
      <c r="Y55" s="132"/>
      <c r="Z55" s="289"/>
      <c r="AF55" s="180" t="s">
        <v>109</v>
      </c>
      <c r="AG55" s="178"/>
      <c r="AH55" s="181">
        <v>30081777.469999999</v>
      </c>
    </row>
    <row r="56" spans="1:35" ht="15" thickBot="1" x14ac:dyDescent="0.4">
      <c r="D56" s="222"/>
      <c r="E56" s="193"/>
      <c r="J56" s="178"/>
      <c r="K56" s="179"/>
      <c r="Q56" s="178"/>
      <c r="R56" s="179"/>
      <c r="Y56" s="178"/>
      <c r="Z56" s="179"/>
      <c r="AE56" s="224"/>
      <c r="AF56" s="2" t="s">
        <v>110</v>
      </c>
      <c r="AG56" s="56"/>
      <c r="AH56" s="174">
        <f>+AH53</f>
        <v>63989341.853457212</v>
      </c>
    </row>
    <row r="57" spans="1:35" x14ac:dyDescent="0.35">
      <c r="A57" s="225"/>
      <c r="B57" s="226"/>
      <c r="C57" s="226"/>
      <c r="D57" s="227" t="s">
        <v>140</v>
      </c>
      <c r="E57" s="228">
        <f>E53/C8</f>
        <v>14721.458413038647</v>
      </c>
      <c r="I57" s="180" t="s">
        <v>109</v>
      </c>
      <c r="J57" s="178"/>
      <c r="K57" s="181">
        <v>30081777.469999999</v>
      </c>
      <c r="P57" s="180" t="s">
        <v>109</v>
      </c>
      <c r="Q57" s="178"/>
      <c r="R57" s="181">
        <v>30081777.469999999</v>
      </c>
      <c r="X57" s="180" t="s">
        <v>109</v>
      </c>
      <c r="Y57" s="178"/>
      <c r="Z57" s="181">
        <v>30081777.469999999</v>
      </c>
      <c r="AE57" s="224"/>
      <c r="AF57" s="2" t="s">
        <v>60</v>
      </c>
      <c r="AG57" s="56"/>
      <c r="AH57" s="183">
        <f>+AH55-AH56</f>
        <v>-33907564.383457214</v>
      </c>
    </row>
    <row r="58" spans="1:35" ht="15" thickBot="1" x14ac:dyDescent="0.4">
      <c r="A58" s="229"/>
      <c r="B58" s="230"/>
      <c r="C58" s="230"/>
      <c r="D58" s="231" t="s">
        <v>141</v>
      </c>
      <c r="E58" s="232">
        <f>E53/C7</f>
        <v>204.70792147683363</v>
      </c>
      <c r="H58" s="224"/>
      <c r="I58" s="2" t="s">
        <v>110</v>
      </c>
      <c r="J58" s="56"/>
      <c r="K58" s="174">
        <f>+K53</f>
        <v>58339699.618457213</v>
      </c>
      <c r="O58" s="224"/>
      <c r="P58" s="2" t="s">
        <v>110</v>
      </c>
      <c r="Q58" s="56"/>
      <c r="R58" s="174">
        <f>+R53</f>
        <v>71029875.718457222</v>
      </c>
      <c r="W58" s="224"/>
      <c r="X58" s="2" t="s">
        <v>110</v>
      </c>
      <c r="Y58" s="56"/>
      <c r="Z58" s="174">
        <f>+Z53</f>
        <v>67398095.718457222</v>
      </c>
      <c r="AF58" s="2" t="s">
        <v>111</v>
      </c>
      <c r="AG58" s="56"/>
      <c r="AH58" s="184">
        <v>31023831</v>
      </c>
      <c r="AI58" s="2" t="s">
        <v>164</v>
      </c>
    </row>
    <row r="59" spans="1:35" ht="15" thickBot="1" x14ac:dyDescent="0.4">
      <c r="E59" s="193"/>
      <c r="H59" s="224"/>
      <c r="I59" s="2" t="s">
        <v>60</v>
      </c>
      <c r="J59" s="56"/>
      <c r="K59" s="183">
        <f>+K57-K58</f>
        <v>-28257922.148457214</v>
      </c>
      <c r="O59" s="224"/>
      <c r="P59" s="2" t="s">
        <v>60</v>
      </c>
      <c r="Q59" s="56"/>
      <c r="R59" s="183">
        <f>+R57-R58</f>
        <v>-40948098.248457223</v>
      </c>
      <c r="W59" s="224"/>
      <c r="X59" s="2" t="s">
        <v>60</v>
      </c>
      <c r="Y59" s="56"/>
      <c r="Z59" s="183">
        <f>+Z57-Z58</f>
        <v>-37316318.248457223</v>
      </c>
      <c r="AF59" s="2" t="s">
        <v>112</v>
      </c>
      <c r="AG59" s="56"/>
      <c r="AH59" s="177">
        <f>+AH57+AH58</f>
        <v>-2883733.3834572136</v>
      </c>
    </row>
    <row r="60" spans="1:35" ht="15.5" thickTop="1" thickBot="1" x14ac:dyDescent="0.4">
      <c r="B60" s="283" t="s">
        <v>154</v>
      </c>
      <c r="C60" s="284"/>
      <c r="D60" s="285"/>
      <c r="E60" s="193"/>
      <c r="I60" s="2" t="s">
        <v>111</v>
      </c>
      <c r="J60" s="56"/>
      <c r="K60" s="184">
        <f>E29</f>
        <v>31023830.890000001</v>
      </c>
      <c r="L60" s="2" t="s">
        <v>119</v>
      </c>
      <c r="P60" s="2" t="s">
        <v>111</v>
      </c>
      <c r="Q60" s="56"/>
      <c r="R60" s="184">
        <f>K60</f>
        <v>31023830.890000001</v>
      </c>
      <c r="S60" s="2" t="s">
        <v>119</v>
      </c>
      <c r="X60" s="2" t="s">
        <v>111</v>
      </c>
      <c r="Y60" s="56"/>
      <c r="Z60" s="184">
        <f>K60</f>
        <v>31023830.890000001</v>
      </c>
      <c r="AA60" s="2" t="s">
        <v>119</v>
      </c>
      <c r="AF60" s="56"/>
      <c r="AG60" s="56"/>
    </row>
    <row r="61" spans="1:35" s="2" customFormat="1" ht="15" thickBot="1" x14ac:dyDescent="0.4">
      <c r="A61"/>
      <c r="B61" s="259" t="s">
        <v>148</v>
      </c>
      <c r="C61" s="260"/>
      <c r="D61" s="261" t="s">
        <v>134</v>
      </c>
      <c r="E61" s="262">
        <v>138300000</v>
      </c>
      <c r="F61" s="1"/>
      <c r="G61" s="3"/>
      <c r="H61" s="224"/>
      <c r="I61" s="2" t="s">
        <v>112</v>
      </c>
      <c r="J61" s="56"/>
      <c r="K61" s="177">
        <f>+K59+K60</f>
        <v>2765908.7415427864</v>
      </c>
      <c r="M61" s="1"/>
      <c r="N61" s="3"/>
      <c r="O61" s="1"/>
      <c r="P61" s="2" t="s">
        <v>112</v>
      </c>
      <c r="Q61" s="56"/>
      <c r="R61" s="177">
        <f>+R59+R60</f>
        <v>-9924267.3584572226</v>
      </c>
      <c r="T61"/>
      <c r="U61" s="1"/>
      <c r="V61" s="3"/>
      <c r="W61" s="1"/>
      <c r="X61" s="2" t="s">
        <v>112</v>
      </c>
      <c r="Y61" s="56"/>
      <c r="Z61" s="177">
        <f>+Z59+Z60</f>
        <v>-6292487.3584572226</v>
      </c>
      <c r="AB61"/>
      <c r="AC61" s="1"/>
      <c r="AD61" s="3"/>
      <c r="AE61" s="1"/>
      <c r="AF61" s="56"/>
      <c r="AG61" s="56"/>
    </row>
    <row r="62" spans="1:35" s="2" customFormat="1" ht="15.5" thickTop="1" thickBot="1" x14ac:dyDescent="0.4">
      <c r="A62"/>
      <c r="B62" s="272">
        <f>AF21</f>
        <v>13000</v>
      </c>
      <c r="C62" s="264"/>
      <c r="D62" s="265" t="s">
        <v>135</v>
      </c>
      <c r="E62" s="266">
        <f>23384789.48</f>
        <v>23384789.48</v>
      </c>
      <c r="F62" s="1"/>
      <c r="G62" s="3"/>
      <c r="H62" s="224"/>
      <c r="I62" s="56"/>
      <c r="J62" s="56"/>
      <c r="M62" s="1"/>
      <c r="N62" s="3"/>
      <c r="O62" s="1"/>
      <c r="P62" s="56"/>
      <c r="Q62" s="56"/>
      <c r="T62"/>
      <c r="U62" s="1"/>
      <c r="V62" s="3"/>
      <c r="W62" s="1"/>
      <c r="X62" s="56"/>
      <c r="Y62" s="56"/>
      <c r="AB62"/>
      <c r="AC62" s="1"/>
      <c r="AD62" s="3"/>
      <c r="AE62" s="186"/>
      <c r="AF62" s="368" t="s">
        <v>65</v>
      </c>
      <c r="AG62" s="369"/>
      <c r="AH62" s="369"/>
      <c r="AI62" s="370"/>
    </row>
    <row r="63" spans="1:35" s="2" customFormat="1" ht="15" thickBot="1" x14ac:dyDescent="0.4">
      <c r="A63"/>
      <c r="B63" s="272">
        <f>AF31</f>
        <v>300000</v>
      </c>
      <c r="C63" s="264"/>
      <c r="D63" s="265" t="s">
        <v>136</v>
      </c>
      <c r="E63" s="266">
        <v>25000000</v>
      </c>
      <c r="F63" s="1"/>
      <c r="G63" s="3"/>
      <c r="H63" s="224"/>
      <c r="I63" s="56"/>
      <c r="J63" s="56"/>
      <c r="M63" s="1"/>
      <c r="N63" s="3"/>
      <c r="O63" s="1"/>
      <c r="P63" s="56"/>
      <c r="Q63" s="56"/>
      <c r="U63" s="1"/>
      <c r="V63" s="3"/>
      <c r="W63" s="1"/>
      <c r="X63" s="56"/>
      <c r="Y63" s="56"/>
      <c r="AC63" s="1"/>
      <c r="AD63" s="3"/>
      <c r="AE63" s="186"/>
      <c r="AF63" s="56"/>
      <c r="AG63" s="56"/>
    </row>
    <row r="64" spans="1:35" s="2" customFormat="1" ht="15" thickBot="1" x14ac:dyDescent="0.4">
      <c r="B64" s="273" t="s">
        <v>150</v>
      </c>
      <c r="C64" s="264"/>
      <c r="D64" s="265" t="s">
        <v>162</v>
      </c>
      <c r="E64" s="266">
        <f>E61-E62-E63</f>
        <v>89915210.519999996</v>
      </c>
      <c r="F64" s="1"/>
      <c r="G64" s="3"/>
      <c r="H64" s="238"/>
      <c r="I64" s="368" t="s">
        <v>65</v>
      </c>
      <c r="J64" s="369"/>
      <c r="K64" s="369"/>
      <c r="L64" s="370"/>
      <c r="M64" s="1"/>
      <c r="N64" s="3"/>
      <c r="O64" s="186"/>
      <c r="P64" s="368" t="s">
        <v>65</v>
      </c>
      <c r="Q64" s="369"/>
      <c r="R64" s="369"/>
      <c r="S64" s="370"/>
      <c r="U64" s="1"/>
      <c r="V64" s="3"/>
      <c r="W64" s="186"/>
      <c r="X64" s="368" t="s">
        <v>65</v>
      </c>
      <c r="Y64" s="369"/>
      <c r="Z64" s="369"/>
      <c r="AA64" s="370"/>
      <c r="AC64" s="1"/>
      <c r="AD64" s="3"/>
      <c r="AE64" s="186"/>
      <c r="AF64" s="56"/>
      <c r="AG64" s="56"/>
      <c r="AI64" s="188" t="s">
        <v>66</v>
      </c>
    </row>
    <row r="65" spans="1:35" s="2" customFormat="1" ht="15" thickBot="1" x14ac:dyDescent="0.4">
      <c r="B65" s="273" t="s">
        <v>149</v>
      </c>
      <c r="C65" s="264"/>
      <c r="D65" s="265"/>
      <c r="E65" s="266"/>
      <c r="F65" s="1"/>
      <c r="G65" s="3"/>
      <c r="H65" s="238"/>
      <c r="I65" s="56"/>
      <c r="J65" s="56"/>
      <c r="M65" s="1"/>
      <c r="N65" s="3"/>
      <c r="O65" s="186"/>
      <c r="P65" s="56"/>
      <c r="Q65" s="56"/>
      <c r="U65" s="1"/>
      <c r="V65" s="3"/>
      <c r="W65" s="186"/>
      <c r="X65" s="56"/>
      <c r="Y65" s="56"/>
      <c r="AC65" s="1"/>
      <c r="AD65" s="3"/>
      <c r="AE65" s="186"/>
      <c r="AF65" s="56" t="s">
        <v>67</v>
      </c>
      <c r="AG65" s="56"/>
      <c r="AH65" s="30">
        <f>AH59</f>
        <v>-2883733.3834572136</v>
      </c>
    </row>
    <row r="66" spans="1:35" s="2" customFormat="1" ht="15" thickBot="1" x14ac:dyDescent="0.4">
      <c r="B66" s="263"/>
      <c r="C66" s="264"/>
      <c r="D66" s="265" t="s">
        <v>138</v>
      </c>
      <c r="E66" s="266">
        <v>90000000</v>
      </c>
      <c r="F66" s="1"/>
      <c r="G66" s="3"/>
      <c r="H66" s="238"/>
      <c r="I66" s="56"/>
      <c r="J66" s="56"/>
      <c r="L66" s="188" t="s">
        <v>66</v>
      </c>
      <c r="M66" s="1"/>
      <c r="N66" s="3"/>
      <c r="O66" s="186"/>
      <c r="P66" s="56"/>
      <c r="Q66" s="56"/>
      <c r="S66" s="188" t="s">
        <v>66</v>
      </c>
      <c r="U66" s="1"/>
      <c r="V66" s="3"/>
      <c r="W66" s="186"/>
      <c r="X66" s="56"/>
      <c r="Y66" s="56"/>
      <c r="AA66" s="188" t="s">
        <v>66</v>
      </c>
      <c r="AC66" s="1"/>
      <c r="AD66" s="3"/>
      <c r="AE66" s="186"/>
      <c r="AF66" s="56" t="s">
        <v>68</v>
      </c>
      <c r="AG66" s="56"/>
      <c r="AH66" s="189">
        <v>0</v>
      </c>
    </row>
    <row r="67" spans="1:35" s="2" customFormat="1" ht="15" thickBot="1" x14ac:dyDescent="0.4">
      <c r="B67" s="267"/>
      <c r="C67" s="101"/>
      <c r="D67" s="268" t="s">
        <v>145</v>
      </c>
      <c r="E67" s="269">
        <f>E66-E64</f>
        <v>84789.480000004172</v>
      </c>
      <c r="F67" s="1"/>
      <c r="G67" s="3"/>
      <c r="H67" s="238"/>
      <c r="I67" s="56" t="s">
        <v>67</v>
      </c>
      <c r="J67" s="56"/>
      <c r="K67" s="30">
        <f>K61</f>
        <v>2765908.7415427864</v>
      </c>
      <c r="M67" s="1"/>
      <c r="N67" s="3"/>
      <c r="O67" s="186"/>
      <c r="P67" s="56" t="s">
        <v>67</v>
      </c>
      <c r="Q67" s="56"/>
      <c r="R67" s="30">
        <f>R61</f>
        <v>-9924267.3584572226</v>
      </c>
      <c r="U67" s="1"/>
      <c r="V67" s="3"/>
      <c r="W67" s="186"/>
      <c r="X67" s="56" t="s">
        <v>67</v>
      </c>
      <c r="Y67" s="56"/>
      <c r="Z67" s="30">
        <f>Z61</f>
        <v>-6292487.3584572226</v>
      </c>
      <c r="AC67" s="1"/>
      <c r="AD67" s="3"/>
      <c r="AE67" s="186"/>
      <c r="AF67" s="56" t="s">
        <v>69</v>
      </c>
      <c r="AG67" s="56"/>
      <c r="AH67" s="192">
        <f>AH65+AH66</f>
        <v>-2883733.3834572136</v>
      </c>
    </row>
    <row r="68" spans="1:35" x14ac:dyDescent="0.35">
      <c r="A68" s="2"/>
      <c r="E68" s="193"/>
      <c r="H68" s="186"/>
      <c r="I68" s="56" t="s">
        <v>68</v>
      </c>
      <c r="J68" s="56"/>
      <c r="K68" s="189">
        <v>0</v>
      </c>
      <c r="O68" s="186"/>
      <c r="P68" s="56" t="s">
        <v>68</v>
      </c>
      <c r="Q68" s="56"/>
      <c r="R68" s="189">
        <v>0</v>
      </c>
      <c r="T68" s="2"/>
      <c r="W68" s="186"/>
      <c r="X68" s="56" t="s">
        <v>68</v>
      </c>
      <c r="Y68" s="56"/>
      <c r="Z68" s="189">
        <v>0</v>
      </c>
      <c r="AB68" s="2"/>
      <c r="AE68" s="186"/>
      <c r="AF68" s="56"/>
      <c r="AG68" s="56"/>
    </row>
    <row r="69" spans="1:35" ht="15" thickBot="1" x14ac:dyDescent="0.4">
      <c r="A69" s="2"/>
      <c r="E69" s="193"/>
      <c r="H69" s="186"/>
      <c r="I69" s="56" t="s">
        <v>69</v>
      </c>
      <c r="J69" s="56"/>
      <c r="K69" s="192">
        <f>K67+K68</f>
        <v>2765908.7415427864</v>
      </c>
      <c r="O69" s="186"/>
      <c r="P69" s="56" t="s">
        <v>69</v>
      </c>
      <c r="Q69" s="56"/>
      <c r="R69" s="192">
        <f>R67+R68</f>
        <v>-9924267.3584572226</v>
      </c>
      <c r="T69" s="2"/>
      <c r="W69" s="186"/>
      <c r="X69" s="56" t="s">
        <v>69</v>
      </c>
      <c r="Y69" s="56"/>
      <c r="Z69" s="192">
        <f>Z67+Z68</f>
        <v>-6292487.3584572226</v>
      </c>
      <c r="AB69" s="2"/>
      <c r="AF69" s="2" t="s">
        <v>70</v>
      </c>
    </row>
    <row r="70" spans="1:35" x14ac:dyDescent="0.35">
      <c r="A70" s="2"/>
      <c r="B70" s="239" t="s">
        <v>142</v>
      </c>
      <c r="C70" s="240"/>
      <c r="D70" s="241" t="s">
        <v>134</v>
      </c>
      <c r="E70" s="242">
        <v>133200000</v>
      </c>
      <c r="H70" s="186"/>
      <c r="I70" s="56"/>
      <c r="J70" s="56"/>
      <c r="O70" s="186"/>
      <c r="P70" s="56"/>
      <c r="Q70" s="56"/>
      <c r="W70" s="186"/>
      <c r="X70" s="56"/>
      <c r="Y70" s="56"/>
      <c r="AF70" s="2" t="s">
        <v>72</v>
      </c>
      <c r="AH70" s="189">
        <v>0</v>
      </c>
    </row>
    <row r="71" spans="1:35" s="2" customFormat="1" x14ac:dyDescent="0.35">
      <c r="A71"/>
      <c r="B71" s="270">
        <f>P31</f>
        <v>1025000</v>
      </c>
      <c r="C71" s="236"/>
      <c r="D71" s="237" t="s">
        <v>135</v>
      </c>
      <c r="E71" s="244">
        <f>23384789.48</f>
        <v>23384789.48</v>
      </c>
      <c r="F71" s="1"/>
      <c r="G71" s="3"/>
      <c r="H71" s="1"/>
      <c r="I71" s="2" t="s">
        <v>70</v>
      </c>
      <c r="M71" s="1"/>
      <c r="N71" s="3"/>
      <c r="O71" s="1"/>
      <c r="P71" s="2" t="s">
        <v>70</v>
      </c>
      <c r="T71"/>
      <c r="U71" s="1"/>
      <c r="V71" s="3"/>
      <c r="W71" s="1"/>
      <c r="X71" s="2" t="s">
        <v>70</v>
      </c>
      <c r="AB71"/>
      <c r="AC71" s="1"/>
      <c r="AD71" s="3"/>
      <c r="AE71" s="1"/>
      <c r="AF71" s="2" t="s">
        <v>74</v>
      </c>
      <c r="AH71" s="189">
        <f>17366.31+1425.51</f>
        <v>18791.82</v>
      </c>
    </row>
    <row r="72" spans="1:35" s="2" customFormat="1" ht="15" thickBot="1" x14ac:dyDescent="0.4">
      <c r="A72"/>
      <c r="B72" s="274" t="s">
        <v>150</v>
      </c>
      <c r="C72" s="236"/>
      <c r="D72" s="237" t="s">
        <v>136</v>
      </c>
      <c r="E72" s="244">
        <v>25000000</v>
      </c>
      <c r="F72" s="1"/>
      <c r="G72" s="3"/>
      <c r="H72" s="1"/>
      <c r="I72" s="2" t="s">
        <v>72</v>
      </c>
      <c r="K72" s="189">
        <v>0</v>
      </c>
      <c r="M72" s="1"/>
      <c r="N72" s="3"/>
      <c r="O72" s="1"/>
      <c r="P72" s="2" t="s">
        <v>72</v>
      </c>
      <c r="R72" s="189">
        <v>0</v>
      </c>
      <c r="T72"/>
      <c r="U72" s="1"/>
      <c r="V72" s="3"/>
      <c r="W72" s="1"/>
      <c r="X72" s="2" t="s">
        <v>72</v>
      </c>
      <c r="Z72" s="189">
        <v>0</v>
      </c>
      <c r="AB72"/>
      <c r="AC72" s="1"/>
      <c r="AD72" s="3"/>
      <c r="AE72" s="186"/>
      <c r="AF72" s="2" t="s">
        <v>75</v>
      </c>
      <c r="AH72" s="192">
        <f>SUM(AH70:AH71)</f>
        <v>18791.82</v>
      </c>
    </row>
    <row r="73" spans="1:35" s="2" customFormat="1" x14ac:dyDescent="0.35">
      <c r="A73"/>
      <c r="B73" s="243"/>
      <c r="C73" s="236"/>
      <c r="D73" s="237" t="s">
        <v>162</v>
      </c>
      <c r="E73" s="244">
        <f>E70-E71-E72</f>
        <v>84815210.519999996</v>
      </c>
      <c r="F73" s="1"/>
      <c r="G73" s="3"/>
      <c r="H73" s="1"/>
      <c r="I73" s="2" t="s">
        <v>74</v>
      </c>
      <c r="K73" s="189">
        <f>17366.31+1425.51</f>
        <v>18791.82</v>
      </c>
      <c r="M73" s="1"/>
      <c r="N73" s="3"/>
      <c r="O73" s="1"/>
      <c r="P73" s="2" t="s">
        <v>74</v>
      </c>
      <c r="R73" s="189">
        <f>17366.31+1425.51</f>
        <v>18791.82</v>
      </c>
      <c r="U73" s="1"/>
      <c r="V73" s="3"/>
      <c r="W73" s="1"/>
      <c r="X73" s="2" t="s">
        <v>74</v>
      </c>
      <c r="Z73" s="189">
        <f>17366.31+1425.51</f>
        <v>18791.82</v>
      </c>
      <c r="AC73" s="1"/>
      <c r="AD73" s="3"/>
      <c r="AE73" s="186"/>
      <c r="AH73" s="56"/>
    </row>
    <row r="74" spans="1:35" ht="15" thickBot="1" x14ac:dyDescent="0.4">
      <c r="A74" s="2"/>
      <c r="B74" s="243"/>
      <c r="C74" s="236"/>
      <c r="D74" s="237"/>
      <c r="E74" s="244"/>
      <c r="H74" s="186"/>
      <c r="I74" s="2" t="s">
        <v>75</v>
      </c>
      <c r="K74" s="192">
        <f>SUM(K72:K73)</f>
        <v>18791.82</v>
      </c>
      <c r="O74" s="186"/>
      <c r="P74" s="2" t="s">
        <v>75</v>
      </c>
      <c r="R74" s="192">
        <f>SUM(R72:R73)</f>
        <v>18791.82</v>
      </c>
      <c r="T74" s="2"/>
      <c r="W74" s="186"/>
      <c r="X74" s="2" t="s">
        <v>75</v>
      </c>
      <c r="Z74" s="192">
        <f>SUM(Z72:Z73)</f>
        <v>18791.82</v>
      </c>
      <c r="AB74" s="2"/>
      <c r="AE74" s="186"/>
      <c r="AF74" s="2" t="s">
        <v>76</v>
      </c>
    </row>
    <row r="75" spans="1:35" x14ac:dyDescent="0.35">
      <c r="A75" s="2"/>
      <c r="B75" s="243"/>
      <c r="C75" s="236"/>
      <c r="D75" s="237" t="s">
        <v>138</v>
      </c>
      <c r="E75" s="244">
        <v>90000000</v>
      </c>
      <c r="H75" s="186"/>
      <c r="K75" s="56"/>
      <c r="O75" s="186"/>
      <c r="R75" s="56"/>
      <c r="T75" s="2"/>
      <c r="W75" s="186"/>
      <c r="Z75" s="56"/>
      <c r="AB75" s="2"/>
      <c r="AF75" s="2" t="s">
        <v>77</v>
      </c>
      <c r="AH75" s="189">
        <v>0</v>
      </c>
      <c r="AI75" s="2" t="s">
        <v>106</v>
      </c>
    </row>
    <row r="76" spans="1:35" ht="15" thickBot="1" x14ac:dyDescent="0.4">
      <c r="A76" s="2"/>
      <c r="B76" s="245"/>
      <c r="C76" s="246"/>
      <c r="D76" s="247" t="s">
        <v>145</v>
      </c>
      <c r="E76" s="248">
        <f>E75-E73</f>
        <v>5184789.4800000042</v>
      </c>
      <c r="H76" s="186"/>
      <c r="I76" s="2" t="s">
        <v>76</v>
      </c>
      <c r="O76" s="186"/>
      <c r="P76" s="2" t="s">
        <v>76</v>
      </c>
      <c r="W76" s="186"/>
      <c r="X76" s="2" t="s">
        <v>76</v>
      </c>
      <c r="AF76" s="2" t="s">
        <v>79</v>
      </c>
      <c r="AH76" s="189">
        <v>0</v>
      </c>
      <c r="AI76" s="2" t="s">
        <v>107</v>
      </c>
    </row>
    <row r="77" spans="1:35" x14ac:dyDescent="0.35">
      <c r="I77" s="2" t="s">
        <v>77</v>
      </c>
      <c r="K77" s="189">
        <v>0</v>
      </c>
      <c r="L77" s="2" t="s">
        <v>106</v>
      </c>
      <c r="P77" s="2" t="s">
        <v>77</v>
      </c>
      <c r="R77" s="189">
        <v>0</v>
      </c>
      <c r="S77" s="2" t="s">
        <v>106</v>
      </c>
      <c r="X77" s="2" t="s">
        <v>77</v>
      </c>
      <c r="Z77" s="189">
        <v>0</v>
      </c>
      <c r="AA77" s="2" t="s">
        <v>106</v>
      </c>
      <c r="AF77" s="2" t="s">
        <v>81</v>
      </c>
      <c r="AH77" s="189">
        <v>0</v>
      </c>
      <c r="AI77" s="2" t="s">
        <v>82</v>
      </c>
    </row>
    <row r="78" spans="1:35" ht="15" thickBot="1" x14ac:dyDescent="0.4">
      <c r="I78" s="2" t="s">
        <v>79</v>
      </c>
      <c r="K78" s="189">
        <v>0</v>
      </c>
      <c r="L78" s="2" t="s">
        <v>107</v>
      </c>
      <c r="P78" s="2" t="s">
        <v>79</v>
      </c>
      <c r="R78" s="189">
        <v>0</v>
      </c>
      <c r="S78" s="2" t="s">
        <v>107</v>
      </c>
      <c r="X78" s="2" t="s">
        <v>79</v>
      </c>
      <c r="Z78" s="189">
        <v>0</v>
      </c>
      <c r="AA78" s="2" t="s">
        <v>107</v>
      </c>
      <c r="AF78" s="2" t="s">
        <v>83</v>
      </c>
      <c r="AH78" s="189">
        <v>0</v>
      </c>
    </row>
    <row r="79" spans="1:35" x14ac:dyDescent="0.35">
      <c r="B79" s="13" t="s">
        <v>146</v>
      </c>
      <c r="C79" s="15"/>
      <c r="D79" s="249" t="s">
        <v>134</v>
      </c>
      <c r="E79" s="250">
        <v>133300000</v>
      </c>
      <c r="I79" s="2" t="s">
        <v>81</v>
      </c>
      <c r="K79" s="189">
        <v>0</v>
      </c>
      <c r="L79" s="2" t="s">
        <v>82</v>
      </c>
      <c r="P79" s="2" t="s">
        <v>81</v>
      </c>
      <c r="R79" s="189">
        <v>0</v>
      </c>
      <c r="S79" s="2" t="s">
        <v>82</v>
      </c>
      <c r="X79" s="2" t="s">
        <v>81</v>
      </c>
      <c r="Z79" s="189">
        <v>0</v>
      </c>
      <c r="AA79" s="2" t="s">
        <v>82</v>
      </c>
      <c r="AE79" s="1" t="s">
        <v>122</v>
      </c>
      <c r="AF79" s="2" t="s">
        <v>84</v>
      </c>
      <c r="AH79" s="190">
        <f>AH95</f>
        <v>869423</v>
      </c>
      <c r="AI79" s="190"/>
    </row>
    <row r="80" spans="1:35" ht="15" thickBot="1" x14ac:dyDescent="0.4">
      <c r="B80" s="271">
        <f>X21</f>
        <v>13575</v>
      </c>
      <c r="C80" s="252"/>
      <c r="D80" s="253" t="s">
        <v>135</v>
      </c>
      <c r="E80" s="254">
        <f>23384789.48</f>
        <v>23384789.48</v>
      </c>
      <c r="I80" s="2" t="s">
        <v>83</v>
      </c>
      <c r="K80" s="189">
        <v>0</v>
      </c>
      <c r="P80" s="2" t="s">
        <v>83</v>
      </c>
      <c r="R80" s="189">
        <v>0</v>
      </c>
      <c r="X80" s="2" t="s">
        <v>83</v>
      </c>
      <c r="Z80" s="189">
        <v>0</v>
      </c>
      <c r="AF80" s="2" t="s">
        <v>85</v>
      </c>
      <c r="AH80" s="192">
        <f>SUM(AH75:AH79)</f>
        <v>869423</v>
      </c>
      <c r="AI80" s="190"/>
    </row>
    <row r="81" spans="2:35" x14ac:dyDescent="0.35">
      <c r="B81" s="306" t="s">
        <v>149</v>
      </c>
      <c r="C81" s="252"/>
      <c r="D81" s="253" t="s">
        <v>136</v>
      </c>
      <c r="E81" s="254">
        <v>25000000</v>
      </c>
      <c r="H81" s="1" t="s">
        <v>122</v>
      </c>
      <c r="I81" s="2" t="s">
        <v>84</v>
      </c>
      <c r="K81" s="190">
        <f>K97</f>
        <v>836072</v>
      </c>
      <c r="L81" s="190"/>
      <c r="O81" s="1" t="s">
        <v>122</v>
      </c>
      <c r="P81" s="2" t="s">
        <v>84</v>
      </c>
      <c r="R81" s="190">
        <f>R97</f>
        <v>836072</v>
      </c>
      <c r="S81" s="190"/>
      <c r="W81" s="1" t="s">
        <v>122</v>
      </c>
      <c r="X81" s="2" t="s">
        <v>84</v>
      </c>
      <c r="Z81" s="190">
        <f>Z97</f>
        <v>836072</v>
      </c>
      <c r="AA81" s="190"/>
      <c r="AI81" s="190"/>
    </row>
    <row r="82" spans="2:35" ht="15" thickBot="1" x14ac:dyDescent="0.4">
      <c r="B82" s="251"/>
      <c r="C82" s="252"/>
      <c r="D82" s="253" t="s">
        <v>162</v>
      </c>
      <c r="E82" s="254">
        <f>E79-E80-E81</f>
        <v>84915210.519999996</v>
      </c>
      <c r="I82" s="2" t="s">
        <v>85</v>
      </c>
      <c r="K82" s="192">
        <f>SUM(K77:K81)</f>
        <v>836072</v>
      </c>
      <c r="L82" s="190"/>
      <c r="P82" s="2" t="s">
        <v>85</v>
      </c>
      <c r="R82" s="192">
        <f>SUM(R77:R81)</f>
        <v>836072</v>
      </c>
      <c r="S82" s="190"/>
      <c r="X82" s="2" t="s">
        <v>85</v>
      </c>
      <c r="Z82" s="192">
        <f>SUM(Z77:Z81)</f>
        <v>836072</v>
      </c>
      <c r="AA82" s="190"/>
      <c r="AF82" s="2" t="s">
        <v>86</v>
      </c>
      <c r="AH82" s="195">
        <f>AH67+AH72+AH80</f>
        <v>-1995518.5634572138</v>
      </c>
    </row>
    <row r="83" spans="2:35" x14ac:dyDescent="0.35">
      <c r="B83" s="251"/>
      <c r="C83" s="252"/>
      <c r="D83" s="253"/>
      <c r="E83" s="254"/>
      <c r="L83" s="190"/>
      <c r="S83" s="190"/>
      <c r="AA83" s="190"/>
      <c r="AH83" s="196"/>
    </row>
    <row r="84" spans="2:35" x14ac:dyDescent="0.35">
      <c r="B84" s="251"/>
      <c r="C84" s="252"/>
      <c r="D84" s="253" t="s">
        <v>138</v>
      </c>
      <c r="E84" s="254">
        <v>90000000</v>
      </c>
      <c r="I84" s="2" t="s">
        <v>86</v>
      </c>
      <c r="K84" s="195">
        <f>K69+K74+K82</f>
        <v>3620772.5615427862</v>
      </c>
      <c r="P84" s="2" t="s">
        <v>86</v>
      </c>
      <c r="R84" s="195">
        <f>R69+R74+R82</f>
        <v>-9069403.5384572223</v>
      </c>
      <c r="X84" s="2" t="s">
        <v>86</v>
      </c>
      <c r="Z84" s="195">
        <f>Z69+Z74+Z82</f>
        <v>-5437623.5384572223</v>
      </c>
      <c r="AF84" s="2" t="s">
        <v>87</v>
      </c>
      <c r="AH84" s="195">
        <v>0</v>
      </c>
    </row>
    <row r="85" spans="2:35" ht="15" thickBot="1" x14ac:dyDescent="0.4">
      <c r="B85" s="255"/>
      <c r="C85" s="256"/>
      <c r="D85" s="257" t="s">
        <v>145</v>
      </c>
      <c r="E85" s="258">
        <f>E84-E82</f>
        <v>5084789.4800000042</v>
      </c>
      <c r="K85" s="196"/>
      <c r="R85" s="196"/>
      <c r="Z85" s="196"/>
    </row>
    <row r="86" spans="2:35" ht="15" thickBot="1" x14ac:dyDescent="0.4">
      <c r="B86" s="2"/>
      <c r="C86" s="2"/>
      <c r="D86" s="2"/>
      <c r="E86" s="2"/>
      <c r="I86" s="2" t="s">
        <v>87</v>
      </c>
      <c r="K86" s="195">
        <v>0</v>
      </c>
      <c r="P86" s="2" t="s">
        <v>87</v>
      </c>
      <c r="R86" s="195">
        <v>0</v>
      </c>
      <c r="X86" s="2" t="s">
        <v>87</v>
      </c>
      <c r="Z86" s="195">
        <v>0</v>
      </c>
      <c r="AF86" s="2" t="s">
        <v>88</v>
      </c>
      <c r="AH86" s="197">
        <f>AH82-AH84</f>
        <v>-1995518.5634572138</v>
      </c>
    </row>
    <row r="87" spans="2:35" ht="15" thickTop="1" x14ac:dyDescent="0.35">
      <c r="B87" s="2"/>
      <c r="C87" s="2"/>
      <c r="D87" s="2"/>
      <c r="E87" s="2"/>
    </row>
    <row r="88" spans="2:35" ht="15" thickBot="1" x14ac:dyDescent="0.4">
      <c r="B88" s="2"/>
      <c r="C88" s="2"/>
      <c r="D88" s="2"/>
      <c r="E88" s="30"/>
      <c r="I88" s="2" t="s">
        <v>88</v>
      </c>
      <c r="K88" s="197">
        <f>K84-K86</f>
        <v>3620772.5615427862</v>
      </c>
      <c r="P88" s="2" t="s">
        <v>88</v>
      </c>
      <c r="R88" s="197">
        <f>R84-R86</f>
        <v>-9069403.5384572223</v>
      </c>
      <c r="X88" s="2" t="s">
        <v>88</v>
      </c>
      <c r="Z88" s="197">
        <f>Z84-Z86</f>
        <v>-5437623.5384572223</v>
      </c>
    </row>
    <row r="89" spans="2:35" ht="15" thickTop="1" x14ac:dyDescent="0.35">
      <c r="B89" s="2"/>
      <c r="C89" s="2"/>
      <c r="D89" s="2"/>
      <c r="E89" s="2"/>
      <c r="AF89" s="371" t="s">
        <v>31</v>
      </c>
      <c r="AG89" s="371"/>
    </row>
    <row r="90" spans="2:35" ht="21" customHeight="1" thickBot="1" x14ac:dyDescent="0.4">
      <c r="B90" s="2"/>
      <c r="C90" s="2"/>
      <c r="D90" s="2"/>
      <c r="E90" s="2"/>
      <c r="AG90" s="303" t="s">
        <v>33</v>
      </c>
      <c r="AH90" s="199">
        <v>-3377592.5</v>
      </c>
    </row>
    <row r="91" spans="2:35" ht="21.75" customHeight="1" x14ac:dyDescent="0.35">
      <c r="B91" s="2"/>
      <c r="C91" s="2"/>
      <c r="D91" s="2"/>
      <c r="E91" s="2"/>
      <c r="I91" s="371" t="s">
        <v>31</v>
      </c>
      <c r="J91" s="371"/>
      <c r="P91" s="371" t="s">
        <v>31</v>
      </c>
      <c r="Q91" s="371"/>
      <c r="X91" s="371" t="s">
        <v>31</v>
      </c>
      <c r="Y91" s="371"/>
      <c r="AE91" s="374" t="s">
        <v>89</v>
      </c>
      <c r="AF91" s="303" t="s">
        <v>120</v>
      </c>
      <c r="AG91" s="311" t="s">
        <v>36</v>
      </c>
      <c r="AH91" s="199">
        <v>366480.5</v>
      </c>
      <c r="AI91" s="2" t="s">
        <v>37</v>
      </c>
    </row>
    <row r="92" spans="2:35" ht="15" thickBot="1" x14ac:dyDescent="0.4">
      <c r="B92" s="2"/>
      <c r="C92" s="2"/>
      <c r="D92" s="2"/>
      <c r="E92" s="2"/>
      <c r="J92" s="303" t="s">
        <v>33</v>
      </c>
      <c r="K92" s="199">
        <f>C18</f>
        <v>-3377592.5</v>
      </c>
      <c r="Q92" s="303" t="s">
        <v>33</v>
      </c>
      <c r="R92" s="199">
        <v>-3377592.5</v>
      </c>
      <c r="Y92" s="303" t="s">
        <v>33</v>
      </c>
      <c r="Z92" s="199">
        <v>-3377592.5</v>
      </c>
      <c r="AE92" s="375"/>
      <c r="AF92" s="303" t="s">
        <v>120</v>
      </c>
      <c r="AG92" s="311" t="s">
        <v>38</v>
      </c>
      <c r="AH92" s="199">
        <v>0</v>
      </c>
      <c r="AI92" s="2" t="s">
        <v>37</v>
      </c>
    </row>
    <row r="93" spans="2:35" ht="15" thickBot="1" x14ac:dyDescent="0.4">
      <c r="B93" s="2"/>
      <c r="C93" s="2"/>
      <c r="D93" s="2"/>
      <c r="E93" s="2"/>
      <c r="H93" s="374" t="s">
        <v>89</v>
      </c>
      <c r="I93" s="303" t="s">
        <v>120</v>
      </c>
      <c r="J93" s="303" t="s">
        <v>36</v>
      </c>
      <c r="K93" s="199">
        <f t="shared" ref="K93:K96" si="8">C19</f>
        <v>-847675</v>
      </c>
      <c r="L93" s="2" t="s">
        <v>37</v>
      </c>
      <c r="O93" s="374" t="s">
        <v>89</v>
      </c>
      <c r="P93" s="303" t="s">
        <v>120</v>
      </c>
      <c r="Q93" s="303" t="s">
        <v>36</v>
      </c>
      <c r="R93" s="199">
        <v>-847675</v>
      </c>
      <c r="S93" s="2" t="s">
        <v>37</v>
      </c>
      <c r="W93" s="374" t="s">
        <v>89</v>
      </c>
      <c r="X93" s="303" t="s">
        <v>120</v>
      </c>
      <c r="Y93" s="303" t="s">
        <v>36</v>
      </c>
      <c r="Z93" s="199">
        <v>-847675</v>
      </c>
      <c r="AA93" s="2" t="s">
        <v>37</v>
      </c>
      <c r="AE93" s="376"/>
      <c r="AF93" s="303" t="s">
        <v>92</v>
      </c>
      <c r="AG93" s="311" t="s">
        <v>39</v>
      </c>
      <c r="AH93" s="199">
        <v>2373545</v>
      </c>
      <c r="AI93" s="2" t="s">
        <v>121</v>
      </c>
    </row>
    <row r="94" spans="2:35" x14ac:dyDescent="0.35">
      <c r="B94" s="2"/>
      <c r="C94" s="2"/>
      <c r="D94" s="2"/>
      <c r="E94" s="2"/>
      <c r="H94" s="375"/>
      <c r="I94" s="303" t="s">
        <v>120</v>
      </c>
      <c r="J94" s="303" t="s">
        <v>38</v>
      </c>
      <c r="K94" s="199">
        <f t="shared" si="8"/>
        <v>-1585.5</v>
      </c>
      <c r="L94" s="2" t="s">
        <v>37</v>
      </c>
      <c r="O94" s="375"/>
      <c r="P94" s="303" t="s">
        <v>120</v>
      </c>
      <c r="Q94" s="303" t="s">
        <v>38</v>
      </c>
      <c r="R94" s="199">
        <v>-1585.5</v>
      </c>
      <c r="S94" s="2" t="s">
        <v>37</v>
      </c>
      <c r="W94" s="375"/>
      <c r="X94" s="303" t="s">
        <v>120</v>
      </c>
      <c r="Y94" s="303" t="s">
        <v>38</v>
      </c>
      <c r="Z94" s="199">
        <v>-1585.5</v>
      </c>
      <c r="AA94" s="2" t="s">
        <v>37</v>
      </c>
      <c r="AF94" s="303" t="s">
        <v>171</v>
      </c>
      <c r="AG94" s="311" t="s">
        <v>103</v>
      </c>
      <c r="AH94" s="199">
        <v>1506990</v>
      </c>
    </row>
    <row r="95" spans="2:35" ht="15" thickBot="1" x14ac:dyDescent="0.4">
      <c r="B95" s="2"/>
      <c r="C95" s="2"/>
      <c r="D95" s="2"/>
      <c r="E95" s="2"/>
      <c r="H95" s="376"/>
      <c r="I95" s="303" t="s">
        <v>92</v>
      </c>
      <c r="J95" s="303" t="s">
        <v>39</v>
      </c>
      <c r="K95" s="199">
        <f t="shared" si="8"/>
        <v>5534565</v>
      </c>
      <c r="L95" s="2" t="s">
        <v>121</v>
      </c>
      <c r="O95" s="376"/>
      <c r="P95" s="303" t="s">
        <v>92</v>
      </c>
      <c r="Q95" s="303" t="s">
        <v>39</v>
      </c>
      <c r="R95" s="199">
        <v>5534565</v>
      </c>
      <c r="S95" s="2" t="s">
        <v>121</v>
      </c>
      <c r="W95" s="376"/>
      <c r="X95" s="303" t="s">
        <v>92</v>
      </c>
      <c r="Y95" s="303" t="s">
        <v>39</v>
      </c>
      <c r="Z95" s="199">
        <v>5534565</v>
      </c>
      <c r="AA95" s="2" t="s">
        <v>121</v>
      </c>
      <c r="AG95" s="311" t="s">
        <v>41</v>
      </c>
      <c r="AH95" s="200">
        <f>SUM(AH90:AH94)</f>
        <v>869423</v>
      </c>
    </row>
    <row r="96" spans="2:35" x14ac:dyDescent="0.35">
      <c r="B96" s="2"/>
      <c r="C96" s="2"/>
      <c r="D96" s="2"/>
      <c r="E96" s="2"/>
      <c r="I96" s="303" t="s">
        <v>120</v>
      </c>
      <c r="J96" s="303" t="s">
        <v>103</v>
      </c>
      <c r="K96" s="199">
        <f t="shared" si="8"/>
        <v>-471640</v>
      </c>
      <c r="P96" s="303" t="s">
        <v>120</v>
      </c>
      <c r="Q96" s="303" t="s">
        <v>103</v>
      </c>
      <c r="R96" s="199">
        <v>-471640</v>
      </c>
      <c r="X96" s="303" t="s">
        <v>120</v>
      </c>
      <c r="Y96" s="303" t="s">
        <v>103</v>
      </c>
      <c r="Z96" s="199">
        <v>-471640</v>
      </c>
    </row>
    <row r="97" spans="1:35" x14ac:dyDescent="0.35">
      <c r="B97" s="2"/>
      <c r="C97" s="2"/>
      <c r="D97" s="2"/>
      <c r="E97" s="2"/>
      <c r="J97" s="303" t="s">
        <v>41</v>
      </c>
      <c r="K97" s="200">
        <f>SUM(K92:K96)</f>
        <v>836072</v>
      </c>
      <c r="L97" s="2" t="str">
        <f>B3</f>
        <v>Date as of : 12.29.2020</v>
      </c>
      <c r="Q97" s="303" t="s">
        <v>41</v>
      </c>
      <c r="R97" s="200">
        <f>SUM(R92:R96)</f>
        <v>836072</v>
      </c>
      <c r="S97" s="2">
        <f>K2</f>
        <v>0</v>
      </c>
      <c r="Y97" s="303" t="s">
        <v>41</v>
      </c>
      <c r="Z97" s="200">
        <f>SUM(Z92:Z96)</f>
        <v>836072</v>
      </c>
      <c r="AA97" s="2">
        <f>Q3</f>
        <v>0</v>
      </c>
    </row>
    <row r="98" spans="1:35" ht="15" thickBot="1" x14ac:dyDescent="0.4">
      <c r="E98" s="194"/>
      <c r="AH98" s="235"/>
    </row>
    <row r="99" spans="1:35" ht="15" thickBot="1" x14ac:dyDescent="0.4">
      <c r="AF99" s="333" t="s">
        <v>123</v>
      </c>
      <c r="AG99" s="334"/>
    </row>
    <row r="100" spans="1:35" ht="15" thickBot="1" x14ac:dyDescent="0.4">
      <c r="R100" s="235"/>
      <c r="Z100" s="235"/>
    </row>
    <row r="101" spans="1:35" ht="15" thickBot="1" x14ac:dyDescent="0.4">
      <c r="I101" s="333" t="s">
        <v>123</v>
      </c>
      <c r="J101" s="334"/>
      <c r="P101" s="333" t="s">
        <v>123</v>
      </c>
      <c r="Q101" s="334"/>
      <c r="X101" s="333" t="s">
        <v>123</v>
      </c>
      <c r="Y101" s="334"/>
    </row>
    <row r="105" spans="1:35" x14ac:dyDescent="0.35">
      <c r="AI105"/>
    </row>
    <row r="111" spans="1:35" s="2" customFormat="1" x14ac:dyDescent="0.35">
      <c r="A111"/>
      <c r="B111"/>
      <c r="C111"/>
      <c r="D111"/>
      <c r="E111"/>
      <c r="F111" s="1"/>
      <c r="G111" s="3"/>
      <c r="H111" s="1"/>
      <c r="M111" s="1"/>
      <c r="N111" s="3"/>
      <c r="O111" s="1"/>
      <c r="T111"/>
      <c r="U111" s="1"/>
      <c r="V111" s="3"/>
      <c r="W111" s="1"/>
      <c r="AB111"/>
      <c r="AC111" s="1"/>
      <c r="AD111" s="3"/>
      <c r="AE111" s="1"/>
    </row>
    <row r="112" spans="1:35" s="2" customFormat="1" x14ac:dyDescent="0.35">
      <c r="A112"/>
      <c r="B112"/>
      <c r="C112"/>
      <c r="D112"/>
      <c r="E112"/>
      <c r="F112" s="1"/>
      <c r="G112" s="3"/>
      <c r="H112" s="1"/>
      <c r="M112" s="1"/>
      <c r="N112" s="3"/>
      <c r="O112" s="1"/>
      <c r="T112"/>
      <c r="U112" s="1"/>
      <c r="V112" s="3"/>
      <c r="W112" s="1"/>
      <c r="AB112"/>
      <c r="AC112" s="1"/>
      <c r="AD112" s="3"/>
      <c r="AE112" s="1"/>
    </row>
    <row r="113" spans="1:33" s="2" customFormat="1" ht="15" thickBot="1" x14ac:dyDescent="0.4">
      <c r="A113"/>
      <c r="B113"/>
      <c r="C113"/>
      <c r="D113"/>
      <c r="E113"/>
      <c r="F113" s="1"/>
      <c r="G113" s="3"/>
      <c r="H113" s="1"/>
      <c r="M113" s="1"/>
      <c r="N113" s="3"/>
      <c r="O113" s="1"/>
      <c r="U113" s="1"/>
      <c r="V113" s="3"/>
      <c r="W113" s="1"/>
      <c r="AC113" s="1"/>
      <c r="AD113" s="3"/>
      <c r="AE113" s="1"/>
      <c r="AF113" s="2" t="s">
        <v>170</v>
      </c>
    </row>
    <row r="114" spans="1:33" s="2" customFormat="1" ht="15" thickBot="1" x14ac:dyDescent="0.4">
      <c r="B114"/>
      <c r="C114"/>
      <c r="D114"/>
      <c r="E114"/>
      <c r="F114" s="1"/>
      <c r="G114" s="3"/>
      <c r="H114" s="1"/>
      <c r="M114" s="1"/>
      <c r="N114" s="3"/>
      <c r="O114" s="1"/>
      <c r="U114" s="1"/>
      <c r="V114" s="3"/>
      <c r="W114" s="1"/>
      <c r="AC114" s="1"/>
      <c r="AD114" s="3"/>
      <c r="AE114" s="1"/>
      <c r="AF114" s="333" t="s">
        <v>36</v>
      </c>
      <c r="AG114" s="334"/>
    </row>
    <row r="115" spans="1:33" s="2" customFormat="1" ht="15" thickBot="1" x14ac:dyDescent="0.4">
      <c r="B115"/>
      <c r="C115"/>
      <c r="D115"/>
      <c r="E115"/>
      <c r="F115" s="1"/>
      <c r="G115" s="3"/>
      <c r="H115" s="1"/>
      <c r="M115" s="1"/>
      <c r="N115" s="3"/>
      <c r="O115" s="1"/>
      <c r="U115" s="1"/>
      <c r="V115" s="3"/>
      <c r="W115" s="1"/>
      <c r="AC115" s="1"/>
      <c r="AD115" s="3"/>
      <c r="AE115" s="1"/>
    </row>
    <row r="116" spans="1:33" ht="15" thickBot="1" x14ac:dyDescent="0.4">
      <c r="A116" s="2"/>
      <c r="I116" s="333" t="s">
        <v>36</v>
      </c>
      <c r="J116" s="334"/>
      <c r="P116" s="333" t="s">
        <v>36</v>
      </c>
      <c r="Q116" s="334"/>
      <c r="T116" s="2"/>
      <c r="X116" s="333" t="s">
        <v>36</v>
      </c>
      <c r="Y116" s="334"/>
      <c r="AB116" s="2"/>
    </row>
    <row r="117" spans="1:33" x14ac:dyDescent="0.35">
      <c r="A117" s="2"/>
      <c r="T117" s="2"/>
      <c r="AB117" s="2"/>
    </row>
    <row r="118" spans="1:33" x14ac:dyDescent="0.35">
      <c r="A118" s="2"/>
    </row>
    <row r="130" spans="7:33" x14ac:dyDescent="0.35">
      <c r="G130"/>
      <c r="N130"/>
      <c r="V130"/>
      <c r="AD130"/>
    </row>
    <row r="131" spans="7:33" x14ac:dyDescent="0.35">
      <c r="G131"/>
      <c r="N131"/>
      <c r="V131"/>
      <c r="AD131"/>
    </row>
    <row r="132" spans="7:33" x14ac:dyDescent="0.35">
      <c r="G132"/>
      <c r="N132"/>
      <c r="V132"/>
      <c r="AD132"/>
      <c r="AF132" s="2" t="s">
        <v>170</v>
      </c>
    </row>
    <row r="133" spans="7:33" ht="15" thickBot="1" x14ac:dyDescent="0.4">
      <c r="G133"/>
      <c r="N133"/>
      <c r="V133"/>
      <c r="AD133"/>
    </row>
    <row r="134" spans="7:33" ht="15" thickBot="1" x14ac:dyDescent="0.4">
      <c r="G134"/>
      <c r="N134"/>
      <c r="V134"/>
      <c r="AD134"/>
      <c r="AF134" s="333" t="s">
        <v>95</v>
      </c>
      <c r="AG134" s="334"/>
    </row>
    <row r="135" spans="7:33" ht="15" thickBot="1" x14ac:dyDescent="0.4">
      <c r="G135"/>
      <c r="N135"/>
      <c r="V135"/>
      <c r="AD135"/>
    </row>
    <row r="136" spans="7:33" ht="15" thickBot="1" x14ac:dyDescent="0.4">
      <c r="G136"/>
      <c r="I136" s="333" t="s">
        <v>95</v>
      </c>
      <c r="J136" s="334"/>
      <c r="N136"/>
      <c r="P136" s="333" t="s">
        <v>95</v>
      </c>
      <c r="Q136" s="334"/>
      <c r="V136"/>
      <c r="X136" s="333" t="s">
        <v>95</v>
      </c>
      <c r="Y136" s="334"/>
      <c r="AD136"/>
    </row>
    <row r="137" spans="7:33" x14ac:dyDescent="0.35">
      <c r="G137"/>
      <c r="N137"/>
      <c r="V137"/>
      <c r="AD137"/>
    </row>
    <row r="138" spans="7:33" x14ac:dyDescent="0.35">
      <c r="G138"/>
      <c r="N138"/>
      <c r="V138"/>
      <c r="AD138"/>
    </row>
    <row r="153" spans="1:33" x14ac:dyDescent="0.35">
      <c r="AF153" s="2" t="s">
        <v>170</v>
      </c>
    </row>
    <row r="156" spans="1:33" ht="15" thickBot="1" x14ac:dyDescent="0.4"/>
    <row r="157" spans="1:33" s="2" customFormat="1" ht="15" thickBot="1" x14ac:dyDescent="0.4">
      <c r="A157"/>
      <c r="B157"/>
      <c r="C157"/>
      <c r="D157"/>
      <c r="E157"/>
      <c r="F157" s="1"/>
      <c r="G157" s="3"/>
      <c r="H157" s="1"/>
      <c r="M157" s="1"/>
      <c r="N157" s="3"/>
      <c r="O157" s="1"/>
      <c r="T157"/>
      <c r="U157" s="1"/>
      <c r="V157" s="3"/>
      <c r="W157" s="1"/>
      <c r="AB157"/>
      <c r="AC157" s="1"/>
      <c r="AD157" s="3"/>
      <c r="AE157" s="1"/>
      <c r="AF157" s="333" t="s">
        <v>94</v>
      </c>
      <c r="AG157" s="334"/>
    </row>
    <row r="158" spans="1:33" s="2" customFormat="1" ht="15" thickBot="1" x14ac:dyDescent="0.4">
      <c r="A158"/>
      <c r="B158"/>
      <c r="C158"/>
      <c r="D158"/>
      <c r="E158"/>
      <c r="F158" s="1"/>
      <c r="G158" s="3"/>
      <c r="H158" s="1"/>
      <c r="M158" s="1"/>
      <c r="N158" s="3"/>
      <c r="O158" s="1"/>
      <c r="T158"/>
      <c r="U158" s="1"/>
      <c r="V158" s="3"/>
      <c r="W158" s="1"/>
      <c r="AB158"/>
      <c r="AC158" s="1"/>
      <c r="AD158" s="3"/>
      <c r="AE158" s="1"/>
    </row>
    <row r="159" spans="1:33" ht="15" thickBot="1" x14ac:dyDescent="0.4">
      <c r="I159" s="333" t="s">
        <v>94</v>
      </c>
      <c r="J159" s="334"/>
      <c r="P159" s="333" t="s">
        <v>94</v>
      </c>
      <c r="Q159" s="334"/>
      <c r="T159" s="2"/>
      <c r="X159" s="333" t="s">
        <v>94</v>
      </c>
      <c r="Y159" s="334"/>
      <c r="AB159" s="2"/>
    </row>
    <row r="160" spans="1:33" x14ac:dyDescent="0.35">
      <c r="A160" s="2"/>
      <c r="T160" s="2"/>
      <c r="AB160" s="2"/>
    </row>
    <row r="161" spans="1:1" x14ac:dyDescent="0.35">
      <c r="A161" s="2"/>
    </row>
    <row r="188" spans="9:33" ht="15" thickBot="1" x14ac:dyDescent="0.4">
      <c r="AF188" s="2" t="s">
        <v>170</v>
      </c>
    </row>
    <row r="189" spans="9:33" ht="15" thickBot="1" x14ac:dyDescent="0.4">
      <c r="AF189" s="333" t="s">
        <v>103</v>
      </c>
      <c r="AG189" s="334"/>
    </row>
    <row r="190" spans="9:33" ht="15" thickBot="1" x14ac:dyDescent="0.4"/>
    <row r="191" spans="9:33" ht="15" thickBot="1" x14ac:dyDescent="0.4">
      <c r="I191" s="333" t="s">
        <v>103</v>
      </c>
      <c r="J191" s="334"/>
      <c r="P191" s="333" t="s">
        <v>103</v>
      </c>
      <c r="Q191" s="334"/>
      <c r="X191" s="333" t="s">
        <v>103</v>
      </c>
      <c r="Y191" s="334"/>
    </row>
    <row r="205" spans="1:35" s="1" customFormat="1" x14ac:dyDescent="0.35">
      <c r="A205"/>
      <c r="B205"/>
      <c r="C205"/>
      <c r="D205"/>
      <c r="E205"/>
      <c r="G205" s="3"/>
      <c r="I205" s="2"/>
      <c r="J205" s="2"/>
      <c r="K205" s="2"/>
      <c r="L205" s="2"/>
      <c r="N205" s="3"/>
      <c r="P205" s="2"/>
      <c r="Q205" s="2"/>
      <c r="R205" s="2"/>
      <c r="S205" s="2"/>
      <c r="T205"/>
      <c r="V205" s="3"/>
      <c r="X205" s="2"/>
      <c r="Y205" s="2"/>
      <c r="Z205" s="2"/>
      <c r="AA205" s="2"/>
      <c r="AB205"/>
      <c r="AD205" s="3"/>
      <c r="AF205" s="2"/>
      <c r="AG205" s="2"/>
      <c r="AH205" s="2"/>
      <c r="AI205" s="2"/>
    </row>
    <row r="206" spans="1:35" s="1" customFormat="1" x14ac:dyDescent="0.35">
      <c r="A206"/>
      <c r="B206"/>
      <c r="C206"/>
      <c r="D206"/>
      <c r="E206"/>
      <c r="G206" s="3"/>
      <c r="I206" s="2"/>
      <c r="J206" s="2"/>
      <c r="K206" s="2"/>
      <c r="L206" s="2"/>
      <c r="N206" s="3"/>
      <c r="P206" s="2"/>
      <c r="Q206" s="2"/>
      <c r="R206" s="2"/>
      <c r="S206" s="2"/>
      <c r="T206"/>
      <c r="V206" s="3"/>
      <c r="X206" s="2"/>
      <c r="Y206" s="2"/>
      <c r="Z206" s="2"/>
      <c r="AA206" s="2"/>
      <c r="AB206"/>
      <c r="AD206" s="3"/>
      <c r="AF206" s="2"/>
      <c r="AG206" s="2"/>
      <c r="AH206" s="2"/>
      <c r="AI206" s="2"/>
    </row>
    <row r="207" spans="1:35" x14ac:dyDescent="0.35">
      <c r="A207" s="1"/>
      <c r="T207" s="1"/>
      <c r="AB207" s="1"/>
    </row>
    <row r="208" spans="1:35" x14ac:dyDescent="0.35">
      <c r="A208" s="1"/>
      <c r="T208" s="1"/>
      <c r="AB208" s="1"/>
    </row>
    <row r="218" spans="32:32" x14ac:dyDescent="0.35">
      <c r="AF218" s="2" t="s">
        <v>170</v>
      </c>
    </row>
    <row r="228" spans="1:35" x14ac:dyDescent="0.35">
      <c r="F228"/>
      <c r="M228"/>
      <c r="U228"/>
      <c r="AC228"/>
    </row>
    <row r="229" spans="1:35" s="3" customFormat="1" x14ac:dyDescent="0.35">
      <c r="A229"/>
      <c r="B229"/>
      <c r="C229"/>
      <c r="D229"/>
      <c r="E229"/>
      <c r="F229" s="1"/>
      <c r="H229" s="1"/>
      <c r="I229" s="2"/>
      <c r="J229" s="2"/>
      <c r="K229" s="2"/>
      <c r="L229" s="2"/>
      <c r="M229" s="1"/>
      <c r="O229" s="1"/>
      <c r="P229" s="2"/>
      <c r="Q229" s="2"/>
      <c r="R229" s="2"/>
      <c r="S229" s="2"/>
      <c r="T229"/>
      <c r="U229" s="1"/>
      <c r="W229" s="1"/>
      <c r="X229" s="2"/>
      <c r="Y229" s="2"/>
      <c r="Z229" s="2"/>
      <c r="AA229" s="2"/>
      <c r="AB229"/>
      <c r="AC229" s="1"/>
      <c r="AE229" s="1"/>
      <c r="AF229" s="2"/>
      <c r="AG229" s="2"/>
      <c r="AH229" s="2"/>
      <c r="AI229" s="2"/>
    </row>
    <row r="231" spans="1:35" x14ac:dyDescent="0.35">
      <c r="A231" s="3"/>
      <c r="T231" s="3"/>
      <c r="AB231" s="3"/>
    </row>
    <row r="252" spans="6:35" ht="15" customHeight="1" thickBot="1" x14ac:dyDescent="0.4"/>
    <row r="253" spans="6:35" ht="15" customHeight="1" thickBot="1" x14ac:dyDescent="0.4">
      <c r="AE253" s="206"/>
      <c r="AF253" s="206"/>
      <c r="AG253" s="206"/>
      <c r="AH253" s="206"/>
      <c r="AI253" s="206"/>
    </row>
    <row r="254" spans="6:35" ht="15.75" customHeight="1" thickBot="1" x14ac:dyDescent="0.4">
      <c r="F254" s="206"/>
      <c r="G254" s="206"/>
      <c r="M254" s="206"/>
      <c r="N254" s="206"/>
      <c r="U254" s="206"/>
      <c r="V254" s="206"/>
      <c r="AC254" s="206"/>
      <c r="AD254" s="206"/>
      <c r="AE254" s="209"/>
      <c r="AF254" s="209"/>
      <c r="AG254" s="209"/>
      <c r="AH254" s="209"/>
      <c r="AI254" s="209"/>
    </row>
    <row r="255" spans="6:35" ht="26.5" thickBot="1" x14ac:dyDescent="0.4">
      <c r="F255" s="209"/>
      <c r="G255" s="209"/>
      <c r="H255" s="206"/>
      <c r="I255" s="206"/>
      <c r="J255" s="206"/>
      <c r="K255" s="206"/>
      <c r="L255" s="206"/>
      <c r="M255" s="209"/>
      <c r="N255" s="209"/>
      <c r="O255" s="206"/>
      <c r="P255" s="206"/>
      <c r="Q255" s="206"/>
      <c r="R255" s="206"/>
      <c r="S255" s="206"/>
      <c r="U255" s="209"/>
      <c r="V255" s="209"/>
      <c r="W255" s="206"/>
      <c r="X255" s="206"/>
      <c r="Y255" s="206"/>
      <c r="Z255" s="206"/>
      <c r="AA255" s="206"/>
      <c r="AC255" s="209"/>
      <c r="AD255" s="209"/>
      <c r="AE255" s="212"/>
      <c r="AF255" s="212"/>
      <c r="AG255" s="212"/>
      <c r="AH255" s="212"/>
      <c r="AI255" s="212"/>
    </row>
    <row r="256" spans="6:35" ht="26.5" thickBot="1" x14ac:dyDescent="0.4">
      <c r="F256" s="212"/>
      <c r="G256" s="212"/>
      <c r="H256" s="209"/>
      <c r="I256" s="209"/>
      <c r="J256" s="209"/>
      <c r="K256" s="209"/>
      <c r="L256" s="209"/>
      <c r="M256" s="212"/>
      <c r="N256" s="212"/>
      <c r="O256" s="209"/>
      <c r="P256" s="209"/>
      <c r="Q256" s="209"/>
      <c r="R256" s="209"/>
      <c r="S256" s="209"/>
      <c r="U256" s="212"/>
      <c r="V256" s="212"/>
      <c r="W256" s="209"/>
      <c r="X256" s="209"/>
      <c r="Y256" s="209"/>
      <c r="Z256" s="209"/>
      <c r="AA256" s="209"/>
      <c r="AC256" s="212"/>
      <c r="AD256" s="212"/>
    </row>
    <row r="257" spans="2:27" ht="26.5" thickBot="1" x14ac:dyDescent="0.4">
      <c r="H257" s="212"/>
      <c r="I257" s="212"/>
      <c r="J257" s="212"/>
      <c r="K257" s="212"/>
      <c r="L257" s="212"/>
      <c r="O257" s="212"/>
      <c r="P257" s="212"/>
      <c r="Q257" s="212"/>
      <c r="R257" s="212"/>
      <c r="S257" s="212"/>
      <c r="W257" s="212"/>
      <c r="X257" s="212"/>
      <c r="Y257" s="212"/>
      <c r="Z257" s="212"/>
      <c r="AA257" s="212"/>
    </row>
    <row r="262" spans="2:27" ht="15" thickBot="1" x14ac:dyDescent="0.4"/>
    <row r="263" spans="2:27" ht="52" x14ac:dyDescent="0.35">
      <c r="B263" s="205" t="s">
        <v>96</v>
      </c>
      <c r="C263" s="206"/>
      <c r="D263" s="206"/>
      <c r="E263" s="206"/>
    </row>
    <row r="264" spans="2:27" ht="26" x14ac:dyDescent="0.35">
      <c r="B264" s="208"/>
      <c r="C264" s="209"/>
      <c r="D264" s="209"/>
      <c r="E264" s="209"/>
    </row>
    <row r="265" spans="2:27" ht="26.5" thickBot="1" x14ac:dyDescent="0.4">
      <c r="B265" s="211"/>
      <c r="C265" s="212"/>
      <c r="D265" s="212"/>
      <c r="E265" s="212"/>
    </row>
    <row r="311" spans="6:35" ht="15" customHeight="1" thickBot="1" x14ac:dyDescent="0.4"/>
    <row r="312" spans="6:35" ht="15" customHeight="1" thickBot="1" x14ac:dyDescent="0.4">
      <c r="AE312" s="206"/>
      <c r="AF312" s="206"/>
      <c r="AG312" s="206"/>
      <c r="AH312" s="206"/>
      <c r="AI312" s="206"/>
    </row>
    <row r="313" spans="6:35" ht="15.75" customHeight="1" thickBot="1" x14ac:dyDescent="0.4">
      <c r="F313" s="206"/>
      <c r="G313" s="206"/>
      <c r="M313" s="206"/>
      <c r="N313" s="206"/>
      <c r="U313" s="206"/>
      <c r="V313" s="206"/>
      <c r="AC313" s="206"/>
      <c r="AD313" s="206"/>
      <c r="AE313" s="209"/>
      <c r="AF313" s="209"/>
      <c r="AG313" s="209"/>
      <c r="AH313" s="209"/>
      <c r="AI313" s="209"/>
    </row>
    <row r="314" spans="6:35" ht="26.5" thickBot="1" x14ac:dyDescent="0.4">
      <c r="F314" s="209"/>
      <c r="G314" s="209"/>
      <c r="H314" s="206"/>
      <c r="I314" s="206"/>
      <c r="J314" s="206"/>
      <c r="K314" s="206"/>
      <c r="L314" s="206"/>
      <c r="M314" s="209"/>
      <c r="N314" s="209"/>
      <c r="O314" s="206"/>
      <c r="P314" s="206"/>
      <c r="Q314" s="206"/>
      <c r="R314" s="206"/>
      <c r="S314" s="206"/>
      <c r="U314" s="209"/>
      <c r="V314" s="209"/>
      <c r="W314" s="206"/>
      <c r="X314" s="206"/>
      <c r="Y314" s="206"/>
      <c r="Z314" s="206"/>
      <c r="AA314" s="206"/>
      <c r="AC314" s="209"/>
      <c r="AD314" s="209"/>
      <c r="AE314" s="212"/>
      <c r="AF314" s="212"/>
      <c r="AG314" s="212"/>
      <c r="AH314" s="212"/>
      <c r="AI314" s="212"/>
    </row>
    <row r="315" spans="6:35" ht="26.5" thickBot="1" x14ac:dyDescent="0.4">
      <c r="F315" s="212"/>
      <c r="G315" s="212"/>
      <c r="H315" s="209"/>
      <c r="I315" s="209"/>
      <c r="J315" s="209"/>
      <c r="K315" s="209"/>
      <c r="L315" s="209"/>
      <c r="M315" s="212"/>
      <c r="N315" s="212"/>
      <c r="O315" s="209"/>
      <c r="P315" s="209"/>
      <c r="Q315" s="209"/>
      <c r="R315" s="209"/>
      <c r="S315" s="209"/>
      <c r="U315" s="212"/>
      <c r="V315" s="212"/>
      <c r="W315" s="209"/>
      <c r="X315" s="209"/>
      <c r="Y315" s="209"/>
      <c r="Z315" s="209"/>
      <c r="AA315" s="209"/>
      <c r="AC315" s="212"/>
      <c r="AD315" s="212"/>
    </row>
    <row r="316" spans="6:35" ht="26.5" thickBot="1" x14ac:dyDescent="0.4">
      <c r="H316" s="212"/>
      <c r="I316" s="212"/>
      <c r="J316" s="212"/>
      <c r="K316" s="212"/>
      <c r="L316" s="212"/>
      <c r="O316" s="212"/>
      <c r="P316" s="212"/>
      <c r="Q316" s="212"/>
      <c r="R316" s="212"/>
      <c r="S316" s="212"/>
      <c r="W316" s="212"/>
      <c r="X316" s="212"/>
      <c r="Y316" s="212"/>
      <c r="Z316" s="212"/>
      <c r="AA316" s="212"/>
      <c r="AE316" s="1" t="s">
        <v>102</v>
      </c>
    </row>
    <row r="318" spans="6:35" x14ac:dyDescent="0.35">
      <c r="H318" s="1" t="s">
        <v>102</v>
      </c>
      <c r="O318" s="1" t="s">
        <v>102</v>
      </c>
      <c r="W318" s="1" t="s">
        <v>102</v>
      </c>
    </row>
    <row r="321" spans="2:35" ht="15" thickBot="1" x14ac:dyDescent="0.4"/>
    <row r="322" spans="2:35" ht="26" x14ac:dyDescent="0.35">
      <c r="B322" s="205" t="s">
        <v>25</v>
      </c>
      <c r="C322" s="206"/>
      <c r="D322" s="206"/>
      <c r="E322" s="206"/>
    </row>
    <row r="323" spans="2:35" ht="26" x14ac:dyDescent="0.35">
      <c r="B323" s="208"/>
      <c r="C323" s="209"/>
      <c r="D323" s="209"/>
      <c r="E323" s="209"/>
    </row>
    <row r="324" spans="2:35" ht="26.5" thickBot="1" x14ac:dyDescent="0.4">
      <c r="B324" s="211"/>
      <c r="C324" s="212"/>
      <c r="D324" s="212"/>
      <c r="E324" s="212"/>
    </row>
    <row r="328" spans="2:35" ht="15" customHeight="1" thickBot="1" x14ac:dyDescent="0.4"/>
    <row r="329" spans="2:35" ht="15" customHeight="1" thickBot="1" x14ac:dyDescent="0.4">
      <c r="AE329" s="206"/>
      <c r="AF329" s="206"/>
      <c r="AG329" s="206"/>
      <c r="AH329" s="206"/>
      <c r="AI329" s="206"/>
    </row>
    <row r="330" spans="2:35" ht="15.75" customHeight="1" thickBot="1" x14ac:dyDescent="0.4">
      <c r="F330" s="206"/>
      <c r="G330" s="206"/>
      <c r="M330" s="206"/>
      <c r="N330" s="206"/>
      <c r="U330" s="206"/>
      <c r="V330" s="206"/>
      <c r="AC330" s="206"/>
      <c r="AD330" s="206"/>
      <c r="AE330" s="209"/>
      <c r="AF330" s="209"/>
      <c r="AG330" s="209"/>
      <c r="AH330" s="209"/>
      <c r="AI330" s="209"/>
    </row>
    <row r="331" spans="2:35" ht="26.5" thickBot="1" x14ac:dyDescent="0.4">
      <c r="F331" s="209"/>
      <c r="G331" s="209"/>
      <c r="H331" s="206"/>
      <c r="I331" s="206"/>
      <c r="J331" s="206"/>
      <c r="K331" s="206"/>
      <c r="L331" s="206"/>
      <c r="M331" s="209"/>
      <c r="N331" s="209"/>
      <c r="O331" s="206"/>
      <c r="P331" s="206"/>
      <c r="Q331" s="206"/>
      <c r="R331" s="206"/>
      <c r="S331" s="206"/>
      <c r="U331" s="209"/>
      <c r="V331" s="209"/>
      <c r="W331" s="206"/>
      <c r="X331" s="206"/>
      <c r="Y331" s="206"/>
      <c r="Z331" s="206"/>
      <c r="AA331" s="206"/>
      <c r="AC331" s="209"/>
      <c r="AD331" s="209"/>
      <c r="AE331" s="212"/>
      <c r="AF331" s="212"/>
      <c r="AG331" s="212"/>
      <c r="AH331" s="212"/>
      <c r="AI331" s="212"/>
    </row>
    <row r="332" spans="2:35" ht="26.5" thickBot="1" x14ac:dyDescent="0.4">
      <c r="F332" s="212"/>
      <c r="G332" s="212"/>
      <c r="H332" s="209"/>
      <c r="I332" s="209"/>
      <c r="J332" s="209"/>
      <c r="K332" s="209"/>
      <c r="L332" s="209"/>
      <c r="M332" s="212"/>
      <c r="N332" s="212"/>
      <c r="O332" s="209"/>
      <c r="P332" s="209"/>
      <c r="Q332" s="209"/>
      <c r="R332" s="209"/>
      <c r="S332" s="209"/>
      <c r="U332" s="212"/>
      <c r="V332" s="212"/>
      <c r="W332" s="209"/>
      <c r="X332" s="209"/>
      <c r="Y332" s="209"/>
      <c r="Z332" s="209"/>
      <c r="AA332" s="209"/>
      <c r="AC332" s="212"/>
      <c r="AD332" s="212"/>
    </row>
    <row r="333" spans="2:35" ht="26.5" thickBot="1" x14ac:dyDescent="0.4">
      <c r="H333" s="212"/>
      <c r="I333" s="212"/>
      <c r="J333" s="212"/>
      <c r="K333" s="212"/>
      <c r="L333" s="212"/>
      <c r="O333" s="212"/>
      <c r="P333" s="212"/>
      <c r="Q333" s="212"/>
      <c r="R333" s="212"/>
      <c r="S333" s="212"/>
      <c r="W333" s="212"/>
      <c r="X333" s="212"/>
      <c r="Y333" s="212"/>
      <c r="Z333" s="212"/>
      <c r="AA333" s="212"/>
    </row>
    <row r="338" spans="2:5" ht="15" thickBot="1" x14ac:dyDescent="0.4"/>
    <row r="339" spans="2:5" ht="78" x14ac:dyDescent="0.35">
      <c r="B339" s="205" t="s">
        <v>97</v>
      </c>
      <c r="C339" s="206"/>
      <c r="D339" s="206"/>
      <c r="E339" s="206"/>
    </row>
    <row r="340" spans="2:5" ht="26" x14ac:dyDescent="0.35">
      <c r="B340" s="208"/>
      <c r="C340" s="209"/>
      <c r="D340" s="209"/>
      <c r="E340" s="209"/>
    </row>
    <row r="341" spans="2:5" ht="26.5" thickBot="1" x14ac:dyDescent="0.4">
      <c r="B341" s="211"/>
      <c r="C341" s="212"/>
      <c r="D341" s="212"/>
      <c r="E341" s="212"/>
    </row>
    <row r="377" spans="8:35" x14ac:dyDescent="0.35">
      <c r="AE377"/>
      <c r="AF377"/>
      <c r="AG377"/>
      <c r="AH377"/>
      <c r="AI377"/>
    </row>
    <row r="378" spans="8:35" x14ac:dyDescent="0.35">
      <c r="AE378"/>
      <c r="AF378"/>
      <c r="AG378"/>
      <c r="AH378"/>
      <c r="AI378"/>
    </row>
    <row r="379" spans="8:35" x14ac:dyDescent="0.35">
      <c r="H379"/>
      <c r="I379"/>
      <c r="J379"/>
      <c r="K379"/>
      <c r="L379"/>
      <c r="O379"/>
      <c r="P379"/>
      <c r="Q379"/>
      <c r="R379"/>
      <c r="S379"/>
      <c r="W379"/>
      <c r="X379"/>
      <c r="Y379"/>
      <c r="Z379"/>
      <c r="AA379"/>
    </row>
    <row r="380" spans="8:35" x14ac:dyDescent="0.35">
      <c r="H380"/>
      <c r="I380"/>
      <c r="J380"/>
      <c r="K380"/>
      <c r="L380"/>
      <c r="O380"/>
      <c r="P380"/>
      <c r="Q380"/>
      <c r="R380"/>
      <c r="S380"/>
      <c r="W380"/>
      <c r="X380"/>
      <c r="Y380"/>
      <c r="Z380"/>
      <c r="AA380"/>
    </row>
    <row r="386" spans="3:5" ht="15" thickBot="1" x14ac:dyDescent="0.4"/>
    <row r="387" spans="3:5" x14ac:dyDescent="0.35">
      <c r="C387" s="425" t="s">
        <v>98</v>
      </c>
      <c r="D387" s="426"/>
      <c r="E387" s="427"/>
    </row>
    <row r="388" spans="3:5" ht="15" thickBot="1" x14ac:dyDescent="0.4">
      <c r="C388" s="428"/>
      <c r="D388" s="429"/>
      <c r="E388" s="430"/>
    </row>
  </sheetData>
  <mergeCells count="77">
    <mergeCell ref="C387:E388"/>
    <mergeCell ref="AF157:AG157"/>
    <mergeCell ref="I159:J159"/>
    <mergeCell ref="P159:Q159"/>
    <mergeCell ref="X159:Y159"/>
    <mergeCell ref="AF189:AG189"/>
    <mergeCell ref="I191:J191"/>
    <mergeCell ref="P191:Q191"/>
    <mergeCell ref="X191:Y191"/>
    <mergeCell ref="AF114:AG114"/>
    <mergeCell ref="I116:J116"/>
    <mergeCell ref="P116:Q116"/>
    <mergeCell ref="X116:Y116"/>
    <mergeCell ref="AF134:AG134"/>
    <mergeCell ref="I136:J136"/>
    <mergeCell ref="P136:Q136"/>
    <mergeCell ref="X136:Y136"/>
    <mergeCell ref="H93:H95"/>
    <mergeCell ref="O93:O95"/>
    <mergeCell ref="W93:W95"/>
    <mergeCell ref="AF99:AG99"/>
    <mergeCell ref="I101:J101"/>
    <mergeCell ref="P101:Q101"/>
    <mergeCell ref="X101:Y101"/>
    <mergeCell ref="I64:L64"/>
    <mergeCell ref="P64:S64"/>
    <mergeCell ref="X64:AA64"/>
    <mergeCell ref="AF89:AG89"/>
    <mergeCell ref="I91:J91"/>
    <mergeCell ref="P91:Q91"/>
    <mergeCell ref="X91:Y91"/>
    <mergeCell ref="AE91:AE93"/>
    <mergeCell ref="AF62:AI62"/>
    <mergeCell ref="W34:W39"/>
    <mergeCell ref="AE34:AE39"/>
    <mergeCell ref="B35:E37"/>
    <mergeCell ref="H41:H45"/>
    <mergeCell ref="O41:O45"/>
    <mergeCell ref="W41:W45"/>
    <mergeCell ref="AE41:AE45"/>
    <mergeCell ref="C46:D46"/>
    <mergeCell ref="H47:H49"/>
    <mergeCell ref="O47:O49"/>
    <mergeCell ref="W47:W49"/>
    <mergeCell ref="AE47:AE49"/>
    <mergeCell ref="B25:E25"/>
    <mergeCell ref="B26:E26"/>
    <mergeCell ref="H26:H32"/>
    <mergeCell ref="O26:O32"/>
    <mergeCell ref="W26:W32"/>
    <mergeCell ref="AE26:AE32"/>
    <mergeCell ref="B27:E27"/>
    <mergeCell ref="B32:E34"/>
    <mergeCell ref="H34:H39"/>
    <mergeCell ref="O34:O39"/>
    <mergeCell ref="AE18:AE24"/>
    <mergeCell ref="B24:E24"/>
    <mergeCell ref="B12:E12"/>
    <mergeCell ref="C14:E14"/>
    <mergeCell ref="I14:J14"/>
    <mergeCell ref="P14:Q14"/>
    <mergeCell ref="X14:Y14"/>
    <mergeCell ref="D15:E15"/>
    <mergeCell ref="B17:E17"/>
    <mergeCell ref="H18:H24"/>
    <mergeCell ref="O18:O24"/>
    <mergeCell ref="W18:W24"/>
    <mergeCell ref="AF14:AG14"/>
    <mergeCell ref="C1:C2"/>
    <mergeCell ref="P1:S2"/>
    <mergeCell ref="X1:AA2"/>
    <mergeCell ref="AF1:AI2"/>
    <mergeCell ref="I2:L3"/>
    <mergeCell ref="B3:E5"/>
    <mergeCell ref="P3:S3"/>
    <mergeCell ref="X3:AA3"/>
    <mergeCell ref="AF3:AI3"/>
  </mergeCells>
  <pageMargins left="0.7" right="0.7" top="0.75" bottom="0.75" header="0.3" footer="0.3"/>
  <pageSetup scale="64" orientation="portrait" r:id="rId1"/>
  <rowBreaks count="1" manualBreakCount="1">
    <brk id="59" max="16383" man="1"/>
  </rowBreaks>
  <colBreaks count="1" manualBreakCount="1">
    <brk id="7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99667-8B48-4CF0-B5C0-CD3FDE3B818D}">
  <dimension ref="A1:AL388"/>
  <sheetViews>
    <sheetView topLeftCell="A49" zoomScale="90" zoomScaleNormal="90" workbookViewId="0">
      <selection activeCell="E50" sqref="E50"/>
    </sheetView>
  </sheetViews>
  <sheetFormatPr defaultRowHeight="14.5" x14ac:dyDescent="0.35"/>
  <cols>
    <col min="1" max="1" width="3.26953125" customWidth="1"/>
    <col min="2" max="2" width="21.54296875" bestFit="1" customWidth="1"/>
    <col min="3" max="3" width="13" bestFit="1" customWidth="1"/>
    <col min="4" max="4" width="19.1796875" customWidth="1"/>
    <col min="5" max="5" width="22.7265625" bestFit="1" customWidth="1"/>
    <col min="6" max="6" width="3.453125" style="1" customWidth="1"/>
    <col min="7" max="7" width="3.453125" style="3" hidden="1" customWidth="1"/>
    <col min="8" max="8" width="29.81640625" style="1" hidden="1" customWidth="1"/>
    <col min="9" max="9" width="39.453125" style="2" hidden="1" customWidth="1"/>
    <col min="10" max="10" width="15.54296875" style="2" hidden="1" customWidth="1"/>
    <col min="11" max="11" width="26.81640625" style="2" hidden="1" customWidth="1"/>
    <col min="12" max="12" width="28.26953125" style="2" hidden="1" customWidth="1"/>
    <col min="13" max="13" width="3.453125" style="1" hidden="1" customWidth="1"/>
    <col min="14" max="14" width="3.453125" style="3" hidden="1" customWidth="1"/>
    <col min="15" max="15" width="29.81640625" style="1" hidden="1" customWidth="1"/>
    <col min="16" max="16" width="39.453125" style="2" hidden="1" customWidth="1"/>
    <col min="17" max="17" width="15.54296875" style="2" hidden="1" customWidth="1"/>
    <col min="18" max="18" width="26.81640625" style="2" hidden="1" customWidth="1"/>
    <col min="19" max="19" width="28.26953125" style="2" hidden="1" customWidth="1"/>
    <col min="20" max="20" width="9.1796875" hidden="1" customWidth="1"/>
    <col min="21" max="21" width="3.453125" style="1" hidden="1" customWidth="1"/>
    <col min="22" max="22" width="3.453125" style="3" hidden="1" customWidth="1"/>
    <col min="23" max="23" width="29.81640625" style="1" hidden="1" customWidth="1"/>
    <col min="24" max="24" width="39.453125" style="2" hidden="1" customWidth="1"/>
    <col min="25" max="25" width="15.54296875" style="2" hidden="1" customWidth="1"/>
    <col min="26" max="26" width="26.81640625" style="2" hidden="1" customWidth="1"/>
    <col min="27" max="27" width="28.26953125" style="2" hidden="1" customWidth="1"/>
    <col min="28" max="28" width="9.1796875" hidden="1" customWidth="1"/>
    <col min="29" max="29" width="3.453125" style="1" hidden="1" customWidth="1"/>
    <col min="30" max="30" width="3.453125" style="3" customWidth="1"/>
    <col min="31" max="31" width="29.81640625" style="1" bestFit="1" customWidth="1"/>
    <col min="32" max="32" width="39.453125" style="2" customWidth="1"/>
    <col min="33" max="33" width="15.54296875" style="2" customWidth="1"/>
    <col min="34" max="34" width="26.81640625" style="2" customWidth="1"/>
    <col min="35" max="35" width="28.26953125" style="2" bestFit="1" customWidth="1"/>
    <col min="36" max="47" width="9.1796875" customWidth="1"/>
  </cols>
  <sheetData>
    <row r="1" spans="2:38" ht="15" thickBot="1" x14ac:dyDescent="0.4">
      <c r="C1" s="414">
        <v>2020</v>
      </c>
      <c r="P1" s="439" t="s">
        <v>144</v>
      </c>
      <c r="Q1" s="440"/>
      <c r="R1" s="440"/>
      <c r="S1" s="441"/>
      <c r="X1" s="445" t="s">
        <v>143</v>
      </c>
      <c r="Y1" s="446"/>
      <c r="Z1" s="446"/>
      <c r="AA1" s="447"/>
      <c r="AF1" s="451" t="s">
        <v>147</v>
      </c>
      <c r="AG1" s="452"/>
      <c r="AH1" s="452"/>
      <c r="AI1" s="453"/>
    </row>
    <row r="2" spans="2:38" ht="15.75" customHeight="1" thickBot="1" x14ac:dyDescent="0.4">
      <c r="C2" s="415"/>
      <c r="F2" s="224"/>
      <c r="H2"/>
      <c r="I2" s="416" t="s">
        <v>5</v>
      </c>
      <c r="J2" s="417"/>
      <c r="K2" s="417"/>
      <c r="L2" s="418"/>
      <c r="M2" s="224"/>
      <c r="O2"/>
      <c r="P2" s="442"/>
      <c r="Q2" s="443"/>
      <c r="R2" s="443"/>
      <c r="S2" s="444"/>
      <c r="U2" s="224"/>
      <c r="W2"/>
      <c r="X2" s="448"/>
      <c r="Y2" s="449"/>
      <c r="Z2" s="449"/>
      <c r="AA2" s="450"/>
      <c r="AC2" s="224"/>
      <c r="AE2"/>
      <c r="AF2" s="454"/>
      <c r="AG2" s="455"/>
      <c r="AH2" s="455"/>
      <c r="AI2" s="456"/>
    </row>
    <row r="3" spans="2:38" ht="15" customHeight="1" thickBot="1" x14ac:dyDescent="0.4">
      <c r="B3" s="399" t="s">
        <v>163</v>
      </c>
      <c r="C3" s="400"/>
      <c r="D3" s="400"/>
      <c r="E3" s="401"/>
      <c r="F3" s="224"/>
      <c r="H3"/>
      <c r="I3" s="419"/>
      <c r="J3" s="420"/>
      <c r="K3" s="420"/>
      <c r="L3" s="421"/>
      <c r="M3" s="224"/>
      <c r="O3"/>
      <c r="P3" s="368" t="s">
        <v>5</v>
      </c>
      <c r="Q3" s="369"/>
      <c r="R3" s="369"/>
      <c r="S3" s="370"/>
      <c r="U3" s="224"/>
      <c r="W3"/>
      <c r="X3" s="368" t="s">
        <v>5</v>
      </c>
      <c r="Y3" s="369"/>
      <c r="Z3" s="369"/>
      <c r="AA3" s="370"/>
      <c r="AC3" s="224"/>
      <c r="AE3"/>
      <c r="AF3" s="368" t="s">
        <v>5</v>
      </c>
      <c r="AG3" s="369"/>
      <c r="AH3" s="369"/>
      <c r="AI3" s="370"/>
    </row>
    <row r="4" spans="2:38" ht="15.75" customHeight="1" thickBot="1" x14ac:dyDescent="0.4">
      <c r="B4" s="402"/>
      <c r="C4" s="403"/>
      <c r="D4" s="403"/>
      <c r="E4" s="404"/>
      <c r="H4"/>
      <c r="O4"/>
      <c r="W4"/>
      <c r="AE4"/>
    </row>
    <row r="5" spans="2:38" ht="15.75" customHeight="1" thickBot="1" x14ac:dyDescent="0.4">
      <c r="B5" s="405"/>
      <c r="C5" s="406"/>
      <c r="D5" s="406"/>
      <c r="E5" s="407"/>
      <c r="H5"/>
      <c r="I5" s="7" t="s">
        <v>99</v>
      </c>
      <c r="J5" s="8"/>
      <c r="K5" s="9"/>
      <c r="L5" s="9"/>
      <c r="O5"/>
      <c r="P5" s="7" t="s">
        <v>99</v>
      </c>
      <c r="Q5" s="8"/>
      <c r="R5" s="9"/>
      <c r="S5" s="9"/>
      <c r="W5"/>
      <c r="X5" s="7" t="s">
        <v>99</v>
      </c>
      <c r="Y5" s="8"/>
      <c r="Z5" s="9"/>
      <c r="AA5" s="9"/>
      <c r="AE5"/>
      <c r="AF5" s="7" t="s">
        <v>99</v>
      </c>
      <c r="AG5" s="8"/>
      <c r="AH5" s="9"/>
      <c r="AI5" s="9"/>
    </row>
    <row r="6" spans="2:38" ht="15.75" customHeight="1" thickBot="1" x14ac:dyDescent="0.4">
      <c r="B6" s="13"/>
      <c r="C6" s="300" t="s">
        <v>11</v>
      </c>
      <c r="D6" s="15"/>
      <c r="E6" s="301"/>
      <c r="F6" s="224"/>
      <c r="H6"/>
      <c r="I6" s="17" t="s">
        <v>13</v>
      </c>
      <c r="J6" s="17" t="s">
        <v>14</v>
      </c>
      <c r="K6" s="18" t="s">
        <v>15</v>
      </c>
      <c r="O6"/>
      <c r="P6" s="17" t="s">
        <v>13</v>
      </c>
      <c r="Q6" s="17" t="s">
        <v>14</v>
      </c>
      <c r="R6" s="18" t="s">
        <v>15</v>
      </c>
      <c r="W6"/>
      <c r="X6" s="17" t="s">
        <v>13</v>
      </c>
      <c r="Y6" s="17" t="s">
        <v>14</v>
      </c>
      <c r="Z6" s="18" t="s">
        <v>15</v>
      </c>
      <c r="AE6"/>
      <c r="AF6" s="17" t="s">
        <v>13</v>
      </c>
      <c r="AG6" s="17" t="s">
        <v>14</v>
      </c>
      <c r="AH6" s="18" t="s">
        <v>15</v>
      </c>
    </row>
    <row r="7" spans="2:38" x14ac:dyDescent="0.35">
      <c r="B7" s="20" t="s">
        <v>19</v>
      </c>
      <c r="C7" s="21">
        <v>1877.6</v>
      </c>
      <c r="D7" s="252"/>
      <c r="E7" s="290"/>
      <c r="F7" s="224"/>
      <c r="H7"/>
      <c r="I7" s="24">
        <f>+I24</f>
        <v>11562.909299999999</v>
      </c>
      <c r="J7" s="25">
        <f>C7</f>
        <v>1877.6</v>
      </c>
      <c r="K7" s="26">
        <f>+I7*J7</f>
        <v>21710518.501679998</v>
      </c>
      <c r="O7"/>
      <c r="P7" s="24">
        <f>P24</f>
        <v>11562.909299999999</v>
      </c>
      <c r="Q7" s="25">
        <f>C7</f>
        <v>1877.6</v>
      </c>
      <c r="R7" s="26">
        <f>P7*Q7</f>
        <v>21710518.501679998</v>
      </c>
      <c r="W7"/>
      <c r="X7" s="24">
        <f>X24</f>
        <v>25137.909299999999</v>
      </c>
      <c r="Y7" s="25">
        <f>C7</f>
        <v>1877.6</v>
      </c>
      <c r="Z7" s="26">
        <f>X7*Y7</f>
        <v>47198938.501679994</v>
      </c>
      <c r="AE7"/>
      <c r="AF7" s="24">
        <f>AF24</f>
        <v>24562.909299999999</v>
      </c>
      <c r="AG7" s="25">
        <f>C7</f>
        <v>1877.6</v>
      </c>
      <c r="AH7" s="26">
        <f>AF7*AG7</f>
        <v>46119318.501679994</v>
      </c>
      <c r="AI7" s="190"/>
    </row>
    <row r="8" spans="2:38" x14ac:dyDescent="0.35">
      <c r="B8" s="31" t="s">
        <v>20</v>
      </c>
      <c r="C8" s="32">
        <v>26.16</v>
      </c>
      <c r="D8" s="236"/>
      <c r="E8" s="291"/>
      <c r="F8" s="224"/>
      <c r="H8"/>
      <c r="I8" s="35">
        <f>+I32</f>
        <v>3420470.0164000001</v>
      </c>
      <c r="J8" s="36">
        <f>C8</f>
        <v>26.16</v>
      </c>
      <c r="K8" s="37">
        <f>+I8*J8</f>
        <v>89479495.629023999</v>
      </c>
      <c r="O8"/>
      <c r="P8" s="35">
        <f>P32</f>
        <v>4445470.0164000001</v>
      </c>
      <c r="Q8" s="36">
        <f>C8</f>
        <v>26.16</v>
      </c>
      <c r="R8" s="37">
        <f>P8*Q8</f>
        <v>116293495.629024</v>
      </c>
      <c r="W8"/>
      <c r="X8" s="35">
        <f>X32</f>
        <v>3420470.0164000001</v>
      </c>
      <c r="Y8" s="36">
        <f>C8</f>
        <v>26.16</v>
      </c>
      <c r="Z8" s="37">
        <f>X8*Y8</f>
        <v>89479495.629023999</v>
      </c>
      <c r="AE8"/>
      <c r="AF8" s="35">
        <f>AF32</f>
        <v>3720470.0164000001</v>
      </c>
      <c r="AG8" s="36">
        <f>C8</f>
        <v>26.16</v>
      </c>
      <c r="AH8" s="37">
        <f>AF8*AG8</f>
        <v>97327495.629023999</v>
      </c>
      <c r="AI8" s="190"/>
    </row>
    <row r="9" spans="2:38" x14ac:dyDescent="0.35">
      <c r="B9" s="40" t="s">
        <v>21</v>
      </c>
      <c r="C9" s="41">
        <v>1051</v>
      </c>
      <c r="D9" s="292"/>
      <c r="E9" s="293"/>
      <c r="F9" s="224"/>
      <c r="H9"/>
      <c r="I9" s="44">
        <f>I39</f>
        <v>0</v>
      </c>
      <c r="J9" s="45">
        <f>C9</f>
        <v>1051</v>
      </c>
      <c r="K9" s="46">
        <f>+I9*J9</f>
        <v>0</v>
      </c>
      <c r="O9"/>
      <c r="P9" s="44">
        <f>P39</f>
        <v>0</v>
      </c>
      <c r="Q9" s="45">
        <f>C9</f>
        <v>1051</v>
      </c>
      <c r="R9" s="46">
        <f>P9*Q9</f>
        <v>0</v>
      </c>
      <c r="W9"/>
      <c r="X9" s="44">
        <f>X39</f>
        <v>0</v>
      </c>
      <c r="Y9" s="45">
        <f>C9</f>
        <v>1051</v>
      </c>
      <c r="Z9" s="46">
        <f>X9*Y9</f>
        <v>0</v>
      </c>
      <c r="AE9"/>
      <c r="AF9" s="44">
        <f>AF39</f>
        <v>0</v>
      </c>
      <c r="AG9" s="45">
        <f>C9</f>
        <v>1051</v>
      </c>
      <c r="AH9" s="46">
        <f>AF9*AG9</f>
        <v>0</v>
      </c>
      <c r="AI9" s="190"/>
    </row>
    <row r="10" spans="2:38" ht="14.5" customHeight="1" x14ac:dyDescent="0.35">
      <c r="B10" s="49" t="s">
        <v>22</v>
      </c>
      <c r="C10" s="50">
        <v>2366</v>
      </c>
      <c r="D10" s="294"/>
      <c r="E10" s="295"/>
      <c r="F10" s="224"/>
      <c r="H10"/>
      <c r="I10" s="53">
        <f>I45</f>
        <v>517.16899999999998</v>
      </c>
      <c r="J10" s="54">
        <f>C10</f>
        <v>2366</v>
      </c>
      <c r="K10" s="55">
        <f>+I10*J10</f>
        <v>1223621.8540000001</v>
      </c>
      <c r="O10"/>
      <c r="P10" s="53">
        <f>P45</f>
        <v>517.16899999999998</v>
      </c>
      <c r="Q10" s="54">
        <f>C10</f>
        <v>2366</v>
      </c>
      <c r="R10" s="55">
        <f>P10*Q10</f>
        <v>1223621.8540000001</v>
      </c>
      <c r="W10"/>
      <c r="X10" s="53">
        <f>X45</f>
        <v>517.16899999999998</v>
      </c>
      <c r="Y10" s="54">
        <f>C10</f>
        <v>2366</v>
      </c>
      <c r="Z10" s="55">
        <f>X10*Y10</f>
        <v>1223621.8540000001</v>
      </c>
      <c r="AE10"/>
      <c r="AF10" s="53">
        <f>AF45</f>
        <v>181.99900000000002</v>
      </c>
      <c r="AG10" s="54">
        <f>C10</f>
        <v>2366</v>
      </c>
      <c r="AH10" s="55">
        <f>AF10*AG10</f>
        <v>430609.63400000008</v>
      </c>
      <c r="AI10" s="190"/>
    </row>
    <row r="11" spans="2:38" ht="15" thickBot="1" x14ac:dyDescent="0.4">
      <c r="B11" s="296" t="s">
        <v>23</v>
      </c>
      <c r="C11" s="58">
        <v>16100</v>
      </c>
      <c r="D11" s="297"/>
      <c r="E11" s="298"/>
      <c r="F11" s="224"/>
      <c r="H11"/>
      <c r="I11" s="61">
        <v>72.561999999999998</v>
      </c>
      <c r="J11" s="62">
        <f>C11</f>
        <v>16100</v>
      </c>
      <c r="K11" s="63">
        <f>+I11*J11</f>
        <v>1168248.2</v>
      </c>
      <c r="O11"/>
      <c r="P11" s="61">
        <f>P49</f>
        <v>72.56</v>
      </c>
      <c r="Q11" s="62">
        <f>C11</f>
        <v>16100</v>
      </c>
      <c r="R11" s="63">
        <f>P11*Q11</f>
        <v>1168216</v>
      </c>
      <c r="W11"/>
      <c r="X11" s="61">
        <f>X49</f>
        <v>72.56</v>
      </c>
      <c r="Y11" s="62">
        <f>C11</f>
        <v>16100</v>
      </c>
      <c r="Z11" s="63">
        <f>X11*Y11</f>
        <v>1168216</v>
      </c>
      <c r="AE11"/>
      <c r="AF11" s="61">
        <f>AF49</f>
        <v>0</v>
      </c>
      <c r="AG11" s="62">
        <f>C11</f>
        <v>16100</v>
      </c>
      <c r="AH11" s="63">
        <f>AF11*AG11</f>
        <v>0</v>
      </c>
      <c r="AI11" s="190"/>
    </row>
    <row r="12" spans="2:38" ht="15" thickBot="1" x14ac:dyDescent="0.4">
      <c r="B12" s="405" t="s">
        <v>153</v>
      </c>
      <c r="C12" s="406"/>
      <c r="D12" s="406"/>
      <c r="E12" s="407"/>
      <c r="H12" s="65"/>
      <c r="I12" s="65"/>
      <c r="J12" s="56"/>
      <c r="K12" s="66">
        <f>SUM(K7:K11)</f>
        <v>113581884.18470401</v>
      </c>
      <c r="O12" s="65"/>
      <c r="P12" s="65"/>
      <c r="Q12" s="56"/>
      <c r="R12" s="66">
        <f>SUM(R7:R11)</f>
        <v>140395851.98470399</v>
      </c>
      <c r="W12" s="65"/>
      <c r="X12" s="65"/>
      <c r="Y12" s="56"/>
      <c r="Z12" s="66">
        <f>SUM(Z7:Z11)</f>
        <v>139070271.98470399</v>
      </c>
      <c r="AE12" s="65"/>
      <c r="AF12" s="65"/>
      <c r="AG12" s="56"/>
      <c r="AH12" s="66">
        <f>SUM(AH7:AH11)</f>
        <v>143877423.76470399</v>
      </c>
      <c r="AI12" s="30"/>
    </row>
    <row r="13" spans="2:38" ht="15" thickBot="1" x14ac:dyDescent="0.4">
      <c r="H13"/>
      <c r="I13" s="67"/>
      <c r="J13" s="67"/>
      <c r="K13" s="68">
        <f>C14</f>
        <v>1202423.92</v>
      </c>
      <c r="L13" s="69" t="s">
        <v>25</v>
      </c>
      <c r="O13"/>
      <c r="P13" s="67"/>
      <c r="Q13" s="67"/>
      <c r="R13" s="68">
        <v>914969.33</v>
      </c>
      <c r="S13" s="69" t="s">
        <v>25</v>
      </c>
      <c r="W13"/>
      <c r="X13" s="67"/>
      <c r="Y13" s="67"/>
      <c r="Z13" s="68">
        <v>914969.33</v>
      </c>
      <c r="AA13" s="69" t="s">
        <v>25</v>
      </c>
      <c r="AE13"/>
      <c r="AF13" s="67"/>
      <c r="AG13" s="67"/>
      <c r="AH13" s="68">
        <v>1202423.92</v>
      </c>
      <c r="AI13" s="69" t="s">
        <v>166</v>
      </c>
    </row>
    <row r="14" spans="2:38" ht="15" thickBot="1" x14ac:dyDescent="0.4">
      <c r="B14" s="73" t="s">
        <v>25</v>
      </c>
      <c r="C14" s="411">
        <v>1202423.92</v>
      </c>
      <c r="D14" s="411"/>
      <c r="E14" s="412"/>
      <c r="H14" t="s">
        <v>116</v>
      </c>
      <c r="I14" s="413" t="s">
        <v>27</v>
      </c>
      <c r="J14" s="413"/>
      <c r="K14" s="74">
        <f>D15</f>
        <v>-9757831.8300000001</v>
      </c>
      <c r="L14" s="75" t="s">
        <v>28</v>
      </c>
      <c r="O14"/>
      <c r="P14" s="413" t="s">
        <v>27</v>
      </c>
      <c r="Q14" s="413"/>
      <c r="R14" s="74">
        <v>1416119.21</v>
      </c>
      <c r="S14" s="75" t="s">
        <v>28</v>
      </c>
      <c r="W14"/>
      <c r="X14" s="413" t="s">
        <v>27</v>
      </c>
      <c r="Y14" s="413"/>
      <c r="Z14" s="74">
        <v>1416119.21</v>
      </c>
      <c r="AA14" s="75" t="s">
        <v>28</v>
      </c>
      <c r="AE14"/>
      <c r="AF14" s="413" t="s">
        <v>27</v>
      </c>
      <c r="AG14" s="413"/>
      <c r="AH14" s="74">
        <v>-9757831.8300000001</v>
      </c>
      <c r="AI14" s="75" t="s">
        <v>167</v>
      </c>
      <c r="AK14">
        <v>870300</v>
      </c>
      <c r="AL14">
        <v>192835.83</v>
      </c>
    </row>
    <row r="15" spans="2:38" ht="15" thickBot="1" x14ac:dyDescent="0.4">
      <c r="B15" s="81" t="s">
        <v>28</v>
      </c>
      <c r="C15" s="82"/>
      <c r="D15" s="380">
        <v>-9757831.8300000001</v>
      </c>
      <c r="E15" s="381"/>
      <c r="H15" t="s">
        <v>116</v>
      </c>
      <c r="I15" s="56" t="s">
        <v>30</v>
      </c>
      <c r="J15" s="83"/>
      <c r="K15" s="84">
        <f>+K12+K13+K14</f>
        <v>105026476.27470401</v>
      </c>
      <c r="O15"/>
      <c r="P15" s="56" t="s">
        <v>30</v>
      </c>
      <c r="Q15" s="83"/>
      <c r="R15" s="84">
        <f>+R12+R13+R14</f>
        <v>142726940.52470401</v>
      </c>
      <c r="W15"/>
      <c r="X15" s="56" t="s">
        <v>30</v>
      </c>
      <c r="Y15" s="83"/>
      <c r="Z15" s="84">
        <f>+Z12+Z13+Z14</f>
        <v>141401360.52470401</v>
      </c>
      <c r="AE15"/>
      <c r="AF15" s="56" t="s">
        <v>30</v>
      </c>
      <c r="AG15" s="83"/>
      <c r="AH15" s="84">
        <f>+AH12+AH13+AH14</f>
        <v>135322015.85470396</v>
      </c>
    </row>
    <row r="16" spans="2:38" ht="15" thickBot="1" x14ac:dyDescent="0.4">
      <c r="C16" s="85"/>
      <c r="D16" s="85"/>
      <c r="E16" s="85"/>
      <c r="H16"/>
      <c r="I16" s="56"/>
      <c r="J16" s="56"/>
      <c r="O16"/>
      <c r="P16" s="56"/>
      <c r="Q16" s="56"/>
      <c r="W16"/>
      <c r="X16" s="56"/>
      <c r="Y16" s="56"/>
      <c r="AE16"/>
      <c r="AF16" s="56"/>
      <c r="AG16" s="56"/>
      <c r="AH16" s="30"/>
    </row>
    <row r="17" spans="2:35" ht="15" thickBot="1" x14ac:dyDescent="0.4">
      <c r="B17" s="382" t="s">
        <v>31</v>
      </c>
      <c r="C17" s="383"/>
      <c r="D17" s="383"/>
      <c r="E17" s="384"/>
      <c r="H17"/>
      <c r="I17" s="7" t="s">
        <v>100</v>
      </c>
      <c r="J17" s="86"/>
      <c r="K17" s="86"/>
      <c r="L17" s="9"/>
      <c r="O17"/>
      <c r="P17" s="7" t="s">
        <v>100</v>
      </c>
      <c r="Q17" s="86"/>
      <c r="R17" s="86"/>
      <c r="S17" s="9"/>
      <c r="W17"/>
      <c r="X17" s="7" t="s">
        <v>100</v>
      </c>
      <c r="Y17" s="86"/>
      <c r="Z17" s="86"/>
      <c r="AA17" s="9"/>
      <c r="AE17"/>
      <c r="AF17" s="7" t="s">
        <v>100</v>
      </c>
      <c r="AG17" s="86"/>
      <c r="AH17" s="86"/>
      <c r="AI17" s="9"/>
    </row>
    <row r="18" spans="2:35" ht="15" customHeight="1" x14ac:dyDescent="0.35">
      <c r="B18" s="87" t="s">
        <v>33</v>
      </c>
      <c r="C18" s="88">
        <f>-SUM('LIFO as of 12.31.19 (01.08.20)'!C19:C21)</f>
        <v>-3377592.5</v>
      </c>
      <c r="D18" s="89"/>
      <c r="E18" s="90"/>
      <c r="H18" s="385" t="s">
        <v>34</v>
      </c>
      <c r="I18" s="91">
        <v>635.15750000000003</v>
      </c>
      <c r="J18" s="92">
        <v>513</v>
      </c>
      <c r="K18" s="92">
        <f>+I18*J18</f>
        <v>325835.79749999999</v>
      </c>
      <c r="L18" s="93">
        <v>2005</v>
      </c>
      <c r="O18" s="385" t="s">
        <v>34</v>
      </c>
      <c r="P18" s="91">
        <v>635.15750000000003</v>
      </c>
      <c r="Q18" s="92">
        <v>513</v>
      </c>
      <c r="R18" s="92">
        <f>+P18*Q18</f>
        <v>325835.79749999999</v>
      </c>
      <c r="S18" s="93">
        <v>2005</v>
      </c>
      <c r="W18" s="385" t="s">
        <v>34</v>
      </c>
      <c r="X18" s="91">
        <v>635.15750000000003</v>
      </c>
      <c r="Y18" s="92">
        <v>513</v>
      </c>
      <c r="Z18" s="92">
        <f>+X18*Y18</f>
        <v>325835.79749999999</v>
      </c>
      <c r="AA18" s="93">
        <v>2005</v>
      </c>
      <c r="AE18" s="437" t="s">
        <v>34</v>
      </c>
      <c r="AF18" s="91">
        <v>635.15750000000003</v>
      </c>
      <c r="AG18" s="92">
        <v>513</v>
      </c>
      <c r="AH18" s="92">
        <f>+AF18*AG18</f>
        <v>325835.79749999999</v>
      </c>
      <c r="AI18" s="93">
        <v>2005</v>
      </c>
    </row>
    <row r="19" spans="2:35" x14ac:dyDescent="0.35">
      <c r="B19" s="87" t="s">
        <v>36</v>
      </c>
      <c r="C19" s="88">
        <v>-847675</v>
      </c>
      <c r="D19" s="96"/>
      <c r="E19" s="97" t="s">
        <v>117</v>
      </c>
      <c r="H19" s="386"/>
      <c r="I19" s="91">
        <v>8241.6015000000007</v>
      </c>
      <c r="J19" s="92">
        <v>635.70000000000005</v>
      </c>
      <c r="K19" s="92">
        <f t="shared" ref="K19:K22" si="0">+I19*J19</f>
        <v>5239186.0735500008</v>
      </c>
      <c r="L19" s="93">
        <v>2006</v>
      </c>
      <c r="O19" s="386"/>
      <c r="P19" s="91">
        <v>8241.6015000000007</v>
      </c>
      <c r="Q19" s="92">
        <v>635.70000000000005</v>
      </c>
      <c r="R19" s="92">
        <f t="shared" ref="R19:R22" si="1">+P19*Q19</f>
        <v>5239186.0735500008</v>
      </c>
      <c r="S19" s="93">
        <v>2006</v>
      </c>
      <c r="W19" s="386"/>
      <c r="X19" s="91">
        <v>8241.6015000000007</v>
      </c>
      <c r="Y19" s="92">
        <v>635.70000000000005</v>
      </c>
      <c r="Z19" s="92">
        <f t="shared" ref="Z19:Z22" si="2">+X19*Y19</f>
        <v>5239186.0735500008</v>
      </c>
      <c r="AA19" s="93">
        <v>2006</v>
      </c>
      <c r="AE19" s="438"/>
      <c r="AF19" s="91">
        <v>8241.6015000000007</v>
      </c>
      <c r="AG19" s="92">
        <v>635.70000000000005</v>
      </c>
      <c r="AH19" s="92">
        <f t="shared" ref="AH19:AH22" si="3">+AF19*AG19</f>
        <v>5239186.0735500008</v>
      </c>
      <c r="AI19" s="93">
        <v>2006</v>
      </c>
    </row>
    <row r="20" spans="2:35" x14ac:dyDescent="0.35">
      <c r="B20" s="87" t="s">
        <v>38</v>
      </c>
      <c r="C20" s="98">
        <v>-1585.5</v>
      </c>
      <c r="D20" s="96"/>
      <c r="E20" s="97" t="s">
        <v>117</v>
      </c>
      <c r="H20" s="386"/>
      <c r="I20" s="91">
        <f>2706.7257-20.5754</f>
        <v>2686.1502999999998</v>
      </c>
      <c r="J20" s="92">
        <v>846.75</v>
      </c>
      <c r="K20" s="92">
        <f t="shared" si="0"/>
        <v>2274497.7665249999</v>
      </c>
      <c r="L20" s="93">
        <v>2008</v>
      </c>
      <c r="O20" s="386"/>
      <c r="P20" s="91">
        <f>2706.7257-20.5754</f>
        <v>2686.1502999999998</v>
      </c>
      <c r="Q20" s="92">
        <v>846.75</v>
      </c>
      <c r="R20" s="92">
        <f t="shared" si="1"/>
        <v>2274497.7665249999</v>
      </c>
      <c r="S20" s="93">
        <v>2008</v>
      </c>
      <c r="W20" s="386"/>
      <c r="X20" s="91">
        <f>2706.7257-20.5754</f>
        <v>2686.1502999999998</v>
      </c>
      <c r="Y20" s="92">
        <v>846.75</v>
      </c>
      <c r="Z20" s="92">
        <f t="shared" si="2"/>
        <v>2274497.7665249999</v>
      </c>
      <c r="AA20" s="93">
        <v>2008</v>
      </c>
      <c r="AE20" s="438"/>
      <c r="AF20" s="91">
        <f>2706.7257-20.5754</f>
        <v>2686.1502999999998</v>
      </c>
      <c r="AG20" s="92">
        <v>846.75</v>
      </c>
      <c r="AH20" s="92">
        <f t="shared" si="3"/>
        <v>2274497.7665249999</v>
      </c>
      <c r="AI20" s="93">
        <v>2008</v>
      </c>
    </row>
    <row r="21" spans="2:35" x14ac:dyDescent="0.35">
      <c r="B21" s="87" t="s">
        <v>39</v>
      </c>
      <c r="C21" s="88">
        <f>5523930+10635</f>
        <v>5534565</v>
      </c>
      <c r="D21" s="96"/>
      <c r="E21" s="97" t="s">
        <v>118</v>
      </c>
      <c r="H21" s="386"/>
      <c r="I21" s="91"/>
      <c r="J21" s="92">
        <v>1527.1</v>
      </c>
      <c r="K21" s="92">
        <f t="shared" si="0"/>
        <v>0</v>
      </c>
      <c r="L21" s="104" t="s">
        <v>113</v>
      </c>
      <c r="O21" s="386"/>
      <c r="P21" s="91">
        <f>668.4836-48.1355-620.3481</f>
        <v>0</v>
      </c>
      <c r="Q21" s="92">
        <v>1527.1</v>
      </c>
      <c r="R21" s="92">
        <f t="shared" si="1"/>
        <v>0</v>
      </c>
      <c r="S21" s="104" t="s">
        <v>113</v>
      </c>
      <c r="W21" s="386"/>
      <c r="X21" s="91">
        <v>13575</v>
      </c>
      <c r="Y21" s="92">
        <v>1527.1</v>
      </c>
      <c r="Z21" s="92">
        <f t="shared" si="2"/>
        <v>20730382.5</v>
      </c>
      <c r="AA21" s="104" t="s">
        <v>113</v>
      </c>
      <c r="AE21" s="438"/>
      <c r="AF21" s="91">
        <v>13000</v>
      </c>
      <c r="AG21" s="92">
        <v>1527.1</v>
      </c>
      <c r="AH21" s="92">
        <f t="shared" si="3"/>
        <v>19852300</v>
      </c>
      <c r="AI21" s="104" t="s">
        <v>113</v>
      </c>
    </row>
    <row r="22" spans="2:35" x14ac:dyDescent="0.35">
      <c r="B22" s="87" t="s">
        <v>103</v>
      </c>
      <c r="C22" s="88">
        <v>-471640</v>
      </c>
      <c r="D22" s="96"/>
      <c r="E22" s="97" t="s">
        <v>118</v>
      </c>
      <c r="H22" s="386"/>
      <c r="I22" s="91"/>
      <c r="J22" s="103"/>
      <c r="K22" s="92">
        <f t="shared" si="0"/>
        <v>0</v>
      </c>
      <c r="O22" s="386"/>
      <c r="P22" s="91"/>
      <c r="Q22" s="103"/>
      <c r="R22" s="92">
        <f t="shared" si="1"/>
        <v>0</v>
      </c>
      <c r="W22" s="386"/>
      <c r="X22" s="91"/>
      <c r="Y22" s="103"/>
      <c r="Z22" s="92">
        <f t="shared" si="2"/>
        <v>0</v>
      </c>
      <c r="AE22" s="438"/>
      <c r="AF22" s="91"/>
      <c r="AG22" s="103"/>
      <c r="AH22" s="92">
        <f t="shared" si="3"/>
        <v>0</v>
      </c>
    </row>
    <row r="23" spans="2:35" ht="15" thickBot="1" x14ac:dyDescent="0.4">
      <c r="B23" s="99" t="s">
        <v>41</v>
      </c>
      <c r="C23" s="100">
        <f>SUM(C18:C22)</f>
        <v>836072</v>
      </c>
      <c r="D23" s="101"/>
      <c r="E23" s="102" t="str">
        <f>B3</f>
        <v>Date as of : 12.29.2020</v>
      </c>
      <c r="H23" s="386"/>
      <c r="I23" s="106"/>
      <c r="J23" s="92"/>
      <c r="K23" s="92"/>
      <c r="L23" s="93"/>
      <c r="O23" s="386"/>
      <c r="P23" s="106"/>
      <c r="Q23" s="92"/>
      <c r="R23" s="92"/>
      <c r="S23" s="93"/>
      <c r="W23" s="386"/>
      <c r="X23" s="106"/>
      <c r="Y23" s="92"/>
      <c r="Z23" s="92"/>
      <c r="AA23" s="93"/>
      <c r="AE23" s="438"/>
      <c r="AF23" s="106"/>
      <c r="AG23" s="92"/>
      <c r="AH23" s="92"/>
      <c r="AI23" s="93"/>
    </row>
    <row r="24" spans="2:35" ht="15" thickBot="1" x14ac:dyDescent="0.4">
      <c r="B24" s="388" t="s">
        <v>125</v>
      </c>
      <c r="C24" s="389"/>
      <c r="D24" s="389"/>
      <c r="E24" s="390"/>
      <c r="H24" s="387"/>
      <c r="I24" s="108">
        <f>SUM(I18:I23)</f>
        <v>11562.909299999999</v>
      </c>
      <c r="J24" s="92"/>
      <c r="K24" s="109">
        <f>SUM(K18:K23)</f>
        <v>7839519.6375750005</v>
      </c>
      <c r="L24" s="93"/>
      <c r="O24" s="387"/>
      <c r="P24" s="108">
        <f>SUM(P18:P23)</f>
        <v>11562.909299999999</v>
      </c>
      <c r="Q24" s="92"/>
      <c r="R24" s="109">
        <f>SUM(R18:R23)</f>
        <v>7839519.6375750005</v>
      </c>
      <c r="S24" s="93"/>
      <c r="W24" s="387"/>
      <c r="X24" s="108">
        <f>SUM(X18:X23)</f>
        <v>25137.909299999999</v>
      </c>
      <c r="Y24" s="92"/>
      <c r="Z24" s="109">
        <f>SUM(Z18:Z23)</f>
        <v>28569902.137575001</v>
      </c>
      <c r="AA24" s="93"/>
      <c r="AE24" s="387"/>
      <c r="AF24" s="108">
        <f>SUM(AF18:AF23)</f>
        <v>24562.909299999999</v>
      </c>
      <c r="AG24" s="92"/>
      <c r="AH24" s="109">
        <f>SUM(AH18:AH23)</f>
        <v>27691819.637575001</v>
      </c>
      <c r="AI24" s="93"/>
    </row>
    <row r="25" spans="2:35" ht="15" thickTop="1" x14ac:dyDescent="0.35">
      <c r="B25" s="388" t="s">
        <v>126</v>
      </c>
      <c r="C25" s="389"/>
      <c r="D25" s="389"/>
      <c r="E25" s="390"/>
      <c r="I25" s="56"/>
      <c r="J25" s="115"/>
      <c r="L25" s="93"/>
      <c r="P25" s="56"/>
      <c r="Q25" s="115"/>
      <c r="S25" s="93"/>
      <c r="X25" s="56"/>
      <c r="Y25" s="115"/>
      <c r="AA25" s="93"/>
      <c r="AF25" s="56"/>
      <c r="AG25" s="115"/>
      <c r="AI25" s="93"/>
    </row>
    <row r="26" spans="2:35" ht="15" customHeight="1" x14ac:dyDescent="0.35">
      <c r="B26" s="391" t="s">
        <v>127</v>
      </c>
      <c r="C26" s="392"/>
      <c r="D26" s="392"/>
      <c r="E26" s="393"/>
      <c r="H26" s="394" t="s">
        <v>47</v>
      </c>
      <c r="I26" s="116">
        <v>981664.58790000004</v>
      </c>
      <c r="J26" s="233">
        <v>8.83</v>
      </c>
      <c r="K26" s="118">
        <f t="shared" ref="K26:K31" si="4">+I26*J26</f>
        <v>8668098.3111570012</v>
      </c>
      <c r="L26" s="93">
        <v>2005</v>
      </c>
      <c r="O26" s="394" t="s">
        <v>47</v>
      </c>
      <c r="P26" s="116">
        <v>981664.58790000004</v>
      </c>
      <c r="Q26" s="233">
        <v>8.83</v>
      </c>
      <c r="R26" s="118">
        <f t="shared" ref="R26:R31" si="5">+P26*Q26</f>
        <v>8668098.3111570012</v>
      </c>
      <c r="S26" s="93">
        <v>2005</v>
      </c>
      <c r="W26" s="394" t="s">
        <v>47</v>
      </c>
      <c r="X26" s="116">
        <v>981664.58790000004</v>
      </c>
      <c r="Y26" s="233">
        <v>8.83</v>
      </c>
      <c r="Z26" s="118">
        <f t="shared" ref="Z26:Z31" si="6">+X26*Y26</f>
        <v>8668098.3111570012</v>
      </c>
      <c r="AA26" s="93">
        <v>2005</v>
      </c>
      <c r="AE26" s="433" t="s">
        <v>47</v>
      </c>
      <c r="AF26" s="116">
        <v>981664.58790000004</v>
      </c>
      <c r="AG26" s="233">
        <v>8.83</v>
      </c>
      <c r="AH26" s="118">
        <f t="shared" ref="AH26:AH31" si="7">+AF26*AG26</f>
        <v>8668098.3111570012</v>
      </c>
      <c r="AI26" s="93">
        <v>2005</v>
      </c>
    </row>
    <row r="27" spans="2:35" ht="15" thickBot="1" x14ac:dyDescent="0.4">
      <c r="B27" s="396" t="s">
        <v>124</v>
      </c>
      <c r="C27" s="397"/>
      <c r="D27" s="397"/>
      <c r="E27" s="398"/>
      <c r="H27" s="395"/>
      <c r="I27" s="116">
        <v>649.01480000000004</v>
      </c>
      <c r="J27" s="233">
        <v>14.93</v>
      </c>
      <c r="K27" s="118">
        <f t="shared" si="4"/>
        <v>9689.7909639999998</v>
      </c>
      <c r="L27" s="93">
        <v>2008</v>
      </c>
      <c r="O27" s="395"/>
      <c r="P27" s="116">
        <v>649.01480000000004</v>
      </c>
      <c r="Q27" s="233">
        <v>14.93</v>
      </c>
      <c r="R27" s="118">
        <f t="shared" si="5"/>
        <v>9689.7909639999998</v>
      </c>
      <c r="S27" s="93">
        <v>2008</v>
      </c>
      <c r="W27" s="395"/>
      <c r="X27" s="116">
        <v>649.01480000000004</v>
      </c>
      <c r="Y27" s="233">
        <v>14.93</v>
      </c>
      <c r="Z27" s="118">
        <f t="shared" si="6"/>
        <v>9689.7909639999998</v>
      </c>
      <c r="AA27" s="93">
        <v>2008</v>
      </c>
      <c r="AE27" s="434"/>
      <c r="AF27" s="116">
        <v>649.01480000000004</v>
      </c>
      <c r="AG27" s="233">
        <v>14.93</v>
      </c>
      <c r="AH27" s="118">
        <f t="shared" si="7"/>
        <v>9689.7909639999998</v>
      </c>
      <c r="AI27" s="93">
        <v>2008</v>
      </c>
    </row>
    <row r="28" spans="2:35" ht="15" thickBot="1" x14ac:dyDescent="0.4">
      <c r="B28" s="93"/>
      <c r="C28" s="93"/>
      <c r="D28" s="93"/>
      <c r="E28" s="93"/>
      <c r="H28" s="395"/>
      <c r="I28" s="122">
        <f>213803.7135</f>
        <v>213803.71350000001</v>
      </c>
      <c r="J28" s="233">
        <v>11.08</v>
      </c>
      <c r="K28" s="118">
        <f t="shared" si="4"/>
        <v>2368945.1455800002</v>
      </c>
      <c r="L28" s="93">
        <v>2009</v>
      </c>
      <c r="O28" s="395"/>
      <c r="P28" s="122">
        <f>213803.7135</f>
        <v>213803.71350000001</v>
      </c>
      <c r="Q28" s="233">
        <v>11.08</v>
      </c>
      <c r="R28" s="118">
        <f t="shared" si="5"/>
        <v>2368945.1455800002</v>
      </c>
      <c r="S28" s="93">
        <v>2009</v>
      </c>
      <c r="W28" s="395"/>
      <c r="X28" s="122">
        <f>213803.7135</f>
        <v>213803.71350000001</v>
      </c>
      <c r="Y28" s="233">
        <v>11.08</v>
      </c>
      <c r="Z28" s="118">
        <f t="shared" si="6"/>
        <v>2368945.1455800002</v>
      </c>
      <c r="AA28" s="93">
        <v>2009</v>
      </c>
      <c r="AE28" s="434"/>
      <c r="AF28" s="122">
        <f>213803.7135</f>
        <v>213803.71350000001</v>
      </c>
      <c r="AG28" s="233">
        <v>11.08</v>
      </c>
      <c r="AH28" s="118">
        <f t="shared" si="7"/>
        <v>2368945.1455800002</v>
      </c>
      <c r="AI28" s="93">
        <v>2009</v>
      </c>
    </row>
    <row r="29" spans="2:35" ht="15" thickBot="1" x14ac:dyDescent="0.4">
      <c r="B29" s="119" t="s">
        <v>48</v>
      </c>
      <c r="C29" s="120" t="s">
        <v>165</v>
      </c>
      <c r="D29" s="120"/>
      <c r="E29" s="121">
        <v>31023830.890000001</v>
      </c>
      <c r="H29" s="395"/>
      <c r="I29" s="122">
        <f>1249196.5802-72195.341</f>
        <v>1177001.2392</v>
      </c>
      <c r="J29" s="233">
        <v>14</v>
      </c>
      <c r="K29" s="118">
        <f t="shared" si="4"/>
        <v>16478017.3488</v>
      </c>
      <c r="L29" s="93">
        <v>2016</v>
      </c>
      <c r="O29" s="395"/>
      <c r="P29" s="122">
        <f>1249196.5802-72195.341</f>
        <v>1177001.2392</v>
      </c>
      <c r="Q29" s="233">
        <v>14</v>
      </c>
      <c r="R29" s="118">
        <f t="shared" si="5"/>
        <v>16478017.3488</v>
      </c>
      <c r="S29" s="93">
        <v>2016</v>
      </c>
      <c r="W29" s="395"/>
      <c r="X29" s="122">
        <f>1249196.5802-72195.341</f>
        <v>1177001.2392</v>
      </c>
      <c r="Y29" s="233">
        <v>14</v>
      </c>
      <c r="Z29" s="118">
        <f t="shared" si="6"/>
        <v>16478017.3488</v>
      </c>
      <c r="AA29" s="93">
        <v>2016</v>
      </c>
      <c r="AE29" s="434"/>
      <c r="AF29" s="122">
        <v>1177001.2392</v>
      </c>
      <c r="AG29" s="233">
        <v>14</v>
      </c>
      <c r="AH29" s="118">
        <f t="shared" si="7"/>
        <v>16478017.3488</v>
      </c>
      <c r="AI29" s="93">
        <v>2016</v>
      </c>
    </row>
    <row r="30" spans="2:35" x14ac:dyDescent="0.35">
      <c r="B30" s="93"/>
      <c r="C30" s="93"/>
      <c r="D30" s="93"/>
      <c r="E30" s="93" t="s">
        <v>164</v>
      </c>
      <c r="H30" s="395"/>
      <c r="I30" s="122">
        <v>1047351.461</v>
      </c>
      <c r="J30" s="234">
        <v>15.44</v>
      </c>
      <c r="K30" s="118">
        <f t="shared" si="4"/>
        <v>16171106.557839999</v>
      </c>
      <c r="L30" s="104" t="s">
        <v>42</v>
      </c>
      <c r="O30" s="395"/>
      <c r="P30" s="122">
        <v>1047351.461</v>
      </c>
      <c r="Q30" s="234">
        <v>15.44</v>
      </c>
      <c r="R30" s="118">
        <f t="shared" si="5"/>
        <v>16171106.557839999</v>
      </c>
      <c r="S30" s="104" t="s">
        <v>42</v>
      </c>
      <c r="W30" s="395"/>
      <c r="X30" s="122">
        <v>1047351.461</v>
      </c>
      <c r="Y30" s="234">
        <v>15.44</v>
      </c>
      <c r="Z30" s="118">
        <f t="shared" si="6"/>
        <v>16171106.557839999</v>
      </c>
      <c r="AA30" s="104" t="s">
        <v>42</v>
      </c>
      <c r="AE30" s="434"/>
      <c r="AF30" s="122">
        <v>1047351.461</v>
      </c>
      <c r="AG30" s="234">
        <v>15.44</v>
      </c>
      <c r="AH30" s="118">
        <f t="shared" si="7"/>
        <v>16171106.557839999</v>
      </c>
      <c r="AI30" s="104" t="s">
        <v>42</v>
      </c>
    </row>
    <row r="31" spans="2:35" ht="15" thickBot="1" x14ac:dyDescent="0.4">
      <c r="B31" s="93"/>
      <c r="C31" s="93"/>
      <c r="D31" s="93"/>
      <c r="E31" s="123"/>
      <c r="H31" s="395"/>
      <c r="I31" s="122">
        <v>0</v>
      </c>
      <c r="J31" s="234">
        <v>17.925000000000001</v>
      </c>
      <c r="K31" s="118">
        <f t="shared" si="4"/>
        <v>0</v>
      </c>
      <c r="L31" s="104" t="s">
        <v>113</v>
      </c>
      <c r="O31" s="395"/>
      <c r="P31" s="122">
        <v>1025000</v>
      </c>
      <c r="Q31" s="234">
        <v>17.925000000000001</v>
      </c>
      <c r="R31" s="118">
        <f t="shared" si="5"/>
        <v>18373125</v>
      </c>
      <c r="S31" s="104" t="s">
        <v>113</v>
      </c>
      <c r="W31" s="395"/>
      <c r="X31" s="122">
        <v>0</v>
      </c>
      <c r="Y31" s="234">
        <v>17.925000000000001</v>
      </c>
      <c r="Z31" s="118">
        <f t="shared" si="6"/>
        <v>0</v>
      </c>
      <c r="AA31" s="104" t="s">
        <v>113</v>
      </c>
      <c r="AE31" s="434"/>
      <c r="AF31" s="122">
        <v>300000</v>
      </c>
      <c r="AG31" s="234">
        <v>17.925000000000001</v>
      </c>
      <c r="AH31" s="118">
        <f t="shared" si="7"/>
        <v>5377500</v>
      </c>
      <c r="AI31" s="104" t="s">
        <v>113</v>
      </c>
    </row>
    <row r="32" spans="2:35" ht="15" thickBot="1" x14ac:dyDescent="0.4">
      <c r="B32" s="399" t="s">
        <v>49</v>
      </c>
      <c r="C32" s="400"/>
      <c r="D32" s="400"/>
      <c r="E32" s="401"/>
      <c r="H32" s="395"/>
      <c r="I32" s="125">
        <f>SUM(I26:I31)</f>
        <v>3420470.0164000001</v>
      </c>
      <c r="J32" s="126"/>
      <c r="K32" s="127">
        <f>SUM(K26:K31)</f>
        <v>43695857.154340997</v>
      </c>
      <c r="L32" s="93"/>
      <c r="O32" s="395"/>
      <c r="P32" s="125">
        <f>SUM(P26:P31)</f>
        <v>4445470.0164000001</v>
      </c>
      <c r="Q32" s="126"/>
      <c r="R32" s="127">
        <f>SUM(R26:R31)</f>
        <v>62068982.154340997</v>
      </c>
      <c r="S32" s="93"/>
      <c r="W32" s="395"/>
      <c r="X32" s="125">
        <f>SUM(X26:X31)</f>
        <v>3420470.0164000001</v>
      </c>
      <c r="Y32" s="126"/>
      <c r="Z32" s="127">
        <f>SUM(Z26:Z31)</f>
        <v>43695857.154340997</v>
      </c>
      <c r="AA32" s="93"/>
      <c r="AE32" s="435"/>
      <c r="AF32" s="125">
        <f>SUM(AF26:AF31)</f>
        <v>3720470.0164000001</v>
      </c>
      <c r="AG32" s="126"/>
      <c r="AH32" s="127">
        <f>SUM(AH26:AH31)</f>
        <v>49073357.154340997</v>
      </c>
      <c r="AI32" s="93"/>
    </row>
    <row r="33" spans="2:35" ht="15" thickTop="1" x14ac:dyDescent="0.35">
      <c r="B33" s="402"/>
      <c r="C33" s="436"/>
      <c r="D33" s="436"/>
      <c r="E33" s="404"/>
      <c r="I33" s="131"/>
      <c r="K33" s="132"/>
      <c r="L33" s="93"/>
      <c r="P33" s="131"/>
      <c r="R33" s="132"/>
      <c r="S33" s="93"/>
      <c r="X33" s="131"/>
      <c r="Z33" s="132"/>
      <c r="AA33" s="93"/>
      <c r="AF33" s="131"/>
      <c r="AH33" s="132"/>
      <c r="AI33" s="93"/>
    </row>
    <row r="34" spans="2:35" ht="15" thickBot="1" x14ac:dyDescent="0.4">
      <c r="B34" s="405"/>
      <c r="C34" s="406"/>
      <c r="D34" s="406"/>
      <c r="E34" s="407"/>
      <c r="H34" s="408" t="s">
        <v>51</v>
      </c>
      <c r="I34" s="134">
        <v>0</v>
      </c>
      <c r="J34" s="135"/>
      <c r="K34" s="136">
        <f>+I34*J34</f>
        <v>0</v>
      </c>
      <c r="L34" s="93"/>
      <c r="O34" s="408" t="s">
        <v>51</v>
      </c>
      <c r="P34" s="134">
        <v>0</v>
      </c>
      <c r="Q34" s="135"/>
      <c r="R34" s="136">
        <f>+P34*Q34</f>
        <v>0</v>
      </c>
      <c r="S34" s="93"/>
      <c r="W34" s="408" t="s">
        <v>51</v>
      </c>
      <c r="X34" s="134">
        <v>0</v>
      </c>
      <c r="Y34" s="135"/>
      <c r="Z34" s="136">
        <f>+X34*Y34</f>
        <v>0</v>
      </c>
      <c r="AA34" s="93"/>
      <c r="AE34" s="408" t="s">
        <v>51</v>
      </c>
      <c r="AF34" s="134">
        <v>0</v>
      </c>
      <c r="AG34" s="135"/>
      <c r="AH34" s="136">
        <f>+AF34*AG34</f>
        <v>0</v>
      </c>
      <c r="AI34" s="93"/>
    </row>
    <row r="35" spans="2:35" x14ac:dyDescent="0.35">
      <c r="B35" s="350" t="s">
        <v>35</v>
      </c>
      <c r="C35" s="351"/>
      <c r="D35" s="351"/>
      <c r="E35" s="352"/>
      <c r="H35" s="409"/>
      <c r="I35" s="137">
        <v>0</v>
      </c>
      <c r="J35" s="135"/>
      <c r="K35" s="136">
        <f>+I35*J35</f>
        <v>0</v>
      </c>
      <c r="L35" s="93"/>
      <c r="O35" s="409"/>
      <c r="P35" s="137">
        <v>0</v>
      </c>
      <c r="Q35" s="135"/>
      <c r="R35" s="136">
        <f>+P35*Q35</f>
        <v>0</v>
      </c>
      <c r="S35" s="93"/>
      <c r="W35" s="409"/>
      <c r="X35" s="137">
        <v>0</v>
      </c>
      <c r="Y35" s="135"/>
      <c r="Z35" s="136">
        <f>+X35*Y35</f>
        <v>0</v>
      </c>
      <c r="AA35" s="93"/>
      <c r="AE35" s="409"/>
      <c r="AF35" s="137">
        <v>0</v>
      </c>
      <c r="AG35" s="135"/>
      <c r="AH35" s="136">
        <f>+AF35*AG35</f>
        <v>0</v>
      </c>
      <c r="AI35" s="93"/>
    </row>
    <row r="36" spans="2:35" x14ac:dyDescent="0.35">
      <c r="B36" s="353"/>
      <c r="C36" s="354"/>
      <c r="D36" s="354"/>
      <c r="E36" s="355"/>
      <c r="H36" s="409"/>
      <c r="I36" s="137">
        <v>0</v>
      </c>
      <c r="J36" s="135"/>
      <c r="K36" s="136">
        <f>+I36*J36</f>
        <v>0</v>
      </c>
      <c r="L36" s="93"/>
      <c r="O36" s="409"/>
      <c r="P36" s="137">
        <v>0</v>
      </c>
      <c r="Q36" s="135"/>
      <c r="R36" s="136">
        <f>+P36*Q36</f>
        <v>0</v>
      </c>
      <c r="S36" s="93"/>
      <c r="W36" s="409"/>
      <c r="X36" s="137">
        <v>0</v>
      </c>
      <c r="Y36" s="135"/>
      <c r="Z36" s="136">
        <f>+X36*Y36</f>
        <v>0</v>
      </c>
      <c r="AA36" s="93"/>
      <c r="AE36" s="409"/>
      <c r="AF36" s="137">
        <v>0</v>
      </c>
      <c r="AG36" s="135"/>
      <c r="AH36" s="136">
        <f>+AF36*AG36</f>
        <v>0</v>
      </c>
      <c r="AI36" s="93"/>
    </row>
    <row r="37" spans="2:35" ht="15" thickBot="1" x14ac:dyDescent="0.4">
      <c r="B37" s="356"/>
      <c r="C37" s="357"/>
      <c r="D37" s="357"/>
      <c r="E37" s="358"/>
      <c r="H37" s="409"/>
      <c r="I37" s="138"/>
      <c r="J37" s="139"/>
      <c r="K37" s="136"/>
      <c r="L37" s="104" t="s">
        <v>42</v>
      </c>
      <c r="O37" s="409"/>
      <c r="P37" s="138"/>
      <c r="Q37" s="139"/>
      <c r="R37" s="136"/>
      <c r="S37" s="104" t="s">
        <v>42</v>
      </c>
      <c r="W37" s="409"/>
      <c r="X37" s="138"/>
      <c r="Y37" s="139"/>
      <c r="Z37" s="136"/>
      <c r="AA37" s="104" t="s">
        <v>42</v>
      </c>
      <c r="AE37" s="409"/>
      <c r="AF37" s="138"/>
      <c r="AG37" s="139"/>
      <c r="AH37" s="136"/>
      <c r="AI37" s="104" t="s">
        <v>42</v>
      </c>
    </row>
    <row r="38" spans="2:35" x14ac:dyDescent="0.35">
      <c r="H38" s="409"/>
      <c r="I38" s="138"/>
      <c r="J38" s="135"/>
      <c r="K38" s="136"/>
      <c r="L38" s="93"/>
      <c r="O38" s="409"/>
      <c r="P38" s="138"/>
      <c r="Q38" s="135"/>
      <c r="R38" s="136"/>
      <c r="S38" s="93"/>
      <c r="W38" s="409"/>
      <c r="X38" s="138"/>
      <c r="Y38" s="135"/>
      <c r="Z38" s="136"/>
      <c r="AA38" s="93"/>
      <c r="AE38" s="409"/>
      <c r="AF38" s="138"/>
      <c r="AG38" s="135"/>
      <c r="AH38" s="136"/>
      <c r="AI38" s="93"/>
    </row>
    <row r="39" spans="2:35" ht="15" thickBot="1" x14ac:dyDescent="0.4">
      <c r="H39" s="410"/>
      <c r="I39" s="140">
        <f>SUM(I34:I38)</f>
        <v>0</v>
      </c>
      <c r="J39" s="136"/>
      <c r="K39" s="141">
        <f>SUM(K34:K38)</f>
        <v>0</v>
      </c>
      <c r="L39" s="93"/>
      <c r="O39" s="410"/>
      <c r="P39" s="140">
        <f>SUM(P34:P38)</f>
        <v>0</v>
      </c>
      <c r="Q39" s="136"/>
      <c r="R39" s="141">
        <f>SUM(R34:R38)</f>
        <v>0</v>
      </c>
      <c r="S39" s="93"/>
      <c r="W39" s="410"/>
      <c r="X39" s="140">
        <f>SUM(X34:X38)</f>
        <v>0</v>
      </c>
      <c r="Y39" s="136"/>
      <c r="Z39" s="141">
        <f>SUM(Z34:Z38)</f>
        <v>0</v>
      </c>
      <c r="AA39" s="93"/>
      <c r="AE39" s="410"/>
      <c r="AF39" s="140">
        <f>SUM(AF34:AF38)</f>
        <v>0</v>
      </c>
      <c r="AG39" s="136"/>
      <c r="AH39" s="141">
        <f>SUM(AH34:AH38)</f>
        <v>0</v>
      </c>
      <c r="AI39" s="93"/>
    </row>
    <row r="40" spans="2:35" ht="15" thickTop="1" x14ac:dyDescent="0.35">
      <c r="C40" s="286" t="s">
        <v>155</v>
      </c>
      <c r="D40" s="287"/>
      <c r="E40" s="288"/>
      <c r="F40" s="224"/>
      <c r="I40" s="131"/>
      <c r="J40" s="145"/>
      <c r="K40" s="132"/>
      <c r="L40" s="93"/>
      <c r="P40" s="131"/>
      <c r="Q40" s="145"/>
      <c r="R40" s="132"/>
      <c r="S40" s="93"/>
      <c r="X40" s="131"/>
      <c r="Y40" s="145"/>
      <c r="Z40" s="132"/>
      <c r="AA40" s="93"/>
      <c r="AF40" s="131"/>
      <c r="AG40" s="145"/>
      <c r="AH40" s="132"/>
      <c r="AI40" s="93"/>
    </row>
    <row r="41" spans="2:35" x14ac:dyDescent="0.35">
      <c r="C41" s="251" t="s">
        <v>157</v>
      </c>
      <c r="D41" s="253"/>
      <c r="E41" s="254">
        <f>E55*0.67</f>
        <v>-3092191.0483999974</v>
      </c>
      <c r="F41" s="224"/>
      <c r="H41" s="359" t="s">
        <v>53</v>
      </c>
      <c r="I41" s="146">
        <v>517.16899999999998</v>
      </c>
      <c r="J41" s="147">
        <v>1267</v>
      </c>
      <c r="K41" s="148">
        <f>+I41*J41</f>
        <v>655253.12300000002</v>
      </c>
      <c r="L41" s="104" t="s">
        <v>42</v>
      </c>
      <c r="O41" s="359" t="s">
        <v>53</v>
      </c>
      <c r="P41" s="146">
        <v>517.16899999999998</v>
      </c>
      <c r="Q41" s="147">
        <v>1267</v>
      </c>
      <c r="R41" s="148">
        <f>+P41*Q41</f>
        <v>655253.12300000002</v>
      </c>
      <c r="S41" s="104" t="s">
        <v>42</v>
      </c>
      <c r="W41" s="359" t="s">
        <v>53</v>
      </c>
      <c r="X41" s="146">
        <v>517.16899999999998</v>
      </c>
      <c r="Y41" s="147">
        <v>1267</v>
      </c>
      <c r="Z41" s="148">
        <f>+X41*Y41</f>
        <v>655253.12300000002</v>
      </c>
      <c r="AA41" s="104" t="s">
        <v>42</v>
      </c>
      <c r="AE41" s="359" t="s">
        <v>53</v>
      </c>
      <c r="AF41" s="146">
        <v>517.16899999999998</v>
      </c>
      <c r="AG41" s="147">
        <v>1267</v>
      </c>
      <c r="AH41" s="148">
        <f>+AF41*AG41</f>
        <v>655253.12300000002</v>
      </c>
      <c r="AI41" s="104" t="s">
        <v>42</v>
      </c>
    </row>
    <row r="42" spans="2:35" x14ac:dyDescent="0.35">
      <c r="C42" s="243" t="s">
        <v>158</v>
      </c>
      <c r="D42" s="237"/>
      <c r="E42" s="244">
        <f>E55-E41</f>
        <v>-1523019.4715999984</v>
      </c>
      <c r="F42" s="224"/>
      <c r="H42" s="360"/>
      <c r="I42" s="146"/>
      <c r="J42" s="149"/>
      <c r="K42" s="148">
        <f>+I42*J42</f>
        <v>0</v>
      </c>
      <c r="L42" s="93"/>
      <c r="O42" s="360"/>
      <c r="P42" s="146"/>
      <c r="Q42" s="149"/>
      <c r="R42" s="148">
        <f>+P42*Q42</f>
        <v>0</v>
      </c>
      <c r="S42" s="93"/>
      <c r="W42" s="360"/>
      <c r="X42" s="146"/>
      <c r="Y42" s="149"/>
      <c r="Z42" s="148">
        <f>+X42*Y42</f>
        <v>0</v>
      </c>
      <c r="AA42" s="93"/>
      <c r="AE42" s="360"/>
      <c r="AF42" s="146">
        <f>182-517.17</f>
        <v>-335.16999999999996</v>
      </c>
      <c r="AG42" s="149">
        <v>1267</v>
      </c>
      <c r="AH42" s="148">
        <f>+AF42*AG42</f>
        <v>-424660.38999999996</v>
      </c>
      <c r="AI42" s="93"/>
    </row>
    <row r="43" spans="2:35" x14ac:dyDescent="0.35">
      <c r="C43" s="251" t="s">
        <v>159</v>
      </c>
      <c r="D43" s="253"/>
      <c r="E43" s="254">
        <f>E41/C7</f>
        <v>-1646.8848787814218</v>
      </c>
      <c r="F43" s="224"/>
      <c r="H43" s="360"/>
      <c r="I43" s="150"/>
      <c r="J43" s="151"/>
      <c r="K43" s="148">
        <f>+I43*J43</f>
        <v>0</v>
      </c>
      <c r="L43" s="93"/>
      <c r="O43" s="360"/>
      <c r="P43" s="150"/>
      <c r="Q43" s="151"/>
      <c r="R43" s="148">
        <f>+P43*Q43</f>
        <v>0</v>
      </c>
      <c r="S43" s="93"/>
      <c r="W43" s="360"/>
      <c r="X43" s="150"/>
      <c r="Y43" s="151"/>
      <c r="Z43" s="148">
        <f>+X43*Y43</f>
        <v>0</v>
      </c>
      <c r="AA43" s="93"/>
      <c r="AE43" s="360"/>
      <c r="AF43" s="150"/>
      <c r="AG43" s="151"/>
      <c r="AH43" s="148">
        <f>+AF43*AG43</f>
        <v>0</v>
      </c>
      <c r="AI43" s="93"/>
    </row>
    <row r="44" spans="2:35" ht="15" thickBot="1" x14ac:dyDescent="0.4">
      <c r="C44" s="245" t="s">
        <v>160</v>
      </c>
      <c r="D44" s="247"/>
      <c r="E44" s="248">
        <f>E42/C8</f>
        <v>-58219.398761467826</v>
      </c>
      <c r="F44" s="224"/>
      <c r="H44" s="360"/>
      <c r="I44" s="152">
        <v>0</v>
      </c>
      <c r="J44" s="151"/>
      <c r="K44" s="148">
        <f>+I44*J44</f>
        <v>0</v>
      </c>
      <c r="L44" s="93"/>
      <c r="O44" s="360"/>
      <c r="P44" s="152">
        <v>0</v>
      </c>
      <c r="Q44" s="151"/>
      <c r="R44" s="148">
        <f>+P44*Q44</f>
        <v>0</v>
      </c>
      <c r="S44" s="93"/>
      <c r="W44" s="360"/>
      <c r="X44" s="152">
        <v>0</v>
      </c>
      <c r="Y44" s="151"/>
      <c r="Z44" s="148">
        <f>+X44*Y44</f>
        <v>0</v>
      </c>
      <c r="AA44" s="93"/>
      <c r="AE44" s="360"/>
      <c r="AF44" s="152">
        <v>0</v>
      </c>
      <c r="AG44" s="151"/>
      <c r="AH44" s="148">
        <f>+AF44*AG44</f>
        <v>0</v>
      </c>
      <c r="AI44" s="93"/>
    </row>
    <row r="45" spans="2:35" ht="15" thickBot="1" x14ac:dyDescent="0.4">
      <c r="E45" s="223"/>
      <c r="H45" s="361"/>
      <c r="I45" s="153">
        <f>SUM(I41:I44)</f>
        <v>517.16899999999998</v>
      </c>
      <c r="J45" s="148"/>
      <c r="K45" s="154">
        <f>SUM(K41:K44)</f>
        <v>655253.12300000002</v>
      </c>
      <c r="L45" s="93"/>
      <c r="O45" s="361"/>
      <c r="P45" s="153">
        <f>SUM(P41:P44)</f>
        <v>517.16899999999998</v>
      </c>
      <c r="Q45" s="148"/>
      <c r="R45" s="154">
        <f>SUM(R41:R44)</f>
        <v>655253.12300000002</v>
      </c>
      <c r="S45" s="93"/>
      <c r="W45" s="361"/>
      <c r="X45" s="153">
        <f>SUM(X41:X44)</f>
        <v>517.16899999999998</v>
      </c>
      <c r="Y45" s="148"/>
      <c r="Z45" s="154">
        <f>SUM(Z41:Z44)</f>
        <v>655253.12300000002</v>
      </c>
      <c r="AA45" s="93"/>
      <c r="AE45" s="361"/>
      <c r="AF45" s="153">
        <f>SUM(AF41:AF44)</f>
        <v>181.99900000000002</v>
      </c>
      <c r="AG45" s="148"/>
      <c r="AH45" s="154">
        <f>SUM(AH41:AH44)</f>
        <v>230592.73300000007</v>
      </c>
      <c r="AI45" s="93"/>
    </row>
    <row r="46" spans="2:35" ht="15" thickTop="1" x14ac:dyDescent="0.35">
      <c r="C46" s="431" t="s">
        <v>156</v>
      </c>
      <c r="D46" s="431"/>
      <c r="E46" s="223"/>
      <c r="I46" s="131"/>
      <c r="J46" s="132"/>
      <c r="K46" s="132"/>
      <c r="L46" s="93"/>
      <c r="P46" s="131"/>
      <c r="Q46" s="132"/>
      <c r="R46" s="132"/>
      <c r="S46" s="93"/>
      <c r="X46" s="131"/>
      <c r="Y46" s="132"/>
      <c r="Z46" s="132"/>
      <c r="AA46" s="93"/>
      <c r="AF46" s="131"/>
      <c r="AG46" s="132"/>
      <c r="AH46" s="132"/>
      <c r="AI46" s="93"/>
    </row>
    <row r="47" spans="2:35" x14ac:dyDescent="0.35">
      <c r="D47" s="222" t="s">
        <v>134</v>
      </c>
      <c r="E47" s="223">
        <v>144000000</v>
      </c>
      <c r="H47" s="432" t="s">
        <v>55</v>
      </c>
      <c r="I47" s="158">
        <v>72.56</v>
      </c>
      <c r="J47" s="159">
        <v>2300</v>
      </c>
      <c r="K47" s="160">
        <f>+I47*J47</f>
        <v>166888</v>
      </c>
      <c r="L47" s="104" t="s">
        <v>42</v>
      </c>
      <c r="O47" s="432" t="s">
        <v>55</v>
      </c>
      <c r="P47" s="158">
        <v>72.56</v>
      </c>
      <c r="Q47" s="159">
        <v>2300</v>
      </c>
      <c r="R47" s="160">
        <f>+P47*Q47</f>
        <v>166888</v>
      </c>
      <c r="S47" s="104" t="s">
        <v>42</v>
      </c>
      <c r="W47" s="432" t="s">
        <v>55</v>
      </c>
      <c r="X47" s="158">
        <v>72.56</v>
      </c>
      <c r="Y47" s="159">
        <v>2300</v>
      </c>
      <c r="Z47" s="160">
        <f>+X47*Y47</f>
        <v>166888</v>
      </c>
      <c r="AA47" s="104" t="s">
        <v>42</v>
      </c>
      <c r="AE47" s="432" t="s">
        <v>55</v>
      </c>
      <c r="AF47" s="158">
        <v>72.56</v>
      </c>
      <c r="AG47" s="159">
        <v>2300</v>
      </c>
      <c r="AH47" s="160">
        <f>+AF47*AG47</f>
        <v>166888</v>
      </c>
      <c r="AI47" s="104" t="s">
        <v>42</v>
      </c>
    </row>
    <row r="48" spans="2:35" x14ac:dyDescent="0.35">
      <c r="D48" s="222" t="s">
        <v>135</v>
      </c>
      <c r="E48" s="223">
        <v>23384789.48</v>
      </c>
      <c r="H48" s="432"/>
      <c r="I48" s="158"/>
      <c r="J48" s="160"/>
      <c r="K48" s="160">
        <f>+I48*J48</f>
        <v>0</v>
      </c>
      <c r="L48" s="93"/>
      <c r="O48" s="432"/>
      <c r="P48" s="158"/>
      <c r="Q48" s="160"/>
      <c r="R48" s="160">
        <f>+P48*Q48</f>
        <v>0</v>
      </c>
      <c r="S48" s="93"/>
      <c r="W48" s="432"/>
      <c r="X48" s="158"/>
      <c r="Y48" s="160"/>
      <c r="Z48" s="160">
        <f>+X48*Y48</f>
        <v>0</v>
      </c>
      <c r="AA48" s="93"/>
      <c r="AE48" s="432"/>
      <c r="AF48" s="158">
        <v>-72.56</v>
      </c>
      <c r="AG48" s="160">
        <v>2300</v>
      </c>
      <c r="AH48" s="160">
        <f>+AF48*AG48</f>
        <v>-166888</v>
      </c>
      <c r="AI48" s="93"/>
    </row>
    <row r="49" spans="1:35" ht="15" thickBot="1" x14ac:dyDescent="0.4">
      <c r="D49" s="222" t="s">
        <v>136</v>
      </c>
      <c r="E49" s="223">
        <v>31000000</v>
      </c>
      <c r="H49" s="432"/>
      <c r="I49" s="164">
        <f>SUM(I47:I48)</f>
        <v>72.56</v>
      </c>
      <c r="J49" s="160"/>
      <c r="K49" s="165">
        <f>SUM(K47:K48)</f>
        <v>166888</v>
      </c>
      <c r="L49" s="93"/>
      <c r="O49" s="432"/>
      <c r="P49" s="164">
        <f>SUM(P47:P48)</f>
        <v>72.56</v>
      </c>
      <c r="Q49" s="160"/>
      <c r="R49" s="165">
        <f>SUM(R47:R48)</f>
        <v>166888</v>
      </c>
      <c r="S49" s="93"/>
      <c r="W49" s="432"/>
      <c r="X49" s="164">
        <f>SUM(X47:X48)</f>
        <v>72.56</v>
      </c>
      <c r="Y49" s="160"/>
      <c r="Z49" s="165">
        <f>SUM(Z47:Z48)</f>
        <v>166888</v>
      </c>
      <c r="AA49" s="93"/>
      <c r="AE49" s="432"/>
      <c r="AF49" s="164">
        <f>SUM(AF47:AF48)</f>
        <v>0</v>
      </c>
      <c r="AG49" s="160"/>
      <c r="AH49" s="165">
        <f>SUM(AH47:AH48)</f>
        <v>0</v>
      </c>
      <c r="AI49" s="93"/>
    </row>
    <row r="50" spans="1:35" ht="15" thickTop="1" x14ac:dyDescent="0.35">
      <c r="D50" s="222" t="s">
        <v>137</v>
      </c>
      <c r="E50" s="223">
        <f>E47-E48-E49</f>
        <v>89615210.519999996</v>
      </c>
      <c r="I50" s="170"/>
      <c r="J50" s="171"/>
      <c r="K50" s="68">
        <f>+K13</f>
        <v>1202423.92</v>
      </c>
      <c r="L50" s="69" t="s">
        <v>26</v>
      </c>
      <c r="P50" s="170"/>
      <c r="Q50" s="171"/>
      <c r="R50" s="68">
        <f>+R13</f>
        <v>914969.33</v>
      </c>
      <c r="S50" s="69" t="s">
        <v>26</v>
      </c>
      <c r="X50" s="170"/>
      <c r="Y50" s="171"/>
      <c r="Z50" s="68">
        <f>+Z13</f>
        <v>914969.33</v>
      </c>
      <c r="AA50" s="69" t="s">
        <v>26</v>
      </c>
      <c r="AF50" s="170"/>
      <c r="AG50" s="171"/>
      <c r="AH50" s="68">
        <f>+AH13</f>
        <v>1202423.92</v>
      </c>
      <c r="AI50" s="69" t="s">
        <v>26</v>
      </c>
    </row>
    <row r="51" spans="1:35" ht="15" thickBot="1" x14ac:dyDescent="0.4">
      <c r="D51" s="222"/>
      <c r="E51" s="223"/>
      <c r="I51" s="56" t="s">
        <v>30</v>
      </c>
      <c r="J51" s="132"/>
      <c r="K51" s="84">
        <f>+K24+K32+K39+K45+K50+K49</f>
        <v>53559941.834916003</v>
      </c>
      <c r="P51" s="56" t="s">
        <v>30</v>
      </c>
      <c r="Q51" s="132"/>
      <c r="R51" s="84">
        <f>+R24+R32+R39+R45+R50+R49</f>
        <v>71645612.244915992</v>
      </c>
      <c r="X51" s="56" t="s">
        <v>30</v>
      </c>
      <c r="Y51" s="132"/>
      <c r="Z51" s="84">
        <f>+Z24+Z32+Z39+Z45+Z50+Z49</f>
        <v>74002869.744915992</v>
      </c>
      <c r="AF51" s="56" t="s">
        <v>30</v>
      </c>
      <c r="AG51" s="132"/>
      <c r="AH51" s="84">
        <f>+AH24+AH32+AH39+AH45+AH50+AH49</f>
        <v>78198193.444915995</v>
      </c>
    </row>
    <row r="52" spans="1:35" ht="15" thickTop="1" x14ac:dyDescent="0.35">
      <c r="D52" s="222" t="s">
        <v>138</v>
      </c>
      <c r="E52" s="223">
        <v>90000000</v>
      </c>
      <c r="J52" s="132"/>
      <c r="K52" s="132"/>
      <c r="Q52" s="132"/>
      <c r="R52" s="132"/>
      <c r="Y52" s="132"/>
      <c r="Z52" s="132"/>
      <c r="AG52" s="132"/>
      <c r="AH52" s="132"/>
    </row>
    <row r="53" spans="1:35" ht="15" thickBot="1" x14ac:dyDescent="0.4">
      <c r="D53" s="222" t="s">
        <v>145</v>
      </c>
      <c r="E53" s="223">
        <f>E52-E50</f>
        <v>384789.48000000417</v>
      </c>
      <c r="I53" s="56" t="s">
        <v>56</v>
      </c>
      <c r="J53" s="132"/>
      <c r="K53" s="177">
        <f>+K15-K51</f>
        <v>51466534.439788006</v>
      </c>
      <c r="P53" s="56" t="s">
        <v>56</v>
      </c>
      <c r="Q53" s="132"/>
      <c r="R53" s="177">
        <f>+R15-R51</f>
        <v>71081328.279788017</v>
      </c>
      <c r="X53" s="56" t="s">
        <v>56</v>
      </c>
      <c r="Y53" s="132"/>
      <c r="Z53" s="177">
        <f>+Z15-Z51</f>
        <v>67398490.779788017</v>
      </c>
      <c r="AF53" s="56" t="s">
        <v>56</v>
      </c>
      <c r="AG53" s="132"/>
      <c r="AH53" s="177">
        <f>+AH15-AH51</f>
        <v>57123822.409787968</v>
      </c>
    </row>
    <row r="54" spans="1:35" ht="15" thickTop="1" x14ac:dyDescent="0.35">
      <c r="D54" s="222" t="s">
        <v>161</v>
      </c>
      <c r="E54" s="223">
        <v>-5000000</v>
      </c>
      <c r="I54" s="56"/>
      <c r="J54" s="132"/>
      <c r="K54" s="289"/>
      <c r="P54" s="56"/>
      <c r="Q54" s="132"/>
      <c r="R54" s="289"/>
      <c r="X54" s="56"/>
      <c r="Y54" s="132"/>
      <c r="Z54" s="289"/>
      <c r="AG54" s="178"/>
      <c r="AH54" s="179"/>
    </row>
    <row r="55" spans="1:35" x14ac:dyDescent="0.35">
      <c r="D55" s="222" t="s">
        <v>139</v>
      </c>
      <c r="E55" s="223">
        <f>E53+E54</f>
        <v>-4615210.5199999958</v>
      </c>
      <c r="I55" s="56"/>
      <c r="J55" s="132"/>
      <c r="K55" s="289"/>
      <c r="P55" s="56"/>
      <c r="Q55" s="132"/>
      <c r="R55" s="289"/>
      <c r="X55" s="56"/>
      <c r="Y55" s="132"/>
      <c r="Z55" s="289"/>
      <c r="AF55" s="180" t="s">
        <v>109</v>
      </c>
      <c r="AG55" s="178"/>
      <c r="AH55" s="181">
        <v>30081777.469999999</v>
      </c>
    </row>
    <row r="56" spans="1:35" ht="15" thickBot="1" x14ac:dyDescent="0.4">
      <c r="D56" s="222"/>
      <c r="E56" s="193"/>
      <c r="J56" s="178"/>
      <c r="K56" s="179"/>
      <c r="Q56" s="178"/>
      <c r="R56" s="179"/>
      <c r="Y56" s="178"/>
      <c r="Z56" s="179"/>
      <c r="AE56" s="224"/>
      <c r="AF56" s="2" t="s">
        <v>110</v>
      </c>
      <c r="AG56" s="56"/>
      <c r="AH56" s="174">
        <f>+AH53</f>
        <v>57123822.409787968</v>
      </c>
    </row>
    <row r="57" spans="1:35" x14ac:dyDescent="0.35">
      <c r="A57" s="225"/>
      <c r="B57" s="226"/>
      <c r="C57" s="226"/>
      <c r="D57" s="227" t="s">
        <v>140</v>
      </c>
      <c r="E57" s="228">
        <f>E53/C8</f>
        <v>14709.077981651535</v>
      </c>
      <c r="I57" s="180" t="s">
        <v>109</v>
      </c>
      <c r="J57" s="178"/>
      <c r="K57" s="181">
        <v>30081777.469999999</v>
      </c>
      <c r="P57" s="180" t="s">
        <v>109</v>
      </c>
      <c r="Q57" s="178"/>
      <c r="R57" s="181">
        <v>30081777.469999999</v>
      </c>
      <c r="X57" s="180" t="s">
        <v>109</v>
      </c>
      <c r="Y57" s="178"/>
      <c r="Z57" s="181">
        <v>30081777.469999999</v>
      </c>
      <c r="AE57" s="224"/>
      <c r="AF57" s="2" t="s">
        <v>60</v>
      </c>
      <c r="AG57" s="56"/>
      <c r="AH57" s="183">
        <f>+AH55-AH56</f>
        <v>-27042044.939787969</v>
      </c>
    </row>
    <row r="58" spans="1:35" ht="15" thickBot="1" x14ac:dyDescent="0.4">
      <c r="A58" s="229"/>
      <c r="B58" s="230"/>
      <c r="C58" s="230"/>
      <c r="D58" s="231" t="s">
        <v>141</v>
      </c>
      <c r="E58" s="232">
        <f>E53/C7</f>
        <v>204.93687686408404</v>
      </c>
      <c r="H58" s="224"/>
      <c r="I58" s="2" t="s">
        <v>110</v>
      </c>
      <c r="J58" s="56"/>
      <c r="K58" s="174">
        <f>+K53</f>
        <v>51466534.439788006</v>
      </c>
      <c r="O58" s="224"/>
      <c r="P58" s="2" t="s">
        <v>110</v>
      </c>
      <c r="Q58" s="56"/>
      <c r="R58" s="174">
        <f>+R53</f>
        <v>71081328.279788017</v>
      </c>
      <c r="W58" s="224"/>
      <c r="X58" s="2" t="s">
        <v>110</v>
      </c>
      <c r="Y58" s="56"/>
      <c r="Z58" s="174">
        <f>+Z53</f>
        <v>67398490.779788017</v>
      </c>
      <c r="AF58" s="2" t="s">
        <v>111</v>
      </c>
      <c r="AG58" s="56"/>
      <c r="AH58" s="184">
        <v>31023831</v>
      </c>
      <c r="AI58" s="2" t="s">
        <v>164</v>
      </c>
    </row>
    <row r="59" spans="1:35" ht="15" thickBot="1" x14ac:dyDescent="0.4">
      <c r="E59" s="193"/>
      <c r="H59" s="224"/>
      <c r="I59" s="2" t="s">
        <v>60</v>
      </c>
      <c r="J59" s="56"/>
      <c r="K59" s="183">
        <f>+K57-K58</f>
        <v>-21384756.969788007</v>
      </c>
      <c r="O59" s="224"/>
      <c r="P59" s="2" t="s">
        <v>60</v>
      </c>
      <c r="Q59" s="56"/>
      <c r="R59" s="183">
        <f>+R57-R58</f>
        <v>-40999550.809788018</v>
      </c>
      <c r="W59" s="224"/>
      <c r="X59" s="2" t="s">
        <v>60</v>
      </c>
      <c r="Y59" s="56"/>
      <c r="Z59" s="183">
        <f>+Z57-Z58</f>
        <v>-37316713.309788018</v>
      </c>
      <c r="AF59" s="2" t="s">
        <v>112</v>
      </c>
      <c r="AG59" s="56"/>
      <c r="AH59" s="177">
        <f>+AH57+AH58</f>
        <v>3981786.060212031</v>
      </c>
    </row>
    <row r="60" spans="1:35" ht="15.5" thickTop="1" thickBot="1" x14ac:dyDescent="0.4">
      <c r="B60" s="283" t="s">
        <v>154</v>
      </c>
      <c r="C60" s="284"/>
      <c r="D60" s="285"/>
      <c r="E60" s="193"/>
      <c r="I60" s="2" t="s">
        <v>111</v>
      </c>
      <c r="J60" s="56"/>
      <c r="K60" s="184">
        <f>E29</f>
        <v>31023830.890000001</v>
      </c>
      <c r="L60" s="2" t="s">
        <v>119</v>
      </c>
      <c r="P60" s="2" t="s">
        <v>111</v>
      </c>
      <c r="Q60" s="56"/>
      <c r="R60" s="184">
        <f>K60</f>
        <v>31023830.890000001</v>
      </c>
      <c r="S60" s="2" t="s">
        <v>119</v>
      </c>
      <c r="X60" s="2" t="s">
        <v>111</v>
      </c>
      <c r="Y60" s="56"/>
      <c r="Z60" s="184">
        <f>K60</f>
        <v>31023830.890000001</v>
      </c>
      <c r="AA60" s="2" t="s">
        <v>119</v>
      </c>
      <c r="AF60" s="56"/>
      <c r="AG60" s="56"/>
    </row>
    <row r="61" spans="1:35" s="2" customFormat="1" ht="15" thickBot="1" x14ac:dyDescent="0.4">
      <c r="A61"/>
      <c r="B61" s="259" t="s">
        <v>148</v>
      </c>
      <c r="C61" s="260"/>
      <c r="D61" s="261" t="s">
        <v>134</v>
      </c>
      <c r="E61" s="262">
        <v>138300000</v>
      </c>
      <c r="F61" s="1"/>
      <c r="G61" s="3"/>
      <c r="H61" s="224"/>
      <c r="I61" s="2" t="s">
        <v>112</v>
      </c>
      <c r="J61" s="56"/>
      <c r="K61" s="177">
        <f>+K59+K60</f>
        <v>9639073.9202119932</v>
      </c>
      <c r="M61" s="1"/>
      <c r="N61" s="3"/>
      <c r="O61" s="1"/>
      <c r="P61" s="2" t="s">
        <v>112</v>
      </c>
      <c r="Q61" s="56"/>
      <c r="R61" s="177">
        <f>+R59+R60</f>
        <v>-9975719.9197880179</v>
      </c>
      <c r="T61"/>
      <c r="U61" s="1"/>
      <c r="V61" s="3"/>
      <c r="W61" s="1"/>
      <c r="X61" s="2" t="s">
        <v>112</v>
      </c>
      <c r="Y61" s="56"/>
      <c r="Z61" s="177">
        <f>+Z59+Z60</f>
        <v>-6292882.4197880179</v>
      </c>
      <c r="AB61"/>
      <c r="AC61" s="1"/>
      <c r="AD61" s="3"/>
      <c r="AE61" s="1"/>
      <c r="AF61" s="56"/>
      <c r="AG61" s="56"/>
    </row>
    <row r="62" spans="1:35" s="2" customFormat="1" ht="15.5" thickTop="1" thickBot="1" x14ac:dyDescent="0.4">
      <c r="A62"/>
      <c r="B62" s="272">
        <f>AF21</f>
        <v>13000</v>
      </c>
      <c r="C62" s="264"/>
      <c r="D62" s="265" t="s">
        <v>135</v>
      </c>
      <c r="E62" s="266">
        <f>23384789.48</f>
        <v>23384789.48</v>
      </c>
      <c r="F62" s="1"/>
      <c r="G62" s="3"/>
      <c r="H62" s="224"/>
      <c r="I62" s="56"/>
      <c r="J62" s="56"/>
      <c r="M62" s="1"/>
      <c r="N62" s="3"/>
      <c r="O62" s="1"/>
      <c r="P62" s="56"/>
      <c r="Q62" s="56"/>
      <c r="T62"/>
      <c r="U62" s="1"/>
      <c r="V62" s="3"/>
      <c r="W62" s="1"/>
      <c r="X62" s="56"/>
      <c r="Y62" s="56"/>
      <c r="AB62"/>
      <c r="AC62" s="1"/>
      <c r="AD62" s="3"/>
      <c r="AE62" s="186"/>
      <c r="AF62" s="368" t="s">
        <v>65</v>
      </c>
      <c r="AG62" s="369"/>
      <c r="AH62" s="369"/>
      <c r="AI62" s="370"/>
    </row>
    <row r="63" spans="1:35" s="2" customFormat="1" ht="15" thickBot="1" x14ac:dyDescent="0.4">
      <c r="A63"/>
      <c r="B63" s="272">
        <f>AF31</f>
        <v>300000</v>
      </c>
      <c r="C63" s="264"/>
      <c r="D63" s="265" t="s">
        <v>136</v>
      </c>
      <c r="E63" s="266">
        <v>25000000</v>
      </c>
      <c r="F63" s="1"/>
      <c r="G63" s="3"/>
      <c r="H63" s="224"/>
      <c r="I63" s="56"/>
      <c r="J63" s="56"/>
      <c r="M63" s="1"/>
      <c r="N63" s="3"/>
      <c r="O63" s="1"/>
      <c r="P63" s="56"/>
      <c r="Q63" s="56"/>
      <c r="U63" s="1"/>
      <c r="V63" s="3"/>
      <c r="W63" s="1"/>
      <c r="X63" s="56"/>
      <c r="Y63" s="56"/>
      <c r="AC63" s="1"/>
      <c r="AD63" s="3"/>
      <c r="AE63" s="186"/>
      <c r="AF63" s="56"/>
      <c r="AG63" s="56"/>
    </row>
    <row r="64" spans="1:35" s="2" customFormat="1" ht="15" thickBot="1" x14ac:dyDescent="0.4">
      <c r="B64" s="273" t="s">
        <v>150</v>
      </c>
      <c r="C64" s="264"/>
      <c r="D64" s="265" t="s">
        <v>162</v>
      </c>
      <c r="E64" s="266">
        <f>E61-E62-E63</f>
        <v>89915210.519999996</v>
      </c>
      <c r="F64" s="1"/>
      <c r="G64" s="3"/>
      <c r="H64" s="238"/>
      <c r="I64" s="368" t="s">
        <v>65</v>
      </c>
      <c r="J64" s="369"/>
      <c r="K64" s="369"/>
      <c r="L64" s="370"/>
      <c r="M64" s="1"/>
      <c r="N64" s="3"/>
      <c r="O64" s="186"/>
      <c r="P64" s="368" t="s">
        <v>65</v>
      </c>
      <c r="Q64" s="369"/>
      <c r="R64" s="369"/>
      <c r="S64" s="370"/>
      <c r="U64" s="1"/>
      <c r="V64" s="3"/>
      <c r="W64" s="186"/>
      <c r="X64" s="368" t="s">
        <v>65</v>
      </c>
      <c r="Y64" s="369"/>
      <c r="Z64" s="369"/>
      <c r="AA64" s="370"/>
      <c r="AC64" s="1"/>
      <c r="AD64" s="3"/>
      <c r="AE64" s="186"/>
      <c r="AF64" s="56"/>
      <c r="AG64" s="56"/>
      <c r="AI64" s="188" t="s">
        <v>66</v>
      </c>
    </row>
    <row r="65" spans="1:35" s="2" customFormat="1" ht="15" thickBot="1" x14ac:dyDescent="0.4">
      <c r="B65" s="273" t="s">
        <v>149</v>
      </c>
      <c r="C65" s="264"/>
      <c r="D65" s="265"/>
      <c r="E65" s="266"/>
      <c r="F65" s="1"/>
      <c r="G65" s="3"/>
      <c r="H65" s="238"/>
      <c r="I65" s="56"/>
      <c r="J65" s="56"/>
      <c r="M65" s="1"/>
      <c r="N65" s="3"/>
      <c r="O65" s="186"/>
      <c r="P65" s="56"/>
      <c r="Q65" s="56"/>
      <c r="U65" s="1"/>
      <c r="V65" s="3"/>
      <c r="W65" s="186"/>
      <c r="X65" s="56"/>
      <c r="Y65" s="56"/>
      <c r="AC65" s="1"/>
      <c r="AD65" s="3"/>
      <c r="AE65" s="186"/>
      <c r="AF65" s="56" t="s">
        <v>67</v>
      </c>
      <c r="AG65" s="56"/>
      <c r="AH65" s="30">
        <f>AH59</f>
        <v>3981786.060212031</v>
      </c>
    </row>
    <row r="66" spans="1:35" s="2" customFormat="1" ht="15" thickBot="1" x14ac:dyDescent="0.4">
      <c r="B66" s="263"/>
      <c r="C66" s="264"/>
      <c r="D66" s="265" t="s">
        <v>138</v>
      </c>
      <c r="E66" s="266">
        <v>90000000</v>
      </c>
      <c r="F66" s="1"/>
      <c r="G66" s="3"/>
      <c r="H66" s="238"/>
      <c r="I66" s="56"/>
      <c r="J66" s="56"/>
      <c r="L66" s="188" t="s">
        <v>66</v>
      </c>
      <c r="M66" s="1"/>
      <c r="N66" s="3"/>
      <c r="O66" s="186"/>
      <c r="P66" s="56"/>
      <c r="Q66" s="56"/>
      <c r="S66" s="188" t="s">
        <v>66</v>
      </c>
      <c r="U66" s="1"/>
      <c r="V66" s="3"/>
      <c r="W66" s="186"/>
      <c r="X66" s="56"/>
      <c r="Y66" s="56"/>
      <c r="AA66" s="188" t="s">
        <v>66</v>
      </c>
      <c r="AC66" s="1"/>
      <c r="AD66" s="3"/>
      <c r="AE66" s="186"/>
      <c r="AF66" s="56" t="s">
        <v>68</v>
      </c>
      <c r="AG66" s="56"/>
      <c r="AH66" s="189">
        <v>0</v>
      </c>
    </row>
    <row r="67" spans="1:35" s="2" customFormat="1" ht="15" thickBot="1" x14ac:dyDescent="0.4">
      <c r="B67" s="267"/>
      <c r="C67" s="101"/>
      <c r="D67" s="268" t="s">
        <v>145</v>
      </c>
      <c r="E67" s="269">
        <f>E66-E64</f>
        <v>84789.480000004172</v>
      </c>
      <c r="F67" s="1"/>
      <c r="G67" s="3"/>
      <c r="H67" s="238"/>
      <c r="I67" s="56" t="s">
        <v>67</v>
      </c>
      <c r="J67" s="56"/>
      <c r="K67" s="30">
        <f>K61</f>
        <v>9639073.9202119932</v>
      </c>
      <c r="M67" s="1"/>
      <c r="N67" s="3"/>
      <c r="O67" s="186"/>
      <c r="P67" s="56" t="s">
        <v>67</v>
      </c>
      <c r="Q67" s="56"/>
      <c r="R67" s="30">
        <f>R61</f>
        <v>-9975719.9197880179</v>
      </c>
      <c r="U67" s="1"/>
      <c r="V67" s="3"/>
      <c r="W67" s="186"/>
      <c r="X67" s="56" t="s">
        <v>67</v>
      </c>
      <c r="Y67" s="56"/>
      <c r="Z67" s="30">
        <f>Z61</f>
        <v>-6292882.4197880179</v>
      </c>
      <c r="AC67" s="1"/>
      <c r="AD67" s="3"/>
      <c r="AE67" s="186"/>
      <c r="AF67" s="56" t="s">
        <v>69</v>
      </c>
      <c r="AG67" s="56"/>
      <c r="AH67" s="192">
        <f>AH65+AH66</f>
        <v>3981786.060212031</v>
      </c>
    </row>
    <row r="68" spans="1:35" x14ac:dyDescent="0.35">
      <c r="A68" s="2"/>
      <c r="E68" s="193"/>
      <c r="H68" s="186"/>
      <c r="I68" s="56" t="s">
        <v>68</v>
      </c>
      <c r="J68" s="56"/>
      <c r="K68" s="189">
        <v>0</v>
      </c>
      <c r="O68" s="186"/>
      <c r="P68" s="56" t="s">
        <v>68</v>
      </c>
      <c r="Q68" s="56"/>
      <c r="R68" s="189">
        <v>0</v>
      </c>
      <c r="T68" s="2"/>
      <c r="W68" s="186"/>
      <c r="X68" s="56" t="s">
        <v>68</v>
      </c>
      <c r="Y68" s="56"/>
      <c r="Z68" s="189">
        <v>0</v>
      </c>
      <c r="AB68" s="2"/>
      <c r="AE68" s="186"/>
      <c r="AF68" s="56"/>
      <c r="AG68" s="56"/>
    </row>
    <row r="69" spans="1:35" ht="15" thickBot="1" x14ac:dyDescent="0.4">
      <c r="A69" s="2"/>
      <c r="E69" s="193"/>
      <c r="H69" s="186"/>
      <c r="I69" s="56" t="s">
        <v>69</v>
      </c>
      <c r="J69" s="56"/>
      <c r="K69" s="192">
        <f>K67+K68</f>
        <v>9639073.9202119932</v>
      </c>
      <c r="O69" s="186"/>
      <c r="P69" s="56" t="s">
        <v>69</v>
      </c>
      <c r="Q69" s="56"/>
      <c r="R69" s="192">
        <f>R67+R68</f>
        <v>-9975719.9197880179</v>
      </c>
      <c r="T69" s="2"/>
      <c r="W69" s="186"/>
      <c r="X69" s="56" t="s">
        <v>69</v>
      </c>
      <c r="Y69" s="56"/>
      <c r="Z69" s="192">
        <f>Z67+Z68</f>
        <v>-6292882.4197880179</v>
      </c>
      <c r="AB69" s="2"/>
      <c r="AF69" s="2" t="s">
        <v>70</v>
      </c>
    </row>
    <row r="70" spans="1:35" x14ac:dyDescent="0.35">
      <c r="A70" s="2"/>
      <c r="B70" s="239" t="s">
        <v>142</v>
      </c>
      <c r="C70" s="240"/>
      <c r="D70" s="241" t="s">
        <v>134</v>
      </c>
      <c r="E70" s="242">
        <v>133200000</v>
      </c>
      <c r="H70" s="186"/>
      <c r="I70" s="56"/>
      <c r="J70" s="56"/>
      <c r="O70" s="186"/>
      <c r="P70" s="56"/>
      <c r="Q70" s="56"/>
      <c r="W70" s="186"/>
      <c r="X70" s="56"/>
      <c r="Y70" s="56"/>
      <c r="AF70" s="2" t="s">
        <v>72</v>
      </c>
      <c r="AH70" s="189">
        <v>0</v>
      </c>
    </row>
    <row r="71" spans="1:35" s="2" customFormat="1" x14ac:dyDescent="0.35">
      <c r="A71"/>
      <c r="B71" s="270">
        <f>P31</f>
        <v>1025000</v>
      </c>
      <c r="C71" s="236"/>
      <c r="D71" s="237" t="s">
        <v>135</v>
      </c>
      <c r="E71" s="244">
        <f>23384789.48</f>
        <v>23384789.48</v>
      </c>
      <c r="F71" s="1"/>
      <c r="G71" s="3"/>
      <c r="H71" s="1"/>
      <c r="I71" s="2" t="s">
        <v>70</v>
      </c>
      <c r="M71" s="1"/>
      <c r="N71" s="3"/>
      <c r="O71" s="1"/>
      <c r="P71" s="2" t="s">
        <v>70</v>
      </c>
      <c r="T71"/>
      <c r="U71" s="1"/>
      <c r="V71" s="3"/>
      <c r="W71" s="1"/>
      <c r="X71" s="2" t="s">
        <v>70</v>
      </c>
      <c r="AB71"/>
      <c r="AC71" s="1"/>
      <c r="AD71" s="3"/>
      <c r="AE71" s="1"/>
      <c r="AF71" s="2" t="s">
        <v>74</v>
      </c>
      <c r="AH71" s="189">
        <f>17366.31+1425.51</f>
        <v>18791.82</v>
      </c>
    </row>
    <row r="72" spans="1:35" s="2" customFormat="1" ht="15" thickBot="1" x14ac:dyDescent="0.4">
      <c r="A72"/>
      <c r="B72" s="274" t="s">
        <v>150</v>
      </c>
      <c r="C72" s="236"/>
      <c r="D72" s="237" t="s">
        <v>136</v>
      </c>
      <c r="E72" s="244">
        <v>25000000</v>
      </c>
      <c r="F72" s="1"/>
      <c r="G72" s="3"/>
      <c r="H72" s="1"/>
      <c r="I72" s="2" t="s">
        <v>72</v>
      </c>
      <c r="K72" s="189">
        <v>0</v>
      </c>
      <c r="M72" s="1"/>
      <c r="N72" s="3"/>
      <c r="O72" s="1"/>
      <c r="P72" s="2" t="s">
        <v>72</v>
      </c>
      <c r="R72" s="189">
        <v>0</v>
      </c>
      <c r="T72"/>
      <c r="U72" s="1"/>
      <c r="V72" s="3"/>
      <c r="W72" s="1"/>
      <c r="X72" s="2" t="s">
        <v>72</v>
      </c>
      <c r="Z72" s="189">
        <v>0</v>
      </c>
      <c r="AB72"/>
      <c r="AC72" s="1"/>
      <c r="AD72" s="3"/>
      <c r="AE72" s="186"/>
      <c r="AF72" s="2" t="s">
        <v>75</v>
      </c>
      <c r="AH72" s="192">
        <f>SUM(AH70:AH71)</f>
        <v>18791.82</v>
      </c>
    </row>
    <row r="73" spans="1:35" s="2" customFormat="1" x14ac:dyDescent="0.35">
      <c r="A73"/>
      <c r="B73" s="243"/>
      <c r="C73" s="236"/>
      <c r="D73" s="237" t="s">
        <v>162</v>
      </c>
      <c r="E73" s="244">
        <f>E70-E71-E72</f>
        <v>84815210.519999996</v>
      </c>
      <c r="F73" s="1"/>
      <c r="G73" s="3"/>
      <c r="H73" s="1"/>
      <c r="I73" s="2" t="s">
        <v>74</v>
      </c>
      <c r="K73" s="189">
        <f>17366.31+1425.51</f>
        <v>18791.82</v>
      </c>
      <c r="M73" s="1"/>
      <c r="N73" s="3"/>
      <c r="O73" s="1"/>
      <c r="P73" s="2" t="s">
        <v>74</v>
      </c>
      <c r="R73" s="189">
        <f>17366.31+1425.51</f>
        <v>18791.82</v>
      </c>
      <c r="U73" s="1"/>
      <c r="V73" s="3"/>
      <c r="W73" s="1"/>
      <c r="X73" s="2" t="s">
        <v>74</v>
      </c>
      <c r="Z73" s="189">
        <f>17366.31+1425.51</f>
        <v>18791.82</v>
      </c>
      <c r="AC73" s="1"/>
      <c r="AD73" s="3"/>
      <c r="AE73" s="186"/>
      <c r="AH73" s="56"/>
    </row>
    <row r="74" spans="1:35" ht="15" thickBot="1" x14ac:dyDescent="0.4">
      <c r="A74" s="2"/>
      <c r="B74" s="243"/>
      <c r="C74" s="236"/>
      <c r="D74" s="237"/>
      <c r="E74" s="244"/>
      <c r="H74" s="186"/>
      <c r="I74" s="2" t="s">
        <v>75</v>
      </c>
      <c r="K74" s="192">
        <f>SUM(K72:K73)</f>
        <v>18791.82</v>
      </c>
      <c r="O74" s="186"/>
      <c r="P74" s="2" t="s">
        <v>75</v>
      </c>
      <c r="R74" s="192">
        <f>SUM(R72:R73)</f>
        <v>18791.82</v>
      </c>
      <c r="T74" s="2"/>
      <c r="W74" s="186"/>
      <c r="X74" s="2" t="s">
        <v>75</v>
      </c>
      <c r="Z74" s="192">
        <f>SUM(Z72:Z73)</f>
        <v>18791.82</v>
      </c>
      <c r="AB74" s="2"/>
      <c r="AE74" s="186"/>
      <c r="AF74" s="2" t="s">
        <v>76</v>
      </c>
    </row>
    <row r="75" spans="1:35" x14ac:dyDescent="0.35">
      <c r="A75" s="2"/>
      <c r="B75" s="243"/>
      <c r="C75" s="236"/>
      <c r="D75" s="237" t="s">
        <v>138</v>
      </c>
      <c r="E75" s="244">
        <v>90000000</v>
      </c>
      <c r="H75" s="186"/>
      <c r="K75" s="56"/>
      <c r="O75" s="186"/>
      <c r="R75" s="56"/>
      <c r="T75" s="2"/>
      <c r="W75" s="186"/>
      <c r="Z75" s="56"/>
      <c r="AB75" s="2"/>
      <c r="AF75" s="2" t="s">
        <v>77</v>
      </c>
      <c r="AH75" s="189">
        <v>0</v>
      </c>
      <c r="AI75" s="2" t="s">
        <v>106</v>
      </c>
    </row>
    <row r="76" spans="1:35" ht="15" thickBot="1" x14ac:dyDescent="0.4">
      <c r="A76" s="2"/>
      <c r="B76" s="245"/>
      <c r="C76" s="246"/>
      <c r="D76" s="247" t="s">
        <v>145</v>
      </c>
      <c r="E76" s="248">
        <f>E75-E73</f>
        <v>5184789.4800000042</v>
      </c>
      <c r="H76" s="186"/>
      <c r="I76" s="2" t="s">
        <v>76</v>
      </c>
      <c r="O76" s="186"/>
      <c r="P76" s="2" t="s">
        <v>76</v>
      </c>
      <c r="W76" s="186"/>
      <c r="X76" s="2" t="s">
        <v>76</v>
      </c>
      <c r="AF76" s="2" t="s">
        <v>79</v>
      </c>
      <c r="AH76" s="189">
        <v>0</v>
      </c>
      <c r="AI76" s="2" t="s">
        <v>107</v>
      </c>
    </row>
    <row r="77" spans="1:35" x14ac:dyDescent="0.35">
      <c r="I77" s="2" t="s">
        <v>77</v>
      </c>
      <c r="K77" s="189">
        <v>0</v>
      </c>
      <c r="L77" s="2" t="s">
        <v>106</v>
      </c>
      <c r="P77" s="2" t="s">
        <v>77</v>
      </c>
      <c r="R77" s="189">
        <v>0</v>
      </c>
      <c r="S77" s="2" t="s">
        <v>106</v>
      </c>
      <c r="X77" s="2" t="s">
        <v>77</v>
      </c>
      <c r="Z77" s="189">
        <v>0</v>
      </c>
      <c r="AA77" s="2" t="s">
        <v>106</v>
      </c>
      <c r="AF77" s="2" t="s">
        <v>81</v>
      </c>
      <c r="AH77" s="189">
        <v>0</v>
      </c>
      <c r="AI77" s="2" t="s">
        <v>82</v>
      </c>
    </row>
    <row r="78" spans="1:35" ht="15" thickBot="1" x14ac:dyDescent="0.4">
      <c r="I78" s="2" t="s">
        <v>79</v>
      </c>
      <c r="K78" s="189">
        <v>0</v>
      </c>
      <c r="L78" s="2" t="s">
        <v>107</v>
      </c>
      <c r="P78" s="2" t="s">
        <v>79</v>
      </c>
      <c r="R78" s="189">
        <v>0</v>
      </c>
      <c r="S78" s="2" t="s">
        <v>107</v>
      </c>
      <c r="X78" s="2" t="s">
        <v>79</v>
      </c>
      <c r="Z78" s="189">
        <v>0</v>
      </c>
      <c r="AA78" s="2" t="s">
        <v>107</v>
      </c>
      <c r="AF78" s="2" t="s">
        <v>83</v>
      </c>
      <c r="AH78" s="189">
        <v>0</v>
      </c>
    </row>
    <row r="79" spans="1:35" x14ac:dyDescent="0.35">
      <c r="B79" s="13" t="s">
        <v>146</v>
      </c>
      <c r="C79" s="15"/>
      <c r="D79" s="249" t="s">
        <v>134</v>
      </c>
      <c r="E79" s="250">
        <v>133300000</v>
      </c>
      <c r="I79" s="2" t="s">
        <v>81</v>
      </c>
      <c r="K79" s="189">
        <v>0</v>
      </c>
      <c r="L79" s="2" t="s">
        <v>82</v>
      </c>
      <c r="P79" s="2" t="s">
        <v>81</v>
      </c>
      <c r="R79" s="189">
        <v>0</v>
      </c>
      <c r="S79" s="2" t="s">
        <v>82</v>
      </c>
      <c r="X79" s="2" t="s">
        <v>81</v>
      </c>
      <c r="Z79" s="189">
        <v>0</v>
      </c>
      <c r="AA79" s="2" t="s">
        <v>82</v>
      </c>
      <c r="AE79" s="1" t="s">
        <v>122</v>
      </c>
      <c r="AF79" s="2" t="s">
        <v>84</v>
      </c>
      <c r="AH79" s="190">
        <f>AH95</f>
        <v>822407.5</v>
      </c>
      <c r="AI79" s="190"/>
    </row>
    <row r="80" spans="1:35" ht="15" thickBot="1" x14ac:dyDescent="0.4">
      <c r="B80" s="271">
        <f>X21</f>
        <v>13575</v>
      </c>
      <c r="C80" s="252"/>
      <c r="D80" s="253" t="s">
        <v>135</v>
      </c>
      <c r="E80" s="254">
        <f>23384789.48</f>
        <v>23384789.48</v>
      </c>
      <c r="I80" s="2" t="s">
        <v>83</v>
      </c>
      <c r="K80" s="189">
        <v>0</v>
      </c>
      <c r="P80" s="2" t="s">
        <v>83</v>
      </c>
      <c r="R80" s="189">
        <v>0</v>
      </c>
      <c r="X80" s="2" t="s">
        <v>83</v>
      </c>
      <c r="Z80" s="189">
        <v>0</v>
      </c>
      <c r="AF80" s="2" t="s">
        <v>85</v>
      </c>
      <c r="AH80" s="192">
        <f>SUM(AH75:AH79)</f>
        <v>822407.5</v>
      </c>
      <c r="AI80" s="190"/>
    </row>
    <row r="81" spans="2:35" x14ac:dyDescent="0.35">
      <c r="B81" s="302" t="s">
        <v>149</v>
      </c>
      <c r="C81" s="252"/>
      <c r="D81" s="253" t="s">
        <v>136</v>
      </c>
      <c r="E81" s="254">
        <v>25000000</v>
      </c>
      <c r="H81" s="1" t="s">
        <v>122</v>
      </c>
      <c r="I81" s="2" t="s">
        <v>84</v>
      </c>
      <c r="K81" s="190">
        <f>K97</f>
        <v>836072</v>
      </c>
      <c r="L81" s="190"/>
      <c r="O81" s="1" t="s">
        <v>122</v>
      </c>
      <c r="P81" s="2" t="s">
        <v>84</v>
      </c>
      <c r="R81" s="190">
        <f>R97</f>
        <v>836072</v>
      </c>
      <c r="S81" s="190"/>
      <c r="W81" s="1" t="s">
        <v>122</v>
      </c>
      <c r="X81" s="2" t="s">
        <v>84</v>
      </c>
      <c r="Z81" s="190">
        <f>Z97</f>
        <v>836072</v>
      </c>
      <c r="AA81" s="190"/>
      <c r="AI81" s="190"/>
    </row>
    <row r="82" spans="2:35" ht="15" thickBot="1" x14ac:dyDescent="0.4">
      <c r="B82" s="251"/>
      <c r="C82" s="252"/>
      <c r="D82" s="253" t="s">
        <v>162</v>
      </c>
      <c r="E82" s="254">
        <f>E79-E80-E81</f>
        <v>84915210.519999996</v>
      </c>
      <c r="I82" s="2" t="s">
        <v>85</v>
      </c>
      <c r="K82" s="192">
        <f>SUM(K77:K81)</f>
        <v>836072</v>
      </c>
      <c r="L82" s="190"/>
      <c r="P82" s="2" t="s">
        <v>85</v>
      </c>
      <c r="R82" s="192">
        <f>SUM(R77:R81)</f>
        <v>836072</v>
      </c>
      <c r="S82" s="190"/>
      <c r="X82" s="2" t="s">
        <v>85</v>
      </c>
      <c r="Z82" s="192">
        <f>SUM(Z77:Z81)</f>
        <v>836072</v>
      </c>
      <c r="AA82" s="190"/>
      <c r="AF82" s="2" t="s">
        <v>86</v>
      </c>
      <c r="AH82" s="195">
        <f>AH67+AH72+AH80</f>
        <v>4822985.3802120313</v>
      </c>
    </row>
    <row r="83" spans="2:35" x14ac:dyDescent="0.35">
      <c r="B83" s="251"/>
      <c r="C83" s="252"/>
      <c r="D83" s="253"/>
      <c r="E83" s="254"/>
      <c r="L83" s="190"/>
      <c r="S83" s="190"/>
      <c r="AA83" s="190"/>
      <c r="AH83" s="196"/>
    </row>
    <row r="84" spans="2:35" x14ac:dyDescent="0.35">
      <c r="B84" s="251"/>
      <c r="C84" s="252"/>
      <c r="D84" s="253" t="s">
        <v>138</v>
      </c>
      <c r="E84" s="254">
        <v>90000000</v>
      </c>
      <c r="I84" s="2" t="s">
        <v>86</v>
      </c>
      <c r="K84" s="195">
        <f>K69+K74+K82</f>
        <v>10493937.740211993</v>
      </c>
      <c r="P84" s="2" t="s">
        <v>86</v>
      </c>
      <c r="R84" s="195">
        <f>R69+R74+R82</f>
        <v>-9120856.0997880176</v>
      </c>
      <c r="X84" s="2" t="s">
        <v>86</v>
      </c>
      <c r="Z84" s="195">
        <f>Z69+Z74+Z82</f>
        <v>-5438018.5997880176</v>
      </c>
      <c r="AF84" s="2" t="s">
        <v>87</v>
      </c>
      <c r="AH84" s="195">
        <v>0</v>
      </c>
    </row>
    <row r="85" spans="2:35" ht="15" thickBot="1" x14ac:dyDescent="0.4">
      <c r="B85" s="255"/>
      <c r="C85" s="256"/>
      <c r="D85" s="257" t="s">
        <v>145</v>
      </c>
      <c r="E85" s="258">
        <f>E84-E82</f>
        <v>5084789.4800000042</v>
      </c>
      <c r="K85" s="196"/>
      <c r="R85" s="196"/>
      <c r="Z85" s="196"/>
    </row>
    <row r="86" spans="2:35" ht="15" thickBot="1" x14ac:dyDescent="0.4">
      <c r="B86" s="2"/>
      <c r="C86" s="2"/>
      <c r="D86" s="2"/>
      <c r="E86" s="2"/>
      <c r="I86" s="2" t="s">
        <v>87</v>
      </c>
      <c r="K86" s="195">
        <v>0</v>
      </c>
      <c r="P86" s="2" t="s">
        <v>87</v>
      </c>
      <c r="R86" s="195">
        <v>0</v>
      </c>
      <c r="X86" s="2" t="s">
        <v>87</v>
      </c>
      <c r="Z86" s="195">
        <v>0</v>
      </c>
      <c r="AF86" s="2" t="s">
        <v>88</v>
      </c>
      <c r="AH86" s="197">
        <f>AH82-AH84</f>
        <v>4822985.3802120313</v>
      </c>
    </row>
    <row r="87" spans="2:35" ht="15" thickTop="1" x14ac:dyDescent="0.35">
      <c r="B87" s="2"/>
      <c r="C87" s="2"/>
      <c r="D87" s="2"/>
      <c r="E87" s="2"/>
    </row>
    <row r="88" spans="2:35" ht="15" thickBot="1" x14ac:dyDescent="0.4">
      <c r="B88" s="2"/>
      <c r="C88" s="2"/>
      <c r="D88" s="2"/>
      <c r="E88" s="30"/>
      <c r="I88" s="2" t="s">
        <v>88</v>
      </c>
      <c r="K88" s="197">
        <f>K84-K86</f>
        <v>10493937.740211993</v>
      </c>
      <c r="P88" s="2" t="s">
        <v>88</v>
      </c>
      <c r="R88" s="197">
        <f>R84-R86</f>
        <v>-9120856.0997880176</v>
      </c>
      <c r="X88" s="2" t="s">
        <v>88</v>
      </c>
      <c r="Z88" s="197">
        <f>Z84-Z86</f>
        <v>-5438018.5997880176</v>
      </c>
    </row>
    <row r="89" spans="2:35" ht="15" thickTop="1" x14ac:dyDescent="0.35">
      <c r="B89" s="2"/>
      <c r="C89" s="2"/>
      <c r="D89" s="2"/>
      <c r="E89" s="2"/>
      <c r="AF89" s="371" t="s">
        <v>31</v>
      </c>
      <c r="AG89" s="371"/>
    </row>
    <row r="90" spans="2:35" ht="21" customHeight="1" thickBot="1" x14ac:dyDescent="0.4">
      <c r="B90" s="2"/>
      <c r="C90" s="2"/>
      <c r="D90" s="2"/>
      <c r="E90" s="2"/>
      <c r="AG90" s="299" t="s">
        <v>33</v>
      </c>
      <c r="AH90" s="199">
        <v>-3377592.5</v>
      </c>
    </row>
    <row r="91" spans="2:35" ht="21.75" customHeight="1" x14ac:dyDescent="0.35">
      <c r="B91" s="2"/>
      <c r="C91" s="2"/>
      <c r="D91" s="2"/>
      <c r="E91" s="2"/>
      <c r="I91" s="371" t="s">
        <v>31</v>
      </c>
      <c r="J91" s="371"/>
      <c r="P91" s="371" t="s">
        <v>31</v>
      </c>
      <c r="Q91" s="371"/>
      <c r="X91" s="371" t="s">
        <v>31</v>
      </c>
      <c r="Y91" s="371"/>
      <c r="AE91" s="374" t="s">
        <v>89</v>
      </c>
      <c r="AF91" s="299" t="s">
        <v>120</v>
      </c>
      <c r="AG91" s="299" t="s">
        <v>36</v>
      </c>
      <c r="AH91" s="199">
        <v>0</v>
      </c>
      <c r="AI91" s="2" t="s">
        <v>37</v>
      </c>
    </row>
    <row r="92" spans="2:35" ht="15" thickBot="1" x14ac:dyDescent="0.4">
      <c r="B92" s="2"/>
      <c r="C92" s="2"/>
      <c r="D92" s="2"/>
      <c r="E92" s="2"/>
      <c r="J92" s="299" t="s">
        <v>33</v>
      </c>
      <c r="K92" s="199">
        <f>C18</f>
        <v>-3377592.5</v>
      </c>
      <c r="Q92" s="299" t="s">
        <v>33</v>
      </c>
      <c r="R92" s="199">
        <v>-3377592.5</v>
      </c>
      <c r="Y92" s="299" t="s">
        <v>33</v>
      </c>
      <c r="Z92" s="199">
        <v>-3377592.5</v>
      </c>
      <c r="AE92" s="375"/>
      <c r="AF92" s="299" t="s">
        <v>120</v>
      </c>
      <c r="AG92" s="299" t="s">
        <v>38</v>
      </c>
      <c r="AH92" s="199">
        <v>4200000</v>
      </c>
      <c r="AI92" s="2" t="s">
        <v>37</v>
      </c>
    </row>
    <row r="93" spans="2:35" ht="15" thickBot="1" x14ac:dyDescent="0.4">
      <c r="B93" s="2"/>
      <c r="C93" s="2"/>
      <c r="D93" s="2"/>
      <c r="E93" s="2"/>
      <c r="H93" s="374" t="s">
        <v>89</v>
      </c>
      <c r="I93" s="299" t="s">
        <v>120</v>
      </c>
      <c r="J93" s="299" t="s">
        <v>36</v>
      </c>
      <c r="K93" s="199">
        <f t="shared" ref="K93:K96" si="8">C19</f>
        <v>-847675</v>
      </c>
      <c r="L93" s="2" t="s">
        <v>37</v>
      </c>
      <c r="O93" s="374" t="s">
        <v>89</v>
      </c>
      <c r="P93" s="299" t="s">
        <v>120</v>
      </c>
      <c r="Q93" s="299" t="s">
        <v>36</v>
      </c>
      <c r="R93" s="199">
        <v>-847675</v>
      </c>
      <c r="S93" s="2" t="s">
        <v>37</v>
      </c>
      <c r="W93" s="374" t="s">
        <v>89</v>
      </c>
      <c r="X93" s="299" t="s">
        <v>120</v>
      </c>
      <c r="Y93" s="299" t="s">
        <v>36</v>
      </c>
      <c r="Z93" s="199">
        <v>-847675</v>
      </c>
      <c r="AA93" s="2" t="s">
        <v>37</v>
      </c>
      <c r="AE93" s="376"/>
      <c r="AF93" s="299" t="s">
        <v>92</v>
      </c>
      <c r="AG93" s="299" t="s">
        <v>39</v>
      </c>
      <c r="AH93" s="199">
        <v>0</v>
      </c>
      <c r="AI93" s="2" t="s">
        <v>121</v>
      </c>
    </row>
    <row r="94" spans="2:35" x14ac:dyDescent="0.35">
      <c r="B94" s="2"/>
      <c r="C94" s="2"/>
      <c r="D94" s="2"/>
      <c r="E94" s="2"/>
      <c r="H94" s="375"/>
      <c r="I94" s="299" t="s">
        <v>120</v>
      </c>
      <c r="J94" s="299" t="s">
        <v>38</v>
      </c>
      <c r="K94" s="199">
        <f t="shared" si="8"/>
        <v>-1585.5</v>
      </c>
      <c r="L94" s="2" t="s">
        <v>37</v>
      </c>
      <c r="O94" s="375"/>
      <c r="P94" s="299" t="s">
        <v>120</v>
      </c>
      <c r="Q94" s="299" t="s">
        <v>38</v>
      </c>
      <c r="R94" s="199">
        <v>-1585.5</v>
      </c>
      <c r="S94" s="2" t="s">
        <v>37</v>
      </c>
      <c r="W94" s="375"/>
      <c r="X94" s="299" t="s">
        <v>120</v>
      </c>
      <c r="Y94" s="299" t="s">
        <v>38</v>
      </c>
      <c r="Z94" s="199">
        <v>-1585.5</v>
      </c>
      <c r="AA94" s="2" t="s">
        <v>37</v>
      </c>
      <c r="AF94" s="299" t="s">
        <v>120</v>
      </c>
      <c r="AG94" s="299" t="s">
        <v>103</v>
      </c>
      <c r="AH94" s="199">
        <v>0</v>
      </c>
    </row>
    <row r="95" spans="2:35" ht="15" thickBot="1" x14ac:dyDescent="0.4">
      <c r="B95" s="2"/>
      <c r="C95" s="2"/>
      <c r="D95" s="2"/>
      <c r="E95" s="2"/>
      <c r="H95" s="376"/>
      <c r="I95" s="299" t="s">
        <v>92</v>
      </c>
      <c r="J95" s="299" t="s">
        <v>39</v>
      </c>
      <c r="K95" s="199">
        <f t="shared" si="8"/>
        <v>5534565</v>
      </c>
      <c r="L95" s="2" t="s">
        <v>121</v>
      </c>
      <c r="O95" s="376"/>
      <c r="P95" s="299" t="s">
        <v>92</v>
      </c>
      <c r="Q95" s="299" t="s">
        <v>39</v>
      </c>
      <c r="R95" s="199">
        <v>5534565</v>
      </c>
      <c r="S95" s="2" t="s">
        <v>121</v>
      </c>
      <c r="W95" s="376"/>
      <c r="X95" s="299" t="s">
        <v>92</v>
      </c>
      <c r="Y95" s="299" t="s">
        <v>39</v>
      </c>
      <c r="Z95" s="199">
        <v>5534565</v>
      </c>
      <c r="AA95" s="2" t="s">
        <v>121</v>
      </c>
      <c r="AG95" s="299" t="s">
        <v>41</v>
      </c>
      <c r="AH95" s="200">
        <f>SUM(AH90:AH94)</f>
        <v>822407.5</v>
      </c>
    </row>
    <row r="96" spans="2:35" x14ac:dyDescent="0.35">
      <c r="B96" s="2"/>
      <c r="C96" s="2"/>
      <c r="D96" s="2"/>
      <c r="E96" s="2"/>
      <c r="I96" s="299" t="s">
        <v>120</v>
      </c>
      <c r="J96" s="299" t="s">
        <v>103</v>
      </c>
      <c r="K96" s="199">
        <f t="shared" si="8"/>
        <v>-471640</v>
      </c>
      <c r="P96" s="299" t="s">
        <v>120</v>
      </c>
      <c r="Q96" s="299" t="s">
        <v>103</v>
      </c>
      <c r="R96" s="199">
        <v>-471640</v>
      </c>
      <c r="X96" s="299" t="s">
        <v>120</v>
      </c>
      <c r="Y96" s="299" t="s">
        <v>103</v>
      </c>
      <c r="Z96" s="199">
        <v>-471640</v>
      </c>
    </row>
    <row r="97" spans="1:34" x14ac:dyDescent="0.35">
      <c r="B97" s="2"/>
      <c r="C97" s="2"/>
      <c r="D97" s="2"/>
      <c r="E97" s="2"/>
      <c r="J97" s="299" t="s">
        <v>41</v>
      </c>
      <c r="K97" s="200">
        <f>SUM(K92:K96)</f>
        <v>836072</v>
      </c>
      <c r="L97" s="2" t="str">
        <f>B3</f>
        <v>Date as of : 12.29.2020</v>
      </c>
      <c r="Q97" s="299" t="s">
        <v>41</v>
      </c>
      <c r="R97" s="200">
        <f>SUM(R92:R96)</f>
        <v>836072</v>
      </c>
      <c r="S97" s="2">
        <f>K2</f>
        <v>0</v>
      </c>
      <c r="Y97" s="299" t="s">
        <v>41</v>
      </c>
      <c r="Z97" s="200">
        <f>SUM(Z92:Z96)</f>
        <v>836072</v>
      </c>
      <c r="AA97" s="2">
        <f>Q3</f>
        <v>0</v>
      </c>
    </row>
    <row r="98" spans="1:34" ht="15" thickBot="1" x14ac:dyDescent="0.4">
      <c r="E98" s="194"/>
      <c r="AH98" s="235"/>
    </row>
    <row r="99" spans="1:34" ht="15" thickBot="1" x14ac:dyDescent="0.4">
      <c r="AF99" s="333" t="s">
        <v>123</v>
      </c>
      <c r="AG99" s="334"/>
    </row>
    <row r="100" spans="1:34" ht="15" thickBot="1" x14ac:dyDescent="0.4">
      <c r="R100" s="235"/>
      <c r="Z100" s="235"/>
    </row>
    <row r="101" spans="1:34" ht="15" thickBot="1" x14ac:dyDescent="0.4">
      <c r="I101" s="333" t="s">
        <v>123</v>
      </c>
      <c r="J101" s="334"/>
      <c r="P101" s="333" t="s">
        <v>123</v>
      </c>
      <c r="Q101" s="334"/>
      <c r="X101" s="333" t="s">
        <v>123</v>
      </c>
      <c r="Y101" s="334"/>
    </row>
    <row r="111" spans="1:34" s="2" customFormat="1" x14ac:dyDescent="0.35">
      <c r="A111"/>
      <c r="B111"/>
      <c r="C111"/>
      <c r="D111"/>
      <c r="E111"/>
      <c r="F111" s="1"/>
      <c r="G111" s="3"/>
      <c r="H111" s="1"/>
      <c r="M111" s="1"/>
      <c r="N111" s="3"/>
      <c r="O111" s="1"/>
      <c r="T111"/>
      <c r="U111" s="1"/>
      <c r="V111" s="3"/>
      <c r="W111" s="1"/>
      <c r="AB111"/>
      <c r="AC111" s="1"/>
      <c r="AD111" s="3"/>
      <c r="AE111" s="1"/>
    </row>
    <row r="112" spans="1:34" s="2" customFormat="1" x14ac:dyDescent="0.35">
      <c r="A112"/>
      <c r="B112"/>
      <c r="C112"/>
      <c r="D112"/>
      <c r="E112"/>
      <c r="F112" s="1"/>
      <c r="G112" s="3"/>
      <c r="H112" s="1"/>
      <c r="M112" s="1"/>
      <c r="N112" s="3"/>
      <c r="O112" s="1"/>
      <c r="T112"/>
      <c r="U112" s="1"/>
      <c r="V112" s="3"/>
      <c r="W112" s="1"/>
      <c r="AB112"/>
      <c r="AC112" s="1"/>
      <c r="AD112" s="3"/>
      <c r="AE112" s="1"/>
    </row>
    <row r="113" spans="1:33" s="2" customFormat="1" ht="15" thickBot="1" x14ac:dyDescent="0.4">
      <c r="A113"/>
      <c r="B113"/>
      <c r="C113"/>
      <c r="D113"/>
      <c r="E113"/>
      <c r="F113" s="1"/>
      <c r="G113" s="3"/>
      <c r="H113" s="1"/>
      <c r="M113" s="1"/>
      <c r="N113" s="3"/>
      <c r="O113" s="1"/>
      <c r="U113" s="1"/>
      <c r="V113" s="3"/>
      <c r="W113" s="1"/>
      <c r="AC113" s="1"/>
      <c r="AD113" s="3"/>
      <c r="AE113" s="1"/>
      <c r="AF113" s="2" t="s">
        <v>168</v>
      </c>
    </row>
    <row r="114" spans="1:33" s="2" customFormat="1" ht="15" thickBot="1" x14ac:dyDescent="0.4">
      <c r="B114"/>
      <c r="C114"/>
      <c r="D114"/>
      <c r="E114"/>
      <c r="F114" s="1"/>
      <c r="G114" s="3"/>
      <c r="H114" s="1"/>
      <c r="M114" s="1"/>
      <c r="N114" s="3"/>
      <c r="O114" s="1"/>
      <c r="U114" s="1"/>
      <c r="V114" s="3"/>
      <c r="W114" s="1"/>
      <c r="AC114" s="1"/>
      <c r="AD114" s="3"/>
      <c r="AE114" s="1"/>
      <c r="AF114" s="333" t="s">
        <v>36</v>
      </c>
      <c r="AG114" s="334"/>
    </row>
    <row r="115" spans="1:33" s="2" customFormat="1" ht="15" thickBot="1" x14ac:dyDescent="0.4">
      <c r="B115"/>
      <c r="C115"/>
      <c r="D115"/>
      <c r="E115"/>
      <c r="F115" s="1"/>
      <c r="G115" s="3"/>
      <c r="H115" s="1"/>
      <c r="M115" s="1"/>
      <c r="N115" s="3"/>
      <c r="O115" s="1"/>
      <c r="U115" s="1"/>
      <c r="V115" s="3"/>
      <c r="W115" s="1"/>
      <c r="AC115" s="1"/>
      <c r="AD115" s="3"/>
      <c r="AE115" s="1"/>
    </row>
    <row r="116" spans="1:33" ht="15" thickBot="1" x14ac:dyDescent="0.4">
      <c r="A116" s="2"/>
      <c r="I116" s="333" t="s">
        <v>36</v>
      </c>
      <c r="J116" s="334"/>
      <c r="P116" s="333" t="s">
        <v>36</v>
      </c>
      <c r="Q116" s="334"/>
      <c r="T116" s="2"/>
      <c r="X116" s="333" t="s">
        <v>36</v>
      </c>
      <c r="Y116" s="334"/>
      <c r="AB116" s="2"/>
    </row>
    <row r="117" spans="1:33" x14ac:dyDescent="0.35">
      <c r="A117" s="2"/>
      <c r="T117" s="2"/>
      <c r="AB117" s="2"/>
    </row>
    <row r="118" spans="1:33" x14ac:dyDescent="0.35">
      <c r="A118" s="2"/>
    </row>
    <row r="130" spans="7:33" x14ac:dyDescent="0.35">
      <c r="G130"/>
      <c r="N130"/>
      <c r="V130"/>
      <c r="AD130"/>
    </row>
    <row r="131" spans="7:33" x14ac:dyDescent="0.35">
      <c r="G131"/>
      <c r="N131"/>
      <c r="V131"/>
      <c r="AD131"/>
    </row>
    <row r="132" spans="7:33" x14ac:dyDescent="0.35">
      <c r="G132"/>
      <c r="N132"/>
      <c r="V132"/>
      <c r="AD132"/>
      <c r="AF132" s="2" t="s">
        <v>164</v>
      </c>
    </row>
    <row r="133" spans="7:33" ht="15" thickBot="1" x14ac:dyDescent="0.4">
      <c r="G133"/>
      <c r="N133"/>
      <c r="V133"/>
      <c r="AD133"/>
    </row>
    <row r="134" spans="7:33" ht="15" thickBot="1" x14ac:dyDescent="0.4">
      <c r="G134"/>
      <c r="N134"/>
      <c r="V134"/>
      <c r="AD134"/>
      <c r="AF134" s="333" t="s">
        <v>95</v>
      </c>
      <c r="AG134" s="334"/>
    </row>
    <row r="135" spans="7:33" ht="15" thickBot="1" x14ac:dyDescent="0.4">
      <c r="G135"/>
      <c r="N135"/>
      <c r="V135"/>
      <c r="AD135"/>
    </row>
    <row r="136" spans="7:33" ht="15" thickBot="1" x14ac:dyDescent="0.4">
      <c r="G136"/>
      <c r="I136" s="333" t="s">
        <v>95</v>
      </c>
      <c r="J136" s="334"/>
      <c r="N136"/>
      <c r="P136" s="333" t="s">
        <v>95</v>
      </c>
      <c r="Q136" s="334"/>
      <c r="V136"/>
      <c r="X136" s="333" t="s">
        <v>95</v>
      </c>
      <c r="Y136" s="334"/>
      <c r="AD136"/>
    </row>
    <row r="137" spans="7:33" x14ac:dyDescent="0.35">
      <c r="G137"/>
      <c r="N137"/>
      <c r="V137"/>
      <c r="AD137"/>
    </row>
    <row r="138" spans="7:33" x14ac:dyDescent="0.35">
      <c r="G138"/>
      <c r="N138"/>
      <c r="V138"/>
      <c r="AD138"/>
    </row>
    <row r="153" spans="1:33" x14ac:dyDescent="0.35">
      <c r="AF153" s="2" t="s">
        <v>164</v>
      </c>
    </row>
    <row r="156" spans="1:33" ht="15" thickBot="1" x14ac:dyDescent="0.4"/>
    <row r="157" spans="1:33" s="2" customFormat="1" ht="15" thickBot="1" x14ac:dyDescent="0.4">
      <c r="A157"/>
      <c r="B157"/>
      <c r="C157"/>
      <c r="D157"/>
      <c r="E157"/>
      <c r="F157" s="1"/>
      <c r="G157" s="3"/>
      <c r="H157" s="1"/>
      <c r="M157" s="1"/>
      <c r="N157" s="3"/>
      <c r="O157" s="1"/>
      <c r="T157"/>
      <c r="U157" s="1"/>
      <c r="V157" s="3"/>
      <c r="W157" s="1"/>
      <c r="AB157"/>
      <c r="AC157" s="1"/>
      <c r="AD157" s="3"/>
      <c r="AE157" s="1"/>
      <c r="AF157" s="333" t="s">
        <v>94</v>
      </c>
      <c r="AG157" s="334"/>
    </row>
    <row r="158" spans="1:33" s="2" customFormat="1" ht="15" thickBot="1" x14ac:dyDescent="0.4">
      <c r="A158"/>
      <c r="B158"/>
      <c r="C158"/>
      <c r="D158"/>
      <c r="E158"/>
      <c r="F158" s="1"/>
      <c r="G158" s="3"/>
      <c r="H158" s="1"/>
      <c r="M158" s="1"/>
      <c r="N158" s="3"/>
      <c r="O158" s="1"/>
      <c r="T158"/>
      <c r="U158" s="1"/>
      <c r="V158" s="3"/>
      <c r="W158" s="1"/>
      <c r="AB158"/>
      <c r="AC158" s="1"/>
      <c r="AD158" s="3"/>
      <c r="AE158" s="1"/>
    </row>
    <row r="159" spans="1:33" ht="15" thickBot="1" x14ac:dyDescent="0.4">
      <c r="I159" s="333" t="s">
        <v>94</v>
      </c>
      <c r="J159" s="334"/>
      <c r="P159" s="333" t="s">
        <v>94</v>
      </c>
      <c r="Q159" s="334"/>
      <c r="T159" s="2"/>
      <c r="X159" s="333" t="s">
        <v>94</v>
      </c>
      <c r="Y159" s="334"/>
      <c r="AB159" s="2"/>
    </row>
    <row r="160" spans="1:33" x14ac:dyDescent="0.35">
      <c r="A160" s="2"/>
      <c r="T160" s="2"/>
      <c r="AB160" s="2"/>
    </row>
    <row r="161" spans="1:1" x14ac:dyDescent="0.35">
      <c r="A161" s="2"/>
    </row>
    <row r="188" spans="9:33" ht="15" thickBot="1" x14ac:dyDescent="0.4"/>
    <row r="189" spans="9:33" ht="15" thickBot="1" x14ac:dyDescent="0.4">
      <c r="AF189" s="333" t="s">
        <v>103</v>
      </c>
      <c r="AG189" s="334"/>
    </row>
    <row r="190" spans="9:33" ht="15" thickBot="1" x14ac:dyDescent="0.4"/>
    <row r="191" spans="9:33" ht="15" thickBot="1" x14ac:dyDescent="0.4">
      <c r="I191" s="333" t="s">
        <v>103</v>
      </c>
      <c r="J191" s="334"/>
      <c r="P191" s="333" t="s">
        <v>103</v>
      </c>
      <c r="Q191" s="334"/>
      <c r="X191" s="333" t="s">
        <v>103</v>
      </c>
      <c r="Y191" s="334"/>
    </row>
    <row r="205" spans="1:35" s="1" customFormat="1" x14ac:dyDescent="0.35">
      <c r="A205"/>
      <c r="B205"/>
      <c r="C205"/>
      <c r="D205"/>
      <c r="E205"/>
      <c r="G205" s="3"/>
      <c r="I205" s="2"/>
      <c r="J205" s="2"/>
      <c r="K205" s="2"/>
      <c r="L205" s="2"/>
      <c r="N205" s="3"/>
      <c r="P205" s="2"/>
      <c r="Q205" s="2"/>
      <c r="R205" s="2"/>
      <c r="S205" s="2"/>
      <c r="T205"/>
      <c r="V205" s="3"/>
      <c r="X205" s="2"/>
      <c r="Y205" s="2"/>
      <c r="Z205" s="2"/>
      <c r="AA205" s="2"/>
      <c r="AB205"/>
      <c r="AD205" s="3"/>
      <c r="AF205" s="2"/>
      <c r="AG205" s="2"/>
      <c r="AH205" s="2"/>
      <c r="AI205" s="2"/>
    </row>
    <row r="206" spans="1:35" s="1" customFormat="1" x14ac:dyDescent="0.35">
      <c r="A206"/>
      <c r="B206"/>
      <c r="C206"/>
      <c r="D206"/>
      <c r="E206"/>
      <c r="G206" s="3"/>
      <c r="I206" s="2"/>
      <c r="J206" s="2"/>
      <c r="K206" s="2"/>
      <c r="L206" s="2"/>
      <c r="N206" s="3"/>
      <c r="P206" s="2"/>
      <c r="Q206" s="2"/>
      <c r="R206" s="2"/>
      <c r="S206" s="2"/>
      <c r="T206"/>
      <c r="V206" s="3"/>
      <c r="X206" s="2"/>
      <c r="Y206" s="2"/>
      <c r="Z206" s="2"/>
      <c r="AA206" s="2"/>
      <c r="AB206"/>
      <c r="AD206" s="3"/>
      <c r="AF206" s="2"/>
      <c r="AG206" s="2"/>
      <c r="AH206" s="2"/>
      <c r="AI206" s="2"/>
    </row>
    <row r="207" spans="1:35" x14ac:dyDescent="0.35">
      <c r="A207" s="1"/>
      <c r="T207" s="1"/>
      <c r="AB207" s="1"/>
    </row>
    <row r="208" spans="1:35" x14ac:dyDescent="0.35">
      <c r="A208" s="1"/>
      <c r="T208" s="1"/>
      <c r="AB208" s="1"/>
    </row>
    <row r="228" spans="1:35" x14ac:dyDescent="0.35">
      <c r="F228"/>
      <c r="M228"/>
      <c r="U228"/>
      <c r="AC228"/>
    </row>
    <row r="229" spans="1:35" s="3" customFormat="1" x14ac:dyDescent="0.35">
      <c r="A229"/>
      <c r="B229"/>
      <c r="C229"/>
      <c r="D229"/>
      <c r="E229"/>
      <c r="F229" s="1"/>
      <c r="H229" s="1"/>
      <c r="I229" s="2"/>
      <c r="J229" s="2"/>
      <c r="K229" s="2"/>
      <c r="L229" s="2"/>
      <c r="M229" s="1"/>
      <c r="O229" s="1"/>
      <c r="P229" s="2"/>
      <c r="Q229" s="2"/>
      <c r="R229" s="2"/>
      <c r="S229" s="2"/>
      <c r="T229"/>
      <c r="U229" s="1"/>
      <c r="W229" s="1"/>
      <c r="X229" s="2"/>
      <c r="Y229" s="2"/>
      <c r="Z229" s="2"/>
      <c r="AA229" s="2"/>
      <c r="AB229"/>
      <c r="AC229" s="1"/>
      <c r="AE229" s="1"/>
      <c r="AF229" s="2"/>
      <c r="AG229" s="2"/>
      <c r="AH229" s="2"/>
      <c r="AI229" s="2"/>
    </row>
    <row r="231" spans="1:35" x14ac:dyDescent="0.35">
      <c r="A231" s="3"/>
      <c r="T231" s="3"/>
      <c r="AB231" s="3"/>
    </row>
    <row r="252" spans="6:35" ht="15" customHeight="1" thickBot="1" x14ac:dyDescent="0.4"/>
    <row r="253" spans="6:35" ht="15" customHeight="1" thickBot="1" x14ac:dyDescent="0.4">
      <c r="AE253" s="206"/>
      <c r="AF253" s="206"/>
      <c r="AG253" s="206"/>
      <c r="AH253" s="206"/>
      <c r="AI253" s="206"/>
    </row>
    <row r="254" spans="6:35" ht="15.75" customHeight="1" thickBot="1" x14ac:dyDescent="0.4">
      <c r="F254" s="206"/>
      <c r="G254" s="206"/>
      <c r="M254" s="206"/>
      <c r="N254" s="206"/>
      <c r="U254" s="206"/>
      <c r="V254" s="206"/>
      <c r="AC254" s="206"/>
      <c r="AD254" s="206"/>
      <c r="AE254" s="209"/>
      <c r="AF254" s="209"/>
      <c r="AG254" s="209"/>
      <c r="AH254" s="209"/>
      <c r="AI254" s="209"/>
    </row>
    <row r="255" spans="6:35" ht="26.5" thickBot="1" x14ac:dyDescent="0.4">
      <c r="F255" s="209"/>
      <c r="G255" s="209"/>
      <c r="H255" s="206"/>
      <c r="I255" s="206"/>
      <c r="J255" s="206"/>
      <c r="K255" s="206"/>
      <c r="L255" s="206"/>
      <c r="M255" s="209"/>
      <c r="N255" s="209"/>
      <c r="O255" s="206"/>
      <c r="P255" s="206"/>
      <c r="Q255" s="206"/>
      <c r="R255" s="206"/>
      <c r="S255" s="206"/>
      <c r="U255" s="209"/>
      <c r="V255" s="209"/>
      <c r="W255" s="206"/>
      <c r="X255" s="206"/>
      <c r="Y255" s="206"/>
      <c r="Z255" s="206"/>
      <c r="AA255" s="206"/>
      <c r="AC255" s="209"/>
      <c r="AD255" s="209"/>
      <c r="AE255" s="212"/>
      <c r="AF255" s="212"/>
      <c r="AG255" s="212"/>
      <c r="AH255" s="212"/>
      <c r="AI255" s="212"/>
    </row>
    <row r="256" spans="6:35" ht="26.5" thickBot="1" x14ac:dyDescent="0.4">
      <c r="F256" s="212"/>
      <c r="G256" s="212"/>
      <c r="H256" s="209"/>
      <c r="I256" s="209"/>
      <c r="J256" s="209"/>
      <c r="K256" s="209"/>
      <c r="L256" s="209"/>
      <c r="M256" s="212"/>
      <c r="N256" s="212"/>
      <c r="O256" s="209"/>
      <c r="P256" s="209"/>
      <c r="Q256" s="209"/>
      <c r="R256" s="209"/>
      <c r="S256" s="209"/>
      <c r="U256" s="212"/>
      <c r="V256" s="212"/>
      <c r="W256" s="209"/>
      <c r="X256" s="209"/>
      <c r="Y256" s="209"/>
      <c r="Z256" s="209"/>
      <c r="AA256" s="209"/>
      <c r="AC256" s="212"/>
      <c r="AD256" s="212"/>
    </row>
    <row r="257" spans="2:27" ht="26.5" thickBot="1" x14ac:dyDescent="0.4">
      <c r="H257" s="212"/>
      <c r="I257" s="212"/>
      <c r="J257" s="212"/>
      <c r="K257" s="212"/>
      <c r="L257" s="212"/>
      <c r="O257" s="212"/>
      <c r="P257" s="212"/>
      <c r="Q257" s="212"/>
      <c r="R257" s="212"/>
      <c r="S257" s="212"/>
      <c r="W257" s="212"/>
      <c r="X257" s="212"/>
      <c r="Y257" s="212"/>
      <c r="Z257" s="212"/>
      <c r="AA257" s="212"/>
    </row>
    <row r="262" spans="2:27" ht="15" thickBot="1" x14ac:dyDescent="0.4"/>
    <row r="263" spans="2:27" ht="52" x14ac:dyDescent="0.35">
      <c r="B263" s="205" t="s">
        <v>96</v>
      </c>
      <c r="C263" s="206"/>
      <c r="D263" s="206"/>
      <c r="E263" s="206"/>
    </row>
    <row r="264" spans="2:27" ht="26" x14ac:dyDescent="0.35">
      <c r="B264" s="208"/>
      <c r="C264" s="209"/>
      <c r="D264" s="209"/>
      <c r="E264" s="209"/>
    </row>
    <row r="265" spans="2:27" ht="26.5" thickBot="1" x14ac:dyDescent="0.4">
      <c r="B265" s="211"/>
      <c r="C265" s="212"/>
      <c r="D265" s="212"/>
      <c r="E265" s="212"/>
    </row>
    <row r="311" spans="6:35" ht="15" customHeight="1" thickBot="1" x14ac:dyDescent="0.4"/>
    <row r="312" spans="6:35" ht="15" customHeight="1" thickBot="1" x14ac:dyDescent="0.4">
      <c r="AE312" s="206"/>
      <c r="AF312" s="206"/>
      <c r="AG312" s="206"/>
      <c r="AH312" s="206"/>
      <c r="AI312" s="206"/>
    </row>
    <row r="313" spans="6:35" ht="15.75" customHeight="1" thickBot="1" x14ac:dyDescent="0.4">
      <c r="F313" s="206"/>
      <c r="G313" s="206"/>
      <c r="M313" s="206"/>
      <c r="N313" s="206"/>
      <c r="U313" s="206"/>
      <c r="V313" s="206"/>
      <c r="AC313" s="206"/>
      <c r="AD313" s="206"/>
      <c r="AE313" s="209"/>
      <c r="AF313" s="209"/>
      <c r="AG313" s="209"/>
      <c r="AH313" s="209"/>
      <c r="AI313" s="209"/>
    </row>
    <row r="314" spans="6:35" ht="26.5" thickBot="1" x14ac:dyDescent="0.4">
      <c r="F314" s="209"/>
      <c r="G314" s="209"/>
      <c r="H314" s="206"/>
      <c r="I314" s="206"/>
      <c r="J314" s="206"/>
      <c r="K314" s="206"/>
      <c r="L314" s="206"/>
      <c r="M314" s="209"/>
      <c r="N314" s="209"/>
      <c r="O314" s="206"/>
      <c r="P314" s="206"/>
      <c r="Q314" s="206"/>
      <c r="R314" s="206"/>
      <c r="S314" s="206"/>
      <c r="U314" s="209"/>
      <c r="V314" s="209"/>
      <c r="W314" s="206"/>
      <c r="X314" s="206"/>
      <c r="Y314" s="206"/>
      <c r="Z314" s="206"/>
      <c r="AA314" s="206"/>
      <c r="AC314" s="209"/>
      <c r="AD314" s="209"/>
      <c r="AE314" s="212"/>
      <c r="AF314" s="212"/>
      <c r="AG314" s="212"/>
      <c r="AH314" s="212"/>
      <c r="AI314" s="212"/>
    </row>
    <row r="315" spans="6:35" ht="26.5" thickBot="1" x14ac:dyDescent="0.4">
      <c r="F315" s="212"/>
      <c r="G315" s="212"/>
      <c r="H315" s="209"/>
      <c r="I315" s="209"/>
      <c r="J315" s="209"/>
      <c r="K315" s="209"/>
      <c r="L315" s="209"/>
      <c r="M315" s="212"/>
      <c r="N315" s="212"/>
      <c r="O315" s="209"/>
      <c r="P315" s="209"/>
      <c r="Q315" s="209"/>
      <c r="R315" s="209"/>
      <c r="S315" s="209"/>
      <c r="U315" s="212"/>
      <c r="V315" s="212"/>
      <c r="W315" s="209"/>
      <c r="X315" s="209"/>
      <c r="Y315" s="209"/>
      <c r="Z315" s="209"/>
      <c r="AA315" s="209"/>
      <c r="AC315" s="212"/>
      <c r="AD315" s="212"/>
    </row>
    <row r="316" spans="6:35" ht="26.5" thickBot="1" x14ac:dyDescent="0.4">
      <c r="H316" s="212"/>
      <c r="I316" s="212"/>
      <c r="J316" s="212"/>
      <c r="K316" s="212"/>
      <c r="L316" s="212"/>
      <c r="O316" s="212"/>
      <c r="P316" s="212"/>
      <c r="Q316" s="212"/>
      <c r="R316" s="212"/>
      <c r="S316" s="212"/>
      <c r="W316" s="212"/>
      <c r="X316" s="212"/>
      <c r="Y316" s="212"/>
      <c r="Z316" s="212"/>
      <c r="AA316" s="212"/>
      <c r="AE316" s="1" t="s">
        <v>102</v>
      </c>
    </row>
    <row r="318" spans="6:35" x14ac:dyDescent="0.35">
      <c r="H318" s="1" t="s">
        <v>102</v>
      </c>
      <c r="O318" s="1" t="s">
        <v>102</v>
      </c>
      <c r="W318" s="1" t="s">
        <v>102</v>
      </c>
    </row>
    <row r="321" spans="2:35" ht="15" thickBot="1" x14ac:dyDescent="0.4"/>
    <row r="322" spans="2:35" ht="26" x14ac:dyDescent="0.35">
      <c r="B322" s="205" t="s">
        <v>25</v>
      </c>
      <c r="C322" s="206"/>
      <c r="D322" s="206"/>
      <c r="E322" s="206"/>
    </row>
    <row r="323" spans="2:35" ht="26" x14ac:dyDescent="0.35">
      <c r="B323" s="208"/>
      <c r="C323" s="209"/>
      <c r="D323" s="209"/>
      <c r="E323" s="209"/>
    </row>
    <row r="324" spans="2:35" ht="26.5" thickBot="1" x14ac:dyDescent="0.4">
      <c r="B324" s="211"/>
      <c r="C324" s="212"/>
      <c r="D324" s="212"/>
      <c r="E324" s="212"/>
    </row>
    <row r="328" spans="2:35" ht="15" customHeight="1" thickBot="1" x14ac:dyDescent="0.4"/>
    <row r="329" spans="2:35" ht="15" customHeight="1" thickBot="1" x14ac:dyDescent="0.4">
      <c r="AE329" s="206"/>
      <c r="AF329" s="206"/>
      <c r="AG329" s="206"/>
      <c r="AH329" s="206"/>
      <c r="AI329" s="206"/>
    </row>
    <row r="330" spans="2:35" ht="15.75" customHeight="1" thickBot="1" x14ac:dyDescent="0.4">
      <c r="F330" s="206"/>
      <c r="G330" s="206"/>
      <c r="M330" s="206"/>
      <c r="N330" s="206"/>
      <c r="U330" s="206"/>
      <c r="V330" s="206"/>
      <c r="AC330" s="206"/>
      <c r="AD330" s="206"/>
      <c r="AE330" s="209"/>
      <c r="AF330" s="209"/>
      <c r="AG330" s="209"/>
      <c r="AH330" s="209"/>
      <c r="AI330" s="209"/>
    </row>
    <row r="331" spans="2:35" ht="26.5" thickBot="1" x14ac:dyDescent="0.4">
      <c r="F331" s="209"/>
      <c r="G331" s="209"/>
      <c r="H331" s="206"/>
      <c r="I331" s="206"/>
      <c r="J331" s="206"/>
      <c r="K331" s="206"/>
      <c r="L331" s="206"/>
      <c r="M331" s="209"/>
      <c r="N331" s="209"/>
      <c r="O331" s="206"/>
      <c r="P331" s="206"/>
      <c r="Q331" s="206"/>
      <c r="R331" s="206"/>
      <c r="S331" s="206"/>
      <c r="U331" s="209"/>
      <c r="V331" s="209"/>
      <c r="W331" s="206"/>
      <c r="X331" s="206"/>
      <c r="Y331" s="206"/>
      <c r="Z331" s="206"/>
      <c r="AA331" s="206"/>
      <c r="AC331" s="209"/>
      <c r="AD331" s="209"/>
      <c r="AE331" s="212"/>
      <c r="AF331" s="212"/>
      <c r="AG331" s="212"/>
      <c r="AH331" s="212"/>
      <c r="AI331" s="212"/>
    </row>
    <row r="332" spans="2:35" ht="26.5" thickBot="1" x14ac:dyDescent="0.4">
      <c r="F332" s="212"/>
      <c r="G332" s="212"/>
      <c r="H332" s="209"/>
      <c r="I332" s="209"/>
      <c r="J332" s="209"/>
      <c r="K332" s="209"/>
      <c r="L332" s="209"/>
      <c r="M332" s="212"/>
      <c r="N332" s="212"/>
      <c r="O332" s="209"/>
      <c r="P332" s="209"/>
      <c r="Q332" s="209"/>
      <c r="R332" s="209"/>
      <c r="S332" s="209"/>
      <c r="U332" s="212"/>
      <c r="V332" s="212"/>
      <c r="W332" s="209"/>
      <c r="X332" s="209"/>
      <c r="Y332" s="209"/>
      <c r="Z332" s="209"/>
      <c r="AA332" s="209"/>
      <c r="AC332" s="212"/>
      <c r="AD332" s="212"/>
    </row>
    <row r="333" spans="2:35" ht="26.5" thickBot="1" x14ac:dyDescent="0.4">
      <c r="H333" s="212"/>
      <c r="I333" s="212"/>
      <c r="J333" s="212"/>
      <c r="K333" s="212"/>
      <c r="L333" s="212"/>
      <c r="O333" s="212"/>
      <c r="P333" s="212"/>
      <c r="Q333" s="212"/>
      <c r="R333" s="212"/>
      <c r="S333" s="212"/>
      <c r="W333" s="212"/>
      <c r="X333" s="212"/>
      <c r="Y333" s="212"/>
      <c r="Z333" s="212"/>
      <c r="AA333" s="212"/>
    </row>
    <row r="338" spans="2:5" ht="15" thickBot="1" x14ac:dyDescent="0.4"/>
    <row r="339" spans="2:5" ht="78" x14ac:dyDescent="0.35">
      <c r="B339" s="205" t="s">
        <v>97</v>
      </c>
      <c r="C339" s="206"/>
      <c r="D339" s="206"/>
      <c r="E339" s="206"/>
    </row>
    <row r="340" spans="2:5" ht="26" x14ac:dyDescent="0.35">
      <c r="B340" s="208"/>
      <c r="C340" s="209"/>
      <c r="D340" s="209"/>
      <c r="E340" s="209"/>
    </row>
    <row r="341" spans="2:5" ht="26.5" thickBot="1" x14ac:dyDescent="0.4">
      <c r="B341" s="211"/>
      <c r="C341" s="212"/>
      <c r="D341" s="212"/>
      <c r="E341" s="212"/>
    </row>
    <row r="377" spans="8:35" x14ac:dyDescent="0.35">
      <c r="AE377"/>
      <c r="AF377"/>
      <c r="AG377"/>
      <c r="AH377"/>
      <c r="AI377"/>
    </row>
    <row r="378" spans="8:35" x14ac:dyDescent="0.35">
      <c r="AE378"/>
      <c r="AF378"/>
      <c r="AG378"/>
      <c r="AH378"/>
      <c r="AI378"/>
    </row>
    <row r="379" spans="8:35" x14ac:dyDescent="0.35">
      <c r="H379"/>
      <c r="I379"/>
      <c r="J379"/>
      <c r="K379"/>
      <c r="L379"/>
      <c r="O379"/>
      <c r="P379"/>
      <c r="Q379"/>
      <c r="R379"/>
      <c r="S379"/>
      <c r="W379"/>
      <c r="X379"/>
      <c r="Y379"/>
      <c r="Z379"/>
      <c r="AA379"/>
    </row>
    <row r="380" spans="8:35" x14ac:dyDescent="0.35">
      <c r="H380"/>
      <c r="I380"/>
      <c r="J380"/>
      <c r="K380"/>
      <c r="L380"/>
      <c r="O380"/>
      <c r="P380"/>
      <c r="Q380"/>
      <c r="R380"/>
      <c r="S380"/>
      <c r="W380"/>
      <c r="X380"/>
      <c r="Y380"/>
      <c r="Z380"/>
      <c r="AA380"/>
    </row>
    <row r="386" spans="3:5" ht="15" thickBot="1" x14ac:dyDescent="0.4"/>
    <row r="387" spans="3:5" x14ac:dyDescent="0.35">
      <c r="C387" s="425" t="s">
        <v>98</v>
      </c>
      <c r="D387" s="426"/>
      <c r="E387" s="427"/>
    </row>
    <row r="388" spans="3:5" ht="15" thickBot="1" x14ac:dyDescent="0.4">
      <c r="C388" s="428"/>
      <c r="D388" s="429"/>
      <c r="E388" s="430"/>
    </row>
  </sheetData>
  <mergeCells count="77">
    <mergeCell ref="C387:E388"/>
    <mergeCell ref="AF157:AG157"/>
    <mergeCell ref="I159:J159"/>
    <mergeCell ref="P159:Q159"/>
    <mergeCell ref="X159:Y159"/>
    <mergeCell ref="AF189:AG189"/>
    <mergeCell ref="I191:J191"/>
    <mergeCell ref="P191:Q191"/>
    <mergeCell ref="X191:Y191"/>
    <mergeCell ref="AF114:AG114"/>
    <mergeCell ref="I116:J116"/>
    <mergeCell ref="P116:Q116"/>
    <mergeCell ref="X116:Y116"/>
    <mergeCell ref="AF134:AG134"/>
    <mergeCell ref="I136:J136"/>
    <mergeCell ref="P136:Q136"/>
    <mergeCell ref="X136:Y136"/>
    <mergeCell ref="H93:H95"/>
    <mergeCell ref="O93:O95"/>
    <mergeCell ref="W93:W95"/>
    <mergeCell ref="AF99:AG99"/>
    <mergeCell ref="I101:J101"/>
    <mergeCell ref="P101:Q101"/>
    <mergeCell ref="X101:Y101"/>
    <mergeCell ref="I64:L64"/>
    <mergeCell ref="P64:S64"/>
    <mergeCell ref="X64:AA64"/>
    <mergeCell ref="AF89:AG89"/>
    <mergeCell ref="I91:J91"/>
    <mergeCell ref="P91:Q91"/>
    <mergeCell ref="X91:Y91"/>
    <mergeCell ref="AE91:AE93"/>
    <mergeCell ref="AF62:AI62"/>
    <mergeCell ref="W34:W39"/>
    <mergeCell ref="AE34:AE39"/>
    <mergeCell ref="B35:E37"/>
    <mergeCell ref="H41:H45"/>
    <mergeCell ref="O41:O45"/>
    <mergeCell ref="W41:W45"/>
    <mergeCell ref="AE41:AE45"/>
    <mergeCell ref="C46:D46"/>
    <mergeCell ref="H47:H49"/>
    <mergeCell ref="O47:O49"/>
    <mergeCell ref="W47:W49"/>
    <mergeCell ref="AE47:AE49"/>
    <mergeCell ref="B25:E25"/>
    <mergeCell ref="B26:E26"/>
    <mergeCell ref="H26:H32"/>
    <mergeCell ref="O26:O32"/>
    <mergeCell ref="W26:W32"/>
    <mergeCell ref="AE26:AE32"/>
    <mergeCell ref="B27:E27"/>
    <mergeCell ref="B32:E34"/>
    <mergeCell ref="H34:H39"/>
    <mergeCell ref="O34:O39"/>
    <mergeCell ref="AE18:AE24"/>
    <mergeCell ref="B24:E24"/>
    <mergeCell ref="B12:E12"/>
    <mergeCell ref="C14:E14"/>
    <mergeCell ref="I14:J14"/>
    <mergeCell ref="P14:Q14"/>
    <mergeCell ref="X14:Y14"/>
    <mergeCell ref="D15:E15"/>
    <mergeCell ref="B17:E17"/>
    <mergeCell ref="H18:H24"/>
    <mergeCell ref="O18:O24"/>
    <mergeCell ref="W18:W24"/>
    <mergeCell ref="AF14:AG14"/>
    <mergeCell ref="C1:C2"/>
    <mergeCell ref="P1:S2"/>
    <mergeCell ref="X1:AA2"/>
    <mergeCell ref="AF1:AI2"/>
    <mergeCell ref="I2:L3"/>
    <mergeCell ref="B3:E5"/>
    <mergeCell ref="P3:S3"/>
    <mergeCell ref="X3:AA3"/>
    <mergeCell ref="AF3:AI3"/>
  </mergeCells>
  <pageMargins left="0.7" right="0.7" top="0.75" bottom="0.75" header="0.3" footer="0.3"/>
  <pageSetup scale="64" orientation="portrait" r:id="rId1"/>
  <rowBreaks count="1" manualBreakCount="1">
    <brk id="59" max="16383" man="1"/>
  </rowBreaks>
  <colBreaks count="1" manualBreakCount="1">
    <brk id="7" max="1048575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B463B-BEE4-468A-BD26-559550A3D270}">
  <dimension ref="A1:AI388"/>
  <sheetViews>
    <sheetView zoomScale="90" zoomScaleNormal="90" workbookViewId="0">
      <selection activeCell="AC64" sqref="G1:AC1048576"/>
    </sheetView>
  </sheetViews>
  <sheetFormatPr defaultRowHeight="14.5" x14ac:dyDescent="0.35"/>
  <cols>
    <col min="1" max="1" width="3.26953125" customWidth="1"/>
    <col min="2" max="2" width="21.54296875" bestFit="1" customWidth="1"/>
    <col min="3" max="3" width="13" bestFit="1" customWidth="1"/>
    <col min="4" max="4" width="19.1796875" customWidth="1"/>
    <col min="5" max="5" width="22.7265625" bestFit="1" customWidth="1"/>
    <col min="6" max="6" width="3.453125" style="1" customWidth="1"/>
    <col min="7" max="7" width="3.453125" style="3" hidden="1" customWidth="1"/>
    <col min="8" max="8" width="29.81640625" style="1" hidden="1" customWidth="1"/>
    <col min="9" max="9" width="39.453125" style="2" hidden="1" customWidth="1"/>
    <col min="10" max="10" width="15.54296875" style="2" hidden="1" customWidth="1"/>
    <col min="11" max="11" width="26.81640625" style="2" hidden="1" customWidth="1"/>
    <col min="12" max="12" width="28.26953125" style="2" hidden="1" customWidth="1"/>
    <col min="13" max="13" width="3.453125" style="1" hidden="1" customWidth="1"/>
    <col min="14" max="14" width="3.453125" style="3" hidden="1" customWidth="1"/>
    <col min="15" max="15" width="29.81640625" style="1" hidden="1" customWidth="1"/>
    <col min="16" max="16" width="39.453125" style="2" hidden="1" customWidth="1"/>
    <col min="17" max="17" width="15.54296875" style="2" hidden="1" customWidth="1"/>
    <col min="18" max="18" width="26.81640625" style="2" hidden="1" customWidth="1"/>
    <col min="19" max="19" width="28.26953125" style="2" hidden="1" customWidth="1"/>
    <col min="20" max="20" width="9.1796875" hidden="1" customWidth="1"/>
    <col min="21" max="21" width="3.453125" style="1" hidden="1" customWidth="1"/>
    <col min="22" max="22" width="3.453125" style="3" hidden="1" customWidth="1"/>
    <col min="23" max="23" width="29.81640625" style="1" hidden="1" customWidth="1"/>
    <col min="24" max="24" width="39.453125" style="2" hidden="1" customWidth="1"/>
    <col min="25" max="25" width="15.54296875" style="2" hidden="1" customWidth="1"/>
    <col min="26" max="26" width="26.81640625" style="2" hidden="1" customWidth="1"/>
    <col min="27" max="27" width="28.26953125" style="2" hidden="1" customWidth="1"/>
    <col min="28" max="28" width="9.1796875" hidden="1" customWidth="1"/>
    <col min="29" max="29" width="3.453125" style="1" hidden="1" customWidth="1"/>
    <col min="30" max="30" width="3.453125" style="3" customWidth="1"/>
    <col min="31" max="31" width="29.81640625" style="1" bestFit="1" customWidth="1"/>
    <col min="32" max="32" width="39.453125" style="2" customWidth="1"/>
    <col min="33" max="33" width="15.54296875" style="2" customWidth="1"/>
    <col min="34" max="34" width="26.81640625" style="2" customWidth="1"/>
    <col min="35" max="35" width="28.26953125" style="2" bestFit="1" customWidth="1"/>
    <col min="36" max="47" width="9.1796875" customWidth="1"/>
  </cols>
  <sheetData>
    <row r="1" spans="2:35" ht="15" thickBot="1" x14ac:dyDescent="0.4">
      <c r="C1" s="414">
        <v>2020</v>
      </c>
      <c r="P1" s="439" t="s">
        <v>144</v>
      </c>
      <c r="Q1" s="440"/>
      <c r="R1" s="440"/>
      <c r="S1" s="441"/>
      <c r="X1" s="445" t="s">
        <v>143</v>
      </c>
      <c r="Y1" s="446"/>
      <c r="Z1" s="446"/>
      <c r="AA1" s="447"/>
      <c r="AF1" s="451" t="s">
        <v>147</v>
      </c>
      <c r="AG1" s="452"/>
      <c r="AH1" s="452"/>
      <c r="AI1" s="453"/>
    </row>
    <row r="2" spans="2:35" ht="15.75" customHeight="1" thickBot="1" x14ac:dyDescent="0.4">
      <c r="C2" s="415"/>
      <c r="F2" s="224"/>
      <c r="H2"/>
      <c r="I2" s="416" t="s">
        <v>5</v>
      </c>
      <c r="J2" s="417"/>
      <c r="K2" s="417"/>
      <c r="L2" s="418"/>
      <c r="M2" s="224"/>
      <c r="O2"/>
      <c r="P2" s="442"/>
      <c r="Q2" s="443"/>
      <c r="R2" s="443"/>
      <c r="S2" s="444"/>
      <c r="U2" s="224"/>
      <c r="W2"/>
      <c r="X2" s="448"/>
      <c r="Y2" s="449"/>
      <c r="Z2" s="449"/>
      <c r="AA2" s="450"/>
      <c r="AC2" s="224"/>
      <c r="AE2"/>
      <c r="AF2" s="454"/>
      <c r="AG2" s="455"/>
      <c r="AH2" s="455"/>
      <c r="AI2" s="456"/>
    </row>
    <row r="3" spans="2:35" ht="15" customHeight="1" thickBot="1" x14ac:dyDescent="0.4">
      <c r="B3" s="399" t="s">
        <v>152</v>
      </c>
      <c r="C3" s="400"/>
      <c r="D3" s="400"/>
      <c r="E3" s="401"/>
      <c r="F3" s="224"/>
      <c r="H3"/>
      <c r="I3" s="419"/>
      <c r="J3" s="420"/>
      <c r="K3" s="420"/>
      <c r="L3" s="421"/>
      <c r="M3" s="224"/>
      <c r="O3"/>
      <c r="P3" s="368" t="s">
        <v>5</v>
      </c>
      <c r="Q3" s="369"/>
      <c r="R3" s="369"/>
      <c r="S3" s="370"/>
      <c r="U3" s="224"/>
      <c r="W3"/>
      <c r="X3" s="368" t="s">
        <v>5</v>
      </c>
      <c r="Y3" s="369"/>
      <c r="Z3" s="369"/>
      <c r="AA3" s="370"/>
      <c r="AC3" s="224"/>
      <c r="AE3"/>
      <c r="AF3" s="368" t="s">
        <v>5</v>
      </c>
      <c r="AG3" s="369"/>
      <c r="AH3" s="369"/>
      <c r="AI3" s="370"/>
    </row>
    <row r="4" spans="2:35" ht="15.75" customHeight="1" thickBot="1" x14ac:dyDescent="0.4">
      <c r="B4" s="402"/>
      <c r="C4" s="403"/>
      <c r="D4" s="403"/>
      <c r="E4" s="404"/>
      <c r="H4"/>
      <c r="O4"/>
      <c r="W4"/>
      <c r="AE4"/>
    </row>
    <row r="5" spans="2:35" ht="15.75" customHeight="1" thickBot="1" x14ac:dyDescent="0.4">
      <c r="B5" s="405"/>
      <c r="C5" s="406"/>
      <c r="D5" s="406"/>
      <c r="E5" s="407"/>
      <c r="H5"/>
      <c r="I5" s="7" t="s">
        <v>99</v>
      </c>
      <c r="J5" s="8"/>
      <c r="K5" s="9"/>
      <c r="L5" s="9"/>
      <c r="O5"/>
      <c r="P5" s="7" t="s">
        <v>99</v>
      </c>
      <c r="Q5" s="8"/>
      <c r="R5" s="9"/>
      <c r="S5" s="9"/>
      <c r="W5"/>
      <c r="X5" s="7" t="s">
        <v>99</v>
      </c>
      <c r="Y5" s="8"/>
      <c r="Z5" s="9"/>
      <c r="AA5" s="9"/>
      <c r="AE5"/>
      <c r="AF5" s="7" t="s">
        <v>99</v>
      </c>
      <c r="AG5" s="8"/>
      <c r="AH5" s="9"/>
      <c r="AI5" s="9"/>
    </row>
    <row r="6" spans="2:35" ht="15.75" customHeight="1" thickBot="1" x14ac:dyDescent="0.4">
      <c r="B6" s="13"/>
      <c r="C6" s="280" t="s">
        <v>11</v>
      </c>
      <c r="D6" s="15"/>
      <c r="E6" s="279"/>
      <c r="F6" s="224"/>
      <c r="H6"/>
      <c r="I6" s="17" t="s">
        <v>13</v>
      </c>
      <c r="J6" s="17" t="s">
        <v>14</v>
      </c>
      <c r="K6" s="18" t="s">
        <v>15</v>
      </c>
      <c r="O6"/>
      <c r="P6" s="17" t="s">
        <v>13</v>
      </c>
      <c r="Q6" s="17" t="s">
        <v>14</v>
      </c>
      <c r="R6" s="18" t="s">
        <v>15</v>
      </c>
      <c r="W6"/>
      <c r="X6" s="17" t="s">
        <v>13</v>
      </c>
      <c r="Y6" s="17" t="s">
        <v>14</v>
      </c>
      <c r="Z6" s="18" t="s">
        <v>15</v>
      </c>
      <c r="AE6"/>
      <c r="AF6" s="17" t="s">
        <v>13</v>
      </c>
      <c r="AG6" s="17" t="s">
        <v>14</v>
      </c>
      <c r="AH6" s="18" t="s">
        <v>15</v>
      </c>
    </row>
    <row r="7" spans="2:35" x14ac:dyDescent="0.35">
      <c r="B7" s="20" t="s">
        <v>19</v>
      </c>
      <c r="C7" s="21">
        <v>1830.6</v>
      </c>
      <c r="D7" s="252"/>
      <c r="E7" s="290"/>
      <c r="F7" s="224"/>
      <c r="H7"/>
      <c r="I7" s="24">
        <f>+I24</f>
        <v>11562.909299999999</v>
      </c>
      <c r="J7" s="25">
        <f>C7</f>
        <v>1830.6</v>
      </c>
      <c r="K7" s="26">
        <f>+I7*J7</f>
        <v>21167061.764579996</v>
      </c>
      <c r="O7"/>
      <c r="P7" s="24">
        <f>P24</f>
        <v>11562.909299999999</v>
      </c>
      <c r="Q7" s="25">
        <f>C7</f>
        <v>1830.6</v>
      </c>
      <c r="R7" s="26">
        <f>P7*Q7</f>
        <v>21167061.764579996</v>
      </c>
      <c r="W7"/>
      <c r="X7" s="24">
        <f>X24</f>
        <v>25137.909299999999</v>
      </c>
      <c r="Y7" s="25">
        <f>C7</f>
        <v>1830.6</v>
      </c>
      <c r="Z7" s="26">
        <f>X7*Y7</f>
        <v>46017456.764579996</v>
      </c>
      <c r="AE7"/>
      <c r="AF7" s="24">
        <f>AF24</f>
        <v>22562.909299999999</v>
      </c>
      <c r="AG7" s="25">
        <f>C7</f>
        <v>1830.6</v>
      </c>
      <c r="AH7" s="26">
        <f>AF7*AG7</f>
        <v>41303661.764579996</v>
      </c>
      <c r="AI7" s="190"/>
    </row>
    <row r="8" spans="2:35" x14ac:dyDescent="0.35">
      <c r="B8" s="31" t="s">
        <v>20</v>
      </c>
      <c r="C8" s="32">
        <v>24.14</v>
      </c>
      <c r="D8" s="236"/>
      <c r="E8" s="291"/>
      <c r="F8" s="224"/>
      <c r="H8"/>
      <c r="I8" s="35">
        <f>+I32</f>
        <v>3420470.0164000001</v>
      </c>
      <c r="J8" s="36">
        <f>C8</f>
        <v>24.14</v>
      </c>
      <c r="K8" s="37">
        <f>+I8*J8</f>
        <v>82570146.195896</v>
      </c>
      <c r="O8"/>
      <c r="P8" s="35">
        <f>P32</f>
        <v>4445470.0164000001</v>
      </c>
      <c r="Q8" s="36">
        <f>C8</f>
        <v>24.14</v>
      </c>
      <c r="R8" s="37">
        <f>P8*Q8</f>
        <v>107313646.195896</v>
      </c>
      <c r="W8"/>
      <c r="X8" s="35">
        <f>X32</f>
        <v>3420470.0164000001</v>
      </c>
      <c r="Y8" s="36">
        <f>C8</f>
        <v>24.14</v>
      </c>
      <c r="Z8" s="37">
        <f>X8*Y8</f>
        <v>82570146.195896</v>
      </c>
      <c r="AE8"/>
      <c r="AF8" s="35">
        <f>AF32</f>
        <v>3820470.0164000001</v>
      </c>
      <c r="AG8" s="36">
        <f>C8</f>
        <v>24.14</v>
      </c>
      <c r="AH8" s="37">
        <f>AF8*AG8</f>
        <v>92226146.195896</v>
      </c>
      <c r="AI8" s="190"/>
    </row>
    <row r="9" spans="2:35" x14ac:dyDescent="0.35">
      <c r="B9" s="40" t="s">
        <v>21</v>
      </c>
      <c r="C9" s="41">
        <v>1028</v>
      </c>
      <c r="D9" s="292"/>
      <c r="E9" s="293"/>
      <c r="F9" s="224"/>
      <c r="H9"/>
      <c r="I9" s="44">
        <f>I39</f>
        <v>0</v>
      </c>
      <c r="J9" s="45">
        <f>C9</f>
        <v>1028</v>
      </c>
      <c r="K9" s="46">
        <f>+I9*J9</f>
        <v>0</v>
      </c>
      <c r="O9"/>
      <c r="P9" s="44">
        <f>P39</f>
        <v>0</v>
      </c>
      <c r="Q9" s="45">
        <f>C9</f>
        <v>1028</v>
      </c>
      <c r="R9" s="46">
        <f>P9*Q9</f>
        <v>0</v>
      </c>
      <c r="W9"/>
      <c r="X9" s="44">
        <f>X39</f>
        <v>0</v>
      </c>
      <c r="Y9" s="45">
        <f>C9</f>
        <v>1028</v>
      </c>
      <c r="Z9" s="46">
        <f>X9*Y9</f>
        <v>0</v>
      </c>
      <c r="AE9"/>
      <c r="AF9" s="44">
        <f>AF39</f>
        <v>0</v>
      </c>
      <c r="AG9" s="45">
        <f>C9</f>
        <v>1028</v>
      </c>
      <c r="AH9" s="46">
        <f>AF9*AG9</f>
        <v>0</v>
      </c>
      <c r="AI9" s="190"/>
    </row>
    <row r="10" spans="2:35" ht="14.5" customHeight="1" x14ac:dyDescent="0.35">
      <c r="B10" s="49" t="s">
        <v>22</v>
      </c>
      <c r="C10" s="50">
        <v>2352</v>
      </c>
      <c r="D10" s="294"/>
      <c r="E10" s="295"/>
      <c r="F10" s="224"/>
      <c r="H10"/>
      <c r="I10" s="53">
        <f>I45</f>
        <v>517.16899999999998</v>
      </c>
      <c r="J10" s="54">
        <f>C10</f>
        <v>2352</v>
      </c>
      <c r="K10" s="55">
        <f>+I10*J10</f>
        <v>1216381.4879999999</v>
      </c>
      <c r="O10"/>
      <c r="P10" s="53">
        <f>P45</f>
        <v>517.16899999999998</v>
      </c>
      <c r="Q10" s="54">
        <f>C10</f>
        <v>2352</v>
      </c>
      <c r="R10" s="55">
        <f>P10*Q10</f>
        <v>1216381.4879999999</v>
      </c>
      <c r="W10"/>
      <c r="X10" s="53">
        <f>X45</f>
        <v>517.16899999999998</v>
      </c>
      <c r="Y10" s="54">
        <f>C10</f>
        <v>2352</v>
      </c>
      <c r="Z10" s="55">
        <f>X10*Y10</f>
        <v>1216381.4879999999</v>
      </c>
      <c r="AE10"/>
      <c r="AF10" s="53">
        <f>AF45</f>
        <v>517.16899999999998</v>
      </c>
      <c r="AG10" s="54">
        <f>C10</f>
        <v>2352</v>
      </c>
      <c r="AH10" s="55">
        <f>AF10*AG10</f>
        <v>1216381.4879999999</v>
      </c>
      <c r="AI10" s="190"/>
    </row>
    <row r="11" spans="2:35" ht="15" thickBot="1" x14ac:dyDescent="0.4">
      <c r="B11" s="296" t="s">
        <v>23</v>
      </c>
      <c r="C11" s="58">
        <v>16000</v>
      </c>
      <c r="D11" s="297"/>
      <c r="E11" s="298"/>
      <c r="F11" s="224"/>
      <c r="H11"/>
      <c r="I11" s="61">
        <v>72.561999999999998</v>
      </c>
      <c r="J11" s="62">
        <f>C11</f>
        <v>16000</v>
      </c>
      <c r="K11" s="63">
        <f>+I11*J11</f>
        <v>1160992</v>
      </c>
      <c r="O11"/>
      <c r="P11" s="61">
        <f>P49</f>
        <v>72.56</v>
      </c>
      <c r="Q11" s="62">
        <f>C11</f>
        <v>16000</v>
      </c>
      <c r="R11" s="63">
        <f>P11*Q11</f>
        <v>1160960</v>
      </c>
      <c r="W11"/>
      <c r="X11" s="61">
        <f>X49</f>
        <v>72.56</v>
      </c>
      <c r="Y11" s="62">
        <f>C11</f>
        <v>16000</v>
      </c>
      <c r="Z11" s="63">
        <f>X11*Y11</f>
        <v>1160960</v>
      </c>
      <c r="AE11"/>
      <c r="AF11" s="61">
        <f>AF49</f>
        <v>72.56</v>
      </c>
      <c r="AG11" s="62">
        <f>C11</f>
        <v>16000</v>
      </c>
      <c r="AH11" s="63">
        <f>AF11*AG11</f>
        <v>1160960</v>
      </c>
      <c r="AI11" s="190"/>
    </row>
    <row r="12" spans="2:35" ht="15" thickBot="1" x14ac:dyDescent="0.4">
      <c r="B12" s="405" t="s">
        <v>153</v>
      </c>
      <c r="C12" s="406"/>
      <c r="D12" s="406"/>
      <c r="E12" s="407"/>
      <c r="H12" s="65"/>
      <c r="I12" s="65"/>
      <c r="J12" s="56"/>
      <c r="K12" s="66">
        <f>SUM(K7:K11)</f>
        <v>106114581.448476</v>
      </c>
      <c r="O12" s="65"/>
      <c r="P12" s="65"/>
      <c r="Q12" s="56"/>
      <c r="R12" s="66">
        <f>SUM(R7:R11)</f>
        <v>130858049.448476</v>
      </c>
      <c r="W12" s="65"/>
      <c r="X12" s="65"/>
      <c r="Y12" s="56"/>
      <c r="Z12" s="66">
        <f>SUM(Z7:Z11)</f>
        <v>130964944.448476</v>
      </c>
      <c r="AE12" s="65"/>
      <c r="AF12" s="65"/>
      <c r="AG12" s="56"/>
      <c r="AH12" s="66">
        <f>SUM(AH7:AH11)</f>
        <v>135907149.44847599</v>
      </c>
      <c r="AI12" s="30"/>
    </row>
    <row r="13" spans="2:35" ht="15" thickBot="1" x14ac:dyDescent="0.4">
      <c r="H13"/>
      <c r="I13" s="67"/>
      <c r="J13" s="67"/>
      <c r="K13" s="68">
        <f>C14</f>
        <v>914969.33</v>
      </c>
      <c r="L13" s="69" t="s">
        <v>25</v>
      </c>
      <c r="O13"/>
      <c r="P13" s="67"/>
      <c r="Q13" s="67"/>
      <c r="R13" s="68">
        <v>914969.33</v>
      </c>
      <c r="S13" s="69" t="s">
        <v>25</v>
      </c>
      <c r="W13"/>
      <c r="X13" s="67"/>
      <c r="Y13" s="67"/>
      <c r="Z13" s="68">
        <v>914969.33</v>
      </c>
      <c r="AA13" s="69" t="s">
        <v>25</v>
      </c>
      <c r="AE13"/>
      <c r="AF13" s="67"/>
      <c r="AG13" s="67"/>
      <c r="AH13" s="68">
        <v>914969.33</v>
      </c>
      <c r="AI13" s="69" t="s">
        <v>25</v>
      </c>
    </row>
    <row r="14" spans="2:35" ht="15" thickBot="1" x14ac:dyDescent="0.4">
      <c r="B14" s="73" t="s">
        <v>25</v>
      </c>
      <c r="C14" s="411">
        <v>914969.33</v>
      </c>
      <c r="D14" s="411"/>
      <c r="E14" s="412"/>
      <c r="H14" t="s">
        <v>116</v>
      </c>
      <c r="I14" s="413" t="s">
        <v>27</v>
      </c>
      <c r="J14" s="413"/>
      <c r="K14" s="74">
        <f>D15</f>
        <v>1416119.21</v>
      </c>
      <c r="L14" s="75" t="s">
        <v>28</v>
      </c>
      <c r="O14"/>
      <c r="P14" s="413" t="s">
        <v>27</v>
      </c>
      <c r="Q14" s="413"/>
      <c r="R14" s="74">
        <v>1416119.21</v>
      </c>
      <c r="S14" s="75" t="s">
        <v>28</v>
      </c>
      <c r="W14"/>
      <c r="X14" s="413" t="s">
        <v>27</v>
      </c>
      <c r="Y14" s="413"/>
      <c r="Z14" s="74">
        <v>1416119.21</v>
      </c>
      <c r="AA14" s="75" t="s">
        <v>28</v>
      </c>
      <c r="AE14"/>
      <c r="AF14" s="413" t="s">
        <v>27</v>
      </c>
      <c r="AG14" s="413"/>
      <c r="AH14" s="74">
        <v>1416119.21</v>
      </c>
      <c r="AI14" s="75" t="s">
        <v>28</v>
      </c>
    </row>
    <row r="15" spans="2:35" ht="15" thickBot="1" x14ac:dyDescent="0.4">
      <c r="B15" s="81" t="s">
        <v>28</v>
      </c>
      <c r="C15" s="82"/>
      <c r="D15" s="380">
        <v>1416119.21</v>
      </c>
      <c r="E15" s="381"/>
      <c r="H15" t="s">
        <v>116</v>
      </c>
      <c r="I15" s="56" t="s">
        <v>30</v>
      </c>
      <c r="J15" s="83"/>
      <c r="K15" s="84">
        <f>+K12+K13+K14</f>
        <v>108445669.98847599</v>
      </c>
      <c r="O15"/>
      <c r="P15" s="56" t="s">
        <v>30</v>
      </c>
      <c r="Q15" s="83"/>
      <c r="R15" s="84">
        <f>+R12+R13+R14</f>
        <v>133189137.98847599</v>
      </c>
      <c r="W15"/>
      <c r="X15" s="56" t="s">
        <v>30</v>
      </c>
      <c r="Y15" s="83"/>
      <c r="Z15" s="84">
        <f>+Z12+Z13+Z14</f>
        <v>133296032.98847599</v>
      </c>
      <c r="AE15"/>
      <c r="AF15" s="56" t="s">
        <v>30</v>
      </c>
      <c r="AG15" s="83"/>
      <c r="AH15" s="84">
        <f>+AH12+AH13+AH14</f>
        <v>138238237.98847601</v>
      </c>
    </row>
    <row r="16" spans="2:35" ht="15" thickBot="1" x14ac:dyDescent="0.4">
      <c r="C16" s="85"/>
      <c r="D16" s="85"/>
      <c r="E16" s="85"/>
      <c r="H16"/>
      <c r="I16" s="56"/>
      <c r="J16" s="56"/>
      <c r="O16"/>
      <c r="P16" s="56"/>
      <c r="Q16" s="56"/>
      <c r="W16"/>
      <c r="X16" s="56"/>
      <c r="Y16" s="56"/>
      <c r="AE16"/>
      <c r="AF16" s="56"/>
      <c r="AG16" s="56"/>
      <c r="AH16" s="30"/>
    </row>
    <row r="17" spans="2:35" ht="15" thickBot="1" x14ac:dyDescent="0.4">
      <c r="B17" s="382" t="s">
        <v>31</v>
      </c>
      <c r="C17" s="383"/>
      <c r="D17" s="383"/>
      <c r="E17" s="384"/>
      <c r="H17"/>
      <c r="I17" s="7" t="s">
        <v>100</v>
      </c>
      <c r="J17" s="86"/>
      <c r="K17" s="86"/>
      <c r="L17" s="9"/>
      <c r="O17"/>
      <c r="P17" s="7" t="s">
        <v>100</v>
      </c>
      <c r="Q17" s="86"/>
      <c r="R17" s="86"/>
      <c r="S17" s="9"/>
      <c r="W17"/>
      <c r="X17" s="7" t="s">
        <v>100</v>
      </c>
      <c r="Y17" s="86"/>
      <c r="Z17" s="86"/>
      <c r="AA17" s="9"/>
      <c r="AE17"/>
      <c r="AF17" s="7" t="s">
        <v>100</v>
      </c>
      <c r="AG17" s="86"/>
      <c r="AH17" s="86"/>
      <c r="AI17" s="9"/>
    </row>
    <row r="18" spans="2:35" ht="15" customHeight="1" x14ac:dyDescent="0.35">
      <c r="B18" s="87" t="s">
        <v>33</v>
      </c>
      <c r="C18" s="88">
        <f>-SUM('LIFO as of 12.31.19 (01.08.20)'!C19:C21)</f>
        <v>-3377592.5</v>
      </c>
      <c r="D18" s="89"/>
      <c r="E18" s="90"/>
      <c r="H18" s="385" t="s">
        <v>34</v>
      </c>
      <c r="I18" s="91">
        <v>635.15750000000003</v>
      </c>
      <c r="J18" s="92">
        <v>513</v>
      </c>
      <c r="K18" s="92">
        <f>+I18*J18</f>
        <v>325835.79749999999</v>
      </c>
      <c r="L18" s="93">
        <v>2005</v>
      </c>
      <c r="O18" s="385" t="s">
        <v>34</v>
      </c>
      <c r="P18" s="91">
        <v>635.15750000000003</v>
      </c>
      <c r="Q18" s="92">
        <v>513</v>
      </c>
      <c r="R18" s="92">
        <f>+P18*Q18</f>
        <v>325835.79749999999</v>
      </c>
      <c r="S18" s="93">
        <v>2005</v>
      </c>
      <c r="W18" s="385" t="s">
        <v>34</v>
      </c>
      <c r="X18" s="91">
        <v>635.15750000000003</v>
      </c>
      <c r="Y18" s="92">
        <v>513</v>
      </c>
      <c r="Z18" s="92">
        <f>+X18*Y18</f>
        <v>325835.79749999999</v>
      </c>
      <c r="AA18" s="93">
        <v>2005</v>
      </c>
      <c r="AE18" s="437" t="s">
        <v>34</v>
      </c>
      <c r="AF18" s="91">
        <v>635.15750000000003</v>
      </c>
      <c r="AG18" s="92">
        <v>513</v>
      </c>
      <c r="AH18" s="92">
        <f>+AF18*AG18</f>
        <v>325835.79749999999</v>
      </c>
      <c r="AI18" s="93">
        <v>2005</v>
      </c>
    </row>
    <row r="19" spans="2:35" x14ac:dyDescent="0.35">
      <c r="B19" s="87" t="s">
        <v>36</v>
      </c>
      <c r="C19" s="88">
        <v>-847675</v>
      </c>
      <c r="D19" s="96"/>
      <c r="E19" s="97" t="s">
        <v>117</v>
      </c>
      <c r="H19" s="386"/>
      <c r="I19" s="91">
        <v>8241.6015000000007</v>
      </c>
      <c r="J19" s="92">
        <v>635.70000000000005</v>
      </c>
      <c r="K19" s="92">
        <f t="shared" ref="K19:K22" si="0">+I19*J19</f>
        <v>5239186.0735500008</v>
      </c>
      <c r="L19" s="93">
        <v>2006</v>
      </c>
      <c r="O19" s="386"/>
      <c r="P19" s="91">
        <v>8241.6015000000007</v>
      </c>
      <c r="Q19" s="92">
        <v>635.70000000000005</v>
      </c>
      <c r="R19" s="92">
        <f t="shared" ref="R19:R22" si="1">+P19*Q19</f>
        <v>5239186.0735500008</v>
      </c>
      <c r="S19" s="93">
        <v>2006</v>
      </c>
      <c r="W19" s="386"/>
      <c r="X19" s="91">
        <v>8241.6015000000007</v>
      </c>
      <c r="Y19" s="92">
        <v>635.70000000000005</v>
      </c>
      <c r="Z19" s="92">
        <f t="shared" ref="Z19:Z22" si="2">+X19*Y19</f>
        <v>5239186.0735500008</v>
      </c>
      <c r="AA19" s="93">
        <v>2006</v>
      </c>
      <c r="AE19" s="438"/>
      <c r="AF19" s="91">
        <v>8241.6015000000007</v>
      </c>
      <c r="AG19" s="92">
        <v>635.70000000000005</v>
      </c>
      <c r="AH19" s="92">
        <f t="shared" ref="AH19:AH22" si="3">+AF19*AG19</f>
        <v>5239186.0735500008</v>
      </c>
      <c r="AI19" s="93">
        <v>2006</v>
      </c>
    </row>
    <row r="20" spans="2:35" x14ac:dyDescent="0.35">
      <c r="B20" s="87" t="s">
        <v>38</v>
      </c>
      <c r="C20" s="98">
        <v>-1585.5</v>
      </c>
      <c r="D20" s="96"/>
      <c r="E20" s="97" t="s">
        <v>117</v>
      </c>
      <c r="H20" s="386"/>
      <c r="I20" s="91">
        <f>2706.7257-20.5754</f>
        <v>2686.1502999999998</v>
      </c>
      <c r="J20" s="92">
        <v>846.75</v>
      </c>
      <c r="K20" s="92">
        <f t="shared" si="0"/>
        <v>2274497.7665249999</v>
      </c>
      <c r="L20" s="93">
        <v>2008</v>
      </c>
      <c r="O20" s="386"/>
      <c r="P20" s="91">
        <f>2706.7257-20.5754</f>
        <v>2686.1502999999998</v>
      </c>
      <c r="Q20" s="92">
        <v>846.75</v>
      </c>
      <c r="R20" s="92">
        <f t="shared" si="1"/>
        <v>2274497.7665249999</v>
      </c>
      <c r="S20" s="93">
        <v>2008</v>
      </c>
      <c r="W20" s="386"/>
      <c r="X20" s="91">
        <f>2706.7257-20.5754</f>
        <v>2686.1502999999998</v>
      </c>
      <c r="Y20" s="92">
        <v>846.75</v>
      </c>
      <c r="Z20" s="92">
        <f t="shared" si="2"/>
        <v>2274497.7665249999</v>
      </c>
      <c r="AA20" s="93">
        <v>2008</v>
      </c>
      <c r="AE20" s="438"/>
      <c r="AF20" s="91">
        <f>2706.7257-20.5754</f>
        <v>2686.1502999999998</v>
      </c>
      <c r="AG20" s="92">
        <v>846.75</v>
      </c>
      <c r="AH20" s="92">
        <f t="shared" si="3"/>
        <v>2274497.7665249999</v>
      </c>
      <c r="AI20" s="93">
        <v>2008</v>
      </c>
    </row>
    <row r="21" spans="2:35" x14ac:dyDescent="0.35">
      <c r="B21" s="87" t="s">
        <v>39</v>
      </c>
      <c r="C21" s="88">
        <f>5523930+10635</f>
        <v>5534565</v>
      </c>
      <c r="D21" s="96"/>
      <c r="E21" s="97" t="s">
        <v>118</v>
      </c>
      <c r="H21" s="386"/>
      <c r="I21" s="91"/>
      <c r="J21" s="92">
        <v>1527.1</v>
      </c>
      <c r="K21" s="92">
        <f t="shared" si="0"/>
        <v>0</v>
      </c>
      <c r="L21" s="104" t="s">
        <v>113</v>
      </c>
      <c r="O21" s="386"/>
      <c r="P21" s="91">
        <f>668.4836-48.1355-620.3481</f>
        <v>0</v>
      </c>
      <c r="Q21" s="92">
        <v>1527.1</v>
      </c>
      <c r="R21" s="92">
        <f t="shared" si="1"/>
        <v>0</v>
      </c>
      <c r="S21" s="104" t="s">
        <v>113</v>
      </c>
      <c r="W21" s="386"/>
      <c r="X21" s="91">
        <v>13575</v>
      </c>
      <c r="Y21" s="92">
        <v>1527.1</v>
      </c>
      <c r="Z21" s="92">
        <f t="shared" si="2"/>
        <v>20730382.5</v>
      </c>
      <c r="AA21" s="104" t="s">
        <v>113</v>
      </c>
      <c r="AE21" s="438"/>
      <c r="AF21" s="91">
        <v>11000</v>
      </c>
      <c r="AG21" s="92">
        <v>1527.1</v>
      </c>
      <c r="AH21" s="92">
        <f t="shared" si="3"/>
        <v>16798100</v>
      </c>
      <c r="AI21" s="104" t="s">
        <v>113</v>
      </c>
    </row>
    <row r="22" spans="2:35" x14ac:dyDescent="0.35">
      <c r="B22" s="87" t="s">
        <v>103</v>
      </c>
      <c r="C22" s="88">
        <v>-471640</v>
      </c>
      <c r="D22" s="96"/>
      <c r="E22" s="97" t="s">
        <v>118</v>
      </c>
      <c r="H22" s="386"/>
      <c r="I22" s="91"/>
      <c r="J22" s="103"/>
      <c r="K22" s="92">
        <f t="shared" si="0"/>
        <v>0</v>
      </c>
      <c r="O22" s="386"/>
      <c r="P22" s="91"/>
      <c r="Q22" s="103"/>
      <c r="R22" s="92">
        <f t="shared" si="1"/>
        <v>0</v>
      </c>
      <c r="W22" s="386"/>
      <c r="X22" s="91"/>
      <c r="Y22" s="103"/>
      <c r="Z22" s="92">
        <f t="shared" si="2"/>
        <v>0</v>
      </c>
      <c r="AE22" s="438"/>
      <c r="AF22" s="91"/>
      <c r="AG22" s="103"/>
      <c r="AH22" s="92">
        <f t="shared" si="3"/>
        <v>0</v>
      </c>
    </row>
    <row r="23" spans="2:35" ht="15" thickBot="1" x14ac:dyDescent="0.4">
      <c r="B23" s="99" t="s">
        <v>41</v>
      </c>
      <c r="C23" s="100">
        <f>SUM(C18:C22)</f>
        <v>836072</v>
      </c>
      <c r="D23" s="101"/>
      <c r="E23" s="102" t="str">
        <f>B3</f>
        <v>Date as of : 12.14.2020</v>
      </c>
      <c r="H23" s="386"/>
      <c r="I23" s="106"/>
      <c r="J23" s="92"/>
      <c r="K23" s="92"/>
      <c r="L23" s="93"/>
      <c r="O23" s="386"/>
      <c r="P23" s="106"/>
      <c r="Q23" s="92"/>
      <c r="R23" s="92"/>
      <c r="S23" s="93"/>
      <c r="W23" s="386"/>
      <c r="X23" s="106"/>
      <c r="Y23" s="92"/>
      <c r="Z23" s="92"/>
      <c r="AA23" s="93"/>
      <c r="AE23" s="438"/>
      <c r="AF23" s="106"/>
      <c r="AG23" s="92"/>
      <c r="AH23" s="92"/>
      <c r="AI23" s="93"/>
    </row>
    <row r="24" spans="2:35" ht="15" thickBot="1" x14ac:dyDescent="0.4">
      <c r="B24" s="388" t="s">
        <v>125</v>
      </c>
      <c r="C24" s="389"/>
      <c r="D24" s="389"/>
      <c r="E24" s="390"/>
      <c r="H24" s="387"/>
      <c r="I24" s="108">
        <f>SUM(I18:I23)</f>
        <v>11562.909299999999</v>
      </c>
      <c r="J24" s="92"/>
      <c r="K24" s="109">
        <f>SUM(K18:K23)</f>
        <v>7839519.6375750005</v>
      </c>
      <c r="L24" s="93"/>
      <c r="O24" s="387"/>
      <c r="P24" s="108">
        <f>SUM(P18:P23)</f>
        <v>11562.909299999999</v>
      </c>
      <c r="Q24" s="92"/>
      <c r="R24" s="109">
        <f>SUM(R18:R23)</f>
        <v>7839519.6375750005</v>
      </c>
      <c r="S24" s="93"/>
      <c r="W24" s="387"/>
      <c r="X24" s="108">
        <f>SUM(X18:X23)</f>
        <v>25137.909299999999</v>
      </c>
      <c r="Y24" s="92"/>
      <c r="Z24" s="109">
        <f>SUM(Z18:Z23)</f>
        <v>28569902.137575001</v>
      </c>
      <c r="AA24" s="93"/>
      <c r="AE24" s="387"/>
      <c r="AF24" s="108">
        <f>SUM(AF18:AF23)</f>
        <v>22562.909299999999</v>
      </c>
      <c r="AG24" s="92"/>
      <c r="AH24" s="109">
        <f>SUM(AH18:AH23)</f>
        <v>24637619.637575001</v>
      </c>
      <c r="AI24" s="93"/>
    </row>
    <row r="25" spans="2:35" ht="15" thickTop="1" x14ac:dyDescent="0.35">
      <c r="B25" s="388" t="s">
        <v>126</v>
      </c>
      <c r="C25" s="389"/>
      <c r="D25" s="389"/>
      <c r="E25" s="390"/>
      <c r="I25" s="56"/>
      <c r="J25" s="115"/>
      <c r="L25" s="93"/>
      <c r="P25" s="56"/>
      <c r="Q25" s="115"/>
      <c r="S25" s="93"/>
      <c r="X25" s="56"/>
      <c r="Y25" s="115"/>
      <c r="AA25" s="93"/>
      <c r="AF25" s="56"/>
      <c r="AG25" s="115"/>
      <c r="AI25" s="93"/>
    </row>
    <row r="26" spans="2:35" ht="15" customHeight="1" x14ac:dyDescent="0.35">
      <c r="B26" s="391" t="s">
        <v>127</v>
      </c>
      <c r="C26" s="392"/>
      <c r="D26" s="392"/>
      <c r="E26" s="393"/>
      <c r="H26" s="394" t="s">
        <v>47</v>
      </c>
      <c r="I26" s="116">
        <v>981664.58790000004</v>
      </c>
      <c r="J26" s="233">
        <v>8.83</v>
      </c>
      <c r="K26" s="118">
        <f t="shared" ref="K26:K31" si="4">+I26*J26</f>
        <v>8668098.3111570012</v>
      </c>
      <c r="L26" s="93">
        <v>2005</v>
      </c>
      <c r="O26" s="394" t="s">
        <v>47</v>
      </c>
      <c r="P26" s="116">
        <v>981664.58790000004</v>
      </c>
      <c r="Q26" s="233">
        <v>8.83</v>
      </c>
      <c r="R26" s="118">
        <f t="shared" ref="R26:R31" si="5">+P26*Q26</f>
        <v>8668098.3111570012</v>
      </c>
      <c r="S26" s="93">
        <v>2005</v>
      </c>
      <c r="W26" s="394" t="s">
        <v>47</v>
      </c>
      <c r="X26" s="116">
        <v>981664.58790000004</v>
      </c>
      <c r="Y26" s="233">
        <v>8.83</v>
      </c>
      <c r="Z26" s="118">
        <f t="shared" ref="Z26:Z31" si="6">+X26*Y26</f>
        <v>8668098.3111570012</v>
      </c>
      <c r="AA26" s="93">
        <v>2005</v>
      </c>
      <c r="AE26" s="433" t="s">
        <v>47</v>
      </c>
      <c r="AF26" s="116">
        <v>981664.58790000004</v>
      </c>
      <c r="AG26" s="233">
        <v>8.83</v>
      </c>
      <c r="AH26" s="118">
        <f t="shared" ref="AH26:AH31" si="7">+AF26*AG26</f>
        <v>8668098.3111570012</v>
      </c>
      <c r="AI26" s="93">
        <v>2005</v>
      </c>
    </row>
    <row r="27" spans="2:35" ht="15" thickBot="1" x14ac:dyDescent="0.4">
      <c r="B27" s="396" t="s">
        <v>124</v>
      </c>
      <c r="C27" s="397"/>
      <c r="D27" s="397"/>
      <c r="E27" s="398"/>
      <c r="H27" s="395"/>
      <c r="I27" s="116">
        <v>649.01480000000004</v>
      </c>
      <c r="J27" s="233">
        <v>14.93</v>
      </c>
      <c r="K27" s="118">
        <f t="shared" si="4"/>
        <v>9689.7909639999998</v>
      </c>
      <c r="L27" s="93">
        <v>2008</v>
      </c>
      <c r="O27" s="395"/>
      <c r="P27" s="116">
        <v>649.01480000000004</v>
      </c>
      <c r="Q27" s="233">
        <v>14.93</v>
      </c>
      <c r="R27" s="118">
        <f t="shared" si="5"/>
        <v>9689.7909639999998</v>
      </c>
      <c r="S27" s="93">
        <v>2008</v>
      </c>
      <c r="W27" s="395"/>
      <c r="X27" s="116">
        <v>649.01480000000004</v>
      </c>
      <c r="Y27" s="233">
        <v>14.93</v>
      </c>
      <c r="Z27" s="118">
        <f t="shared" si="6"/>
        <v>9689.7909639999998</v>
      </c>
      <c r="AA27" s="93">
        <v>2008</v>
      </c>
      <c r="AE27" s="434"/>
      <c r="AF27" s="116">
        <v>649.01480000000004</v>
      </c>
      <c r="AG27" s="233">
        <v>14.93</v>
      </c>
      <c r="AH27" s="118">
        <f t="shared" si="7"/>
        <v>9689.7909639999998</v>
      </c>
      <c r="AI27" s="93">
        <v>2008</v>
      </c>
    </row>
    <row r="28" spans="2:35" ht="15" thickBot="1" x14ac:dyDescent="0.4">
      <c r="B28" s="93"/>
      <c r="C28" s="93"/>
      <c r="D28" s="93"/>
      <c r="E28" s="93"/>
      <c r="H28" s="395"/>
      <c r="I28" s="122">
        <f>213803.7135</f>
        <v>213803.71350000001</v>
      </c>
      <c r="J28" s="233">
        <v>11.08</v>
      </c>
      <c r="K28" s="118">
        <f t="shared" si="4"/>
        <v>2368945.1455800002</v>
      </c>
      <c r="L28" s="93">
        <v>2009</v>
      </c>
      <c r="O28" s="395"/>
      <c r="P28" s="122">
        <f>213803.7135</f>
        <v>213803.71350000001</v>
      </c>
      <c r="Q28" s="233">
        <v>11.08</v>
      </c>
      <c r="R28" s="118">
        <f t="shared" si="5"/>
        <v>2368945.1455800002</v>
      </c>
      <c r="S28" s="93">
        <v>2009</v>
      </c>
      <c r="W28" s="395"/>
      <c r="X28" s="122">
        <f>213803.7135</f>
        <v>213803.71350000001</v>
      </c>
      <c r="Y28" s="233">
        <v>11.08</v>
      </c>
      <c r="Z28" s="118">
        <f t="shared" si="6"/>
        <v>2368945.1455800002</v>
      </c>
      <c r="AA28" s="93">
        <v>2009</v>
      </c>
      <c r="AE28" s="434"/>
      <c r="AF28" s="122">
        <f>213803.7135</f>
        <v>213803.71350000001</v>
      </c>
      <c r="AG28" s="233">
        <v>11.08</v>
      </c>
      <c r="AH28" s="118">
        <f t="shared" si="7"/>
        <v>2368945.1455800002</v>
      </c>
      <c r="AI28" s="93">
        <v>2009</v>
      </c>
    </row>
    <row r="29" spans="2:35" ht="15" thickBot="1" x14ac:dyDescent="0.4">
      <c r="B29" s="119" t="s">
        <v>48</v>
      </c>
      <c r="C29" s="120" t="str">
        <f>MID(B3,13,15)</f>
        <v xml:space="preserve"> 12.14.2020</v>
      </c>
      <c r="D29" s="120"/>
      <c r="E29" s="121">
        <v>29940634.579999998</v>
      </c>
      <c r="H29" s="395"/>
      <c r="I29" s="122">
        <f>1249196.5802-72195.341</f>
        <v>1177001.2392</v>
      </c>
      <c r="J29" s="233">
        <v>14</v>
      </c>
      <c r="K29" s="118">
        <f t="shared" si="4"/>
        <v>16478017.3488</v>
      </c>
      <c r="L29" s="93">
        <v>2016</v>
      </c>
      <c r="O29" s="395"/>
      <c r="P29" s="122">
        <f>1249196.5802-72195.341</f>
        <v>1177001.2392</v>
      </c>
      <c r="Q29" s="233">
        <v>14</v>
      </c>
      <c r="R29" s="118">
        <f t="shared" si="5"/>
        <v>16478017.3488</v>
      </c>
      <c r="S29" s="93">
        <v>2016</v>
      </c>
      <c r="W29" s="395"/>
      <c r="X29" s="122">
        <f>1249196.5802-72195.341</f>
        <v>1177001.2392</v>
      </c>
      <c r="Y29" s="233">
        <v>14</v>
      </c>
      <c r="Z29" s="118">
        <f t="shared" si="6"/>
        <v>16478017.3488</v>
      </c>
      <c r="AA29" s="93">
        <v>2016</v>
      </c>
      <c r="AE29" s="434"/>
      <c r="AF29" s="122">
        <v>1177001.2392</v>
      </c>
      <c r="AG29" s="233">
        <v>14</v>
      </c>
      <c r="AH29" s="118">
        <f t="shared" si="7"/>
        <v>16478017.3488</v>
      </c>
      <c r="AI29" s="93">
        <v>2016</v>
      </c>
    </row>
    <row r="30" spans="2:35" x14ac:dyDescent="0.35">
      <c r="B30" s="93"/>
      <c r="C30" s="93"/>
      <c r="D30" s="93"/>
      <c r="E30" s="93" t="s">
        <v>104</v>
      </c>
      <c r="H30" s="395"/>
      <c r="I30" s="122">
        <v>1047351.461</v>
      </c>
      <c r="J30" s="234">
        <v>15.44</v>
      </c>
      <c r="K30" s="118">
        <f t="shared" si="4"/>
        <v>16171106.557839999</v>
      </c>
      <c r="L30" s="104" t="s">
        <v>42</v>
      </c>
      <c r="O30" s="395"/>
      <c r="P30" s="122">
        <v>1047351.461</v>
      </c>
      <c r="Q30" s="234">
        <v>15.44</v>
      </c>
      <c r="R30" s="118">
        <f t="shared" si="5"/>
        <v>16171106.557839999</v>
      </c>
      <c r="S30" s="104" t="s">
        <v>42</v>
      </c>
      <c r="W30" s="395"/>
      <c r="X30" s="122">
        <v>1047351.461</v>
      </c>
      <c r="Y30" s="234">
        <v>15.44</v>
      </c>
      <c r="Z30" s="118">
        <f t="shared" si="6"/>
        <v>16171106.557839999</v>
      </c>
      <c r="AA30" s="104" t="s">
        <v>42</v>
      </c>
      <c r="AE30" s="434"/>
      <c r="AF30" s="122">
        <v>1047351.461</v>
      </c>
      <c r="AG30" s="234">
        <v>15.44</v>
      </c>
      <c r="AH30" s="118">
        <f t="shared" si="7"/>
        <v>16171106.557839999</v>
      </c>
      <c r="AI30" s="104" t="s">
        <v>42</v>
      </c>
    </row>
    <row r="31" spans="2:35" ht="15" thickBot="1" x14ac:dyDescent="0.4">
      <c r="B31" s="93"/>
      <c r="C31" s="93"/>
      <c r="D31" s="93"/>
      <c r="E31" s="123"/>
      <c r="H31" s="395"/>
      <c r="I31" s="122">
        <v>0</v>
      </c>
      <c r="J31" s="234">
        <v>17.925000000000001</v>
      </c>
      <c r="K31" s="118">
        <f t="shared" si="4"/>
        <v>0</v>
      </c>
      <c r="L31" s="104" t="s">
        <v>113</v>
      </c>
      <c r="O31" s="395"/>
      <c r="P31" s="122">
        <v>1025000</v>
      </c>
      <c r="Q31" s="234">
        <v>17.925000000000001</v>
      </c>
      <c r="R31" s="118">
        <f t="shared" si="5"/>
        <v>18373125</v>
      </c>
      <c r="S31" s="104" t="s">
        <v>113</v>
      </c>
      <c r="W31" s="395"/>
      <c r="X31" s="122">
        <v>0</v>
      </c>
      <c r="Y31" s="234">
        <v>17.925000000000001</v>
      </c>
      <c r="Z31" s="118">
        <f t="shared" si="6"/>
        <v>0</v>
      </c>
      <c r="AA31" s="104" t="s">
        <v>113</v>
      </c>
      <c r="AE31" s="434"/>
      <c r="AF31" s="122">
        <v>400000</v>
      </c>
      <c r="AG31" s="234">
        <v>17.925000000000001</v>
      </c>
      <c r="AH31" s="118">
        <f t="shared" si="7"/>
        <v>7170000</v>
      </c>
      <c r="AI31" s="104" t="s">
        <v>113</v>
      </c>
    </row>
    <row r="32" spans="2:35" ht="15" thickBot="1" x14ac:dyDescent="0.4">
      <c r="B32" s="399" t="s">
        <v>49</v>
      </c>
      <c r="C32" s="400"/>
      <c r="D32" s="400"/>
      <c r="E32" s="401"/>
      <c r="H32" s="395"/>
      <c r="I32" s="125">
        <f>SUM(I26:I31)</f>
        <v>3420470.0164000001</v>
      </c>
      <c r="J32" s="126"/>
      <c r="K32" s="127">
        <f>SUM(K26:K31)</f>
        <v>43695857.154340997</v>
      </c>
      <c r="L32" s="93"/>
      <c r="O32" s="395"/>
      <c r="P32" s="125">
        <f>SUM(P26:P31)</f>
        <v>4445470.0164000001</v>
      </c>
      <c r="Q32" s="126"/>
      <c r="R32" s="127">
        <f>SUM(R26:R31)</f>
        <v>62068982.154340997</v>
      </c>
      <c r="S32" s="93"/>
      <c r="W32" s="395"/>
      <c r="X32" s="125">
        <f>SUM(X26:X31)</f>
        <v>3420470.0164000001</v>
      </c>
      <c r="Y32" s="126"/>
      <c r="Z32" s="127">
        <f>SUM(Z26:Z31)</f>
        <v>43695857.154340997</v>
      </c>
      <c r="AA32" s="93"/>
      <c r="AE32" s="435"/>
      <c r="AF32" s="125">
        <f>SUM(AF26:AF31)</f>
        <v>3820470.0164000001</v>
      </c>
      <c r="AG32" s="126"/>
      <c r="AH32" s="127">
        <f>SUM(AH26:AH31)</f>
        <v>50865857.154340997</v>
      </c>
      <c r="AI32" s="93"/>
    </row>
    <row r="33" spans="2:35" ht="15" thickTop="1" x14ac:dyDescent="0.35">
      <c r="B33" s="402"/>
      <c r="C33" s="436"/>
      <c r="D33" s="436"/>
      <c r="E33" s="404"/>
      <c r="I33" s="131"/>
      <c r="K33" s="132"/>
      <c r="L33" s="93"/>
      <c r="P33" s="131"/>
      <c r="R33" s="132"/>
      <c r="S33" s="93"/>
      <c r="X33" s="131"/>
      <c r="Z33" s="132"/>
      <c r="AA33" s="93"/>
      <c r="AF33" s="131"/>
      <c r="AH33" s="132"/>
      <c r="AI33" s="93"/>
    </row>
    <row r="34" spans="2:35" ht="15" thickBot="1" x14ac:dyDescent="0.4">
      <c r="B34" s="405"/>
      <c r="C34" s="406"/>
      <c r="D34" s="406"/>
      <c r="E34" s="407"/>
      <c r="H34" s="408" t="s">
        <v>51</v>
      </c>
      <c r="I34" s="134">
        <v>0</v>
      </c>
      <c r="J34" s="135"/>
      <c r="K34" s="136">
        <f>+I34*J34</f>
        <v>0</v>
      </c>
      <c r="L34" s="93"/>
      <c r="O34" s="408" t="s">
        <v>51</v>
      </c>
      <c r="P34" s="134">
        <v>0</v>
      </c>
      <c r="Q34" s="135"/>
      <c r="R34" s="136">
        <f>+P34*Q34</f>
        <v>0</v>
      </c>
      <c r="S34" s="93"/>
      <c r="W34" s="408" t="s">
        <v>51</v>
      </c>
      <c r="X34" s="134">
        <v>0</v>
      </c>
      <c r="Y34" s="135"/>
      <c r="Z34" s="136">
        <f>+X34*Y34</f>
        <v>0</v>
      </c>
      <c r="AA34" s="93"/>
      <c r="AE34" s="408" t="s">
        <v>51</v>
      </c>
      <c r="AF34" s="134">
        <v>0</v>
      </c>
      <c r="AG34" s="135"/>
      <c r="AH34" s="136">
        <f>+AF34*AG34</f>
        <v>0</v>
      </c>
      <c r="AI34" s="93"/>
    </row>
    <row r="35" spans="2:35" x14ac:dyDescent="0.35">
      <c r="B35" s="350" t="s">
        <v>35</v>
      </c>
      <c r="C35" s="351"/>
      <c r="D35" s="351"/>
      <c r="E35" s="352"/>
      <c r="H35" s="409"/>
      <c r="I35" s="137">
        <v>0</v>
      </c>
      <c r="J35" s="135"/>
      <c r="K35" s="136">
        <f>+I35*J35</f>
        <v>0</v>
      </c>
      <c r="L35" s="93"/>
      <c r="O35" s="409"/>
      <c r="P35" s="137">
        <v>0</v>
      </c>
      <c r="Q35" s="135"/>
      <c r="R35" s="136">
        <f>+P35*Q35</f>
        <v>0</v>
      </c>
      <c r="S35" s="93"/>
      <c r="W35" s="409"/>
      <c r="X35" s="137">
        <v>0</v>
      </c>
      <c r="Y35" s="135"/>
      <c r="Z35" s="136">
        <f>+X35*Y35</f>
        <v>0</v>
      </c>
      <c r="AA35" s="93"/>
      <c r="AE35" s="409"/>
      <c r="AF35" s="137">
        <v>0</v>
      </c>
      <c r="AG35" s="135"/>
      <c r="AH35" s="136">
        <f>+AF35*AG35</f>
        <v>0</v>
      </c>
      <c r="AI35" s="93"/>
    </row>
    <row r="36" spans="2:35" x14ac:dyDescent="0.35">
      <c r="B36" s="353"/>
      <c r="C36" s="354"/>
      <c r="D36" s="354"/>
      <c r="E36" s="355"/>
      <c r="H36" s="409"/>
      <c r="I36" s="137">
        <v>0</v>
      </c>
      <c r="J36" s="135"/>
      <c r="K36" s="136">
        <f>+I36*J36</f>
        <v>0</v>
      </c>
      <c r="L36" s="93"/>
      <c r="O36" s="409"/>
      <c r="P36" s="137">
        <v>0</v>
      </c>
      <c r="Q36" s="135"/>
      <c r="R36" s="136">
        <f>+P36*Q36</f>
        <v>0</v>
      </c>
      <c r="S36" s="93"/>
      <c r="W36" s="409"/>
      <c r="X36" s="137">
        <v>0</v>
      </c>
      <c r="Y36" s="135"/>
      <c r="Z36" s="136">
        <f>+X36*Y36</f>
        <v>0</v>
      </c>
      <c r="AA36" s="93"/>
      <c r="AE36" s="409"/>
      <c r="AF36" s="137">
        <v>0</v>
      </c>
      <c r="AG36" s="135"/>
      <c r="AH36" s="136">
        <f>+AF36*AG36</f>
        <v>0</v>
      </c>
      <c r="AI36" s="93"/>
    </row>
    <row r="37" spans="2:35" ht="15" thickBot="1" x14ac:dyDescent="0.4">
      <c r="B37" s="356"/>
      <c r="C37" s="357"/>
      <c r="D37" s="357"/>
      <c r="E37" s="358"/>
      <c r="H37" s="409"/>
      <c r="I37" s="138"/>
      <c r="J37" s="139"/>
      <c r="K37" s="136"/>
      <c r="L37" s="104" t="s">
        <v>42</v>
      </c>
      <c r="O37" s="409"/>
      <c r="P37" s="138"/>
      <c r="Q37" s="139"/>
      <c r="R37" s="136"/>
      <c r="S37" s="104" t="s">
        <v>42</v>
      </c>
      <c r="W37" s="409"/>
      <c r="X37" s="138"/>
      <c r="Y37" s="139"/>
      <c r="Z37" s="136"/>
      <c r="AA37" s="104" t="s">
        <v>42</v>
      </c>
      <c r="AE37" s="409"/>
      <c r="AF37" s="138"/>
      <c r="AG37" s="139"/>
      <c r="AH37" s="136"/>
      <c r="AI37" s="104" t="s">
        <v>42</v>
      </c>
    </row>
    <row r="38" spans="2:35" x14ac:dyDescent="0.35">
      <c r="H38" s="409"/>
      <c r="I38" s="138"/>
      <c r="J38" s="135"/>
      <c r="K38" s="136"/>
      <c r="L38" s="93"/>
      <c r="O38" s="409"/>
      <c r="P38" s="138"/>
      <c r="Q38" s="135"/>
      <c r="R38" s="136"/>
      <c r="S38" s="93"/>
      <c r="W38" s="409"/>
      <c r="X38" s="138"/>
      <c r="Y38" s="135"/>
      <c r="Z38" s="136"/>
      <c r="AA38" s="93"/>
      <c r="AE38" s="409"/>
      <c r="AF38" s="138"/>
      <c r="AG38" s="135"/>
      <c r="AH38" s="136"/>
      <c r="AI38" s="93"/>
    </row>
    <row r="39" spans="2:35" ht="15" thickBot="1" x14ac:dyDescent="0.4">
      <c r="H39" s="410"/>
      <c r="I39" s="140">
        <f>SUM(I34:I38)</f>
        <v>0</v>
      </c>
      <c r="J39" s="136"/>
      <c r="K39" s="141">
        <f>SUM(K34:K38)</f>
        <v>0</v>
      </c>
      <c r="L39" s="93"/>
      <c r="O39" s="410"/>
      <c r="P39" s="140">
        <f>SUM(P34:P38)</f>
        <v>0</v>
      </c>
      <c r="Q39" s="136"/>
      <c r="R39" s="141">
        <f>SUM(R34:R38)</f>
        <v>0</v>
      </c>
      <c r="S39" s="93"/>
      <c r="W39" s="410"/>
      <c r="X39" s="140">
        <f>SUM(X34:X38)</f>
        <v>0</v>
      </c>
      <c r="Y39" s="136"/>
      <c r="Z39" s="141">
        <f>SUM(Z34:Z38)</f>
        <v>0</v>
      </c>
      <c r="AA39" s="93"/>
      <c r="AE39" s="410"/>
      <c r="AF39" s="140">
        <f>SUM(AF34:AF38)</f>
        <v>0</v>
      </c>
      <c r="AG39" s="136"/>
      <c r="AH39" s="141">
        <f>SUM(AH34:AH38)</f>
        <v>0</v>
      </c>
      <c r="AI39" s="93"/>
    </row>
    <row r="40" spans="2:35" ht="15" thickTop="1" x14ac:dyDescent="0.35">
      <c r="C40" s="286" t="s">
        <v>155</v>
      </c>
      <c r="D40" s="287"/>
      <c r="E40" s="288"/>
      <c r="F40" s="224"/>
      <c r="I40" s="131"/>
      <c r="J40" s="145"/>
      <c r="K40" s="132"/>
      <c r="L40" s="93"/>
      <c r="P40" s="131"/>
      <c r="Q40" s="145"/>
      <c r="R40" s="132"/>
      <c r="S40" s="93"/>
      <c r="X40" s="131"/>
      <c r="Y40" s="145"/>
      <c r="Z40" s="132"/>
      <c r="AA40" s="93"/>
      <c r="AF40" s="131"/>
      <c r="AG40" s="145"/>
      <c r="AH40" s="132"/>
      <c r="AI40" s="93"/>
    </row>
    <row r="41" spans="2:35" x14ac:dyDescent="0.35">
      <c r="C41" s="251" t="s">
        <v>157</v>
      </c>
      <c r="D41" s="253"/>
      <c r="E41" s="254">
        <f>E55*0.67</f>
        <v>16672808.951600004</v>
      </c>
      <c r="F41" s="224"/>
      <c r="H41" s="359" t="s">
        <v>53</v>
      </c>
      <c r="I41" s="146">
        <v>517.16899999999998</v>
      </c>
      <c r="J41" s="147">
        <v>1267</v>
      </c>
      <c r="K41" s="148">
        <f>+I41*J41</f>
        <v>655253.12300000002</v>
      </c>
      <c r="L41" s="104" t="s">
        <v>42</v>
      </c>
      <c r="O41" s="359" t="s">
        <v>53</v>
      </c>
      <c r="P41" s="146">
        <v>517.16899999999998</v>
      </c>
      <c r="Q41" s="147">
        <v>1267</v>
      </c>
      <c r="R41" s="148">
        <f>+P41*Q41</f>
        <v>655253.12300000002</v>
      </c>
      <c r="S41" s="104" t="s">
        <v>42</v>
      </c>
      <c r="W41" s="359" t="s">
        <v>53</v>
      </c>
      <c r="X41" s="146">
        <v>517.16899999999998</v>
      </c>
      <c r="Y41" s="147">
        <v>1267</v>
      </c>
      <c r="Z41" s="148">
        <f>+X41*Y41</f>
        <v>655253.12300000002</v>
      </c>
      <c r="AA41" s="104" t="s">
        <v>42</v>
      </c>
      <c r="AE41" s="359" t="s">
        <v>53</v>
      </c>
      <c r="AF41" s="146">
        <v>517.16899999999998</v>
      </c>
      <c r="AG41" s="147">
        <v>1267</v>
      </c>
      <c r="AH41" s="148">
        <f>+AF41*AG41</f>
        <v>655253.12300000002</v>
      </c>
      <c r="AI41" s="104" t="s">
        <v>42</v>
      </c>
    </row>
    <row r="42" spans="2:35" x14ac:dyDescent="0.35">
      <c r="C42" s="243" t="s">
        <v>158</v>
      </c>
      <c r="D42" s="237"/>
      <c r="E42" s="244">
        <f>E55-E41</f>
        <v>8211980.5284000002</v>
      </c>
      <c r="F42" s="224"/>
      <c r="H42" s="360"/>
      <c r="I42" s="146"/>
      <c r="J42" s="149"/>
      <c r="K42" s="148">
        <f>+I42*J42</f>
        <v>0</v>
      </c>
      <c r="L42" s="93"/>
      <c r="O42" s="360"/>
      <c r="P42" s="146"/>
      <c r="Q42" s="149"/>
      <c r="R42" s="148">
        <f>+P42*Q42</f>
        <v>0</v>
      </c>
      <c r="S42" s="93"/>
      <c r="W42" s="360"/>
      <c r="X42" s="146"/>
      <c r="Y42" s="149"/>
      <c r="Z42" s="148">
        <f>+X42*Y42</f>
        <v>0</v>
      </c>
      <c r="AA42" s="93"/>
      <c r="AE42" s="360"/>
      <c r="AF42" s="146"/>
      <c r="AG42" s="149"/>
      <c r="AH42" s="148">
        <f>+AF42*AG42</f>
        <v>0</v>
      </c>
      <c r="AI42" s="93"/>
    </row>
    <row r="43" spans="2:35" x14ac:dyDescent="0.35">
      <c r="C43" s="251" t="s">
        <v>159</v>
      </c>
      <c r="D43" s="253"/>
      <c r="E43" s="254">
        <f>E41/C7</f>
        <v>9107.8383871954575</v>
      </c>
      <c r="F43" s="224"/>
      <c r="H43" s="360"/>
      <c r="I43" s="150"/>
      <c r="J43" s="151"/>
      <c r="K43" s="148">
        <f>+I43*J43</f>
        <v>0</v>
      </c>
      <c r="L43" s="93"/>
      <c r="O43" s="360"/>
      <c r="P43" s="150"/>
      <c r="Q43" s="151"/>
      <c r="R43" s="148">
        <f>+P43*Q43</f>
        <v>0</v>
      </c>
      <c r="S43" s="93"/>
      <c r="W43" s="360"/>
      <c r="X43" s="150"/>
      <c r="Y43" s="151"/>
      <c r="Z43" s="148">
        <f>+X43*Y43</f>
        <v>0</v>
      </c>
      <c r="AA43" s="93"/>
      <c r="AE43" s="360"/>
      <c r="AF43" s="150"/>
      <c r="AG43" s="151"/>
      <c r="AH43" s="148">
        <f>+AF43*AG43</f>
        <v>0</v>
      </c>
      <c r="AI43" s="93"/>
    </row>
    <row r="44" spans="2:35" ht="15" thickBot="1" x14ac:dyDescent="0.4">
      <c r="C44" s="245" t="s">
        <v>160</v>
      </c>
      <c r="D44" s="247"/>
      <c r="E44" s="248">
        <f>E42/C8</f>
        <v>340181.46347970172</v>
      </c>
      <c r="F44" s="224"/>
      <c r="H44" s="360"/>
      <c r="I44" s="152">
        <v>0</v>
      </c>
      <c r="J44" s="151"/>
      <c r="K44" s="148">
        <f>+I44*J44</f>
        <v>0</v>
      </c>
      <c r="L44" s="93"/>
      <c r="O44" s="360"/>
      <c r="P44" s="152">
        <v>0</v>
      </c>
      <c r="Q44" s="151"/>
      <c r="R44" s="148">
        <f>+P44*Q44</f>
        <v>0</v>
      </c>
      <c r="S44" s="93"/>
      <c r="W44" s="360"/>
      <c r="X44" s="152">
        <v>0</v>
      </c>
      <c r="Y44" s="151"/>
      <c r="Z44" s="148">
        <f>+X44*Y44</f>
        <v>0</v>
      </c>
      <c r="AA44" s="93"/>
      <c r="AE44" s="360"/>
      <c r="AF44" s="152">
        <v>0</v>
      </c>
      <c r="AG44" s="151"/>
      <c r="AH44" s="148">
        <f>+AF44*AG44</f>
        <v>0</v>
      </c>
      <c r="AI44" s="93"/>
    </row>
    <row r="45" spans="2:35" ht="15" thickBot="1" x14ac:dyDescent="0.4">
      <c r="E45" s="223"/>
      <c r="H45" s="361"/>
      <c r="I45" s="153">
        <f>SUM(I41:I44)</f>
        <v>517.16899999999998</v>
      </c>
      <c r="J45" s="148"/>
      <c r="K45" s="154">
        <f>SUM(K41:K44)</f>
        <v>655253.12300000002</v>
      </c>
      <c r="L45" s="93"/>
      <c r="O45" s="361"/>
      <c r="P45" s="153">
        <f>SUM(P41:P44)</f>
        <v>517.16899999999998</v>
      </c>
      <c r="Q45" s="148"/>
      <c r="R45" s="154">
        <f>SUM(R41:R44)</f>
        <v>655253.12300000002</v>
      </c>
      <c r="S45" s="93"/>
      <c r="W45" s="361"/>
      <c r="X45" s="153">
        <f>SUM(X41:X44)</f>
        <v>517.16899999999998</v>
      </c>
      <c r="Y45" s="148"/>
      <c r="Z45" s="154">
        <f>SUM(Z41:Z44)</f>
        <v>655253.12300000002</v>
      </c>
      <c r="AA45" s="93"/>
      <c r="AE45" s="361"/>
      <c r="AF45" s="153">
        <f>SUM(AF41:AF44)</f>
        <v>517.16899999999998</v>
      </c>
      <c r="AG45" s="148"/>
      <c r="AH45" s="154">
        <f>SUM(AH41:AH44)</f>
        <v>655253.12300000002</v>
      </c>
      <c r="AI45" s="93"/>
    </row>
    <row r="46" spans="2:35" ht="15" thickTop="1" x14ac:dyDescent="0.35">
      <c r="C46" s="431" t="s">
        <v>156</v>
      </c>
      <c r="D46" s="431"/>
      <c r="E46" s="223"/>
      <c r="I46" s="131"/>
      <c r="J46" s="132"/>
      <c r="K46" s="132"/>
      <c r="L46" s="93"/>
      <c r="P46" s="131"/>
      <c r="Q46" s="132"/>
      <c r="R46" s="132"/>
      <c r="S46" s="93"/>
      <c r="X46" s="131"/>
      <c r="Y46" s="132"/>
      <c r="Z46" s="132"/>
      <c r="AA46" s="93"/>
      <c r="AF46" s="131"/>
      <c r="AG46" s="132"/>
      <c r="AH46" s="132"/>
      <c r="AI46" s="93"/>
    </row>
    <row r="47" spans="2:35" x14ac:dyDescent="0.35">
      <c r="D47" s="222" t="s">
        <v>134</v>
      </c>
      <c r="E47" s="223">
        <v>108500000</v>
      </c>
      <c r="H47" s="432" t="s">
        <v>55</v>
      </c>
      <c r="I47" s="158">
        <v>72.56</v>
      </c>
      <c r="J47" s="159">
        <v>2300</v>
      </c>
      <c r="K47" s="160">
        <f>+I47*J47</f>
        <v>166888</v>
      </c>
      <c r="L47" s="104" t="s">
        <v>42</v>
      </c>
      <c r="O47" s="432" t="s">
        <v>55</v>
      </c>
      <c r="P47" s="158">
        <v>72.56</v>
      </c>
      <c r="Q47" s="159">
        <v>2300</v>
      </c>
      <c r="R47" s="160">
        <f>+P47*Q47</f>
        <v>166888</v>
      </c>
      <c r="S47" s="104" t="s">
        <v>42</v>
      </c>
      <c r="W47" s="432" t="s">
        <v>55</v>
      </c>
      <c r="X47" s="158">
        <v>72.56</v>
      </c>
      <c r="Y47" s="159">
        <v>2300</v>
      </c>
      <c r="Z47" s="160">
        <f>+X47*Y47</f>
        <v>166888</v>
      </c>
      <c r="AA47" s="104" t="s">
        <v>42</v>
      </c>
      <c r="AE47" s="432" t="s">
        <v>55</v>
      </c>
      <c r="AF47" s="158">
        <v>72.56</v>
      </c>
      <c r="AG47" s="159">
        <v>2300</v>
      </c>
      <c r="AH47" s="160">
        <f>+AF47*AG47</f>
        <v>166888</v>
      </c>
      <c r="AI47" s="104" t="s">
        <v>42</v>
      </c>
    </row>
    <row r="48" spans="2:35" x14ac:dyDescent="0.35">
      <c r="D48" s="222" t="s">
        <v>135</v>
      </c>
      <c r="E48" s="223">
        <v>23384789.48</v>
      </c>
      <c r="H48" s="432"/>
      <c r="I48" s="158"/>
      <c r="J48" s="160"/>
      <c r="K48" s="160">
        <f>+I48*J48</f>
        <v>0</v>
      </c>
      <c r="L48" s="93"/>
      <c r="O48" s="432"/>
      <c r="P48" s="158"/>
      <c r="Q48" s="160"/>
      <c r="R48" s="160">
        <f>+P48*Q48</f>
        <v>0</v>
      </c>
      <c r="S48" s="93"/>
      <c r="W48" s="432"/>
      <c r="X48" s="158"/>
      <c r="Y48" s="160"/>
      <c r="Z48" s="160">
        <f>+X48*Y48</f>
        <v>0</v>
      </c>
      <c r="AA48" s="93"/>
      <c r="AE48" s="432"/>
      <c r="AF48" s="158"/>
      <c r="AG48" s="160"/>
      <c r="AH48" s="160">
        <f>+AF48*AG48</f>
        <v>0</v>
      </c>
      <c r="AI48" s="93"/>
    </row>
    <row r="49" spans="1:35" ht="15" thickBot="1" x14ac:dyDescent="0.4">
      <c r="D49" s="222" t="s">
        <v>136</v>
      </c>
      <c r="E49" s="223">
        <v>25000000</v>
      </c>
      <c r="H49" s="432"/>
      <c r="I49" s="164">
        <f>SUM(I47:I48)</f>
        <v>72.56</v>
      </c>
      <c r="J49" s="160"/>
      <c r="K49" s="165">
        <f>SUM(K47:K48)</f>
        <v>166888</v>
      </c>
      <c r="L49" s="93"/>
      <c r="O49" s="432"/>
      <c r="P49" s="164">
        <f>SUM(P47:P48)</f>
        <v>72.56</v>
      </c>
      <c r="Q49" s="160"/>
      <c r="R49" s="165">
        <f>SUM(R47:R48)</f>
        <v>166888</v>
      </c>
      <c r="S49" s="93"/>
      <c r="W49" s="432"/>
      <c r="X49" s="164">
        <f>SUM(X47:X48)</f>
        <v>72.56</v>
      </c>
      <c r="Y49" s="160"/>
      <c r="Z49" s="165">
        <f>SUM(Z47:Z48)</f>
        <v>166888</v>
      </c>
      <c r="AA49" s="93"/>
      <c r="AE49" s="432"/>
      <c r="AF49" s="164">
        <f>SUM(AF47:AF48)</f>
        <v>72.56</v>
      </c>
      <c r="AG49" s="160"/>
      <c r="AH49" s="165">
        <f>SUM(AH47:AH48)</f>
        <v>166888</v>
      </c>
      <c r="AI49" s="93"/>
    </row>
    <row r="50" spans="1:35" ht="15" thickTop="1" x14ac:dyDescent="0.35">
      <c r="D50" s="222" t="s">
        <v>137</v>
      </c>
      <c r="E50" s="223">
        <f>E47-E48-E49</f>
        <v>60115210.519999996</v>
      </c>
      <c r="I50" s="170"/>
      <c r="J50" s="171"/>
      <c r="K50" s="68">
        <f>+K13</f>
        <v>914969.33</v>
      </c>
      <c r="L50" s="69" t="s">
        <v>26</v>
      </c>
      <c r="P50" s="170"/>
      <c r="Q50" s="171"/>
      <c r="R50" s="68">
        <f>+R13</f>
        <v>914969.33</v>
      </c>
      <c r="S50" s="69" t="s">
        <v>26</v>
      </c>
      <c r="X50" s="170"/>
      <c r="Y50" s="171"/>
      <c r="Z50" s="68">
        <f>+Z13</f>
        <v>914969.33</v>
      </c>
      <c r="AA50" s="69" t="s">
        <v>26</v>
      </c>
      <c r="AF50" s="170"/>
      <c r="AG50" s="171"/>
      <c r="AH50" s="68">
        <f>+AH13</f>
        <v>914969.33</v>
      </c>
      <c r="AI50" s="69" t="s">
        <v>26</v>
      </c>
    </row>
    <row r="51" spans="1:35" ht="15" thickBot="1" x14ac:dyDescent="0.4">
      <c r="D51" s="222"/>
      <c r="E51" s="223"/>
      <c r="I51" s="56" t="s">
        <v>30</v>
      </c>
      <c r="J51" s="132"/>
      <c r="K51" s="84">
        <f>+K24+K32+K39+K45+K50+K49</f>
        <v>53272487.244915999</v>
      </c>
      <c r="P51" s="56" t="s">
        <v>30</v>
      </c>
      <c r="Q51" s="132"/>
      <c r="R51" s="84">
        <f>+R24+R32+R39+R45+R50+R49</f>
        <v>71645612.244915992</v>
      </c>
      <c r="X51" s="56" t="s">
        <v>30</v>
      </c>
      <c r="Y51" s="132"/>
      <c r="Z51" s="84">
        <f>+Z24+Z32+Z39+Z45+Z50+Z49</f>
        <v>74002869.744915992</v>
      </c>
      <c r="AF51" s="56" t="s">
        <v>30</v>
      </c>
      <c r="AG51" s="132"/>
      <c r="AH51" s="84">
        <f>+AH24+AH32+AH39+AH45+AH50+AH49</f>
        <v>77240587.244915992</v>
      </c>
    </row>
    <row r="52" spans="1:35" ht="15" thickTop="1" x14ac:dyDescent="0.35">
      <c r="D52" s="222" t="s">
        <v>138</v>
      </c>
      <c r="E52" s="223">
        <v>90000000</v>
      </c>
      <c r="J52" s="132"/>
      <c r="K52" s="132"/>
      <c r="Q52" s="132"/>
      <c r="R52" s="132"/>
      <c r="Y52" s="132"/>
      <c r="Z52" s="132"/>
      <c r="AG52" s="132"/>
      <c r="AH52" s="132"/>
    </row>
    <row r="53" spans="1:35" ht="15" thickBot="1" x14ac:dyDescent="0.4">
      <c r="D53" s="222" t="s">
        <v>145</v>
      </c>
      <c r="E53" s="223">
        <f>E52-E50</f>
        <v>29884789.480000004</v>
      </c>
      <c r="I53" s="56" t="s">
        <v>56</v>
      </c>
      <c r="J53" s="132"/>
      <c r="K53" s="177">
        <f>+K15-K51</f>
        <v>55173182.743559994</v>
      </c>
      <c r="P53" s="56" t="s">
        <v>56</v>
      </c>
      <c r="Q53" s="132"/>
      <c r="R53" s="177">
        <f>+R15-R51</f>
        <v>61543525.743560001</v>
      </c>
      <c r="X53" s="56" t="s">
        <v>56</v>
      </c>
      <c r="Y53" s="132"/>
      <c r="Z53" s="177">
        <f>+Z15-Z51</f>
        <v>59293163.243560001</v>
      </c>
      <c r="AF53" s="56" t="s">
        <v>56</v>
      </c>
      <c r="AG53" s="132"/>
      <c r="AH53" s="177">
        <f>+AH15-AH51</f>
        <v>60997650.743560016</v>
      </c>
    </row>
    <row r="54" spans="1:35" ht="15" thickTop="1" x14ac:dyDescent="0.35">
      <c r="D54" s="222" t="s">
        <v>161</v>
      </c>
      <c r="E54" s="223">
        <v>-5000000</v>
      </c>
      <c r="I54" s="56"/>
      <c r="J54" s="132"/>
      <c r="K54" s="289"/>
      <c r="P54" s="56"/>
      <c r="Q54" s="132"/>
      <c r="R54" s="289"/>
      <c r="X54" s="56"/>
      <c r="Y54" s="132"/>
      <c r="Z54" s="289"/>
      <c r="AG54" s="178"/>
      <c r="AH54" s="179"/>
    </row>
    <row r="55" spans="1:35" x14ac:dyDescent="0.35">
      <c r="D55" s="222" t="s">
        <v>139</v>
      </c>
      <c r="E55" s="223">
        <f>E53+E54</f>
        <v>24884789.480000004</v>
      </c>
      <c r="I55" s="56"/>
      <c r="J55" s="132"/>
      <c r="K55" s="289"/>
      <c r="P55" s="56"/>
      <c r="Q55" s="132"/>
      <c r="R55" s="289"/>
      <c r="X55" s="56"/>
      <c r="Y55" s="132"/>
      <c r="Z55" s="289"/>
      <c r="AF55" s="180" t="s">
        <v>109</v>
      </c>
      <c r="AG55" s="178"/>
      <c r="AH55" s="181">
        <v>30081777.469999999</v>
      </c>
    </row>
    <row r="56" spans="1:35" ht="15" thickBot="1" x14ac:dyDescent="0.4">
      <c r="D56" s="222"/>
      <c r="E56" s="193"/>
      <c r="J56" s="178"/>
      <c r="K56" s="179"/>
      <c r="Q56" s="178"/>
      <c r="R56" s="179"/>
      <c r="Y56" s="178"/>
      <c r="Z56" s="179"/>
      <c r="AE56" s="224"/>
      <c r="AF56" s="2" t="s">
        <v>110</v>
      </c>
      <c r="AG56" s="56"/>
      <c r="AH56" s="174">
        <f>+AH53</f>
        <v>60997650.743560016</v>
      </c>
    </row>
    <row r="57" spans="1:35" x14ac:dyDescent="0.35">
      <c r="A57" s="225"/>
      <c r="B57" s="226"/>
      <c r="C57" s="226"/>
      <c r="D57" s="227" t="s">
        <v>140</v>
      </c>
      <c r="E57" s="228">
        <f>E53/C8</f>
        <v>1237978.0231980118</v>
      </c>
      <c r="I57" s="180" t="s">
        <v>109</v>
      </c>
      <c r="J57" s="178"/>
      <c r="K57" s="181">
        <v>30081777.469999999</v>
      </c>
      <c r="P57" s="180" t="s">
        <v>109</v>
      </c>
      <c r="Q57" s="178"/>
      <c r="R57" s="181">
        <v>30081777.469999999</v>
      </c>
      <c r="X57" s="180" t="s">
        <v>109</v>
      </c>
      <c r="Y57" s="178"/>
      <c r="Z57" s="181">
        <v>30081777.469999999</v>
      </c>
      <c r="AE57" s="224"/>
      <c r="AF57" s="2" t="s">
        <v>60</v>
      </c>
      <c r="AG57" s="56"/>
      <c r="AH57" s="183">
        <f>+AH55-AH56</f>
        <v>-30915873.273560017</v>
      </c>
    </row>
    <row r="58" spans="1:35" ht="15" thickBot="1" x14ac:dyDescent="0.4">
      <c r="A58" s="229"/>
      <c r="B58" s="230"/>
      <c r="C58" s="230"/>
      <c r="D58" s="231" t="s">
        <v>141</v>
      </c>
      <c r="E58" s="232">
        <f>E53/C7</f>
        <v>16325.133551840929</v>
      </c>
      <c r="H58" s="224"/>
      <c r="I58" s="2" t="s">
        <v>110</v>
      </c>
      <c r="J58" s="56"/>
      <c r="K58" s="174">
        <f>+K53</f>
        <v>55173182.743559994</v>
      </c>
      <c r="O58" s="224"/>
      <c r="P58" s="2" t="s">
        <v>110</v>
      </c>
      <c r="Q58" s="56"/>
      <c r="R58" s="174">
        <f>+R53</f>
        <v>61543525.743560001</v>
      </c>
      <c r="W58" s="224"/>
      <c r="X58" s="2" t="s">
        <v>110</v>
      </c>
      <c r="Y58" s="56"/>
      <c r="Z58" s="174">
        <f>+Z53</f>
        <v>59293163.243560001</v>
      </c>
      <c r="AF58" s="2" t="s">
        <v>111</v>
      </c>
      <c r="AG58" s="56"/>
      <c r="AH58" s="184">
        <f>Z60</f>
        <v>29940634.579999998</v>
      </c>
      <c r="AI58" s="2" t="s">
        <v>119</v>
      </c>
    </row>
    <row r="59" spans="1:35" ht="15" thickBot="1" x14ac:dyDescent="0.4">
      <c r="E59" s="193"/>
      <c r="H59" s="224"/>
      <c r="I59" s="2" t="s">
        <v>60</v>
      </c>
      <c r="J59" s="56"/>
      <c r="K59" s="183">
        <f>+K57-K58</f>
        <v>-25091405.273559995</v>
      </c>
      <c r="O59" s="224"/>
      <c r="P59" s="2" t="s">
        <v>60</v>
      </c>
      <c r="Q59" s="56"/>
      <c r="R59" s="183">
        <f>+R57-R58</f>
        <v>-31461748.273560002</v>
      </c>
      <c r="W59" s="224"/>
      <c r="X59" s="2" t="s">
        <v>60</v>
      </c>
      <c r="Y59" s="56"/>
      <c r="Z59" s="183">
        <f>+Z57-Z58</f>
        <v>-29211385.773560002</v>
      </c>
      <c r="AF59" s="2" t="s">
        <v>112</v>
      </c>
      <c r="AG59" s="56"/>
      <c r="AH59" s="177">
        <f>+AH57+AH58</f>
        <v>-975238.69356001914</v>
      </c>
    </row>
    <row r="60" spans="1:35" ht="15.5" thickTop="1" thickBot="1" x14ac:dyDescent="0.4">
      <c r="B60" s="283" t="s">
        <v>154</v>
      </c>
      <c r="C60" s="284"/>
      <c r="D60" s="285"/>
      <c r="E60" s="193"/>
      <c r="I60" s="2" t="s">
        <v>111</v>
      </c>
      <c r="J60" s="56"/>
      <c r="K60" s="184">
        <f>E29</f>
        <v>29940634.579999998</v>
      </c>
      <c r="L60" s="2" t="s">
        <v>119</v>
      </c>
      <c r="P60" s="2" t="s">
        <v>111</v>
      </c>
      <c r="Q60" s="56"/>
      <c r="R60" s="184">
        <f>K60</f>
        <v>29940634.579999998</v>
      </c>
      <c r="S60" s="2" t="s">
        <v>119</v>
      </c>
      <c r="X60" s="2" t="s">
        <v>111</v>
      </c>
      <c r="Y60" s="56"/>
      <c r="Z60" s="184">
        <f>K60</f>
        <v>29940634.579999998</v>
      </c>
      <c r="AA60" s="2" t="s">
        <v>119</v>
      </c>
      <c r="AF60" s="56"/>
      <c r="AG60" s="56"/>
    </row>
    <row r="61" spans="1:35" s="2" customFormat="1" ht="15" thickBot="1" x14ac:dyDescent="0.4">
      <c r="A61"/>
      <c r="B61" s="259" t="s">
        <v>148</v>
      </c>
      <c r="C61" s="260"/>
      <c r="D61" s="261" t="s">
        <v>134</v>
      </c>
      <c r="E61" s="262">
        <v>138300000</v>
      </c>
      <c r="F61" s="1"/>
      <c r="G61" s="3"/>
      <c r="H61" s="224"/>
      <c r="I61" s="2" t="s">
        <v>112</v>
      </c>
      <c r="J61" s="56"/>
      <c r="K61" s="177">
        <f>+K59+K60</f>
        <v>4849229.3064400032</v>
      </c>
      <c r="M61" s="1"/>
      <c r="N61" s="3"/>
      <c r="O61" s="1"/>
      <c r="P61" s="2" t="s">
        <v>112</v>
      </c>
      <c r="Q61" s="56"/>
      <c r="R61" s="177">
        <f>+R59+R60</f>
        <v>-1521113.6935600042</v>
      </c>
      <c r="T61"/>
      <c r="U61" s="1"/>
      <c r="V61" s="3"/>
      <c r="W61" s="1"/>
      <c r="X61" s="2" t="s">
        <v>112</v>
      </c>
      <c r="Y61" s="56"/>
      <c r="Z61" s="177">
        <f>+Z59+Z60</f>
        <v>729248.80643999577</v>
      </c>
      <c r="AB61"/>
      <c r="AC61" s="1"/>
      <c r="AD61" s="3"/>
      <c r="AE61" s="1"/>
      <c r="AF61" s="56"/>
      <c r="AG61" s="56"/>
    </row>
    <row r="62" spans="1:35" s="2" customFormat="1" ht="15.5" thickTop="1" thickBot="1" x14ac:dyDescent="0.4">
      <c r="A62"/>
      <c r="B62" s="272">
        <f>AF21</f>
        <v>11000</v>
      </c>
      <c r="C62" s="264"/>
      <c r="D62" s="265" t="s">
        <v>135</v>
      </c>
      <c r="E62" s="266">
        <f>23384789.48</f>
        <v>23384789.48</v>
      </c>
      <c r="F62" s="1"/>
      <c r="G62" s="3"/>
      <c r="H62" s="224"/>
      <c r="I62" s="56"/>
      <c r="J62" s="56"/>
      <c r="M62" s="1"/>
      <c r="N62" s="3"/>
      <c r="O62" s="1"/>
      <c r="P62" s="56"/>
      <c r="Q62" s="56"/>
      <c r="T62"/>
      <c r="U62" s="1"/>
      <c r="V62" s="3"/>
      <c r="W62" s="1"/>
      <c r="X62" s="56"/>
      <c r="Y62" s="56"/>
      <c r="AB62"/>
      <c r="AC62" s="1"/>
      <c r="AD62" s="3"/>
      <c r="AE62" s="186"/>
      <c r="AF62" s="368" t="s">
        <v>65</v>
      </c>
      <c r="AG62" s="369"/>
      <c r="AH62" s="369"/>
      <c r="AI62" s="370"/>
    </row>
    <row r="63" spans="1:35" s="2" customFormat="1" ht="15" thickBot="1" x14ac:dyDescent="0.4">
      <c r="A63"/>
      <c r="B63" s="272">
        <f>AF31</f>
        <v>400000</v>
      </c>
      <c r="C63" s="264"/>
      <c r="D63" s="265" t="s">
        <v>136</v>
      </c>
      <c r="E63" s="266">
        <v>25000000</v>
      </c>
      <c r="F63" s="1"/>
      <c r="G63" s="3"/>
      <c r="H63" s="224"/>
      <c r="I63" s="56"/>
      <c r="J63" s="56"/>
      <c r="M63" s="1"/>
      <c r="N63" s="3"/>
      <c r="O63" s="1"/>
      <c r="P63" s="56"/>
      <c r="Q63" s="56"/>
      <c r="U63" s="1"/>
      <c r="V63" s="3"/>
      <c r="W63" s="1"/>
      <c r="X63" s="56"/>
      <c r="Y63" s="56"/>
      <c r="AC63" s="1"/>
      <c r="AD63" s="3"/>
      <c r="AE63" s="186"/>
      <c r="AF63" s="56"/>
      <c r="AG63" s="56"/>
    </row>
    <row r="64" spans="1:35" s="2" customFormat="1" ht="15" thickBot="1" x14ac:dyDescent="0.4">
      <c r="B64" s="273" t="s">
        <v>150</v>
      </c>
      <c r="C64" s="264"/>
      <c r="D64" s="265" t="s">
        <v>162</v>
      </c>
      <c r="E64" s="266">
        <f>E61-E62-E63</f>
        <v>89915210.519999996</v>
      </c>
      <c r="F64" s="1"/>
      <c r="G64" s="3"/>
      <c r="H64" s="238"/>
      <c r="I64" s="368" t="s">
        <v>65</v>
      </c>
      <c r="J64" s="369"/>
      <c r="K64" s="369"/>
      <c r="L64" s="370"/>
      <c r="M64" s="1"/>
      <c r="N64" s="3"/>
      <c r="O64" s="186"/>
      <c r="P64" s="368" t="s">
        <v>65</v>
      </c>
      <c r="Q64" s="369"/>
      <c r="R64" s="369"/>
      <c r="S64" s="370"/>
      <c r="U64" s="1"/>
      <c r="V64" s="3"/>
      <c r="W64" s="186"/>
      <c r="X64" s="368" t="s">
        <v>65</v>
      </c>
      <c r="Y64" s="369"/>
      <c r="Z64" s="369"/>
      <c r="AA64" s="370"/>
      <c r="AC64" s="1"/>
      <c r="AD64" s="3"/>
      <c r="AE64" s="186"/>
      <c r="AF64" s="56"/>
      <c r="AG64" s="56"/>
      <c r="AI64" s="188" t="s">
        <v>66</v>
      </c>
    </row>
    <row r="65" spans="1:35" s="2" customFormat="1" ht="15" thickBot="1" x14ac:dyDescent="0.4">
      <c r="B65" s="273" t="s">
        <v>149</v>
      </c>
      <c r="C65" s="264"/>
      <c r="D65" s="265"/>
      <c r="E65" s="266"/>
      <c r="F65" s="1"/>
      <c r="G65" s="3"/>
      <c r="H65" s="238"/>
      <c r="I65" s="56"/>
      <c r="J65" s="56"/>
      <c r="M65" s="1"/>
      <c r="N65" s="3"/>
      <c r="O65" s="186"/>
      <c r="P65" s="56"/>
      <c r="Q65" s="56"/>
      <c r="U65" s="1"/>
      <c r="V65" s="3"/>
      <c r="W65" s="186"/>
      <c r="X65" s="56"/>
      <c r="Y65" s="56"/>
      <c r="AC65" s="1"/>
      <c r="AD65" s="3"/>
      <c r="AE65" s="186"/>
      <c r="AF65" s="56" t="s">
        <v>67</v>
      </c>
      <c r="AG65" s="56"/>
      <c r="AH65" s="30">
        <f>AH59</f>
        <v>-975238.69356001914</v>
      </c>
    </row>
    <row r="66" spans="1:35" s="2" customFormat="1" ht="15" thickBot="1" x14ac:dyDescent="0.4">
      <c r="B66" s="263"/>
      <c r="C66" s="264"/>
      <c r="D66" s="265" t="s">
        <v>138</v>
      </c>
      <c r="E66" s="266">
        <v>90000000</v>
      </c>
      <c r="F66" s="1"/>
      <c r="G66" s="3"/>
      <c r="H66" s="238"/>
      <c r="I66" s="56"/>
      <c r="J66" s="56"/>
      <c r="L66" s="188" t="s">
        <v>66</v>
      </c>
      <c r="M66" s="1"/>
      <c r="N66" s="3"/>
      <c r="O66" s="186"/>
      <c r="P66" s="56"/>
      <c r="Q66" s="56"/>
      <c r="S66" s="188" t="s">
        <v>66</v>
      </c>
      <c r="U66" s="1"/>
      <c r="V66" s="3"/>
      <c r="W66" s="186"/>
      <c r="X66" s="56"/>
      <c r="Y66" s="56"/>
      <c r="AA66" s="188" t="s">
        <v>66</v>
      </c>
      <c r="AC66" s="1"/>
      <c r="AD66" s="3"/>
      <c r="AE66" s="186"/>
      <c r="AF66" s="56" t="s">
        <v>68</v>
      </c>
      <c r="AG66" s="56"/>
      <c r="AH66" s="189">
        <v>0</v>
      </c>
    </row>
    <row r="67" spans="1:35" s="2" customFormat="1" ht="15" thickBot="1" x14ac:dyDescent="0.4">
      <c r="B67" s="267"/>
      <c r="C67" s="101"/>
      <c r="D67" s="268" t="s">
        <v>145</v>
      </c>
      <c r="E67" s="269">
        <f>E66-E64</f>
        <v>84789.480000004172</v>
      </c>
      <c r="F67" s="1"/>
      <c r="G67" s="3"/>
      <c r="H67" s="238"/>
      <c r="I67" s="56" t="s">
        <v>67</v>
      </c>
      <c r="J67" s="56"/>
      <c r="K67" s="30">
        <f>K61</f>
        <v>4849229.3064400032</v>
      </c>
      <c r="M67" s="1"/>
      <c r="N67" s="3"/>
      <c r="O67" s="186"/>
      <c r="P67" s="56" t="s">
        <v>67</v>
      </c>
      <c r="Q67" s="56"/>
      <c r="R67" s="30">
        <f>R61</f>
        <v>-1521113.6935600042</v>
      </c>
      <c r="U67" s="1"/>
      <c r="V67" s="3"/>
      <c r="W67" s="186"/>
      <c r="X67" s="56" t="s">
        <v>67</v>
      </c>
      <c r="Y67" s="56"/>
      <c r="Z67" s="30">
        <f>Z61</f>
        <v>729248.80643999577</v>
      </c>
      <c r="AC67" s="1"/>
      <c r="AD67" s="3"/>
      <c r="AE67" s="186"/>
      <c r="AF67" s="56" t="s">
        <v>69</v>
      </c>
      <c r="AG67" s="56"/>
      <c r="AH67" s="192">
        <f>AH65+AH66</f>
        <v>-975238.69356001914</v>
      </c>
    </row>
    <row r="68" spans="1:35" x14ac:dyDescent="0.35">
      <c r="A68" s="2"/>
      <c r="E68" s="193"/>
      <c r="H68" s="186"/>
      <c r="I68" s="56" t="s">
        <v>68</v>
      </c>
      <c r="J68" s="56"/>
      <c r="K68" s="189">
        <v>0</v>
      </c>
      <c r="O68" s="186"/>
      <c r="P68" s="56" t="s">
        <v>68</v>
      </c>
      <c r="Q68" s="56"/>
      <c r="R68" s="189">
        <v>0</v>
      </c>
      <c r="T68" s="2"/>
      <c r="W68" s="186"/>
      <c r="X68" s="56" t="s">
        <v>68</v>
      </c>
      <c r="Y68" s="56"/>
      <c r="Z68" s="189">
        <v>0</v>
      </c>
      <c r="AB68" s="2"/>
      <c r="AE68" s="186"/>
      <c r="AF68" s="56"/>
      <c r="AG68" s="56"/>
    </row>
    <row r="69" spans="1:35" ht="15" thickBot="1" x14ac:dyDescent="0.4">
      <c r="A69" s="2"/>
      <c r="E69" s="193"/>
      <c r="H69" s="186"/>
      <c r="I69" s="56" t="s">
        <v>69</v>
      </c>
      <c r="J69" s="56"/>
      <c r="K69" s="192">
        <f>K67+K68</f>
        <v>4849229.3064400032</v>
      </c>
      <c r="O69" s="186"/>
      <c r="P69" s="56" t="s">
        <v>69</v>
      </c>
      <c r="Q69" s="56"/>
      <c r="R69" s="192">
        <f>R67+R68</f>
        <v>-1521113.6935600042</v>
      </c>
      <c r="T69" s="2"/>
      <c r="W69" s="186"/>
      <c r="X69" s="56" t="s">
        <v>69</v>
      </c>
      <c r="Y69" s="56"/>
      <c r="Z69" s="192">
        <f>Z67+Z68</f>
        <v>729248.80643999577</v>
      </c>
      <c r="AB69" s="2"/>
      <c r="AF69" s="2" t="s">
        <v>70</v>
      </c>
    </row>
    <row r="70" spans="1:35" x14ac:dyDescent="0.35">
      <c r="A70" s="2"/>
      <c r="B70" s="239" t="s">
        <v>142</v>
      </c>
      <c r="C70" s="240"/>
      <c r="D70" s="241" t="s">
        <v>134</v>
      </c>
      <c r="E70" s="242">
        <v>133200000</v>
      </c>
      <c r="H70" s="186"/>
      <c r="I70" s="56"/>
      <c r="J70" s="56"/>
      <c r="O70" s="186"/>
      <c r="P70" s="56"/>
      <c r="Q70" s="56"/>
      <c r="W70" s="186"/>
      <c r="X70" s="56"/>
      <c r="Y70" s="56"/>
      <c r="AF70" s="2" t="s">
        <v>72</v>
      </c>
      <c r="AH70" s="189">
        <v>0</v>
      </c>
    </row>
    <row r="71" spans="1:35" s="2" customFormat="1" x14ac:dyDescent="0.35">
      <c r="A71"/>
      <c r="B71" s="270">
        <f>P31</f>
        <v>1025000</v>
      </c>
      <c r="C71" s="236"/>
      <c r="D71" s="237" t="s">
        <v>135</v>
      </c>
      <c r="E71" s="244">
        <f>23384789.48</f>
        <v>23384789.48</v>
      </c>
      <c r="F71" s="1"/>
      <c r="G71" s="3"/>
      <c r="H71" s="1"/>
      <c r="I71" s="2" t="s">
        <v>70</v>
      </c>
      <c r="M71" s="1"/>
      <c r="N71" s="3"/>
      <c r="O71" s="1"/>
      <c r="P71" s="2" t="s">
        <v>70</v>
      </c>
      <c r="T71"/>
      <c r="U71" s="1"/>
      <c r="V71" s="3"/>
      <c r="W71" s="1"/>
      <c r="X71" s="2" t="s">
        <v>70</v>
      </c>
      <c r="AB71"/>
      <c r="AC71" s="1"/>
      <c r="AD71" s="3"/>
      <c r="AE71" s="1"/>
      <c r="AF71" s="2" t="s">
        <v>74</v>
      </c>
      <c r="AH71" s="189">
        <f>17366.31+1425.51</f>
        <v>18791.82</v>
      </c>
    </row>
    <row r="72" spans="1:35" s="2" customFormat="1" ht="15" thickBot="1" x14ac:dyDescent="0.4">
      <c r="A72"/>
      <c r="B72" s="274" t="s">
        <v>150</v>
      </c>
      <c r="C72" s="236"/>
      <c r="D72" s="237" t="s">
        <v>136</v>
      </c>
      <c r="E72" s="244">
        <v>25000000</v>
      </c>
      <c r="F72" s="1"/>
      <c r="G72" s="3"/>
      <c r="H72" s="1"/>
      <c r="I72" s="2" t="s">
        <v>72</v>
      </c>
      <c r="K72" s="189">
        <v>0</v>
      </c>
      <c r="M72" s="1"/>
      <c r="N72" s="3"/>
      <c r="O72" s="1"/>
      <c r="P72" s="2" t="s">
        <v>72</v>
      </c>
      <c r="R72" s="189">
        <v>0</v>
      </c>
      <c r="T72"/>
      <c r="U72" s="1"/>
      <c r="V72" s="3"/>
      <c r="W72" s="1"/>
      <c r="X72" s="2" t="s">
        <v>72</v>
      </c>
      <c r="Z72" s="189">
        <v>0</v>
      </c>
      <c r="AB72"/>
      <c r="AC72" s="1"/>
      <c r="AD72" s="3"/>
      <c r="AE72" s="186"/>
      <c r="AF72" s="2" t="s">
        <v>75</v>
      </c>
      <c r="AH72" s="192">
        <f>SUM(AH70:AH71)</f>
        <v>18791.82</v>
      </c>
    </row>
    <row r="73" spans="1:35" s="2" customFormat="1" x14ac:dyDescent="0.35">
      <c r="A73"/>
      <c r="B73" s="243"/>
      <c r="C73" s="236"/>
      <c r="D73" s="237" t="s">
        <v>162</v>
      </c>
      <c r="E73" s="244">
        <f>E70-E71-E72</f>
        <v>84815210.519999996</v>
      </c>
      <c r="F73" s="1"/>
      <c r="G73" s="3"/>
      <c r="H73" s="1"/>
      <c r="I73" s="2" t="s">
        <v>74</v>
      </c>
      <c r="K73" s="189">
        <f>17366.31+1425.51</f>
        <v>18791.82</v>
      </c>
      <c r="M73" s="1"/>
      <c r="N73" s="3"/>
      <c r="O73" s="1"/>
      <c r="P73" s="2" t="s">
        <v>74</v>
      </c>
      <c r="R73" s="189">
        <f>17366.31+1425.51</f>
        <v>18791.82</v>
      </c>
      <c r="U73" s="1"/>
      <c r="V73" s="3"/>
      <c r="W73" s="1"/>
      <c r="X73" s="2" t="s">
        <v>74</v>
      </c>
      <c r="Z73" s="189">
        <f>17366.31+1425.51</f>
        <v>18791.82</v>
      </c>
      <c r="AC73" s="1"/>
      <c r="AD73" s="3"/>
      <c r="AE73" s="186"/>
      <c r="AH73" s="56"/>
    </row>
    <row r="74" spans="1:35" ht="15" thickBot="1" x14ac:dyDescent="0.4">
      <c r="A74" s="2"/>
      <c r="B74" s="243"/>
      <c r="C74" s="236"/>
      <c r="D74" s="237"/>
      <c r="E74" s="244"/>
      <c r="H74" s="186"/>
      <c r="I74" s="2" t="s">
        <v>75</v>
      </c>
      <c r="K74" s="192">
        <f>SUM(K72:K73)</f>
        <v>18791.82</v>
      </c>
      <c r="O74" s="186"/>
      <c r="P74" s="2" t="s">
        <v>75</v>
      </c>
      <c r="R74" s="192">
        <f>SUM(R72:R73)</f>
        <v>18791.82</v>
      </c>
      <c r="T74" s="2"/>
      <c r="W74" s="186"/>
      <c r="X74" s="2" t="s">
        <v>75</v>
      </c>
      <c r="Z74" s="192">
        <f>SUM(Z72:Z73)</f>
        <v>18791.82</v>
      </c>
      <c r="AB74" s="2"/>
      <c r="AE74" s="186"/>
      <c r="AF74" s="2" t="s">
        <v>76</v>
      </c>
    </row>
    <row r="75" spans="1:35" x14ac:dyDescent="0.35">
      <c r="A75" s="2"/>
      <c r="B75" s="243"/>
      <c r="C75" s="236"/>
      <c r="D75" s="237" t="s">
        <v>138</v>
      </c>
      <c r="E75" s="244">
        <v>90000000</v>
      </c>
      <c r="H75" s="186"/>
      <c r="K75" s="56"/>
      <c r="O75" s="186"/>
      <c r="R75" s="56"/>
      <c r="T75" s="2"/>
      <c r="W75" s="186"/>
      <c r="Z75" s="56"/>
      <c r="AB75" s="2"/>
      <c r="AF75" s="2" t="s">
        <v>77</v>
      </c>
      <c r="AH75" s="189">
        <v>0</v>
      </c>
      <c r="AI75" s="2" t="s">
        <v>106</v>
      </c>
    </row>
    <row r="76" spans="1:35" ht="15" thickBot="1" x14ac:dyDescent="0.4">
      <c r="A76" s="2"/>
      <c r="B76" s="245"/>
      <c r="C76" s="246"/>
      <c r="D76" s="247" t="s">
        <v>145</v>
      </c>
      <c r="E76" s="248">
        <f>E75-E73</f>
        <v>5184789.4800000042</v>
      </c>
      <c r="H76" s="186"/>
      <c r="I76" s="2" t="s">
        <v>76</v>
      </c>
      <c r="O76" s="186"/>
      <c r="P76" s="2" t="s">
        <v>76</v>
      </c>
      <c r="W76" s="186"/>
      <c r="X76" s="2" t="s">
        <v>76</v>
      </c>
      <c r="AF76" s="2" t="s">
        <v>79</v>
      </c>
      <c r="AH76" s="189">
        <v>0</v>
      </c>
      <c r="AI76" s="2" t="s">
        <v>107</v>
      </c>
    </row>
    <row r="77" spans="1:35" x14ac:dyDescent="0.35">
      <c r="I77" s="2" t="s">
        <v>77</v>
      </c>
      <c r="K77" s="189">
        <v>0</v>
      </c>
      <c r="L77" s="2" t="s">
        <v>106</v>
      </c>
      <c r="P77" s="2" t="s">
        <v>77</v>
      </c>
      <c r="R77" s="189">
        <v>0</v>
      </c>
      <c r="S77" s="2" t="s">
        <v>106</v>
      </c>
      <c r="X77" s="2" t="s">
        <v>77</v>
      </c>
      <c r="Z77" s="189">
        <v>0</v>
      </c>
      <c r="AA77" s="2" t="s">
        <v>106</v>
      </c>
      <c r="AF77" s="2" t="s">
        <v>81</v>
      </c>
      <c r="AH77" s="189">
        <v>0</v>
      </c>
      <c r="AI77" s="2" t="s">
        <v>82</v>
      </c>
    </row>
    <row r="78" spans="1:35" ht="15" thickBot="1" x14ac:dyDescent="0.4">
      <c r="I78" s="2" t="s">
        <v>79</v>
      </c>
      <c r="K78" s="189">
        <v>0</v>
      </c>
      <c r="L78" s="2" t="s">
        <v>107</v>
      </c>
      <c r="P78" s="2" t="s">
        <v>79</v>
      </c>
      <c r="R78" s="189">
        <v>0</v>
      </c>
      <c r="S78" s="2" t="s">
        <v>107</v>
      </c>
      <c r="X78" s="2" t="s">
        <v>79</v>
      </c>
      <c r="Z78" s="189">
        <v>0</v>
      </c>
      <c r="AA78" s="2" t="s">
        <v>107</v>
      </c>
      <c r="AF78" s="2" t="s">
        <v>83</v>
      </c>
      <c r="AH78" s="189">
        <v>0</v>
      </c>
    </row>
    <row r="79" spans="1:35" x14ac:dyDescent="0.35">
      <c r="B79" s="13" t="s">
        <v>146</v>
      </c>
      <c r="C79" s="15"/>
      <c r="D79" s="249" t="s">
        <v>134</v>
      </c>
      <c r="E79" s="250">
        <v>133300000</v>
      </c>
      <c r="I79" s="2" t="s">
        <v>81</v>
      </c>
      <c r="K79" s="189">
        <v>0</v>
      </c>
      <c r="L79" s="2" t="s">
        <v>82</v>
      </c>
      <c r="P79" s="2" t="s">
        <v>81</v>
      </c>
      <c r="R79" s="189">
        <v>0</v>
      </c>
      <c r="S79" s="2" t="s">
        <v>82</v>
      </c>
      <c r="X79" s="2" t="s">
        <v>81</v>
      </c>
      <c r="Z79" s="189">
        <v>0</v>
      </c>
      <c r="AA79" s="2" t="s">
        <v>82</v>
      </c>
      <c r="AE79" s="1" t="s">
        <v>122</v>
      </c>
      <c r="AF79" s="2" t="s">
        <v>84</v>
      </c>
      <c r="AH79" s="190">
        <f>AH95</f>
        <v>836072</v>
      </c>
      <c r="AI79" s="190"/>
    </row>
    <row r="80" spans="1:35" ht="15" thickBot="1" x14ac:dyDescent="0.4">
      <c r="B80" s="271">
        <f>X21</f>
        <v>13575</v>
      </c>
      <c r="C80" s="252"/>
      <c r="D80" s="253" t="s">
        <v>135</v>
      </c>
      <c r="E80" s="254">
        <f>23384789.48</f>
        <v>23384789.48</v>
      </c>
      <c r="I80" s="2" t="s">
        <v>83</v>
      </c>
      <c r="K80" s="189">
        <v>0</v>
      </c>
      <c r="P80" s="2" t="s">
        <v>83</v>
      </c>
      <c r="R80" s="189">
        <v>0</v>
      </c>
      <c r="X80" s="2" t="s">
        <v>83</v>
      </c>
      <c r="Z80" s="189">
        <v>0</v>
      </c>
      <c r="AF80" s="2" t="s">
        <v>85</v>
      </c>
      <c r="AH80" s="192">
        <f>SUM(AH75:AH79)</f>
        <v>836072</v>
      </c>
      <c r="AI80" s="190"/>
    </row>
    <row r="81" spans="2:35" x14ac:dyDescent="0.35">
      <c r="B81" s="282" t="s">
        <v>149</v>
      </c>
      <c r="C81" s="252"/>
      <c r="D81" s="253" t="s">
        <v>136</v>
      </c>
      <c r="E81" s="254">
        <v>25000000</v>
      </c>
      <c r="H81" s="1" t="s">
        <v>122</v>
      </c>
      <c r="I81" s="2" t="s">
        <v>84</v>
      </c>
      <c r="K81" s="190">
        <f>K97</f>
        <v>836072</v>
      </c>
      <c r="L81" s="190"/>
      <c r="O81" s="1" t="s">
        <v>122</v>
      </c>
      <c r="P81" s="2" t="s">
        <v>84</v>
      </c>
      <c r="R81" s="190">
        <f>R97</f>
        <v>836072</v>
      </c>
      <c r="S81" s="190"/>
      <c r="W81" s="1" t="s">
        <v>122</v>
      </c>
      <c r="X81" s="2" t="s">
        <v>84</v>
      </c>
      <c r="Z81" s="190">
        <f>Z97</f>
        <v>836072</v>
      </c>
      <c r="AA81" s="190"/>
      <c r="AI81" s="190"/>
    </row>
    <row r="82" spans="2:35" ht="15" thickBot="1" x14ac:dyDescent="0.4">
      <c r="B82" s="251"/>
      <c r="C82" s="252"/>
      <c r="D82" s="253" t="s">
        <v>162</v>
      </c>
      <c r="E82" s="254">
        <f>E79-E80-E81</f>
        <v>84915210.519999996</v>
      </c>
      <c r="I82" s="2" t="s">
        <v>85</v>
      </c>
      <c r="K82" s="192">
        <f>SUM(K77:K81)</f>
        <v>836072</v>
      </c>
      <c r="L82" s="190"/>
      <c r="P82" s="2" t="s">
        <v>85</v>
      </c>
      <c r="R82" s="192">
        <f>SUM(R77:R81)</f>
        <v>836072</v>
      </c>
      <c r="S82" s="190"/>
      <c r="X82" s="2" t="s">
        <v>85</v>
      </c>
      <c r="Z82" s="192">
        <f>SUM(Z77:Z81)</f>
        <v>836072</v>
      </c>
      <c r="AA82" s="190"/>
      <c r="AF82" s="2" t="s">
        <v>86</v>
      </c>
      <c r="AH82" s="195">
        <f>AH67+AH72+AH80</f>
        <v>-120374.87356001919</v>
      </c>
    </row>
    <row r="83" spans="2:35" x14ac:dyDescent="0.35">
      <c r="B83" s="251"/>
      <c r="C83" s="252"/>
      <c r="D83" s="253"/>
      <c r="E83" s="254"/>
      <c r="L83" s="190"/>
      <c r="S83" s="190"/>
      <c r="AA83" s="190"/>
      <c r="AH83" s="196"/>
    </row>
    <row r="84" spans="2:35" x14ac:dyDescent="0.35">
      <c r="B84" s="251"/>
      <c r="C84" s="252"/>
      <c r="D84" s="253" t="s">
        <v>138</v>
      </c>
      <c r="E84" s="254">
        <v>90000000</v>
      </c>
      <c r="I84" s="2" t="s">
        <v>86</v>
      </c>
      <c r="K84" s="195">
        <f>K69+K74+K82</f>
        <v>5704093.1264400035</v>
      </c>
      <c r="P84" s="2" t="s">
        <v>86</v>
      </c>
      <c r="R84" s="195">
        <f>R69+R74+R82</f>
        <v>-666249.87356000417</v>
      </c>
      <c r="X84" s="2" t="s">
        <v>86</v>
      </c>
      <c r="Z84" s="195">
        <f>Z69+Z74+Z82</f>
        <v>1584112.6264399956</v>
      </c>
      <c r="AF84" s="2" t="s">
        <v>87</v>
      </c>
      <c r="AH84" s="195">
        <v>0</v>
      </c>
    </row>
    <row r="85" spans="2:35" ht="15" thickBot="1" x14ac:dyDescent="0.4">
      <c r="B85" s="255"/>
      <c r="C85" s="256"/>
      <c r="D85" s="257" t="s">
        <v>145</v>
      </c>
      <c r="E85" s="258">
        <f>E84-E82</f>
        <v>5084789.4800000042</v>
      </c>
      <c r="K85" s="196"/>
      <c r="R85" s="196"/>
      <c r="Z85" s="196"/>
    </row>
    <row r="86" spans="2:35" ht="15" thickBot="1" x14ac:dyDescent="0.4">
      <c r="B86" s="2"/>
      <c r="C86" s="2"/>
      <c r="D86" s="2"/>
      <c r="E86" s="2"/>
      <c r="I86" s="2" t="s">
        <v>87</v>
      </c>
      <c r="K86" s="195">
        <v>0</v>
      </c>
      <c r="P86" s="2" t="s">
        <v>87</v>
      </c>
      <c r="R86" s="195">
        <v>0</v>
      </c>
      <c r="X86" s="2" t="s">
        <v>87</v>
      </c>
      <c r="Z86" s="195">
        <v>0</v>
      </c>
      <c r="AF86" s="2" t="s">
        <v>88</v>
      </c>
      <c r="AH86" s="197">
        <f>AH82-AH84</f>
        <v>-120374.87356001919</v>
      </c>
    </row>
    <row r="87" spans="2:35" ht="15" thickTop="1" x14ac:dyDescent="0.35">
      <c r="B87" s="2"/>
      <c r="C87" s="2"/>
      <c r="D87" s="2"/>
      <c r="E87" s="2"/>
    </row>
    <row r="88" spans="2:35" ht="15" thickBot="1" x14ac:dyDescent="0.4">
      <c r="B88" s="2"/>
      <c r="C88" s="2"/>
      <c r="D88" s="2"/>
      <c r="E88" s="30"/>
      <c r="I88" s="2" t="s">
        <v>88</v>
      </c>
      <c r="K88" s="197">
        <f>K84-K86</f>
        <v>5704093.1264400035</v>
      </c>
      <c r="P88" s="2" t="s">
        <v>88</v>
      </c>
      <c r="R88" s="197">
        <f>R84-R86</f>
        <v>-666249.87356000417</v>
      </c>
      <c r="X88" s="2" t="s">
        <v>88</v>
      </c>
      <c r="Z88" s="197">
        <f>Z84-Z86</f>
        <v>1584112.6264399956</v>
      </c>
    </row>
    <row r="89" spans="2:35" ht="15" thickTop="1" x14ac:dyDescent="0.35">
      <c r="B89" s="2"/>
      <c r="C89" s="2"/>
      <c r="D89" s="2"/>
      <c r="E89" s="2"/>
      <c r="AF89" s="371" t="s">
        <v>31</v>
      </c>
      <c r="AG89" s="371"/>
    </row>
    <row r="90" spans="2:35" ht="21" customHeight="1" thickBot="1" x14ac:dyDescent="0.4">
      <c r="B90" s="2"/>
      <c r="C90" s="2"/>
      <c r="D90" s="2"/>
      <c r="E90" s="2"/>
      <c r="AG90" s="281" t="s">
        <v>33</v>
      </c>
      <c r="AH90" s="199">
        <v>-3377592.5</v>
      </c>
    </row>
    <row r="91" spans="2:35" ht="21.75" customHeight="1" x14ac:dyDescent="0.35">
      <c r="B91" s="2"/>
      <c r="C91" s="2"/>
      <c r="D91" s="2"/>
      <c r="E91" s="2"/>
      <c r="I91" s="371" t="s">
        <v>31</v>
      </c>
      <c r="J91" s="371"/>
      <c r="P91" s="371" t="s">
        <v>31</v>
      </c>
      <c r="Q91" s="371"/>
      <c r="X91" s="371" t="s">
        <v>31</v>
      </c>
      <c r="Y91" s="371"/>
      <c r="AE91" s="374" t="s">
        <v>89</v>
      </c>
      <c r="AF91" s="281" t="s">
        <v>120</v>
      </c>
      <c r="AG91" s="281" t="s">
        <v>36</v>
      </c>
      <c r="AH91" s="199">
        <v>-847675</v>
      </c>
      <c r="AI91" s="2" t="s">
        <v>37</v>
      </c>
    </row>
    <row r="92" spans="2:35" ht="15" thickBot="1" x14ac:dyDescent="0.4">
      <c r="B92" s="2"/>
      <c r="C92" s="2"/>
      <c r="D92" s="2"/>
      <c r="E92" s="2"/>
      <c r="J92" s="281" t="s">
        <v>33</v>
      </c>
      <c r="K92" s="199">
        <f>C18</f>
        <v>-3377592.5</v>
      </c>
      <c r="Q92" s="281" t="s">
        <v>33</v>
      </c>
      <c r="R92" s="199">
        <v>-3377592.5</v>
      </c>
      <c r="Y92" s="281" t="s">
        <v>33</v>
      </c>
      <c r="Z92" s="199">
        <v>-3377592.5</v>
      </c>
      <c r="AE92" s="375"/>
      <c r="AF92" s="281" t="s">
        <v>120</v>
      </c>
      <c r="AG92" s="281" t="s">
        <v>38</v>
      </c>
      <c r="AH92" s="199">
        <v>-1585.5</v>
      </c>
      <c r="AI92" s="2" t="s">
        <v>37</v>
      </c>
    </row>
    <row r="93" spans="2:35" ht="15" thickBot="1" x14ac:dyDescent="0.4">
      <c r="B93" s="2"/>
      <c r="C93" s="2"/>
      <c r="D93" s="2"/>
      <c r="E93" s="2"/>
      <c r="H93" s="374" t="s">
        <v>89</v>
      </c>
      <c r="I93" s="281" t="s">
        <v>120</v>
      </c>
      <c r="J93" s="281" t="s">
        <v>36</v>
      </c>
      <c r="K93" s="199">
        <f t="shared" ref="K93:K96" si="8">C19</f>
        <v>-847675</v>
      </c>
      <c r="L93" s="2" t="s">
        <v>37</v>
      </c>
      <c r="O93" s="374" t="s">
        <v>89</v>
      </c>
      <c r="P93" s="281" t="s">
        <v>120</v>
      </c>
      <c r="Q93" s="281" t="s">
        <v>36</v>
      </c>
      <c r="R93" s="199">
        <v>-847675</v>
      </c>
      <c r="S93" s="2" t="s">
        <v>37</v>
      </c>
      <c r="W93" s="374" t="s">
        <v>89</v>
      </c>
      <c r="X93" s="281" t="s">
        <v>120</v>
      </c>
      <c r="Y93" s="281" t="s">
        <v>36</v>
      </c>
      <c r="Z93" s="199">
        <v>-847675</v>
      </c>
      <c r="AA93" s="2" t="s">
        <v>37</v>
      </c>
      <c r="AE93" s="376"/>
      <c r="AF93" s="281" t="s">
        <v>92</v>
      </c>
      <c r="AG93" s="281" t="s">
        <v>39</v>
      </c>
      <c r="AH93" s="199">
        <v>5534565</v>
      </c>
      <c r="AI93" s="2" t="s">
        <v>121</v>
      </c>
    </row>
    <row r="94" spans="2:35" x14ac:dyDescent="0.35">
      <c r="B94" s="2"/>
      <c r="C94" s="2"/>
      <c r="D94" s="2"/>
      <c r="E94" s="2"/>
      <c r="H94" s="375"/>
      <c r="I94" s="281" t="s">
        <v>120</v>
      </c>
      <c r="J94" s="281" t="s">
        <v>38</v>
      </c>
      <c r="K94" s="199">
        <f t="shared" si="8"/>
        <v>-1585.5</v>
      </c>
      <c r="L94" s="2" t="s">
        <v>37</v>
      </c>
      <c r="O94" s="375"/>
      <c r="P94" s="281" t="s">
        <v>120</v>
      </c>
      <c r="Q94" s="281" t="s">
        <v>38</v>
      </c>
      <c r="R94" s="199">
        <v>-1585.5</v>
      </c>
      <c r="S94" s="2" t="s">
        <v>37</v>
      </c>
      <c r="W94" s="375"/>
      <c r="X94" s="281" t="s">
        <v>120</v>
      </c>
      <c r="Y94" s="281" t="s">
        <v>38</v>
      </c>
      <c r="Z94" s="199">
        <v>-1585.5</v>
      </c>
      <c r="AA94" s="2" t="s">
        <v>37</v>
      </c>
      <c r="AF94" s="281" t="s">
        <v>120</v>
      </c>
      <c r="AG94" s="281" t="s">
        <v>103</v>
      </c>
      <c r="AH94" s="199">
        <v>-471640</v>
      </c>
    </row>
    <row r="95" spans="2:35" ht="15" thickBot="1" x14ac:dyDescent="0.4">
      <c r="B95" s="2"/>
      <c r="C95" s="2"/>
      <c r="D95" s="2"/>
      <c r="E95" s="2"/>
      <c r="H95" s="376"/>
      <c r="I95" s="281" t="s">
        <v>92</v>
      </c>
      <c r="J95" s="281" t="s">
        <v>39</v>
      </c>
      <c r="K95" s="199">
        <f t="shared" si="8"/>
        <v>5534565</v>
      </c>
      <c r="L95" s="2" t="s">
        <v>121</v>
      </c>
      <c r="O95" s="376"/>
      <c r="P95" s="281" t="s">
        <v>92</v>
      </c>
      <c r="Q95" s="281" t="s">
        <v>39</v>
      </c>
      <c r="R95" s="199">
        <v>5534565</v>
      </c>
      <c r="S95" s="2" t="s">
        <v>121</v>
      </c>
      <c r="W95" s="376"/>
      <c r="X95" s="281" t="s">
        <v>92</v>
      </c>
      <c r="Y95" s="281" t="s">
        <v>39</v>
      </c>
      <c r="Z95" s="199">
        <v>5534565</v>
      </c>
      <c r="AA95" s="2" t="s">
        <v>121</v>
      </c>
      <c r="AG95" s="281" t="s">
        <v>41</v>
      </c>
      <c r="AH95" s="200">
        <f>SUM(AH90:AH94)</f>
        <v>836072</v>
      </c>
    </row>
    <row r="96" spans="2:35" x14ac:dyDescent="0.35">
      <c r="B96" s="2"/>
      <c r="C96" s="2"/>
      <c r="D96" s="2"/>
      <c r="E96" s="2"/>
      <c r="I96" s="281" t="s">
        <v>120</v>
      </c>
      <c r="J96" s="281" t="s">
        <v>103</v>
      </c>
      <c r="K96" s="199">
        <f t="shared" si="8"/>
        <v>-471640</v>
      </c>
      <c r="P96" s="281" t="s">
        <v>120</v>
      </c>
      <c r="Q96" s="281" t="s">
        <v>103</v>
      </c>
      <c r="R96" s="199">
        <v>-471640</v>
      </c>
      <c r="X96" s="281" t="s">
        <v>120</v>
      </c>
      <c r="Y96" s="281" t="s">
        <v>103</v>
      </c>
      <c r="Z96" s="199">
        <v>-471640</v>
      </c>
    </row>
    <row r="97" spans="1:34" x14ac:dyDescent="0.35">
      <c r="B97" s="2"/>
      <c r="C97" s="2"/>
      <c r="D97" s="2"/>
      <c r="E97" s="2"/>
      <c r="J97" s="281" t="s">
        <v>41</v>
      </c>
      <c r="K97" s="200">
        <f>SUM(K92:K96)</f>
        <v>836072</v>
      </c>
      <c r="L97" s="2" t="str">
        <f>B3</f>
        <v>Date as of : 12.14.2020</v>
      </c>
      <c r="Q97" s="281" t="s">
        <v>41</v>
      </c>
      <c r="R97" s="200">
        <f>SUM(R92:R96)</f>
        <v>836072</v>
      </c>
      <c r="S97" s="2">
        <f>K2</f>
        <v>0</v>
      </c>
      <c r="Y97" s="281" t="s">
        <v>41</v>
      </c>
      <c r="Z97" s="200">
        <f>SUM(Z92:Z96)</f>
        <v>836072</v>
      </c>
      <c r="AA97" s="2">
        <f>Q3</f>
        <v>0</v>
      </c>
    </row>
    <row r="98" spans="1:34" ht="15" thickBot="1" x14ac:dyDescent="0.4">
      <c r="E98" s="194"/>
      <c r="AH98" s="235"/>
    </row>
    <row r="99" spans="1:34" ht="15" thickBot="1" x14ac:dyDescent="0.4">
      <c r="AF99" s="333" t="s">
        <v>123</v>
      </c>
      <c r="AG99" s="334"/>
    </row>
    <row r="100" spans="1:34" ht="15" thickBot="1" x14ac:dyDescent="0.4">
      <c r="R100" s="235"/>
      <c r="Z100" s="235"/>
    </row>
    <row r="101" spans="1:34" ht="15" thickBot="1" x14ac:dyDescent="0.4">
      <c r="I101" s="333" t="s">
        <v>123</v>
      </c>
      <c r="J101" s="334"/>
      <c r="P101" s="333" t="s">
        <v>123</v>
      </c>
      <c r="Q101" s="334"/>
      <c r="X101" s="333" t="s">
        <v>123</v>
      </c>
      <c r="Y101" s="334"/>
    </row>
    <row r="111" spans="1:34" s="2" customFormat="1" x14ac:dyDescent="0.35">
      <c r="A111"/>
      <c r="B111"/>
      <c r="C111"/>
      <c r="D111"/>
      <c r="E111"/>
      <c r="F111" s="1"/>
      <c r="G111" s="3"/>
      <c r="H111" s="1"/>
      <c r="M111" s="1"/>
      <c r="N111" s="3"/>
      <c r="O111" s="1"/>
      <c r="T111"/>
      <c r="U111" s="1"/>
      <c r="V111" s="3"/>
      <c r="W111" s="1"/>
      <c r="AB111"/>
      <c r="AC111" s="1"/>
      <c r="AD111" s="3"/>
      <c r="AE111" s="1"/>
    </row>
    <row r="112" spans="1:34" s="2" customFormat="1" x14ac:dyDescent="0.35">
      <c r="A112"/>
      <c r="B112"/>
      <c r="C112"/>
      <c r="D112"/>
      <c r="E112"/>
      <c r="F112" s="1"/>
      <c r="G112" s="3"/>
      <c r="H112" s="1"/>
      <c r="M112" s="1"/>
      <c r="N112" s="3"/>
      <c r="O112" s="1"/>
      <c r="T112"/>
      <c r="U112" s="1"/>
      <c r="V112" s="3"/>
      <c r="W112" s="1"/>
      <c r="AB112"/>
      <c r="AC112" s="1"/>
      <c r="AD112" s="3"/>
      <c r="AE112" s="1"/>
    </row>
    <row r="113" spans="1:33" s="2" customFormat="1" ht="15" thickBot="1" x14ac:dyDescent="0.4">
      <c r="A113"/>
      <c r="B113"/>
      <c r="C113"/>
      <c r="D113"/>
      <c r="E113"/>
      <c r="F113" s="1"/>
      <c r="G113" s="3"/>
      <c r="H113" s="1"/>
      <c r="M113" s="1"/>
      <c r="N113" s="3"/>
      <c r="O113" s="1"/>
      <c r="U113" s="1"/>
      <c r="V113" s="3"/>
      <c r="W113" s="1"/>
      <c r="AC113" s="1"/>
      <c r="AD113" s="3"/>
      <c r="AE113" s="1"/>
    </row>
    <row r="114" spans="1:33" s="2" customFormat="1" ht="15" thickBot="1" x14ac:dyDescent="0.4">
      <c r="B114"/>
      <c r="C114"/>
      <c r="D114"/>
      <c r="E114"/>
      <c r="F114" s="1"/>
      <c r="G114" s="3"/>
      <c r="H114" s="1"/>
      <c r="M114" s="1"/>
      <c r="N114" s="3"/>
      <c r="O114" s="1"/>
      <c r="U114" s="1"/>
      <c r="V114" s="3"/>
      <c r="W114" s="1"/>
      <c r="AC114" s="1"/>
      <c r="AD114" s="3"/>
      <c r="AE114" s="1"/>
      <c r="AF114" s="333" t="s">
        <v>36</v>
      </c>
      <c r="AG114" s="334"/>
    </row>
    <row r="115" spans="1:33" s="2" customFormat="1" ht="15" thickBot="1" x14ac:dyDescent="0.4">
      <c r="B115"/>
      <c r="C115"/>
      <c r="D115"/>
      <c r="E115"/>
      <c r="F115" s="1"/>
      <c r="G115" s="3"/>
      <c r="H115" s="1"/>
      <c r="M115" s="1"/>
      <c r="N115" s="3"/>
      <c r="O115" s="1"/>
      <c r="U115" s="1"/>
      <c r="V115" s="3"/>
      <c r="W115" s="1"/>
      <c r="AC115" s="1"/>
      <c r="AD115" s="3"/>
      <c r="AE115" s="1"/>
    </row>
    <row r="116" spans="1:33" ht="15" thickBot="1" x14ac:dyDescent="0.4">
      <c r="A116" s="2"/>
      <c r="I116" s="333" t="s">
        <v>36</v>
      </c>
      <c r="J116" s="334"/>
      <c r="P116" s="333" t="s">
        <v>36</v>
      </c>
      <c r="Q116" s="334"/>
      <c r="T116" s="2"/>
      <c r="X116" s="333" t="s">
        <v>36</v>
      </c>
      <c r="Y116" s="334"/>
      <c r="AB116" s="2"/>
    </row>
    <row r="117" spans="1:33" x14ac:dyDescent="0.35">
      <c r="A117" s="2"/>
      <c r="T117" s="2"/>
      <c r="AB117" s="2"/>
    </row>
    <row r="118" spans="1:33" x14ac:dyDescent="0.35">
      <c r="A118" s="2"/>
    </row>
    <row r="130" spans="7:33" x14ac:dyDescent="0.35">
      <c r="G130"/>
      <c r="N130"/>
      <c r="V130"/>
      <c r="AD130"/>
    </row>
    <row r="131" spans="7:33" x14ac:dyDescent="0.35">
      <c r="G131"/>
      <c r="N131"/>
      <c r="V131"/>
      <c r="AD131"/>
    </row>
    <row r="132" spans="7:33" x14ac:dyDescent="0.35">
      <c r="G132"/>
      <c r="N132"/>
      <c r="V132"/>
      <c r="AD132"/>
    </row>
    <row r="133" spans="7:33" ht="15" thickBot="1" x14ac:dyDescent="0.4">
      <c r="G133"/>
      <c r="N133"/>
      <c r="V133"/>
      <c r="AD133"/>
    </row>
    <row r="134" spans="7:33" ht="15" thickBot="1" x14ac:dyDescent="0.4">
      <c r="G134"/>
      <c r="N134"/>
      <c r="V134"/>
      <c r="AD134"/>
      <c r="AF134" s="333" t="s">
        <v>95</v>
      </c>
      <c r="AG134" s="334"/>
    </row>
    <row r="135" spans="7:33" ht="15" thickBot="1" x14ac:dyDescent="0.4">
      <c r="G135"/>
      <c r="N135"/>
      <c r="V135"/>
      <c r="AD135"/>
    </row>
    <row r="136" spans="7:33" ht="15" thickBot="1" x14ac:dyDescent="0.4">
      <c r="G136"/>
      <c r="I136" s="333" t="s">
        <v>95</v>
      </c>
      <c r="J136" s="334"/>
      <c r="N136"/>
      <c r="P136" s="333" t="s">
        <v>95</v>
      </c>
      <c r="Q136" s="334"/>
      <c r="V136"/>
      <c r="X136" s="333" t="s">
        <v>95</v>
      </c>
      <c r="Y136" s="334"/>
      <c r="AD136"/>
    </row>
    <row r="137" spans="7:33" x14ac:dyDescent="0.35">
      <c r="G137"/>
      <c r="N137"/>
      <c r="V137"/>
      <c r="AD137"/>
    </row>
    <row r="138" spans="7:33" x14ac:dyDescent="0.35">
      <c r="G138"/>
      <c r="N138"/>
      <c r="V138"/>
      <c r="AD138"/>
    </row>
    <row r="156" spans="1:33" ht="15" thickBot="1" x14ac:dyDescent="0.4"/>
    <row r="157" spans="1:33" s="2" customFormat="1" ht="15" thickBot="1" x14ac:dyDescent="0.4">
      <c r="A157"/>
      <c r="B157"/>
      <c r="C157"/>
      <c r="D157"/>
      <c r="E157"/>
      <c r="F157" s="1"/>
      <c r="G157" s="3"/>
      <c r="H157" s="1"/>
      <c r="M157" s="1"/>
      <c r="N157" s="3"/>
      <c r="O157" s="1"/>
      <c r="T157"/>
      <c r="U157" s="1"/>
      <c r="V157" s="3"/>
      <c r="W157" s="1"/>
      <c r="AB157"/>
      <c r="AC157" s="1"/>
      <c r="AD157" s="3"/>
      <c r="AE157" s="1"/>
      <c r="AF157" s="333" t="s">
        <v>94</v>
      </c>
      <c r="AG157" s="334"/>
    </row>
    <row r="158" spans="1:33" s="2" customFormat="1" ht="15" thickBot="1" x14ac:dyDescent="0.4">
      <c r="A158"/>
      <c r="B158"/>
      <c r="C158"/>
      <c r="D158"/>
      <c r="E158"/>
      <c r="F158" s="1"/>
      <c r="G158" s="3"/>
      <c r="H158" s="1"/>
      <c r="M158" s="1"/>
      <c r="N158" s="3"/>
      <c r="O158" s="1"/>
      <c r="T158"/>
      <c r="U158" s="1"/>
      <c r="V158" s="3"/>
      <c r="W158" s="1"/>
      <c r="AB158"/>
      <c r="AC158" s="1"/>
      <c r="AD158" s="3"/>
      <c r="AE158" s="1"/>
    </row>
    <row r="159" spans="1:33" ht="15" thickBot="1" x14ac:dyDescent="0.4">
      <c r="I159" s="333" t="s">
        <v>94</v>
      </c>
      <c r="J159" s="334"/>
      <c r="P159" s="333" t="s">
        <v>94</v>
      </c>
      <c r="Q159" s="334"/>
      <c r="T159" s="2"/>
      <c r="X159" s="333" t="s">
        <v>94</v>
      </c>
      <c r="Y159" s="334"/>
      <c r="AB159" s="2"/>
    </row>
    <row r="160" spans="1:33" x14ac:dyDescent="0.35">
      <c r="A160" s="2"/>
      <c r="T160" s="2"/>
      <c r="AB160" s="2"/>
    </row>
    <row r="161" spans="1:1" x14ac:dyDescent="0.35">
      <c r="A161" s="2"/>
    </row>
    <row r="188" spans="9:33" ht="15" thickBot="1" x14ac:dyDescent="0.4"/>
    <row r="189" spans="9:33" ht="15" thickBot="1" x14ac:dyDescent="0.4">
      <c r="AF189" s="333" t="s">
        <v>103</v>
      </c>
      <c r="AG189" s="334"/>
    </row>
    <row r="190" spans="9:33" ht="15" thickBot="1" x14ac:dyDescent="0.4"/>
    <row r="191" spans="9:33" ht="15" thickBot="1" x14ac:dyDescent="0.4">
      <c r="I191" s="333" t="s">
        <v>103</v>
      </c>
      <c r="J191" s="334"/>
      <c r="P191" s="333" t="s">
        <v>103</v>
      </c>
      <c r="Q191" s="334"/>
      <c r="X191" s="333" t="s">
        <v>103</v>
      </c>
      <c r="Y191" s="334"/>
    </row>
    <row r="205" spans="1:35" s="1" customFormat="1" x14ac:dyDescent="0.35">
      <c r="A205"/>
      <c r="B205"/>
      <c r="C205"/>
      <c r="D205"/>
      <c r="E205"/>
      <c r="G205" s="3"/>
      <c r="I205" s="2"/>
      <c r="J205" s="2"/>
      <c r="K205" s="2"/>
      <c r="L205" s="2"/>
      <c r="N205" s="3"/>
      <c r="P205" s="2"/>
      <c r="Q205" s="2"/>
      <c r="R205" s="2"/>
      <c r="S205" s="2"/>
      <c r="T205"/>
      <c r="V205" s="3"/>
      <c r="X205" s="2"/>
      <c r="Y205" s="2"/>
      <c r="Z205" s="2"/>
      <c r="AA205" s="2"/>
      <c r="AB205"/>
      <c r="AD205" s="3"/>
      <c r="AF205" s="2"/>
      <c r="AG205" s="2"/>
      <c r="AH205" s="2"/>
      <c r="AI205" s="2"/>
    </row>
    <row r="206" spans="1:35" s="1" customFormat="1" x14ac:dyDescent="0.35">
      <c r="A206"/>
      <c r="B206"/>
      <c r="C206"/>
      <c r="D206"/>
      <c r="E206"/>
      <c r="G206" s="3"/>
      <c r="I206" s="2"/>
      <c r="J206" s="2"/>
      <c r="K206" s="2"/>
      <c r="L206" s="2"/>
      <c r="N206" s="3"/>
      <c r="P206" s="2"/>
      <c r="Q206" s="2"/>
      <c r="R206" s="2"/>
      <c r="S206" s="2"/>
      <c r="T206"/>
      <c r="V206" s="3"/>
      <c r="X206" s="2"/>
      <c r="Y206" s="2"/>
      <c r="Z206" s="2"/>
      <c r="AA206" s="2"/>
      <c r="AB206"/>
      <c r="AD206" s="3"/>
      <c r="AF206" s="2"/>
      <c r="AG206" s="2"/>
      <c r="AH206" s="2"/>
      <c r="AI206" s="2"/>
    </row>
    <row r="207" spans="1:35" x14ac:dyDescent="0.35">
      <c r="A207" s="1"/>
      <c r="T207" s="1"/>
      <c r="AB207" s="1"/>
    </row>
    <row r="208" spans="1:35" x14ac:dyDescent="0.35">
      <c r="A208" s="1"/>
      <c r="T208" s="1"/>
      <c r="AB208" s="1"/>
    </row>
    <row r="228" spans="1:35" x14ac:dyDescent="0.35">
      <c r="F228"/>
      <c r="M228"/>
      <c r="U228"/>
      <c r="AC228"/>
    </row>
    <row r="229" spans="1:35" s="3" customFormat="1" x14ac:dyDescent="0.35">
      <c r="A229"/>
      <c r="B229"/>
      <c r="C229"/>
      <c r="D229"/>
      <c r="E229"/>
      <c r="F229" s="1"/>
      <c r="H229" s="1"/>
      <c r="I229" s="2"/>
      <c r="J229" s="2"/>
      <c r="K229" s="2"/>
      <c r="L229" s="2"/>
      <c r="M229" s="1"/>
      <c r="O229" s="1"/>
      <c r="P229" s="2"/>
      <c r="Q229" s="2"/>
      <c r="R229" s="2"/>
      <c r="S229" s="2"/>
      <c r="T229"/>
      <c r="U229" s="1"/>
      <c r="W229" s="1"/>
      <c r="X229" s="2"/>
      <c r="Y229" s="2"/>
      <c r="Z229" s="2"/>
      <c r="AA229" s="2"/>
      <c r="AB229"/>
      <c r="AC229" s="1"/>
      <c r="AE229" s="1"/>
      <c r="AF229" s="2"/>
      <c r="AG229" s="2"/>
      <c r="AH229" s="2"/>
      <c r="AI229" s="2"/>
    </row>
    <row r="231" spans="1:35" x14ac:dyDescent="0.35">
      <c r="A231" s="3"/>
      <c r="T231" s="3"/>
      <c r="AB231" s="3"/>
    </row>
    <row r="252" spans="6:35" ht="15" customHeight="1" thickBot="1" x14ac:dyDescent="0.4"/>
    <row r="253" spans="6:35" ht="15" customHeight="1" thickBot="1" x14ac:dyDescent="0.4">
      <c r="AE253" s="206"/>
      <c r="AF253" s="206"/>
      <c r="AG253" s="206"/>
      <c r="AH253" s="206"/>
      <c r="AI253" s="206"/>
    </row>
    <row r="254" spans="6:35" ht="15.75" customHeight="1" thickBot="1" x14ac:dyDescent="0.4">
      <c r="F254" s="206"/>
      <c r="G254" s="206"/>
      <c r="M254" s="206"/>
      <c r="N254" s="206"/>
      <c r="U254" s="206"/>
      <c r="V254" s="206"/>
      <c r="AC254" s="206"/>
      <c r="AD254" s="206"/>
      <c r="AE254" s="209"/>
      <c r="AF254" s="209"/>
      <c r="AG254" s="209"/>
      <c r="AH254" s="209"/>
      <c r="AI254" s="209"/>
    </row>
    <row r="255" spans="6:35" ht="26.5" thickBot="1" x14ac:dyDescent="0.4">
      <c r="F255" s="209"/>
      <c r="G255" s="209"/>
      <c r="H255" s="206"/>
      <c r="I255" s="206"/>
      <c r="J255" s="206"/>
      <c r="K255" s="206"/>
      <c r="L255" s="206"/>
      <c r="M255" s="209"/>
      <c r="N255" s="209"/>
      <c r="O255" s="206"/>
      <c r="P255" s="206"/>
      <c r="Q255" s="206"/>
      <c r="R255" s="206"/>
      <c r="S255" s="206"/>
      <c r="U255" s="209"/>
      <c r="V255" s="209"/>
      <c r="W255" s="206"/>
      <c r="X255" s="206"/>
      <c r="Y255" s="206"/>
      <c r="Z255" s="206"/>
      <c r="AA255" s="206"/>
      <c r="AC255" s="209"/>
      <c r="AD255" s="209"/>
      <c r="AE255" s="212"/>
      <c r="AF255" s="212"/>
      <c r="AG255" s="212"/>
      <c r="AH255" s="212"/>
      <c r="AI255" s="212"/>
    </row>
    <row r="256" spans="6:35" ht="26.5" thickBot="1" x14ac:dyDescent="0.4">
      <c r="F256" s="212"/>
      <c r="G256" s="212"/>
      <c r="H256" s="209"/>
      <c r="I256" s="209"/>
      <c r="J256" s="209"/>
      <c r="K256" s="209"/>
      <c r="L256" s="209"/>
      <c r="M256" s="212"/>
      <c r="N256" s="212"/>
      <c r="O256" s="209"/>
      <c r="P256" s="209"/>
      <c r="Q256" s="209"/>
      <c r="R256" s="209"/>
      <c r="S256" s="209"/>
      <c r="U256" s="212"/>
      <c r="V256" s="212"/>
      <c r="W256" s="209"/>
      <c r="X256" s="209"/>
      <c r="Y256" s="209"/>
      <c r="Z256" s="209"/>
      <c r="AA256" s="209"/>
      <c r="AC256" s="212"/>
      <c r="AD256" s="212"/>
    </row>
    <row r="257" spans="2:27" ht="26.5" thickBot="1" x14ac:dyDescent="0.4">
      <c r="H257" s="212"/>
      <c r="I257" s="212"/>
      <c r="J257" s="212"/>
      <c r="K257" s="212"/>
      <c r="L257" s="212"/>
      <c r="O257" s="212"/>
      <c r="P257" s="212"/>
      <c r="Q257" s="212"/>
      <c r="R257" s="212"/>
      <c r="S257" s="212"/>
      <c r="W257" s="212"/>
      <c r="X257" s="212"/>
      <c r="Y257" s="212"/>
      <c r="Z257" s="212"/>
      <c r="AA257" s="212"/>
    </row>
    <row r="262" spans="2:27" ht="15" thickBot="1" x14ac:dyDescent="0.4"/>
    <row r="263" spans="2:27" ht="52" x14ac:dyDescent="0.35">
      <c r="B263" s="205" t="s">
        <v>96</v>
      </c>
      <c r="C263" s="206"/>
      <c r="D263" s="206"/>
      <c r="E263" s="206"/>
    </row>
    <row r="264" spans="2:27" ht="26" x14ac:dyDescent="0.35">
      <c r="B264" s="208"/>
      <c r="C264" s="209"/>
      <c r="D264" s="209"/>
      <c r="E264" s="209"/>
    </row>
    <row r="265" spans="2:27" ht="26.5" thickBot="1" x14ac:dyDescent="0.4">
      <c r="B265" s="211"/>
      <c r="C265" s="212"/>
      <c r="D265" s="212"/>
      <c r="E265" s="212"/>
    </row>
    <row r="311" spans="6:35" ht="15" customHeight="1" thickBot="1" x14ac:dyDescent="0.4"/>
    <row r="312" spans="6:35" ht="15" customHeight="1" thickBot="1" x14ac:dyDescent="0.4">
      <c r="AE312" s="206"/>
      <c r="AF312" s="206"/>
      <c r="AG312" s="206"/>
      <c r="AH312" s="206"/>
      <c r="AI312" s="206"/>
    </row>
    <row r="313" spans="6:35" ht="15.75" customHeight="1" thickBot="1" x14ac:dyDescent="0.4">
      <c r="F313" s="206"/>
      <c r="G313" s="206"/>
      <c r="M313" s="206"/>
      <c r="N313" s="206"/>
      <c r="U313" s="206"/>
      <c r="V313" s="206"/>
      <c r="AC313" s="206"/>
      <c r="AD313" s="206"/>
      <c r="AE313" s="209"/>
      <c r="AF313" s="209"/>
      <c r="AG313" s="209"/>
      <c r="AH313" s="209"/>
      <c r="AI313" s="209"/>
    </row>
    <row r="314" spans="6:35" ht="26.5" thickBot="1" x14ac:dyDescent="0.4">
      <c r="F314" s="209"/>
      <c r="G314" s="209"/>
      <c r="H314" s="206"/>
      <c r="I314" s="206"/>
      <c r="J314" s="206"/>
      <c r="K314" s="206"/>
      <c r="L314" s="206"/>
      <c r="M314" s="209"/>
      <c r="N314" s="209"/>
      <c r="O314" s="206"/>
      <c r="P314" s="206"/>
      <c r="Q314" s="206"/>
      <c r="R314" s="206"/>
      <c r="S314" s="206"/>
      <c r="U314" s="209"/>
      <c r="V314" s="209"/>
      <c r="W314" s="206"/>
      <c r="X314" s="206"/>
      <c r="Y314" s="206"/>
      <c r="Z314" s="206"/>
      <c r="AA314" s="206"/>
      <c r="AC314" s="209"/>
      <c r="AD314" s="209"/>
      <c r="AE314" s="212"/>
      <c r="AF314" s="212"/>
      <c r="AG314" s="212"/>
      <c r="AH314" s="212"/>
      <c r="AI314" s="212"/>
    </row>
    <row r="315" spans="6:35" ht="26.5" thickBot="1" x14ac:dyDescent="0.4">
      <c r="F315" s="212"/>
      <c r="G315" s="212"/>
      <c r="H315" s="209"/>
      <c r="I315" s="209"/>
      <c r="J315" s="209"/>
      <c r="K315" s="209"/>
      <c r="L315" s="209"/>
      <c r="M315" s="212"/>
      <c r="N315" s="212"/>
      <c r="O315" s="209"/>
      <c r="P315" s="209"/>
      <c r="Q315" s="209"/>
      <c r="R315" s="209"/>
      <c r="S315" s="209"/>
      <c r="U315" s="212"/>
      <c r="V315" s="212"/>
      <c r="W315" s="209"/>
      <c r="X315" s="209"/>
      <c r="Y315" s="209"/>
      <c r="Z315" s="209"/>
      <c r="AA315" s="209"/>
      <c r="AC315" s="212"/>
      <c r="AD315" s="212"/>
    </row>
    <row r="316" spans="6:35" ht="26.5" thickBot="1" x14ac:dyDescent="0.4">
      <c r="H316" s="212"/>
      <c r="I316" s="212"/>
      <c r="J316" s="212"/>
      <c r="K316" s="212"/>
      <c r="L316" s="212"/>
      <c r="O316" s="212"/>
      <c r="P316" s="212"/>
      <c r="Q316" s="212"/>
      <c r="R316" s="212"/>
      <c r="S316" s="212"/>
      <c r="W316" s="212"/>
      <c r="X316" s="212"/>
      <c r="Y316" s="212"/>
      <c r="Z316" s="212"/>
      <c r="AA316" s="212"/>
      <c r="AE316" s="1" t="s">
        <v>102</v>
      </c>
    </row>
    <row r="318" spans="6:35" x14ac:dyDescent="0.35">
      <c r="H318" s="1" t="s">
        <v>102</v>
      </c>
      <c r="O318" s="1" t="s">
        <v>102</v>
      </c>
      <c r="W318" s="1" t="s">
        <v>102</v>
      </c>
    </row>
    <row r="321" spans="2:35" ht="15" thickBot="1" x14ac:dyDescent="0.4"/>
    <row r="322" spans="2:35" ht="26" x14ac:dyDescent="0.35">
      <c r="B322" s="205" t="s">
        <v>25</v>
      </c>
      <c r="C322" s="206"/>
      <c r="D322" s="206"/>
      <c r="E322" s="206"/>
    </row>
    <row r="323" spans="2:35" ht="26" x14ac:dyDescent="0.35">
      <c r="B323" s="208"/>
      <c r="C323" s="209"/>
      <c r="D323" s="209"/>
      <c r="E323" s="209"/>
    </row>
    <row r="324" spans="2:35" ht="26.5" thickBot="1" x14ac:dyDescent="0.4">
      <c r="B324" s="211"/>
      <c r="C324" s="212"/>
      <c r="D324" s="212"/>
      <c r="E324" s="212"/>
    </row>
    <row r="328" spans="2:35" ht="15" customHeight="1" thickBot="1" x14ac:dyDescent="0.4"/>
    <row r="329" spans="2:35" ht="15" customHeight="1" thickBot="1" x14ac:dyDescent="0.4">
      <c r="AE329" s="206"/>
      <c r="AF329" s="206"/>
      <c r="AG329" s="206"/>
      <c r="AH329" s="206"/>
      <c r="AI329" s="206"/>
    </row>
    <row r="330" spans="2:35" ht="15.75" customHeight="1" thickBot="1" x14ac:dyDescent="0.4">
      <c r="F330" s="206"/>
      <c r="G330" s="206"/>
      <c r="M330" s="206"/>
      <c r="N330" s="206"/>
      <c r="U330" s="206"/>
      <c r="V330" s="206"/>
      <c r="AC330" s="206"/>
      <c r="AD330" s="206"/>
      <c r="AE330" s="209"/>
      <c r="AF330" s="209"/>
      <c r="AG330" s="209"/>
      <c r="AH330" s="209"/>
      <c r="AI330" s="209"/>
    </row>
    <row r="331" spans="2:35" ht="26.5" thickBot="1" x14ac:dyDescent="0.4">
      <c r="F331" s="209"/>
      <c r="G331" s="209"/>
      <c r="H331" s="206"/>
      <c r="I331" s="206"/>
      <c r="J331" s="206"/>
      <c r="K331" s="206"/>
      <c r="L331" s="206"/>
      <c r="M331" s="209"/>
      <c r="N331" s="209"/>
      <c r="O331" s="206"/>
      <c r="P331" s="206"/>
      <c r="Q331" s="206"/>
      <c r="R331" s="206"/>
      <c r="S331" s="206"/>
      <c r="U331" s="209"/>
      <c r="V331" s="209"/>
      <c r="W331" s="206"/>
      <c r="X331" s="206"/>
      <c r="Y331" s="206"/>
      <c r="Z331" s="206"/>
      <c r="AA331" s="206"/>
      <c r="AC331" s="209"/>
      <c r="AD331" s="209"/>
      <c r="AE331" s="212"/>
      <c r="AF331" s="212"/>
      <c r="AG331" s="212"/>
      <c r="AH331" s="212"/>
      <c r="AI331" s="212"/>
    </row>
    <row r="332" spans="2:35" ht="26.5" thickBot="1" x14ac:dyDescent="0.4">
      <c r="F332" s="212"/>
      <c r="G332" s="212"/>
      <c r="H332" s="209"/>
      <c r="I332" s="209"/>
      <c r="J332" s="209"/>
      <c r="K332" s="209"/>
      <c r="L332" s="209"/>
      <c r="M332" s="212"/>
      <c r="N332" s="212"/>
      <c r="O332" s="209"/>
      <c r="P332" s="209"/>
      <c r="Q332" s="209"/>
      <c r="R332" s="209"/>
      <c r="S332" s="209"/>
      <c r="U332" s="212"/>
      <c r="V332" s="212"/>
      <c r="W332" s="209"/>
      <c r="X332" s="209"/>
      <c r="Y332" s="209"/>
      <c r="Z332" s="209"/>
      <c r="AA332" s="209"/>
      <c r="AC332" s="212"/>
      <c r="AD332" s="212"/>
    </row>
    <row r="333" spans="2:35" ht="26.5" thickBot="1" x14ac:dyDescent="0.4">
      <c r="H333" s="212"/>
      <c r="I333" s="212"/>
      <c r="J333" s="212"/>
      <c r="K333" s="212"/>
      <c r="L333" s="212"/>
      <c r="O333" s="212"/>
      <c r="P333" s="212"/>
      <c r="Q333" s="212"/>
      <c r="R333" s="212"/>
      <c r="S333" s="212"/>
      <c r="W333" s="212"/>
      <c r="X333" s="212"/>
      <c r="Y333" s="212"/>
      <c r="Z333" s="212"/>
      <c r="AA333" s="212"/>
    </row>
    <row r="338" spans="2:5" ht="15" thickBot="1" x14ac:dyDescent="0.4"/>
    <row r="339" spans="2:5" ht="78" x14ac:dyDescent="0.35">
      <c r="B339" s="205" t="s">
        <v>97</v>
      </c>
      <c r="C339" s="206"/>
      <c r="D339" s="206"/>
      <c r="E339" s="206"/>
    </row>
    <row r="340" spans="2:5" ht="26" x14ac:dyDescent="0.35">
      <c r="B340" s="208"/>
      <c r="C340" s="209"/>
      <c r="D340" s="209"/>
      <c r="E340" s="209"/>
    </row>
    <row r="341" spans="2:5" ht="26.5" thickBot="1" x14ac:dyDescent="0.4">
      <c r="B341" s="211"/>
      <c r="C341" s="212"/>
      <c r="D341" s="212"/>
      <c r="E341" s="212"/>
    </row>
    <row r="377" spans="8:35" x14ac:dyDescent="0.35">
      <c r="AE377"/>
      <c r="AF377"/>
      <c r="AG377"/>
      <c r="AH377"/>
      <c r="AI377"/>
    </row>
    <row r="378" spans="8:35" x14ac:dyDescent="0.35">
      <c r="AE378"/>
      <c r="AF378"/>
      <c r="AG378"/>
      <c r="AH378"/>
      <c r="AI378"/>
    </row>
    <row r="379" spans="8:35" x14ac:dyDescent="0.35">
      <c r="H379"/>
      <c r="I379"/>
      <c r="J379"/>
      <c r="K379"/>
      <c r="L379"/>
      <c r="O379"/>
      <c r="P379"/>
      <c r="Q379"/>
      <c r="R379"/>
      <c r="S379"/>
      <c r="W379"/>
      <c r="X379"/>
      <c r="Y379"/>
      <c r="Z379"/>
      <c r="AA379"/>
    </row>
    <row r="380" spans="8:35" x14ac:dyDescent="0.35">
      <c r="H380"/>
      <c r="I380"/>
      <c r="J380"/>
      <c r="K380"/>
      <c r="L380"/>
      <c r="O380"/>
      <c r="P380"/>
      <c r="Q380"/>
      <c r="R380"/>
      <c r="S380"/>
      <c r="W380"/>
      <c r="X380"/>
      <c r="Y380"/>
      <c r="Z380"/>
      <c r="AA380"/>
    </row>
    <row r="386" spans="3:5" ht="15" thickBot="1" x14ac:dyDescent="0.4"/>
    <row r="387" spans="3:5" x14ac:dyDescent="0.35">
      <c r="C387" s="425" t="s">
        <v>98</v>
      </c>
      <c r="D387" s="426"/>
      <c r="E387" s="427"/>
    </row>
    <row r="388" spans="3:5" ht="15" thickBot="1" x14ac:dyDescent="0.4">
      <c r="C388" s="428"/>
      <c r="D388" s="429"/>
      <c r="E388" s="430"/>
    </row>
  </sheetData>
  <mergeCells count="77">
    <mergeCell ref="I191:J191"/>
    <mergeCell ref="P191:Q191"/>
    <mergeCell ref="X191:Y191"/>
    <mergeCell ref="AF189:AG189"/>
    <mergeCell ref="C387:E388"/>
    <mergeCell ref="C46:D46"/>
    <mergeCell ref="I136:J136"/>
    <mergeCell ref="P136:Q136"/>
    <mergeCell ref="X136:Y136"/>
    <mergeCell ref="AF134:AG134"/>
    <mergeCell ref="AF99:AG99"/>
    <mergeCell ref="AF62:AI62"/>
    <mergeCell ref="I91:J91"/>
    <mergeCell ref="P91:Q91"/>
    <mergeCell ref="X91:Y91"/>
    <mergeCell ref="AF89:AG89"/>
    <mergeCell ref="H93:H95"/>
    <mergeCell ref="O93:O95"/>
    <mergeCell ref="W93:W95"/>
    <mergeCell ref="AE91:AE93"/>
    <mergeCell ref="H47:H49"/>
    <mergeCell ref="AF157:AG157"/>
    <mergeCell ref="I101:J101"/>
    <mergeCell ref="P101:Q101"/>
    <mergeCell ref="X101:Y101"/>
    <mergeCell ref="I116:J116"/>
    <mergeCell ref="P116:Q116"/>
    <mergeCell ref="X116:Y116"/>
    <mergeCell ref="AF114:AG114"/>
    <mergeCell ref="I64:L64"/>
    <mergeCell ref="P64:S64"/>
    <mergeCell ref="X64:AA64"/>
    <mergeCell ref="I159:J159"/>
    <mergeCell ref="P159:Q159"/>
    <mergeCell ref="X159:Y159"/>
    <mergeCell ref="H41:H45"/>
    <mergeCell ref="O41:O45"/>
    <mergeCell ref="W41:W45"/>
    <mergeCell ref="AE41:AE45"/>
    <mergeCell ref="O47:O49"/>
    <mergeCell ref="W47:W49"/>
    <mergeCell ref="AE47:AE49"/>
    <mergeCell ref="B25:E25"/>
    <mergeCell ref="B26:E26"/>
    <mergeCell ref="H26:H32"/>
    <mergeCell ref="O26:O32"/>
    <mergeCell ref="W26:W32"/>
    <mergeCell ref="AE26:AE32"/>
    <mergeCell ref="B27:E27"/>
    <mergeCell ref="B32:E34"/>
    <mergeCell ref="H34:H39"/>
    <mergeCell ref="O34:O39"/>
    <mergeCell ref="W34:W39"/>
    <mergeCell ref="AE34:AE39"/>
    <mergeCell ref="B35:E37"/>
    <mergeCell ref="AE18:AE24"/>
    <mergeCell ref="B24:E24"/>
    <mergeCell ref="B12:E12"/>
    <mergeCell ref="C14:E14"/>
    <mergeCell ref="I14:J14"/>
    <mergeCell ref="P14:Q14"/>
    <mergeCell ref="X14:Y14"/>
    <mergeCell ref="D15:E15"/>
    <mergeCell ref="B17:E17"/>
    <mergeCell ref="H18:H24"/>
    <mergeCell ref="O18:O24"/>
    <mergeCell ref="W18:W24"/>
    <mergeCell ref="AF14:AG14"/>
    <mergeCell ref="C1:C2"/>
    <mergeCell ref="P1:S2"/>
    <mergeCell ref="X1:AA2"/>
    <mergeCell ref="AF1:AI2"/>
    <mergeCell ref="I2:L3"/>
    <mergeCell ref="B3:E5"/>
    <mergeCell ref="P3:S3"/>
    <mergeCell ref="X3:AA3"/>
    <mergeCell ref="AF3:AI3"/>
  </mergeCells>
  <pageMargins left="0.7" right="0.7" top="0.75" bottom="0.75" header="0.3" footer="0.3"/>
  <pageSetup scale="64" orientation="portrait" r:id="rId1"/>
  <rowBreaks count="1" manualBreakCount="1">
    <brk id="59" max="16383" man="1"/>
  </rowBreaks>
  <colBreaks count="1" manualBreakCount="1">
    <brk id="7" max="104857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99930-3BDF-4AEC-924F-6D877C28B94B}">
  <dimension ref="A1:AI378"/>
  <sheetViews>
    <sheetView topLeftCell="A62" zoomScale="90" zoomScaleNormal="90" workbookViewId="0">
      <selection activeCell="A79" sqref="A79"/>
    </sheetView>
  </sheetViews>
  <sheetFormatPr defaultRowHeight="14.5" x14ac:dyDescent="0.35"/>
  <cols>
    <col min="1" max="1" width="3.26953125" customWidth="1"/>
    <col min="2" max="2" width="21.54296875" bestFit="1" customWidth="1"/>
    <col min="3" max="3" width="13" bestFit="1" customWidth="1"/>
    <col min="4" max="4" width="19.1796875" customWidth="1"/>
    <col min="5" max="5" width="22.7265625" bestFit="1" customWidth="1"/>
    <col min="6" max="6" width="3.453125" style="1" customWidth="1"/>
    <col min="7" max="7" width="3.453125" style="3" customWidth="1"/>
    <col min="8" max="8" width="29.81640625" style="1" customWidth="1"/>
    <col min="9" max="9" width="39.453125" style="2" customWidth="1"/>
    <col min="10" max="10" width="15.54296875" style="2" customWidth="1"/>
    <col min="11" max="11" width="26.81640625" style="2" customWidth="1"/>
    <col min="12" max="12" width="28.26953125" style="2" customWidth="1"/>
    <col min="13" max="13" width="3.453125" style="1" customWidth="1"/>
    <col min="14" max="14" width="3.453125" style="3" customWidth="1"/>
    <col min="15" max="15" width="29.81640625" style="1" customWidth="1"/>
    <col min="16" max="16" width="39.453125" style="2" customWidth="1"/>
    <col min="17" max="17" width="15.54296875" style="2" customWidth="1"/>
    <col min="18" max="18" width="26.81640625" style="2" customWidth="1"/>
    <col min="19" max="19" width="28.26953125" style="2" customWidth="1"/>
    <col min="20" max="20" width="9.1796875" customWidth="1"/>
    <col min="21" max="21" width="3.453125" style="1" customWidth="1"/>
    <col min="22" max="22" width="3.453125" style="3" customWidth="1"/>
    <col min="23" max="23" width="29.81640625" style="1" customWidth="1"/>
    <col min="24" max="24" width="39.453125" style="2" customWidth="1"/>
    <col min="25" max="25" width="15.54296875" style="2" customWidth="1"/>
    <col min="26" max="26" width="26.81640625" style="2" customWidth="1"/>
    <col min="27" max="27" width="28.26953125" style="2" customWidth="1"/>
    <col min="28" max="28" width="9.1796875" customWidth="1"/>
    <col min="29" max="29" width="3.453125" style="1" customWidth="1"/>
    <col min="30" max="30" width="3.453125" style="3" customWidth="1"/>
    <col min="31" max="31" width="29.81640625" style="1" bestFit="1" customWidth="1"/>
    <col min="32" max="32" width="39.453125" style="2" customWidth="1"/>
    <col min="33" max="33" width="15.54296875" style="2" customWidth="1"/>
    <col min="34" max="34" width="26.81640625" style="2" customWidth="1"/>
    <col min="35" max="35" width="28.26953125" style="2" bestFit="1" customWidth="1"/>
    <col min="36" max="47" width="9.1796875" customWidth="1"/>
  </cols>
  <sheetData>
    <row r="1" spans="2:35" ht="15" thickBot="1" x14ac:dyDescent="0.4">
      <c r="C1" s="414">
        <v>2020</v>
      </c>
      <c r="P1" s="439" t="s">
        <v>144</v>
      </c>
      <c r="Q1" s="440"/>
      <c r="R1" s="440"/>
      <c r="S1" s="441"/>
      <c r="X1" s="445" t="s">
        <v>143</v>
      </c>
      <c r="Y1" s="446"/>
      <c r="Z1" s="446"/>
      <c r="AA1" s="447"/>
      <c r="AF1" s="451" t="s">
        <v>147</v>
      </c>
      <c r="AG1" s="452"/>
      <c r="AH1" s="452"/>
      <c r="AI1" s="453"/>
    </row>
    <row r="2" spans="2:35" ht="15.75" customHeight="1" thickBot="1" x14ac:dyDescent="0.4">
      <c r="C2" s="415"/>
      <c r="F2" s="224"/>
      <c r="H2"/>
      <c r="I2" s="416" t="s">
        <v>5</v>
      </c>
      <c r="J2" s="417"/>
      <c r="K2" s="417"/>
      <c r="L2" s="418"/>
      <c r="M2" s="224"/>
      <c r="O2"/>
      <c r="P2" s="442"/>
      <c r="Q2" s="443"/>
      <c r="R2" s="443"/>
      <c r="S2" s="444"/>
      <c r="U2" s="224"/>
      <c r="W2"/>
      <c r="X2" s="448"/>
      <c r="Y2" s="449"/>
      <c r="Z2" s="449"/>
      <c r="AA2" s="450"/>
      <c r="AC2" s="224"/>
      <c r="AE2"/>
      <c r="AF2" s="454"/>
      <c r="AG2" s="455"/>
      <c r="AH2" s="455"/>
      <c r="AI2" s="456"/>
    </row>
    <row r="3" spans="2:35" ht="15" customHeight="1" thickBot="1" x14ac:dyDescent="0.4">
      <c r="B3" s="399" t="s">
        <v>151</v>
      </c>
      <c r="C3" s="400"/>
      <c r="D3" s="400"/>
      <c r="E3" s="401"/>
      <c r="F3" s="224"/>
      <c r="H3"/>
      <c r="I3" s="419"/>
      <c r="J3" s="420"/>
      <c r="K3" s="420"/>
      <c r="L3" s="421"/>
      <c r="M3" s="224"/>
      <c r="O3"/>
      <c r="P3" s="368" t="s">
        <v>5</v>
      </c>
      <c r="Q3" s="369"/>
      <c r="R3" s="369"/>
      <c r="S3" s="370"/>
      <c r="U3" s="224"/>
      <c r="W3"/>
      <c r="X3" s="368" t="s">
        <v>5</v>
      </c>
      <c r="Y3" s="369"/>
      <c r="Z3" s="369"/>
      <c r="AA3" s="370"/>
      <c r="AC3" s="224"/>
      <c r="AE3"/>
      <c r="AF3" s="368" t="s">
        <v>5</v>
      </c>
      <c r="AG3" s="369"/>
      <c r="AH3" s="369"/>
      <c r="AI3" s="370"/>
    </row>
    <row r="4" spans="2:35" ht="15.75" customHeight="1" thickBot="1" x14ac:dyDescent="0.4">
      <c r="B4" s="402"/>
      <c r="C4" s="436"/>
      <c r="D4" s="436"/>
      <c r="E4" s="404"/>
      <c r="H4"/>
      <c r="O4"/>
      <c r="W4"/>
      <c r="AE4"/>
    </row>
    <row r="5" spans="2:35" ht="15.75" customHeight="1" thickBot="1" x14ac:dyDescent="0.4">
      <c r="B5" s="405"/>
      <c r="C5" s="406"/>
      <c r="D5" s="406"/>
      <c r="E5" s="407"/>
      <c r="H5"/>
      <c r="I5" s="7" t="s">
        <v>99</v>
      </c>
      <c r="J5" s="8"/>
      <c r="K5" s="9"/>
      <c r="L5" s="9"/>
      <c r="O5"/>
      <c r="P5" s="7" t="s">
        <v>99</v>
      </c>
      <c r="Q5" s="8"/>
      <c r="R5" s="9"/>
      <c r="S5" s="9"/>
      <c r="W5"/>
      <c r="X5" s="7" t="s">
        <v>99</v>
      </c>
      <c r="Y5" s="8"/>
      <c r="Z5" s="9"/>
      <c r="AA5" s="9"/>
      <c r="AE5"/>
      <c r="AF5" s="7" t="s">
        <v>99</v>
      </c>
      <c r="AG5" s="8"/>
      <c r="AH5" s="9"/>
      <c r="AI5" s="9"/>
    </row>
    <row r="6" spans="2:35" ht="15.75" customHeight="1" thickBot="1" x14ac:dyDescent="0.4">
      <c r="B6" s="13"/>
      <c r="C6" s="277" t="s">
        <v>11</v>
      </c>
      <c r="D6" s="15"/>
      <c r="E6" s="276" t="s">
        <v>12</v>
      </c>
      <c r="H6"/>
      <c r="I6" s="17" t="s">
        <v>13</v>
      </c>
      <c r="J6" s="17" t="s">
        <v>14</v>
      </c>
      <c r="K6" s="18" t="s">
        <v>15</v>
      </c>
      <c r="O6"/>
      <c r="P6" s="17" t="s">
        <v>13</v>
      </c>
      <c r="Q6" s="17" t="s">
        <v>14</v>
      </c>
      <c r="R6" s="18" t="s">
        <v>15</v>
      </c>
      <c r="W6"/>
      <c r="X6" s="17" t="s">
        <v>13</v>
      </c>
      <c r="Y6" s="17" t="s">
        <v>14</v>
      </c>
      <c r="Z6" s="18" t="s">
        <v>15</v>
      </c>
      <c r="AE6"/>
      <c r="AF6" s="17" t="s">
        <v>13</v>
      </c>
      <c r="AG6" s="17" t="s">
        <v>14</v>
      </c>
      <c r="AH6" s="18" t="s">
        <v>15</v>
      </c>
    </row>
    <row r="7" spans="2:35" x14ac:dyDescent="0.35">
      <c r="B7" s="20" t="s">
        <v>19</v>
      </c>
      <c r="C7" s="21">
        <v>1835</v>
      </c>
      <c r="D7" s="22"/>
      <c r="E7" s="23"/>
      <c r="H7"/>
      <c r="I7" s="24">
        <f>+I24</f>
        <v>11562.909299999999</v>
      </c>
      <c r="J7" s="25">
        <f>C7</f>
        <v>1835</v>
      </c>
      <c r="K7" s="26">
        <f>+I7*J7</f>
        <v>21217938.565499999</v>
      </c>
      <c r="O7"/>
      <c r="P7" s="24">
        <f>P24</f>
        <v>11562.909299999999</v>
      </c>
      <c r="Q7" s="25">
        <f>C7</f>
        <v>1835</v>
      </c>
      <c r="R7" s="26">
        <f>P7*Q7</f>
        <v>21217938.565499999</v>
      </c>
      <c r="W7"/>
      <c r="X7" s="24">
        <f>X24</f>
        <v>25362.909299999999</v>
      </c>
      <c r="Y7" s="25">
        <f>C7</f>
        <v>1835</v>
      </c>
      <c r="Z7" s="26">
        <f>X7*Y7</f>
        <v>46540938.565499999</v>
      </c>
      <c r="AE7"/>
      <c r="AF7" s="24">
        <f>AF24</f>
        <v>18312.909299999999</v>
      </c>
      <c r="AG7" s="25">
        <f>C7</f>
        <v>1835</v>
      </c>
      <c r="AH7" s="26">
        <f>AF7*AG7</f>
        <v>33604188.565499999</v>
      </c>
      <c r="AI7" s="190"/>
    </row>
    <row r="8" spans="2:35" x14ac:dyDescent="0.35">
      <c r="B8" s="31" t="s">
        <v>20</v>
      </c>
      <c r="C8" s="32">
        <v>24.16</v>
      </c>
      <c r="D8" s="33"/>
      <c r="E8" s="34">
        <v>0</v>
      </c>
      <c r="H8"/>
      <c r="I8" s="35">
        <f>+I32</f>
        <v>3420470.0164000001</v>
      </c>
      <c r="J8" s="36">
        <f>C8</f>
        <v>24.16</v>
      </c>
      <c r="K8" s="37">
        <f>+I8*J8</f>
        <v>82638555.596223995</v>
      </c>
      <c r="O8"/>
      <c r="P8" s="35">
        <f>P32</f>
        <v>4445470.0164000001</v>
      </c>
      <c r="Q8" s="36">
        <f>C8</f>
        <v>24.16</v>
      </c>
      <c r="R8" s="37">
        <f>P8*Q8</f>
        <v>107402555.59622401</v>
      </c>
      <c r="W8"/>
      <c r="X8" s="35">
        <f>X32</f>
        <v>3420470.0164000001</v>
      </c>
      <c r="Y8" s="36">
        <f>C8</f>
        <v>24.16</v>
      </c>
      <c r="Z8" s="37">
        <f>X8*Y8</f>
        <v>82638555.596223995</v>
      </c>
      <c r="AE8"/>
      <c r="AF8" s="35">
        <f>AF32</f>
        <v>3933670.0164000001</v>
      </c>
      <c r="AG8" s="36">
        <f>C8</f>
        <v>24.16</v>
      </c>
      <c r="AH8" s="37">
        <f>AF8*AG8</f>
        <v>95037467.596223995</v>
      </c>
      <c r="AI8" s="190"/>
    </row>
    <row r="9" spans="2:35" x14ac:dyDescent="0.35">
      <c r="B9" s="40" t="s">
        <v>21</v>
      </c>
      <c r="C9" s="41">
        <v>1051</v>
      </c>
      <c r="D9" s="42"/>
      <c r="E9" s="43">
        <v>0</v>
      </c>
      <c r="H9"/>
      <c r="I9" s="44">
        <f>I39</f>
        <v>0</v>
      </c>
      <c r="J9" s="45">
        <f>C9</f>
        <v>1051</v>
      </c>
      <c r="K9" s="46">
        <f>+I9*J9</f>
        <v>0</v>
      </c>
      <c r="O9"/>
      <c r="P9" s="44">
        <f>P39</f>
        <v>0</v>
      </c>
      <c r="Q9" s="45">
        <f>C9</f>
        <v>1051</v>
      </c>
      <c r="R9" s="46">
        <f>P9*Q9</f>
        <v>0</v>
      </c>
      <c r="W9"/>
      <c r="X9" s="44">
        <f>X39</f>
        <v>0</v>
      </c>
      <c r="Y9" s="45">
        <f>C9</f>
        <v>1051</v>
      </c>
      <c r="Z9" s="46">
        <f>X9*Y9</f>
        <v>0</v>
      </c>
      <c r="AE9"/>
      <c r="AF9" s="44">
        <f>AF39</f>
        <v>0</v>
      </c>
      <c r="AG9" s="45">
        <f>C9</f>
        <v>1051</v>
      </c>
      <c r="AH9" s="46">
        <f>AF9*AG9</f>
        <v>0</v>
      </c>
      <c r="AI9" s="190"/>
    </row>
    <row r="10" spans="2:35" ht="14.5" customHeight="1" x14ac:dyDescent="0.35">
      <c r="B10" s="49" t="s">
        <v>22</v>
      </c>
      <c r="C10" s="50">
        <v>2213</v>
      </c>
      <c r="D10" s="51"/>
      <c r="E10" s="52">
        <v>0</v>
      </c>
      <c r="H10"/>
      <c r="I10" s="53">
        <f>I45</f>
        <v>517.16899999999998</v>
      </c>
      <c r="J10" s="54">
        <f>C10</f>
        <v>2213</v>
      </c>
      <c r="K10" s="55">
        <f>+I10*J10</f>
        <v>1144494.997</v>
      </c>
      <c r="O10"/>
      <c r="P10" s="53">
        <f>P45</f>
        <v>517.16899999999998</v>
      </c>
      <c r="Q10" s="54">
        <f>C10</f>
        <v>2213</v>
      </c>
      <c r="R10" s="55">
        <f>P10*Q10</f>
        <v>1144494.997</v>
      </c>
      <c r="W10"/>
      <c r="X10" s="53">
        <f>X45</f>
        <v>517.16899999999998</v>
      </c>
      <c r="Y10" s="54">
        <f>C10</f>
        <v>2213</v>
      </c>
      <c r="Z10" s="55">
        <f>X10*Y10</f>
        <v>1144494.997</v>
      </c>
      <c r="AE10"/>
      <c r="AF10" s="53">
        <f>AF45</f>
        <v>517.16899999999998</v>
      </c>
      <c r="AG10" s="54">
        <f>C10</f>
        <v>2213</v>
      </c>
      <c r="AH10" s="55">
        <f>AF10*AG10</f>
        <v>1144494.997</v>
      </c>
      <c r="AI10" s="190"/>
    </row>
    <row r="11" spans="2:35" ht="15" thickBot="1" x14ac:dyDescent="0.4">
      <c r="B11" s="57" t="s">
        <v>23</v>
      </c>
      <c r="C11" s="58">
        <v>15800</v>
      </c>
      <c r="D11" s="59"/>
      <c r="E11" s="60">
        <v>0</v>
      </c>
      <c r="H11"/>
      <c r="I11" s="61">
        <v>72.561999999999998</v>
      </c>
      <c r="J11" s="62">
        <f>C11</f>
        <v>15800</v>
      </c>
      <c r="K11" s="63">
        <f>+I11*J11</f>
        <v>1146479.5999999999</v>
      </c>
      <c r="O11"/>
      <c r="P11" s="61">
        <f>P49</f>
        <v>72.56</v>
      </c>
      <c r="Q11" s="62">
        <f>C11</f>
        <v>15800</v>
      </c>
      <c r="R11" s="63">
        <f>P11*Q11</f>
        <v>1146448</v>
      </c>
      <c r="W11"/>
      <c r="X11" s="61">
        <f>X49</f>
        <v>72.56</v>
      </c>
      <c r="Y11" s="62">
        <f>C11</f>
        <v>15800</v>
      </c>
      <c r="Z11" s="63">
        <f>X11*Y11</f>
        <v>1146448</v>
      </c>
      <c r="AE11"/>
      <c r="AF11" s="61">
        <f>AF49</f>
        <v>72.56</v>
      </c>
      <c r="AG11" s="62">
        <f>C11</f>
        <v>15800</v>
      </c>
      <c r="AH11" s="63">
        <f>AF11*AG11</f>
        <v>1146448</v>
      </c>
      <c r="AI11" s="190"/>
    </row>
    <row r="12" spans="2:35" ht="15" thickBot="1" x14ac:dyDescent="0.4">
      <c r="B12" s="457" t="s">
        <v>115</v>
      </c>
      <c r="C12" s="406"/>
      <c r="D12" s="458"/>
      <c r="E12" s="407"/>
      <c r="H12" s="65"/>
      <c r="I12" s="65"/>
      <c r="J12" s="56"/>
      <c r="K12" s="66">
        <f>SUM(K7:K11)</f>
        <v>106147468.75872399</v>
      </c>
      <c r="O12" s="65"/>
      <c r="P12" s="65"/>
      <c r="Q12" s="56"/>
      <c r="R12" s="66">
        <f>SUM(R7:R11)</f>
        <v>130911437.158724</v>
      </c>
      <c r="W12" s="65"/>
      <c r="X12" s="65"/>
      <c r="Y12" s="56"/>
      <c r="Z12" s="66">
        <f>SUM(Z7:Z11)</f>
        <v>131470437.158724</v>
      </c>
      <c r="AE12" s="65"/>
      <c r="AF12" s="65"/>
      <c r="AG12" s="56"/>
      <c r="AH12" s="66">
        <f>SUM(AH7:AH11)</f>
        <v>130932599.158724</v>
      </c>
      <c r="AI12" s="30"/>
    </row>
    <row r="13" spans="2:35" ht="15" thickBot="1" x14ac:dyDescent="0.4">
      <c r="H13"/>
      <c r="I13" s="67"/>
      <c r="J13" s="67"/>
      <c r="K13" s="68">
        <f>C14</f>
        <v>914969.33</v>
      </c>
      <c r="L13" s="69" t="s">
        <v>25</v>
      </c>
      <c r="O13"/>
      <c r="P13" s="67"/>
      <c r="Q13" s="67"/>
      <c r="R13" s="68">
        <v>914969.33</v>
      </c>
      <c r="S13" s="69" t="s">
        <v>25</v>
      </c>
      <c r="W13"/>
      <c r="X13" s="67"/>
      <c r="Y13" s="67"/>
      <c r="Z13" s="68">
        <v>914969.33</v>
      </c>
      <c r="AA13" s="69" t="s">
        <v>25</v>
      </c>
      <c r="AE13"/>
      <c r="AF13" s="67"/>
      <c r="AG13" s="67"/>
      <c r="AH13" s="68">
        <v>914969.33</v>
      </c>
      <c r="AI13" s="69" t="s">
        <v>25</v>
      </c>
    </row>
    <row r="14" spans="2:35" ht="15" thickBot="1" x14ac:dyDescent="0.4">
      <c r="B14" s="73" t="s">
        <v>25</v>
      </c>
      <c r="C14" s="411">
        <v>914969.33</v>
      </c>
      <c r="D14" s="411"/>
      <c r="E14" s="412"/>
      <c r="H14" t="s">
        <v>116</v>
      </c>
      <c r="I14" s="413" t="s">
        <v>27</v>
      </c>
      <c r="J14" s="413"/>
      <c r="K14" s="74">
        <f>D15</f>
        <v>1416119.21</v>
      </c>
      <c r="L14" s="75" t="s">
        <v>28</v>
      </c>
      <c r="O14"/>
      <c r="P14" s="413" t="s">
        <v>27</v>
      </c>
      <c r="Q14" s="413"/>
      <c r="R14" s="74">
        <v>1416119.21</v>
      </c>
      <c r="S14" s="75" t="s">
        <v>28</v>
      </c>
      <c r="W14"/>
      <c r="X14" s="413" t="s">
        <v>27</v>
      </c>
      <c r="Y14" s="413"/>
      <c r="Z14" s="74">
        <v>1416119.21</v>
      </c>
      <c r="AA14" s="75" t="s">
        <v>28</v>
      </c>
      <c r="AE14"/>
      <c r="AF14" s="413" t="s">
        <v>27</v>
      </c>
      <c r="AG14" s="413"/>
      <c r="AH14" s="74">
        <v>1416119.21</v>
      </c>
      <c r="AI14" s="75" t="s">
        <v>28</v>
      </c>
    </row>
    <row r="15" spans="2:35" ht="15" thickBot="1" x14ac:dyDescent="0.4">
      <c r="B15" s="81" t="s">
        <v>28</v>
      </c>
      <c r="C15" s="82"/>
      <c r="D15" s="380">
        <v>1416119.21</v>
      </c>
      <c r="E15" s="381"/>
      <c r="H15" t="s">
        <v>116</v>
      </c>
      <c r="I15" s="56" t="s">
        <v>30</v>
      </c>
      <c r="J15" s="83"/>
      <c r="K15" s="84">
        <f>+K12+K13+K14</f>
        <v>108478557.29872398</v>
      </c>
      <c r="O15"/>
      <c r="P15" s="56" t="s">
        <v>30</v>
      </c>
      <c r="Q15" s="83"/>
      <c r="R15" s="84">
        <f>+R12+R13+R14</f>
        <v>133242525.69872399</v>
      </c>
      <c r="W15"/>
      <c r="X15" s="56" t="s">
        <v>30</v>
      </c>
      <c r="Y15" s="83"/>
      <c r="Z15" s="84">
        <f>+Z12+Z13+Z14</f>
        <v>133801525.69872399</v>
      </c>
      <c r="AE15"/>
      <c r="AF15" s="56" t="s">
        <v>30</v>
      </c>
      <c r="AG15" s="83"/>
      <c r="AH15" s="84">
        <f>+AH12+AH13+AH14</f>
        <v>133263687.69872399</v>
      </c>
    </row>
    <row r="16" spans="2:35" ht="15" thickBot="1" x14ac:dyDescent="0.4">
      <c r="C16" s="85"/>
      <c r="D16" s="85"/>
      <c r="E16" s="85"/>
      <c r="H16"/>
      <c r="I16" s="56"/>
      <c r="J16" s="56"/>
      <c r="O16"/>
      <c r="P16" s="56"/>
      <c r="Q16" s="56"/>
      <c r="W16"/>
      <c r="X16" s="56"/>
      <c r="Y16" s="56"/>
      <c r="AE16"/>
      <c r="AF16" s="56"/>
      <c r="AG16" s="56"/>
      <c r="AH16" s="30"/>
    </row>
    <row r="17" spans="2:35" ht="15" thickBot="1" x14ac:dyDescent="0.4">
      <c r="B17" s="382" t="s">
        <v>31</v>
      </c>
      <c r="C17" s="383"/>
      <c r="D17" s="383"/>
      <c r="E17" s="384"/>
      <c r="H17"/>
      <c r="I17" s="7" t="s">
        <v>100</v>
      </c>
      <c r="J17" s="86"/>
      <c r="K17" s="86"/>
      <c r="L17" s="9"/>
      <c r="O17"/>
      <c r="P17" s="7" t="s">
        <v>100</v>
      </c>
      <c r="Q17" s="86"/>
      <c r="R17" s="86"/>
      <c r="S17" s="9"/>
      <c r="W17"/>
      <c r="X17" s="7" t="s">
        <v>100</v>
      </c>
      <c r="Y17" s="86"/>
      <c r="Z17" s="86"/>
      <c r="AA17" s="9"/>
      <c r="AE17"/>
      <c r="AF17" s="7" t="s">
        <v>100</v>
      </c>
      <c r="AG17" s="86"/>
      <c r="AH17" s="86"/>
      <c r="AI17" s="9"/>
    </row>
    <row r="18" spans="2:35" ht="15" customHeight="1" x14ac:dyDescent="0.35">
      <c r="B18" s="87" t="s">
        <v>33</v>
      </c>
      <c r="C18" s="88">
        <f>-SUM('LIFO as of 12.31.19 (01.08.20)'!C19:C21)</f>
        <v>-3377592.5</v>
      </c>
      <c r="D18" s="89"/>
      <c r="E18" s="90"/>
      <c r="H18" s="385" t="s">
        <v>34</v>
      </c>
      <c r="I18" s="91">
        <v>635.15750000000003</v>
      </c>
      <c r="J18" s="92">
        <v>513</v>
      </c>
      <c r="K18" s="92">
        <f>+I18*J18</f>
        <v>325835.79749999999</v>
      </c>
      <c r="L18" s="93">
        <v>2005</v>
      </c>
      <c r="O18" s="385" t="s">
        <v>34</v>
      </c>
      <c r="P18" s="91">
        <v>635.15750000000003</v>
      </c>
      <c r="Q18" s="92">
        <v>513</v>
      </c>
      <c r="R18" s="92">
        <f>+P18*Q18</f>
        <v>325835.79749999999</v>
      </c>
      <c r="S18" s="93">
        <v>2005</v>
      </c>
      <c r="W18" s="385" t="s">
        <v>34</v>
      </c>
      <c r="X18" s="91">
        <v>635.15750000000003</v>
      </c>
      <c r="Y18" s="92">
        <v>513</v>
      </c>
      <c r="Z18" s="92">
        <f>+X18*Y18</f>
        <v>325835.79749999999</v>
      </c>
      <c r="AA18" s="93">
        <v>2005</v>
      </c>
      <c r="AE18" s="437" t="s">
        <v>34</v>
      </c>
      <c r="AF18" s="91">
        <v>635.15750000000003</v>
      </c>
      <c r="AG18" s="92">
        <v>513</v>
      </c>
      <c r="AH18" s="92">
        <f>+AF18*AG18</f>
        <v>325835.79749999999</v>
      </c>
      <c r="AI18" s="93">
        <v>2005</v>
      </c>
    </row>
    <row r="19" spans="2:35" x14ac:dyDescent="0.35">
      <c r="B19" s="87" t="s">
        <v>36</v>
      </c>
      <c r="C19" s="88">
        <v>-847675</v>
      </c>
      <c r="D19" s="96"/>
      <c r="E19" s="97" t="s">
        <v>117</v>
      </c>
      <c r="H19" s="386"/>
      <c r="I19" s="91">
        <v>8241.6015000000007</v>
      </c>
      <c r="J19" s="92">
        <v>635.70000000000005</v>
      </c>
      <c r="K19" s="92">
        <f t="shared" ref="K19:K22" si="0">+I19*J19</f>
        <v>5239186.0735500008</v>
      </c>
      <c r="L19" s="93">
        <v>2006</v>
      </c>
      <c r="O19" s="386"/>
      <c r="P19" s="91">
        <v>8241.6015000000007</v>
      </c>
      <c r="Q19" s="92">
        <v>635.70000000000005</v>
      </c>
      <c r="R19" s="92">
        <f t="shared" ref="R19:R22" si="1">+P19*Q19</f>
        <v>5239186.0735500008</v>
      </c>
      <c r="S19" s="93">
        <v>2006</v>
      </c>
      <c r="W19" s="386"/>
      <c r="X19" s="91">
        <v>8241.6015000000007</v>
      </c>
      <c r="Y19" s="92">
        <v>635.70000000000005</v>
      </c>
      <c r="Z19" s="92">
        <f t="shared" ref="Z19:Z22" si="2">+X19*Y19</f>
        <v>5239186.0735500008</v>
      </c>
      <c r="AA19" s="93">
        <v>2006</v>
      </c>
      <c r="AE19" s="438"/>
      <c r="AF19" s="91">
        <v>8241.6015000000007</v>
      </c>
      <c r="AG19" s="92">
        <v>635.70000000000005</v>
      </c>
      <c r="AH19" s="92">
        <f t="shared" ref="AH19:AH22" si="3">+AF19*AG19</f>
        <v>5239186.0735500008</v>
      </c>
      <c r="AI19" s="93">
        <v>2006</v>
      </c>
    </row>
    <row r="20" spans="2:35" x14ac:dyDescent="0.35">
      <c r="B20" s="87" t="s">
        <v>38</v>
      </c>
      <c r="C20" s="98">
        <v>-1585.5</v>
      </c>
      <c r="D20" s="96"/>
      <c r="E20" s="97" t="s">
        <v>117</v>
      </c>
      <c r="H20" s="386"/>
      <c r="I20" s="91">
        <f>2706.7257-20.5754</f>
        <v>2686.1502999999998</v>
      </c>
      <c r="J20" s="92">
        <v>846.75</v>
      </c>
      <c r="K20" s="92">
        <f t="shared" si="0"/>
        <v>2274497.7665249999</v>
      </c>
      <c r="L20" s="93">
        <v>2008</v>
      </c>
      <c r="O20" s="386"/>
      <c r="P20" s="91">
        <f>2706.7257-20.5754</f>
        <v>2686.1502999999998</v>
      </c>
      <c r="Q20" s="92">
        <v>846.75</v>
      </c>
      <c r="R20" s="92">
        <f t="shared" si="1"/>
        <v>2274497.7665249999</v>
      </c>
      <c r="S20" s="93">
        <v>2008</v>
      </c>
      <c r="W20" s="386"/>
      <c r="X20" s="91">
        <f>2706.7257-20.5754</f>
        <v>2686.1502999999998</v>
      </c>
      <c r="Y20" s="92">
        <v>846.75</v>
      </c>
      <c r="Z20" s="92">
        <f t="shared" si="2"/>
        <v>2274497.7665249999</v>
      </c>
      <c r="AA20" s="93">
        <v>2008</v>
      </c>
      <c r="AE20" s="438"/>
      <c r="AF20" s="91">
        <f>2706.7257-20.5754</f>
        <v>2686.1502999999998</v>
      </c>
      <c r="AG20" s="92">
        <v>846.75</v>
      </c>
      <c r="AH20" s="92">
        <f t="shared" si="3"/>
        <v>2274497.7665249999</v>
      </c>
      <c r="AI20" s="93">
        <v>2008</v>
      </c>
    </row>
    <row r="21" spans="2:35" x14ac:dyDescent="0.35">
      <c r="B21" s="87" t="s">
        <v>39</v>
      </c>
      <c r="C21" s="88">
        <f>5523930+10635</f>
        <v>5534565</v>
      </c>
      <c r="D21" s="96"/>
      <c r="E21" s="97" t="s">
        <v>118</v>
      </c>
      <c r="H21" s="386"/>
      <c r="I21" s="91"/>
      <c r="J21" s="92">
        <v>1527.1</v>
      </c>
      <c r="K21" s="92">
        <f t="shared" si="0"/>
        <v>0</v>
      </c>
      <c r="L21" s="104" t="s">
        <v>113</v>
      </c>
      <c r="O21" s="386"/>
      <c r="P21" s="91">
        <f>668.4836-48.1355-620.3481</f>
        <v>0</v>
      </c>
      <c r="Q21" s="92">
        <v>1527.1</v>
      </c>
      <c r="R21" s="92">
        <f t="shared" si="1"/>
        <v>0</v>
      </c>
      <c r="S21" s="104" t="s">
        <v>113</v>
      </c>
      <c r="W21" s="386"/>
      <c r="X21" s="91">
        <v>13800</v>
      </c>
      <c r="Y21" s="92">
        <v>1527.1</v>
      </c>
      <c r="Z21" s="92">
        <f t="shared" si="2"/>
        <v>21073980</v>
      </c>
      <c r="AA21" s="104" t="s">
        <v>113</v>
      </c>
      <c r="AE21" s="438"/>
      <c r="AF21" s="91">
        <v>6750</v>
      </c>
      <c r="AG21" s="92">
        <v>1527.1</v>
      </c>
      <c r="AH21" s="92">
        <f t="shared" si="3"/>
        <v>10307925</v>
      </c>
      <c r="AI21" s="104" t="s">
        <v>113</v>
      </c>
    </row>
    <row r="22" spans="2:35" x14ac:dyDescent="0.35">
      <c r="B22" s="87" t="s">
        <v>103</v>
      </c>
      <c r="C22" s="88">
        <v>-471640</v>
      </c>
      <c r="D22" s="96"/>
      <c r="E22" s="97" t="s">
        <v>118</v>
      </c>
      <c r="H22" s="386"/>
      <c r="I22" s="91"/>
      <c r="J22" s="103"/>
      <c r="K22" s="92">
        <f t="shared" si="0"/>
        <v>0</v>
      </c>
      <c r="O22" s="386"/>
      <c r="P22" s="91"/>
      <c r="Q22" s="103"/>
      <c r="R22" s="92">
        <f t="shared" si="1"/>
        <v>0</v>
      </c>
      <c r="W22" s="386"/>
      <c r="X22" s="91"/>
      <c r="Y22" s="103"/>
      <c r="Z22" s="92">
        <f t="shared" si="2"/>
        <v>0</v>
      </c>
      <c r="AE22" s="438"/>
      <c r="AF22" s="91"/>
      <c r="AG22" s="103"/>
      <c r="AH22" s="92">
        <f t="shared" si="3"/>
        <v>0</v>
      </c>
    </row>
    <row r="23" spans="2:35" ht="15" thickBot="1" x14ac:dyDescent="0.4">
      <c r="B23" s="99" t="s">
        <v>41</v>
      </c>
      <c r="C23" s="100">
        <f>SUM(C18:C22)</f>
        <v>836072</v>
      </c>
      <c r="D23" s="101"/>
      <c r="E23" s="102" t="str">
        <f>B3</f>
        <v>Date as of : 12.07.2020</v>
      </c>
      <c r="H23" s="386"/>
      <c r="I23" s="106"/>
      <c r="J23" s="92"/>
      <c r="K23" s="92"/>
      <c r="L23" s="93"/>
      <c r="O23" s="386"/>
      <c r="P23" s="106"/>
      <c r="Q23" s="92"/>
      <c r="R23" s="92"/>
      <c r="S23" s="93"/>
      <c r="W23" s="386"/>
      <c r="X23" s="106"/>
      <c r="Y23" s="92"/>
      <c r="Z23" s="92"/>
      <c r="AA23" s="93"/>
      <c r="AE23" s="438"/>
      <c r="AF23" s="106"/>
      <c r="AG23" s="92"/>
      <c r="AH23" s="92"/>
      <c r="AI23" s="93"/>
    </row>
    <row r="24" spans="2:35" ht="15" thickBot="1" x14ac:dyDescent="0.4">
      <c r="B24" s="388" t="s">
        <v>125</v>
      </c>
      <c r="C24" s="389"/>
      <c r="D24" s="389"/>
      <c r="E24" s="390"/>
      <c r="H24" s="387"/>
      <c r="I24" s="108">
        <f>SUM(I18:I23)</f>
        <v>11562.909299999999</v>
      </c>
      <c r="J24" s="92"/>
      <c r="K24" s="109">
        <f>SUM(K18:K23)</f>
        <v>7839519.6375750005</v>
      </c>
      <c r="L24" s="93"/>
      <c r="O24" s="387"/>
      <c r="P24" s="108">
        <f>SUM(P18:P23)</f>
        <v>11562.909299999999</v>
      </c>
      <c r="Q24" s="92"/>
      <c r="R24" s="109">
        <f>SUM(R18:R23)</f>
        <v>7839519.6375750005</v>
      </c>
      <c r="S24" s="93"/>
      <c r="W24" s="387"/>
      <c r="X24" s="108">
        <f>SUM(X18:X23)</f>
        <v>25362.909299999999</v>
      </c>
      <c r="Y24" s="92"/>
      <c r="Z24" s="109">
        <f>SUM(Z18:Z23)</f>
        <v>28913499.637575001</v>
      </c>
      <c r="AA24" s="93"/>
      <c r="AE24" s="387"/>
      <c r="AF24" s="108">
        <f>SUM(AF18:AF23)</f>
        <v>18312.909299999999</v>
      </c>
      <c r="AG24" s="92"/>
      <c r="AH24" s="109">
        <f>SUM(AH18:AH23)</f>
        <v>18147444.637575001</v>
      </c>
      <c r="AI24" s="93"/>
    </row>
    <row r="25" spans="2:35" ht="15" thickTop="1" x14ac:dyDescent="0.35">
      <c r="B25" s="388" t="s">
        <v>126</v>
      </c>
      <c r="C25" s="389"/>
      <c r="D25" s="389"/>
      <c r="E25" s="390"/>
      <c r="I25" s="56"/>
      <c r="J25" s="115"/>
      <c r="L25" s="93"/>
      <c r="P25" s="56"/>
      <c r="Q25" s="115"/>
      <c r="S25" s="93"/>
      <c r="X25" s="56"/>
      <c r="Y25" s="115"/>
      <c r="AA25" s="93"/>
      <c r="AF25" s="56"/>
      <c r="AG25" s="115"/>
      <c r="AI25" s="93"/>
    </row>
    <row r="26" spans="2:35" ht="15" customHeight="1" x14ac:dyDescent="0.35">
      <c r="B26" s="391" t="s">
        <v>127</v>
      </c>
      <c r="C26" s="392"/>
      <c r="D26" s="392"/>
      <c r="E26" s="393"/>
      <c r="H26" s="394" t="s">
        <v>47</v>
      </c>
      <c r="I26" s="116">
        <v>981664.58790000004</v>
      </c>
      <c r="J26" s="233">
        <v>8.83</v>
      </c>
      <c r="K26" s="118">
        <f t="shared" ref="K26:K31" si="4">+I26*J26</f>
        <v>8668098.3111570012</v>
      </c>
      <c r="L26" s="93">
        <v>2005</v>
      </c>
      <c r="O26" s="394" t="s">
        <v>47</v>
      </c>
      <c r="P26" s="116">
        <v>981664.58790000004</v>
      </c>
      <c r="Q26" s="233">
        <v>8.83</v>
      </c>
      <c r="R26" s="118">
        <f t="shared" ref="R26:R31" si="5">+P26*Q26</f>
        <v>8668098.3111570012</v>
      </c>
      <c r="S26" s="93">
        <v>2005</v>
      </c>
      <c r="W26" s="394" t="s">
        <v>47</v>
      </c>
      <c r="X26" s="116">
        <v>981664.58790000004</v>
      </c>
      <c r="Y26" s="233">
        <v>8.83</v>
      </c>
      <c r="Z26" s="118">
        <f t="shared" ref="Z26:Z31" si="6">+X26*Y26</f>
        <v>8668098.3111570012</v>
      </c>
      <c r="AA26" s="93">
        <v>2005</v>
      </c>
      <c r="AE26" s="433" t="s">
        <v>47</v>
      </c>
      <c r="AF26" s="116">
        <v>981664.58790000004</v>
      </c>
      <c r="AG26" s="233">
        <v>8.83</v>
      </c>
      <c r="AH26" s="118">
        <f t="shared" ref="AH26:AH31" si="7">+AF26*AG26</f>
        <v>8668098.3111570012</v>
      </c>
      <c r="AI26" s="93">
        <v>2005</v>
      </c>
    </row>
    <row r="27" spans="2:35" ht="15" thickBot="1" x14ac:dyDescent="0.4">
      <c r="B27" s="396" t="s">
        <v>124</v>
      </c>
      <c r="C27" s="397"/>
      <c r="D27" s="397"/>
      <c r="E27" s="398"/>
      <c r="H27" s="395"/>
      <c r="I27" s="116">
        <v>649.01480000000004</v>
      </c>
      <c r="J27" s="233">
        <v>14.93</v>
      </c>
      <c r="K27" s="118">
        <f t="shared" si="4"/>
        <v>9689.7909639999998</v>
      </c>
      <c r="L27" s="93">
        <v>2008</v>
      </c>
      <c r="O27" s="395"/>
      <c r="P27" s="116">
        <v>649.01480000000004</v>
      </c>
      <c r="Q27" s="233">
        <v>14.93</v>
      </c>
      <c r="R27" s="118">
        <f t="shared" si="5"/>
        <v>9689.7909639999998</v>
      </c>
      <c r="S27" s="93">
        <v>2008</v>
      </c>
      <c r="W27" s="395"/>
      <c r="X27" s="116">
        <v>649.01480000000004</v>
      </c>
      <c r="Y27" s="233">
        <v>14.93</v>
      </c>
      <c r="Z27" s="118">
        <f t="shared" si="6"/>
        <v>9689.7909639999998</v>
      </c>
      <c r="AA27" s="93">
        <v>2008</v>
      </c>
      <c r="AE27" s="434"/>
      <c r="AF27" s="116">
        <v>649.01480000000004</v>
      </c>
      <c r="AG27" s="233">
        <v>14.93</v>
      </c>
      <c r="AH27" s="118">
        <f t="shared" si="7"/>
        <v>9689.7909639999998</v>
      </c>
      <c r="AI27" s="93">
        <v>2008</v>
      </c>
    </row>
    <row r="28" spans="2:35" ht="15" thickBot="1" x14ac:dyDescent="0.4">
      <c r="B28" s="93"/>
      <c r="C28" s="93"/>
      <c r="D28" s="93"/>
      <c r="E28" s="93"/>
      <c r="H28" s="395"/>
      <c r="I28" s="122">
        <f>213803.7135</f>
        <v>213803.71350000001</v>
      </c>
      <c r="J28" s="233">
        <v>11.08</v>
      </c>
      <c r="K28" s="118">
        <f t="shared" si="4"/>
        <v>2368945.1455800002</v>
      </c>
      <c r="L28" s="93">
        <v>2009</v>
      </c>
      <c r="O28" s="395"/>
      <c r="P28" s="122">
        <f>213803.7135</f>
        <v>213803.71350000001</v>
      </c>
      <c r="Q28" s="233">
        <v>11.08</v>
      </c>
      <c r="R28" s="118">
        <f t="shared" si="5"/>
        <v>2368945.1455800002</v>
      </c>
      <c r="S28" s="93">
        <v>2009</v>
      </c>
      <c r="W28" s="395"/>
      <c r="X28" s="122">
        <f>213803.7135</f>
        <v>213803.71350000001</v>
      </c>
      <c r="Y28" s="233">
        <v>11.08</v>
      </c>
      <c r="Z28" s="118">
        <f t="shared" si="6"/>
        <v>2368945.1455800002</v>
      </c>
      <c r="AA28" s="93">
        <v>2009</v>
      </c>
      <c r="AE28" s="434"/>
      <c r="AF28" s="122">
        <f>213803.7135</f>
        <v>213803.71350000001</v>
      </c>
      <c r="AG28" s="233">
        <v>11.08</v>
      </c>
      <c r="AH28" s="118">
        <f t="shared" si="7"/>
        <v>2368945.1455800002</v>
      </c>
      <c r="AI28" s="93">
        <v>2009</v>
      </c>
    </row>
    <row r="29" spans="2:35" ht="15" thickBot="1" x14ac:dyDescent="0.4">
      <c r="B29" s="119" t="s">
        <v>48</v>
      </c>
      <c r="C29" s="120" t="str">
        <f>MID(B3,13,15)</f>
        <v xml:space="preserve"> 12.07.2020</v>
      </c>
      <c r="D29" s="120"/>
      <c r="E29" s="121">
        <v>29940634.579999998</v>
      </c>
      <c r="H29" s="395"/>
      <c r="I29" s="122">
        <f>1249196.5802-72195.341</f>
        <v>1177001.2392</v>
      </c>
      <c r="J29" s="233">
        <v>14</v>
      </c>
      <c r="K29" s="118">
        <f t="shared" si="4"/>
        <v>16478017.3488</v>
      </c>
      <c r="L29" s="93">
        <v>2016</v>
      </c>
      <c r="O29" s="395"/>
      <c r="P29" s="122">
        <f>1249196.5802-72195.341</f>
        <v>1177001.2392</v>
      </c>
      <c r="Q29" s="233">
        <v>14</v>
      </c>
      <c r="R29" s="118">
        <f t="shared" si="5"/>
        <v>16478017.3488</v>
      </c>
      <c r="S29" s="93">
        <v>2016</v>
      </c>
      <c r="W29" s="395"/>
      <c r="X29" s="122">
        <f>1249196.5802-72195.341</f>
        <v>1177001.2392</v>
      </c>
      <c r="Y29" s="233">
        <v>14</v>
      </c>
      <c r="Z29" s="118">
        <f t="shared" si="6"/>
        <v>16478017.3488</v>
      </c>
      <c r="AA29" s="93">
        <v>2016</v>
      </c>
      <c r="AE29" s="434"/>
      <c r="AF29" s="122">
        <v>1177001.2392</v>
      </c>
      <c r="AG29" s="233">
        <v>14</v>
      </c>
      <c r="AH29" s="118">
        <f t="shared" si="7"/>
        <v>16478017.3488</v>
      </c>
      <c r="AI29" s="93">
        <v>2016</v>
      </c>
    </row>
    <row r="30" spans="2:35" x14ac:dyDescent="0.35">
      <c r="B30" s="93"/>
      <c r="C30" s="93"/>
      <c r="D30" s="93"/>
      <c r="E30" s="93" t="s">
        <v>104</v>
      </c>
      <c r="H30" s="395"/>
      <c r="I30" s="122">
        <v>1047351.461</v>
      </c>
      <c r="J30" s="234">
        <v>15.44</v>
      </c>
      <c r="K30" s="118">
        <f t="shared" si="4"/>
        <v>16171106.557839999</v>
      </c>
      <c r="L30" s="104" t="s">
        <v>42</v>
      </c>
      <c r="O30" s="395"/>
      <c r="P30" s="122">
        <v>1047351.461</v>
      </c>
      <c r="Q30" s="234">
        <v>15.44</v>
      </c>
      <c r="R30" s="118">
        <f t="shared" si="5"/>
        <v>16171106.557839999</v>
      </c>
      <c r="S30" s="104" t="s">
        <v>42</v>
      </c>
      <c r="W30" s="395"/>
      <c r="X30" s="122">
        <v>1047351.461</v>
      </c>
      <c r="Y30" s="234">
        <v>15.44</v>
      </c>
      <c r="Z30" s="118">
        <f t="shared" si="6"/>
        <v>16171106.557839999</v>
      </c>
      <c r="AA30" s="104" t="s">
        <v>42</v>
      </c>
      <c r="AE30" s="434"/>
      <c r="AF30" s="122">
        <v>1047351.461</v>
      </c>
      <c r="AG30" s="234">
        <v>15.44</v>
      </c>
      <c r="AH30" s="118">
        <f t="shared" si="7"/>
        <v>16171106.557839999</v>
      </c>
      <c r="AI30" s="104" t="s">
        <v>42</v>
      </c>
    </row>
    <row r="31" spans="2:35" ht="15" thickBot="1" x14ac:dyDescent="0.4">
      <c r="B31" s="93"/>
      <c r="C31" s="93"/>
      <c r="D31" s="93"/>
      <c r="E31" s="123"/>
      <c r="H31" s="395"/>
      <c r="I31" s="122">
        <v>0</v>
      </c>
      <c r="J31" s="234">
        <v>17.925000000000001</v>
      </c>
      <c r="K31" s="118">
        <f t="shared" si="4"/>
        <v>0</v>
      </c>
      <c r="L31" s="104" t="s">
        <v>113</v>
      </c>
      <c r="O31" s="395"/>
      <c r="P31" s="122">
        <v>1025000</v>
      </c>
      <c r="Q31" s="234">
        <v>17.925000000000001</v>
      </c>
      <c r="R31" s="118">
        <f t="shared" si="5"/>
        <v>18373125</v>
      </c>
      <c r="S31" s="104" t="s">
        <v>113</v>
      </c>
      <c r="W31" s="395"/>
      <c r="X31" s="122">
        <v>0</v>
      </c>
      <c r="Y31" s="234">
        <v>17.925000000000001</v>
      </c>
      <c r="Z31" s="118">
        <f t="shared" si="6"/>
        <v>0</v>
      </c>
      <c r="AA31" s="104" t="s">
        <v>113</v>
      </c>
      <c r="AE31" s="434"/>
      <c r="AF31" s="122">
        <v>513200</v>
      </c>
      <c r="AG31" s="234">
        <v>17.925000000000001</v>
      </c>
      <c r="AH31" s="118">
        <f t="shared" si="7"/>
        <v>9199110</v>
      </c>
      <c r="AI31" s="104" t="s">
        <v>113</v>
      </c>
    </row>
    <row r="32" spans="2:35" ht="15" thickBot="1" x14ac:dyDescent="0.4">
      <c r="B32" s="399" t="s">
        <v>49</v>
      </c>
      <c r="C32" s="400"/>
      <c r="D32" s="400"/>
      <c r="E32" s="401"/>
      <c r="H32" s="395"/>
      <c r="I32" s="125">
        <f>SUM(I26:I31)</f>
        <v>3420470.0164000001</v>
      </c>
      <c r="J32" s="126"/>
      <c r="K32" s="127">
        <f>SUM(K26:K31)</f>
        <v>43695857.154340997</v>
      </c>
      <c r="L32" s="93"/>
      <c r="O32" s="395"/>
      <c r="P32" s="125">
        <f>SUM(P26:P31)</f>
        <v>4445470.0164000001</v>
      </c>
      <c r="Q32" s="126"/>
      <c r="R32" s="127">
        <f>SUM(R26:R31)</f>
        <v>62068982.154340997</v>
      </c>
      <c r="S32" s="93"/>
      <c r="W32" s="395"/>
      <c r="X32" s="125">
        <f>SUM(X26:X31)</f>
        <v>3420470.0164000001</v>
      </c>
      <c r="Y32" s="126"/>
      <c r="Z32" s="127">
        <f>SUM(Z26:Z31)</f>
        <v>43695857.154340997</v>
      </c>
      <c r="AA32" s="93"/>
      <c r="AE32" s="435"/>
      <c r="AF32" s="125">
        <f>SUM(AF26:AF31)</f>
        <v>3933670.0164000001</v>
      </c>
      <c r="AG32" s="126"/>
      <c r="AH32" s="127">
        <f>SUM(AH26:AH31)</f>
        <v>52894967.154340997</v>
      </c>
      <c r="AI32" s="93"/>
    </row>
    <row r="33" spans="2:35" ht="15" thickTop="1" x14ac:dyDescent="0.35">
      <c r="B33" s="402"/>
      <c r="C33" s="436"/>
      <c r="D33" s="436"/>
      <c r="E33" s="404"/>
      <c r="I33" s="131"/>
      <c r="K33" s="132"/>
      <c r="L33" s="93"/>
      <c r="P33" s="131"/>
      <c r="R33" s="132"/>
      <c r="S33" s="93"/>
      <c r="X33" s="131"/>
      <c r="Z33" s="132"/>
      <c r="AA33" s="93"/>
      <c r="AF33" s="131"/>
      <c r="AH33" s="132"/>
      <c r="AI33" s="93"/>
    </row>
    <row r="34" spans="2:35" ht="15" thickBot="1" x14ac:dyDescent="0.4">
      <c r="B34" s="405"/>
      <c r="C34" s="406"/>
      <c r="D34" s="406"/>
      <c r="E34" s="407"/>
      <c r="H34" s="408" t="s">
        <v>51</v>
      </c>
      <c r="I34" s="134">
        <v>0</v>
      </c>
      <c r="J34" s="135"/>
      <c r="K34" s="136">
        <f>+I34*J34</f>
        <v>0</v>
      </c>
      <c r="L34" s="93"/>
      <c r="O34" s="408" t="s">
        <v>51</v>
      </c>
      <c r="P34" s="134">
        <v>0</v>
      </c>
      <c r="Q34" s="135"/>
      <c r="R34" s="136">
        <f>+P34*Q34</f>
        <v>0</v>
      </c>
      <c r="S34" s="93"/>
      <c r="W34" s="408" t="s">
        <v>51</v>
      </c>
      <c r="X34" s="134">
        <v>0</v>
      </c>
      <c r="Y34" s="135"/>
      <c r="Z34" s="136">
        <f>+X34*Y34</f>
        <v>0</v>
      </c>
      <c r="AA34" s="93"/>
      <c r="AE34" s="408" t="s">
        <v>51</v>
      </c>
      <c r="AF34" s="134">
        <v>0</v>
      </c>
      <c r="AG34" s="135"/>
      <c r="AH34" s="136">
        <f>+AF34*AG34</f>
        <v>0</v>
      </c>
      <c r="AI34" s="93"/>
    </row>
    <row r="35" spans="2:35" x14ac:dyDescent="0.35">
      <c r="B35" s="350" t="s">
        <v>35</v>
      </c>
      <c r="C35" s="351"/>
      <c r="D35" s="351"/>
      <c r="E35" s="352"/>
      <c r="H35" s="409"/>
      <c r="I35" s="137">
        <v>0</v>
      </c>
      <c r="J35" s="135"/>
      <c r="K35" s="136">
        <f>+I35*J35</f>
        <v>0</v>
      </c>
      <c r="L35" s="93"/>
      <c r="O35" s="409"/>
      <c r="P35" s="137">
        <v>0</v>
      </c>
      <c r="Q35" s="135"/>
      <c r="R35" s="136">
        <f>+P35*Q35</f>
        <v>0</v>
      </c>
      <c r="S35" s="93"/>
      <c r="W35" s="409"/>
      <c r="X35" s="137">
        <v>0</v>
      </c>
      <c r="Y35" s="135"/>
      <c r="Z35" s="136">
        <f>+X35*Y35</f>
        <v>0</v>
      </c>
      <c r="AA35" s="93"/>
      <c r="AE35" s="409"/>
      <c r="AF35" s="137">
        <v>0</v>
      </c>
      <c r="AG35" s="135"/>
      <c r="AH35" s="136">
        <f>+AF35*AG35</f>
        <v>0</v>
      </c>
      <c r="AI35" s="93"/>
    </row>
    <row r="36" spans="2:35" x14ac:dyDescent="0.35">
      <c r="B36" s="353"/>
      <c r="C36" s="354"/>
      <c r="D36" s="354"/>
      <c r="E36" s="355"/>
      <c r="H36" s="409"/>
      <c r="I36" s="137">
        <v>0</v>
      </c>
      <c r="J36" s="135"/>
      <c r="K36" s="136">
        <f>+I36*J36</f>
        <v>0</v>
      </c>
      <c r="L36" s="93"/>
      <c r="O36" s="409"/>
      <c r="P36" s="137">
        <v>0</v>
      </c>
      <c r="Q36" s="135"/>
      <c r="R36" s="136">
        <f>+P36*Q36</f>
        <v>0</v>
      </c>
      <c r="S36" s="93"/>
      <c r="W36" s="409"/>
      <c r="X36" s="137">
        <v>0</v>
      </c>
      <c r="Y36" s="135"/>
      <c r="Z36" s="136">
        <f>+X36*Y36</f>
        <v>0</v>
      </c>
      <c r="AA36" s="93"/>
      <c r="AE36" s="409"/>
      <c r="AF36" s="137">
        <v>0</v>
      </c>
      <c r="AG36" s="135"/>
      <c r="AH36" s="136">
        <f>+AF36*AG36</f>
        <v>0</v>
      </c>
      <c r="AI36" s="93"/>
    </row>
    <row r="37" spans="2:35" ht="15" thickBot="1" x14ac:dyDescent="0.4">
      <c r="B37" s="356"/>
      <c r="C37" s="357"/>
      <c r="D37" s="357"/>
      <c r="E37" s="358"/>
      <c r="H37" s="409"/>
      <c r="I37" s="138"/>
      <c r="J37" s="139"/>
      <c r="K37" s="136"/>
      <c r="L37" s="104" t="s">
        <v>42</v>
      </c>
      <c r="O37" s="409"/>
      <c r="P37" s="138"/>
      <c r="Q37" s="139"/>
      <c r="R37" s="136"/>
      <c r="S37" s="104" t="s">
        <v>42</v>
      </c>
      <c r="W37" s="409"/>
      <c r="X37" s="138"/>
      <c r="Y37" s="139"/>
      <c r="Z37" s="136"/>
      <c r="AA37" s="104" t="s">
        <v>42</v>
      </c>
      <c r="AE37" s="409"/>
      <c r="AF37" s="138"/>
      <c r="AG37" s="139"/>
      <c r="AH37" s="136"/>
      <c r="AI37" s="104" t="s">
        <v>42</v>
      </c>
    </row>
    <row r="38" spans="2:35" x14ac:dyDescent="0.35">
      <c r="H38" s="409"/>
      <c r="I38" s="138"/>
      <c r="J38" s="135"/>
      <c r="K38" s="136"/>
      <c r="L38" s="93"/>
      <c r="O38" s="409"/>
      <c r="P38" s="138"/>
      <c r="Q38" s="135"/>
      <c r="R38" s="136"/>
      <c r="S38" s="93"/>
      <c r="W38" s="409"/>
      <c r="X38" s="138"/>
      <c r="Y38" s="135"/>
      <c r="Z38" s="136"/>
      <c r="AA38" s="93"/>
      <c r="AE38" s="409"/>
      <c r="AF38" s="138"/>
      <c r="AG38" s="135"/>
      <c r="AH38" s="136"/>
      <c r="AI38" s="93"/>
    </row>
    <row r="39" spans="2:35" ht="15" thickBot="1" x14ac:dyDescent="0.4">
      <c r="H39" s="410"/>
      <c r="I39" s="140">
        <f>SUM(I34:I38)</f>
        <v>0</v>
      </c>
      <c r="J39" s="136"/>
      <c r="K39" s="141">
        <f>SUM(K34:K38)</f>
        <v>0</v>
      </c>
      <c r="L39" s="93"/>
      <c r="O39" s="410"/>
      <c r="P39" s="140">
        <f>SUM(P34:P38)</f>
        <v>0</v>
      </c>
      <c r="Q39" s="136"/>
      <c r="R39" s="141">
        <f>SUM(R34:R38)</f>
        <v>0</v>
      </c>
      <c r="S39" s="93"/>
      <c r="W39" s="410"/>
      <c r="X39" s="140">
        <f>SUM(X34:X38)</f>
        <v>0</v>
      </c>
      <c r="Y39" s="136"/>
      <c r="Z39" s="141">
        <f>SUM(Z34:Z38)</f>
        <v>0</v>
      </c>
      <c r="AA39" s="93"/>
      <c r="AE39" s="410"/>
      <c r="AF39" s="140">
        <f>SUM(AF34:AF38)</f>
        <v>0</v>
      </c>
      <c r="AG39" s="136"/>
      <c r="AH39" s="141">
        <f>SUM(AH34:AH38)</f>
        <v>0</v>
      </c>
      <c r="AI39" s="93"/>
    </row>
    <row r="40" spans="2:35" ht="15" thickTop="1" x14ac:dyDescent="0.35">
      <c r="D40" s="222" t="s">
        <v>129</v>
      </c>
      <c r="E40" s="223">
        <v>84021254.26466918</v>
      </c>
      <c r="I40" s="131"/>
      <c r="J40" s="145"/>
      <c r="K40" s="132"/>
      <c r="L40" s="93"/>
      <c r="P40" s="131"/>
      <c r="Q40" s="145"/>
      <c r="R40" s="132"/>
      <c r="S40" s="93"/>
      <c r="X40" s="131"/>
      <c r="Y40" s="145"/>
      <c r="Z40" s="132"/>
      <c r="AA40" s="93"/>
      <c r="AF40" s="131"/>
      <c r="AG40" s="145"/>
      <c r="AH40" s="132"/>
      <c r="AI40" s="93"/>
    </row>
    <row r="41" spans="2:35" x14ac:dyDescent="0.35">
      <c r="D41" s="222" t="s">
        <v>130</v>
      </c>
      <c r="E41" s="223">
        <v>60636464.780000001</v>
      </c>
      <c r="H41" s="359" t="s">
        <v>53</v>
      </c>
      <c r="I41" s="146">
        <v>517.16899999999998</v>
      </c>
      <c r="J41" s="147">
        <v>1267</v>
      </c>
      <c r="K41" s="148">
        <f>+I41*J41</f>
        <v>655253.12300000002</v>
      </c>
      <c r="L41" s="104" t="s">
        <v>42</v>
      </c>
      <c r="O41" s="359" t="s">
        <v>53</v>
      </c>
      <c r="P41" s="146">
        <v>517.16899999999998</v>
      </c>
      <c r="Q41" s="147">
        <v>1267</v>
      </c>
      <c r="R41" s="148">
        <f>+P41*Q41</f>
        <v>655253.12300000002</v>
      </c>
      <c r="S41" s="104" t="s">
        <v>42</v>
      </c>
      <c r="W41" s="359" t="s">
        <v>53</v>
      </c>
      <c r="X41" s="146">
        <v>517.16899999999998</v>
      </c>
      <c r="Y41" s="147">
        <v>1267</v>
      </c>
      <c r="Z41" s="148">
        <f>+X41*Y41</f>
        <v>655253.12300000002</v>
      </c>
      <c r="AA41" s="104" t="s">
        <v>42</v>
      </c>
      <c r="AE41" s="359" t="s">
        <v>53</v>
      </c>
      <c r="AF41" s="146">
        <v>517.16899999999998</v>
      </c>
      <c r="AG41" s="147">
        <v>1267</v>
      </c>
      <c r="AH41" s="148">
        <f>+AF41*AG41</f>
        <v>655253.12300000002</v>
      </c>
      <c r="AI41" s="104" t="s">
        <v>42</v>
      </c>
    </row>
    <row r="42" spans="2:35" x14ac:dyDescent="0.35">
      <c r="D42" s="222" t="s">
        <v>131</v>
      </c>
      <c r="E42" s="223">
        <v>23384789.484669179</v>
      </c>
      <c r="H42" s="360"/>
      <c r="I42" s="146"/>
      <c r="J42" s="149"/>
      <c r="K42" s="148">
        <f>+I42*J42</f>
        <v>0</v>
      </c>
      <c r="L42" s="93"/>
      <c r="O42" s="360"/>
      <c r="P42" s="146"/>
      <c r="Q42" s="149"/>
      <c r="R42" s="148">
        <f>+P42*Q42</f>
        <v>0</v>
      </c>
      <c r="S42" s="93"/>
      <c r="W42" s="360"/>
      <c r="X42" s="146"/>
      <c r="Y42" s="149"/>
      <c r="Z42" s="148">
        <f>+X42*Y42</f>
        <v>0</v>
      </c>
      <c r="AA42" s="93"/>
      <c r="AE42" s="360"/>
      <c r="AF42" s="146"/>
      <c r="AG42" s="149"/>
      <c r="AH42" s="148">
        <f>+AF42*AG42</f>
        <v>0</v>
      </c>
      <c r="AI42" s="93"/>
    </row>
    <row r="43" spans="2:35" x14ac:dyDescent="0.35">
      <c r="D43" s="222" t="s">
        <v>132</v>
      </c>
      <c r="E43" s="223">
        <v>25000000</v>
      </c>
      <c r="H43" s="360"/>
      <c r="I43" s="150"/>
      <c r="J43" s="151"/>
      <c r="K43" s="148">
        <f>+I43*J43</f>
        <v>0</v>
      </c>
      <c r="L43" s="93"/>
      <c r="O43" s="360"/>
      <c r="P43" s="150"/>
      <c r="Q43" s="151"/>
      <c r="R43" s="148">
        <f>+P43*Q43</f>
        <v>0</v>
      </c>
      <c r="S43" s="93"/>
      <c r="W43" s="360"/>
      <c r="X43" s="150"/>
      <c r="Y43" s="151"/>
      <c r="Z43" s="148">
        <f>+X43*Y43</f>
        <v>0</v>
      </c>
      <c r="AA43" s="93"/>
      <c r="AE43" s="360"/>
      <c r="AF43" s="150"/>
      <c r="AG43" s="151"/>
      <c r="AH43" s="148">
        <f>+AF43*AG43</f>
        <v>0</v>
      </c>
      <c r="AI43" s="93"/>
    </row>
    <row r="44" spans="2:35" x14ac:dyDescent="0.35">
      <c r="D44" s="222" t="s">
        <v>133</v>
      </c>
      <c r="E44" s="223">
        <v>48384789.484669179</v>
      </c>
      <c r="H44" s="360"/>
      <c r="I44" s="152">
        <v>0</v>
      </c>
      <c r="J44" s="151"/>
      <c r="K44" s="148">
        <f>+I44*J44</f>
        <v>0</v>
      </c>
      <c r="L44" s="93"/>
      <c r="O44" s="360"/>
      <c r="P44" s="152">
        <v>0</v>
      </c>
      <c r="Q44" s="151"/>
      <c r="R44" s="148">
        <f>+P44*Q44</f>
        <v>0</v>
      </c>
      <c r="S44" s="93"/>
      <c r="W44" s="360"/>
      <c r="X44" s="152">
        <v>0</v>
      </c>
      <c r="Y44" s="151"/>
      <c r="Z44" s="148">
        <f>+X44*Y44</f>
        <v>0</v>
      </c>
      <c r="AA44" s="93"/>
      <c r="AE44" s="360"/>
      <c r="AF44" s="152">
        <v>0</v>
      </c>
      <c r="AG44" s="151"/>
      <c r="AH44" s="148">
        <f>+AF44*AG44</f>
        <v>0</v>
      </c>
      <c r="AI44" s="93"/>
    </row>
    <row r="45" spans="2:35" ht="15" thickBot="1" x14ac:dyDescent="0.4">
      <c r="E45" s="223"/>
      <c r="H45" s="361"/>
      <c r="I45" s="153">
        <f>SUM(I41:I44)</f>
        <v>517.16899999999998</v>
      </c>
      <c r="J45" s="148"/>
      <c r="K45" s="154">
        <f>SUM(K41:K44)</f>
        <v>655253.12300000002</v>
      </c>
      <c r="L45" s="93"/>
      <c r="O45" s="361"/>
      <c r="P45" s="153">
        <f>SUM(P41:P44)</f>
        <v>517.16899999999998</v>
      </c>
      <c r="Q45" s="148"/>
      <c r="R45" s="154">
        <f>SUM(R41:R44)</f>
        <v>655253.12300000002</v>
      </c>
      <c r="S45" s="93"/>
      <c r="W45" s="361"/>
      <c r="X45" s="153">
        <f>SUM(X41:X44)</f>
        <v>517.16899999999998</v>
      </c>
      <c r="Y45" s="148"/>
      <c r="Z45" s="154">
        <f>SUM(Z41:Z44)</f>
        <v>655253.12300000002</v>
      </c>
      <c r="AA45" s="93"/>
      <c r="AE45" s="361"/>
      <c r="AF45" s="153">
        <f>SUM(AF41:AF44)</f>
        <v>517.16899999999998</v>
      </c>
      <c r="AG45" s="148"/>
      <c r="AH45" s="154">
        <f>SUM(AH41:AH44)</f>
        <v>655253.12300000002</v>
      </c>
      <c r="AI45" s="93"/>
    </row>
    <row r="46" spans="2:35" ht="15" thickTop="1" x14ac:dyDescent="0.35">
      <c r="E46" s="223"/>
      <c r="I46" s="131"/>
      <c r="J46" s="132"/>
      <c r="K46" s="132"/>
      <c r="L46" s="93"/>
      <c r="P46" s="131"/>
      <c r="Q46" s="132"/>
      <c r="R46" s="132"/>
      <c r="S46" s="93"/>
      <c r="X46" s="131"/>
      <c r="Y46" s="132"/>
      <c r="Z46" s="132"/>
      <c r="AA46" s="93"/>
      <c r="AF46" s="131"/>
      <c r="AG46" s="132"/>
      <c r="AH46" s="132"/>
      <c r="AI46" s="93"/>
    </row>
    <row r="47" spans="2:35" x14ac:dyDescent="0.35">
      <c r="D47" s="222" t="s">
        <v>134</v>
      </c>
      <c r="E47" s="223">
        <v>109000000</v>
      </c>
      <c r="H47" s="432" t="s">
        <v>55</v>
      </c>
      <c r="I47" s="158">
        <v>72.56</v>
      </c>
      <c r="J47" s="159">
        <v>2300</v>
      </c>
      <c r="K47" s="160">
        <f>+I47*J47</f>
        <v>166888</v>
      </c>
      <c r="L47" s="104" t="s">
        <v>42</v>
      </c>
      <c r="O47" s="432" t="s">
        <v>55</v>
      </c>
      <c r="P47" s="158">
        <v>72.56</v>
      </c>
      <c r="Q47" s="159">
        <v>2300</v>
      </c>
      <c r="R47" s="160">
        <f>+P47*Q47</f>
        <v>166888</v>
      </c>
      <c r="S47" s="104" t="s">
        <v>42</v>
      </c>
      <c r="W47" s="432" t="s">
        <v>55</v>
      </c>
      <c r="X47" s="158">
        <v>72.56</v>
      </c>
      <c r="Y47" s="159">
        <v>2300</v>
      </c>
      <c r="Z47" s="160">
        <f>+X47*Y47</f>
        <v>166888</v>
      </c>
      <c r="AA47" s="104" t="s">
        <v>42</v>
      </c>
      <c r="AE47" s="432" t="s">
        <v>55</v>
      </c>
      <c r="AF47" s="158">
        <v>72.56</v>
      </c>
      <c r="AG47" s="159">
        <v>2300</v>
      </c>
      <c r="AH47" s="160">
        <f>+AF47*AG47</f>
        <v>166888</v>
      </c>
      <c r="AI47" s="104" t="s">
        <v>42</v>
      </c>
    </row>
    <row r="48" spans="2:35" x14ac:dyDescent="0.35">
      <c r="D48" s="222" t="s">
        <v>135</v>
      </c>
      <c r="E48" s="223">
        <f>E42</f>
        <v>23384789.484669179</v>
      </c>
      <c r="H48" s="432"/>
      <c r="I48" s="158"/>
      <c r="J48" s="160"/>
      <c r="K48" s="160">
        <f>+I48*J48</f>
        <v>0</v>
      </c>
      <c r="L48" s="93"/>
      <c r="O48" s="432"/>
      <c r="P48" s="158"/>
      <c r="Q48" s="160"/>
      <c r="R48" s="160">
        <f>+P48*Q48</f>
        <v>0</v>
      </c>
      <c r="S48" s="93"/>
      <c r="W48" s="432"/>
      <c r="X48" s="158"/>
      <c r="Y48" s="160"/>
      <c r="Z48" s="160">
        <f>+X48*Y48</f>
        <v>0</v>
      </c>
      <c r="AA48" s="93"/>
      <c r="AE48" s="432"/>
      <c r="AF48" s="158"/>
      <c r="AG48" s="160"/>
      <c r="AH48" s="160">
        <f>+AF48*AG48</f>
        <v>0</v>
      </c>
      <c r="AI48" s="93"/>
    </row>
    <row r="49" spans="1:35" ht="15" thickBot="1" x14ac:dyDescent="0.4">
      <c r="D49" s="222" t="s">
        <v>136</v>
      </c>
      <c r="E49" s="223">
        <v>25000000</v>
      </c>
      <c r="H49" s="432"/>
      <c r="I49" s="164">
        <f>SUM(I47:I48)</f>
        <v>72.56</v>
      </c>
      <c r="J49" s="160"/>
      <c r="K49" s="165">
        <f>SUM(K47:K48)</f>
        <v>166888</v>
      </c>
      <c r="L49" s="93"/>
      <c r="O49" s="432"/>
      <c r="P49" s="164">
        <f>SUM(P47:P48)</f>
        <v>72.56</v>
      </c>
      <c r="Q49" s="160"/>
      <c r="R49" s="165">
        <f>SUM(R47:R48)</f>
        <v>166888</v>
      </c>
      <c r="S49" s="93"/>
      <c r="W49" s="432"/>
      <c r="X49" s="164">
        <f>SUM(X47:X48)</f>
        <v>72.56</v>
      </c>
      <c r="Y49" s="160"/>
      <c r="Z49" s="165">
        <f>SUM(Z47:Z48)</f>
        <v>166888</v>
      </c>
      <c r="AA49" s="93"/>
      <c r="AE49" s="432"/>
      <c r="AF49" s="164">
        <f>SUM(AF47:AF48)</f>
        <v>72.56</v>
      </c>
      <c r="AG49" s="160"/>
      <c r="AH49" s="165">
        <f>SUM(AH47:AH48)</f>
        <v>166888</v>
      </c>
      <c r="AI49" s="93"/>
    </row>
    <row r="50" spans="1:35" ht="15" thickTop="1" x14ac:dyDescent="0.35">
      <c r="D50" s="222" t="s">
        <v>137</v>
      </c>
      <c r="E50" s="223">
        <f>E47-E48-E49</f>
        <v>60615210.515330821</v>
      </c>
      <c r="I50" s="170"/>
      <c r="J50" s="171"/>
      <c r="K50" s="68">
        <f>+K13</f>
        <v>914969.33</v>
      </c>
      <c r="L50" s="69" t="s">
        <v>26</v>
      </c>
      <c r="P50" s="170"/>
      <c r="Q50" s="171"/>
      <c r="R50" s="68">
        <f>+R13</f>
        <v>914969.33</v>
      </c>
      <c r="S50" s="69" t="s">
        <v>26</v>
      </c>
      <c r="X50" s="170"/>
      <c r="Y50" s="171"/>
      <c r="Z50" s="68">
        <f>+Z13</f>
        <v>914969.33</v>
      </c>
      <c r="AA50" s="69" t="s">
        <v>26</v>
      </c>
      <c r="AF50" s="170"/>
      <c r="AG50" s="171"/>
      <c r="AH50" s="68">
        <f>+AH13</f>
        <v>914969.33</v>
      </c>
      <c r="AI50" s="69" t="s">
        <v>26</v>
      </c>
    </row>
    <row r="51" spans="1:35" ht="15" thickBot="1" x14ac:dyDescent="0.4">
      <c r="D51" s="222"/>
      <c r="E51" s="223"/>
      <c r="I51" s="56" t="s">
        <v>30</v>
      </c>
      <c r="J51" s="132"/>
      <c r="K51" s="84">
        <f>+K24+K32+K39+K45+K50+K49</f>
        <v>53272487.244915999</v>
      </c>
      <c r="P51" s="56" t="s">
        <v>30</v>
      </c>
      <c r="Q51" s="132"/>
      <c r="R51" s="84">
        <f>+R24+R32+R39+R45+R50+R49</f>
        <v>71645612.244915992</v>
      </c>
      <c r="X51" s="56" t="s">
        <v>30</v>
      </c>
      <c r="Y51" s="132"/>
      <c r="Z51" s="84">
        <f>+Z24+Z32+Z39+Z45+Z50+Z49</f>
        <v>74346467.244915992</v>
      </c>
      <c r="AF51" s="56" t="s">
        <v>30</v>
      </c>
      <c r="AG51" s="132"/>
      <c r="AH51" s="84">
        <f>+AH24+AH32+AH39+AH45+AH50+AH49</f>
        <v>72779522.244915992</v>
      </c>
    </row>
    <row r="52" spans="1:35" ht="15" thickTop="1" x14ac:dyDescent="0.35">
      <c r="D52" s="222" t="s">
        <v>138</v>
      </c>
      <c r="E52" s="223">
        <v>90000000</v>
      </c>
      <c r="J52" s="132"/>
      <c r="K52" s="132"/>
      <c r="Q52" s="132"/>
      <c r="R52" s="132"/>
      <c r="Y52" s="132"/>
      <c r="Z52" s="132"/>
      <c r="AG52" s="132"/>
      <c r="AH52" s="132"/>
    </row>
    <row r="53" spans="1:35" ht="15" thickBot="1" x14ac:dyDescent="0.4">
      <c r="D53" s="222" t="s">
        <v>139</v>
      </c>
      <c r="E53" s="223">
        <f>E52-E50</f>
        <v>29384789.484669179</v>
      </c>
      <c r="I53" s="56" t="s">
        <v>56</v>
      </c>
      <c r="J53" s="132"/>
      <c r="K53" s="177">
        <f>+K15-K51</f>
        <v>55206070.053807981</v>
      </c>
      <c r="P53" s="56" t="s">
        <v>56</v>
      </c>
      <c r="Q53" s="132"/>
      <c r="R53" s="177">
        <f>+R15-R51</f>
        <v>61596913.453807995</v>
      </c>
      <c r="X53" s="56" t="s">
        <v>56</v>
      </c>
      <c r="Y53" s="132"/>
      <c r="Z53" s="177">
        <f>+Z15-Z51</f>
        <v>59455058.453807995</v>
      </c>
      <c r="AF53" s="56" t="s">
        <v>56</v>
      </c>
      <c r="AG53" s="132"/>
      <c r="AH53" s="177">
        <f>+AH15-AH51</f>
        <v>60484165.453807995</v>
      </c>
    </row>
    <row r="54" spans="1:35" ht="15.5" thickTop="1" thickBot="1" x14ac:dyDescent="0.4">
      <c r="D54" s="222"/>
      <c r="E54" s="193"/>
      <c r="J54" s="178"/>
      <c r="K54" s="179"/>
      <c r="Q54" s="178"/>
      <c r="R54" s="179"/>
      <c r="Y54" s="178"/>
      <c r="Z54" s="179"/>
      <c r="AG54" s="178"/>
      <c r="AH54" s="179"/>
    </row>
    <row r="55" spans="1:35" x14ac:dyDescent="0.35">
      <c r="A55" s="225"/>
      <c r="B55" s="226"/>
      <c r="C55" s="226"/>
      <c r="D55" s="227" t="s">
        <v>140</v>
      </c>
      <c r="E55" s="228">
        <f>E53/C8</f>
        <v>1216257.8429084925</v>
      </c>
      <c r="I55" s="180" t="s">
        <v>109</v>
      </c>
      <c r="J55" s="178"/>
      <c r="K55" s="181">
        <v>30081777.469999999</v>
      </c>
      <c r="P55" s="180" t="s">
        <v>109</v>
      </c>
      <c r="Q55" s="178"/>
      <c r="R55" s="181">
        <v>30081777.469999999</v>
      </c>
      <c r="X55" s="180" t="s">
        <v>109</v>
      </c>
      <c r="Y55" s="178"/>
      <c r="Z55" s="181">
        <v>30081777.469999999</v>
      </c>
      <c r="AF55" s="180" t="s">
        <v>109</v>
      </c>
      <c r="AG55" s="178"/>
      <c r="AH55" s="181">
        <v>30081777.469999999</v>
      </c>
    </row>
    <row r="56" spans="1:35" ht="15" thickBot="1" x14ac:dyDescent="0.4">
      <c r="A56" s="229"/>
      <c r="B56" s="230"/>
      <c r="C56" s="230"/>
      <c r="D56" s="231" t="s">
        <v>141</v>
      </c>
      <c r="E56" s="232">
        <f>E53/C7</f>
        <v>16013.509255950506</v>
      </c>
      <c r="H56" s="224"/>
      <c r="I56" s="2" t="s">
        <v>110</v>
      </c>
      <c r="J56" s="56"/>
      <c r="K56" s="174">
        <f>+K53</f>
        <v>55206070.053807981</v>
      </c>
      <c r="O56" s="224"/>
      <c r="P56" s="2" t="s">
        <v>110</v>
      </c>
      <c r="Q56" s="56"/>
      <c r="R56" s="174">
        <f>+R53</f>
        <v>61596913.453807995</v>
      </c>
      <c r="W56" s="224"/>
      <c r="X56" s="2" t="s">
        <v>110</v>
      </c>
      <c r="Y56" s="56"/>
      <c r="Z56" s="174">
        <f>+Z53</f>
        <v>59455058.453807995</v>
      </c>
      <c r="AE56" s="224"/>
      <c r="AF56" s="2" t="s">
        <v>110</v>
      </c>
      <c r="AG56" s="56"/>
      <c r="AH56" s="174">
        <f>+AH53</f>
        <v>60484165.453807995</v>
      </c>
    </row>
    <row r="57" spans="1:35" x14ac:dyDescent="0.35">
      <c r="E57" s="193"/>
      <c r="H57" s="224"/>
      <c r="I57" s="2" t="s">
        <v>60</v>
      </c>
      <c r="J57" s="56"/>
      <c r="K57" s="183">
        <f>+K55-K56</f>
        <v>-25124292.583807983</v>
      </c>
      <c r="O57" s="224"/>
      <c r="P57" s="2" t="s">
        <v>60</v>
      </c>
      <c r="Q57" s="56"/>
      <c r="R57" s="183">
        <f>+R55-R56</f>
        <v>-31515135.983807996</v>
      </c>
      <c r="W57" s="224"/>
      <c r="X57" s="2" t="s">
        <v>60</v>
      </c>
      <c r="Y57" s="56"/>
      <c r="Z57" s="183">
        <f>+Z55-Z56</f>
        <v>-29373280.983807996</v>
      </c>
      <c r="AE57" s="224"/>
      <c r="AF57" s="2" t="s">
        <v>60</v>
      </c>
      <c r="AG57" s="56"/>
      <c r="AH57" s="183">
        <f>+AH55-AH56</f>
        <v>-30402387.983807996</v>
      </c>
    </row>
    <row r="58" spans="1:35" ht="15" thickBot="1" x14ac:dyDescent="0.4">
      <c r="E58" s="193"/>
      <c r="I58" s="2" t="s">
        <v>111</v>
      </c>
      <c r="J58" s="56"/>
      <c r="K58" s="184">
        <f>E29</f>
        <v>29940634.579999998</v>
      </c>
      <c r="L58" s="2" t="s">
        <v>119</v>
      </c>
      <c r="P58" s="2" t="s">
        <v>111</v>
      </c>
      <c r="Q58" s="56"/>
      <c r="R58" s="184">
        <f>K58</f>
        <v>29940634.579999998</v>
      </c>
      <c r="S58" s="2" t="s">
        <v>119</v>
      </c>
      <c r="X58" s="2" t="s">
        <v>111</v>
      </c>
      <c r="Y58" s="56"/>
      <c r="Z58" s="184">
        <f>K58</f>
        <v>29940634.579999998</v>
      </c>
      <c r="AA58" s="2" t="s">
        <v>119</v>
      </c>
      <c r="AF58" s="2" t="s">
        <v>111</v>
      </c>
      <c r="AG58" s="56"/>
      <c r="AH58" s="184">
        <f>Z58</f>
        <v>29940634.579999998</v>
      </c>
      <c r="AI58" s="2" t="s">
        <v>119</v>
      </c>
    </row>
    <row r="59" spans="1:35" ht="15" thickBot="1" x14ac:dyDescent="0.4">
      <c r="B59" s="239" t="s">
        <v>142</v>
      </c>
      <c r="C59" s="240"/>
      <c r="D59" s="241" t="s">
        <v>134</v>
      </c>
      <c r="E59" s="242">
        <v>133300000</v>
      </c>
      <c r="H59" s="224"/>
      <c r="I59" s="2" t="s">
        <v>112</v>
      </c>
      <c r="J59" s="56"/>
      <c r="K59" s="177">
        <f>+K57+K58</f>
        <v>4816341.9961920157</v>
      </c>
      <c r="P59" s="2" t="s">
        <v>112</v>
      </c>
      <c r="Q59" s="56"/>
      <c r="R59" s="177">
        <f>+R57+R58</f>
        <v>-1574501.4038079977</v>
      </c>
      <c r="X59" s="2" t="s">
        <v>112</v>
      </c>
      <c r="Y59" s="56"/>
      <c r="Z59" s="177">
        <f>+Z57+Z58</f>
        <v>567353.5961920023</v>
      </c>
      <c r="AF59" s="2" t="s">
        <v>112</v>
      </c>
      <c r="AG59" s="56"/>
      <c r="AH59" s="177">
        <f>+AH57+AH58</f>
        <v>-461753.4038079977</v>
      </c>
    </row>
    <row r="60" spans="1:35" ht="15" thickTop="1" x14ac:dyDescent="0.35">
      <c r="B60" s="270">
        <f>P31</f>
        <v>1025000</v>
      </c>
      <c r="C60" s="236"/>
      <c r="D60" s="237" t="s">
        <v>135</v>
      </c>
      <c r="E60" s="244">
        <f>23384789.48</f>
        <v>23384789.48</v>
      </c>
      <c r="H60" s="224"/>
      <c r="I60" s="56"/>
      <c r="J60" s="56"/>
      <c r="P60" s="56"/>
      <c r="Q60" s="56"/>
      <c r="X60" s="56"/>
      <c r="Y60" s="56"/>
      <c r="AF60" s="56"/>
      <c r="AG60" s="56"/>
    </row>
    <row r="61" spans="1:35" s="2" customFormat="1" ht="15" thickBot="1" x14ac:dyDescent="0.4">
      <c r="A61"/>
      <c r="B61" s="274" t="s">
        <v>150</v>
      </c>
      <c r="C61" s="236"/>
      <c r="D61" s="237" t="s">
        <v>136</v>
      </c>
      <c r="E61" s="244">
        <v>25000000</v>
      </c>
      <c r="F61" s="1"/>
      <c r="G61" s="3"/>
      <c r="H61" s="224"/>
      <c r="I61" s="56"/>
      <c r="J61" s="56"/>
      <c r="M61" s="1"/>
      <c r="N61" s="3"/>
      <c r="O61" s="1"/>
      <c r="P61" s="56"/>
      <c r="Q61" s="56"/>
      <c r="U61" s="1"/>
      <c r="V61" s="3"/>
      <c r="W61" s="1"/>
      <c r="X61" s="56"/>
      <c r="Y61" s="56"/>
      <c r="AC61" s="1"/>
      <c r="AD61" s="3"/>
      <c r="AE61" s="1"/>
      <c r="AF61" s="56"/>
      <c r="AG61" s="56"/>
    </row>
    <row r="62" spans="1:35" s="2" customFormat="1" ht="15" thickBot="1" x14ac:dyDescent="0.4">
      <c r="B62" s="243"/>
      <c r="C62" s="236"/>
      <c r="D62" s="237" t="s">
        <v>137</v>
      </c>
      <c r="E62" s="244">
        <f>E59-E60-E61</f>
        <v>84915210.519999996</v>
      </c>
      <c r="F62" s="1"/>
      <c r="G62" s="3"/>
      <c r="H62" s="238"/>
      <c r="I62" s="368" t="s">
        <v>65</v>
      </c>
      <c r="J62" s="369"/>
      <c r="K62" s="369"/>
      <c r="L62" s="370"/>
      <c r="M62" s="1"/>
      <c r="N62" s="3"/>
      <c r="O62" s="186"/>
      <c r="P62" s="368" t="s">
        <v>65</v>
      </c>
      <c r="Q62" s="369"/>
      <c r="R62" s="369"/>
      <c r="S62" s="370"/>
      <c r="U62" s="1"/>
      <c r="V62" s="3"/>
      <c r="W62" s="186"/>
      <c r="X62" s="368" t="s">
        <v>65</v>
      </c>
      <c r="Y62" s="369"/>
      <c r="Z62" s="369"/>
      <c r="AA62" s="370"/>
      <c r="AC62" s="1"/>
      <c r="AD62" s="3"/>
      <c r="AE62" s="186"/>
      <c r="AF62" s="368" t="s">
        <v>65</v>
      </c>
      <c r="AG62" s="369"/>
      <c r="AH62" s="369"/>
      <c r="AI62" s="370"/>
    </row>
    <row r="63" spans="1:35" s="2" customFormat="1" ht="15" thickBot="1" x14ac:dyDescent="0.4">
      <c r="B63" s="243"/>
      <c r="C63" s="236"/>
      <c r="D63" s="237"/>
      <c r="E63" s="244"/>
      <c r="F63" s="1"/>
      <c r="G63" s="3"/>
      <c r="H63" s="238"/>
      <c r="I63" s="56"/>
      <c r="J63" s="56"/>
      <c r="M63" s="1"/>
      <c r="N63" s="3"/>
      <c r="O63" s="186"/>
      <c r="P63" s="56"/>
      <c r="Q63" s="56"/>
      <c r="U63" s="1"/>
      <c r="V63" s="3"/>
      <c r="W63" s="186"/>
      <c r="X63" s="56"/>
      <c r="Y63" s="56"/>
      <c r="AC63" s="1"/>
      <c r="AD63" s="3"/>
      <c r="AE63" s="186"/>
      <c r="AF63" s="56"/>
      <c r="AG63" s="56"/>
    </row>
    <row r="64" spans="1:35" s="2" customFormat="1" ht="15" thickBot="1" x14ac:dyDescent="0.4">
      <c r="B64" s="243"/>
      <c r="C64" s="236"/>
      <c r="D64" s="237" t="s">
        <v>138</v>
      </c>
      <c r="E64" s="244">
        <v>90000000</v>
      </c>
      <c r="F64" s="1"/>
      <c r="G64" s="3"/>
      <c r="H64" s="238"/>
      <c r="I64" s="56"/>
      <c r="J64" s="56"/>
      <c r="L64" s="188" t="s">
        <v>66</v>
      </c>
      <c r="M64" s="1"/>
      <c r="N64" s="3"/>
      <c r="O64" s="186"/>
      <c r="P64" s="56"/>
      <c r="Q64" s="56"/>
      <c r="S64" s="188" t="s">
        <v>66</v>
      </c>
      <c r="U64" s="1"/>
      <c r="V64" s="3"/>
      <c r="W64" s="186"/>
      <c r="X64" s="56"/>
      <c r="Y64" s="56"/>
      <c r="AA64" s="188" t="s">
        <v>66</v>
      </c>
      <c r="AC64" s="1"/>
      <c r="AD64" s="3"/>
      <c r="AE64" s="186"/>
      <c r="AF64" s="56"/>
      <c r="AG64" s="56"/>
      <c r="AI64" s="188" t="s">
        <v>66</v>
      </c>
    </row>
    <row r="65" spans="1:35" s="2" customFormat="1" ht="15" thickBot="1" x14ac:dyDescent="0.4">
      <c r="B65" s="245"/>
      <c r="C65" s="246"/>
      <c r="D65" s="247" t="s">
        <v>145</v>
      </c>
      <c r="E65" s="248">
        <f>E64-E62</f>
        <v>5084789.4800000042</v>
      </c>
      <c r="F65" s="1"/>
      <c r="G65" s="3"/>
      <c r="H65" s="238"/>
      <c r="I65" s="56" t="s">
        <v>67</v>
      </c>
      <c r="J65" s="56"/>
      <c r="K65" s="30">
        <f>K59</f>
        <v>4816341.9961920157</v>
      </c>
      <c r="M65" s="1"/>
      <c r="N65" s="3"/>
      <c r="O65" s="186"/>
      <c r="P65" s="56" t="s">
        <v>67</v>
      </c>
      <c r="Q65" s="56"/>
      <c r="R65" s="30">
        <f>R59</f>
        <v>-1574501.4038079977</v>
      </c>
      <c r="U65" s="1"/>
      <c r="V65" s="3"/>
      <c r="W65" s="186"/>
      <c r="X65" s="56" t="s">
        <v>67</v>
      </c>
      <c r="Y65" s="56"/>
      <c r="Z65" s="30">
        <f>Z59</f>
        <v>567353.5961920023</v>
      </c>
      <c r="AC65" s="1"/>
      <c r="AD65" s="3"/>
      <c r="AE65" s="186"/>
      <c r="AF65" s="56" t="s">
        <v>67</v>
      </c>
      <c r="AG65" s="56"/>
      <c r="AH65" s="30">
        <f>AH59</f>
        <v>-461753.4038079977</v>
      </c>
    </row>
    <row r="66" spans="1:35" s="2" customFormat="1" x14ac:dyDescent="0.35">
      <c r="B66"/>
      <c r="C66"/>
      <c r="D66"/>
      <c r="E66"/>
      <c r="F66" s="1"/>
      <c r="G66" s="3"/>
      <c r="H66" s="186"/>
      <c r="I66" s="56" t="s">
        <v>68</v>
      </c>
      <c r="J66" s="56"/>
      <c r="K66" s="189">
        <v>0</v>
      </c>
      <c r="M66" s="1"/>
      <c r="N66" s="3"/>
      <c r="O66" s="186"/>
      <c r="P66" s="56" t="s">
        <v>68</v>
      </c>
      <c r="Q66" s="56"/>
      <c r="R66" s="189">
        <v>0</v>
      </c>
      <c r="U66" s="1"/>
      <c r="V66" s="3"/>
      <c r="W66" s="186"/>
      <c r="X66" s="56" t="s">
        <v>68</v>
      </c>
      <c r="Y66" s="56"/>
      <c r="Z66" s="189">
        <v>0</v>
      </c>
      <c r="AC66" s="1"/>
      <c r="AD66" s="3"/>
      <c r="AE66" s="186"/>
      <c r="AF66" s="56" t="s">
        <v>68</v>
      </c>
      <c r="AG66" s="56"/>
      <c r="AH66" s="189">
        <v>0</v>
      </c>
    </row>
    <row r="67" spans="1:35" s="2" customFormat="1" ht="15" thickBot="1" x14ac:dyDescent="0.4">
      <c r="B67"/>
      <c r="C67"/>
      <c r="D67"/>
      <c r="E67"/>
      <c r="F67" s="1"/>
      <c r="G67" s="3"/>
      <c r="H67" s="186"/>
      <c r="I67" s="56" t="s">
        <v>69</v>
      </c>
      <c r="J67" s="56"/>
      <c r="K67" s="192">
        <f>K65+K66</f>
        <v>4816341.9961920157</v>
      </c>
      <c r="M67" s="1"/>
      <c r="N67" s="3"/>
      <c r="O67" s="186"/>
      <c r="P67" s="56" t="s">
        <v>69</v>
      </c>
      <c r="Q67" s="56"/>
      <c r="R67" s="192">
        <f>R65+R66</f>
        <v>-1574501.4038079977</v>
      </c>
      <c r="U67" s="1"/>
      <c r="V67" s="3"/>
      <c r="W67" s="186"/>
      <c r="X67" s="56" t="s">
        <v>69</v>
      </c>
      <c r="Y67" s="56"/>
      <c r="Z67" s="192">
        <f>Z65+Z66</f>
        <v>567353.5961920023</v>
      </c>
      <c r="AC67" s="1"/>
      <c r="AD67" s="3"/>
      <c r="AE67" s="186"/>
      <c r="AF67" s="56" t="s">
        <v>69</v>
      </c>
      <c r="AG67" s="56"/>
      <c r="AH67" s="192">
        <f>AH65+AH66</f>
        <v>-461753.4038079977</v>
      </c>
    </row>
    <row r="68" spans="1:35" x14ac:dyDescent="0.35">
      <c r="A68" s="2"/>
      <c r="B68" s="13" t="s">
        <v>146</v>
      </c>
      <c r="C68" s="15"/>
      <c r="D68" s="249" t="s">
        <v>134</v>
      </c>
      <c r="E68" s="250">
        <v>133800000</v>
      </c>
      <c r="H68" s="186"/>
      <c r="I68" s="56"/>
      <c r="J68" s="56"/>
      <c r="O68" s="186"/>
      <c r="P68" s="56"/>
      <c r="Q68" s="56"/>
      <c r="W68" s="186"/>
      <c r="X68" s="56"/>
      <c r="Y68" s="56"/>
      <c r="AE68" s="186"/>
      <c r="AF68" s="56"/>
      <c r="AG68" s="56"/>
    </row>
    <row r="69" spans="1:35" x14ac:dyDescent="0.35">
      <c r="B69" s="271">
        <f>X21</f>
        <v>13800</v>
      </c>
      <c r="C69" s="252"/>
      <c r="D69" s="253" t="s">
        <v>135</v>
      </c>
      <c r="E69" s="254">
        <f>23384789.48</f>
        <v>23384789.48</v>
      </c>
      <c r="I69" s="2" t="s">
        <v>70</v>
      </c>
      <c r="P69" s="2" t="s">
        <v>70</v>
      </c>
      <c r="X69" s="2" t="s">
        <v>70</v>
      </c>
      <c r="AF69" s="2" t="s">
        <v>70</v>
      </c>
    </row>
    <row r="70" spans="1:35" x14ac:dyDescent="0.35">
      <c r="B70" s="278" t="s">
        <v>149</v>
      </c>
      <c r="C70" s="252"/>
      <c r="D70" s="253" t="s">
        <v>136</v>
      </c>
      <c r="E70" s="254">
        <v>25000000</v>
      </c>
      <c r="I70" s="2" t="s">
        <v>72</v>
      </c>
      <c r="K70" s="189">
        <v>0</v>
      </c>
      <c r="P70" s="2" t="s">
        <v>72</v>
      </c>
      <c r="R70" s="189">
        <v>0</v>
      </c>
      <c r="X70" s="2" t="s">
        <v>72</v>
      </c>
      <c r="Z70" s="189">
        <v>0</v>
      </c>
      <c r="AF70" s="2" t="s">
        <v>72</v>
      </c>
      <c r="AH70" s="189">
        <v>0</v>
      </c>
    </row>
    <row r="71" spans="1:35" s="2" customFormat="1" x14ac:dyDescent="0.35">
      <c r="A71"/>
      <c r="B71" s="251"/>
      <c r="C71" s="252"/>
      <c r="D71" s="253" t="s">
        <v>137</v>
      </c>
      <c r="E71" s="254">
        <f>E68-E69-E70</f>
        <v>85415210.519999996</v>
      </c>
      <c r="F71" s="1"/>
      <c r="G71" s="3"/>
      <c r="H71" s="1"/>
      <c r="I71" s="2" t="s">
        <v>74</v>
      </c>
      <c r="K71" s="189">
        <f>17366.31+1425.51</f>
        <v>18791.82</v>
      </c>
      <c r="M71" s="1"/>
      <c r="N71" s="3"/>
      <c r="O71" s="1"/>
      <c r="P71" s="2" t="s">
        <v>74</v>
      </c>
      <c r="R71" s="189">
        <f>17366.31+1425.51</f>
        <v>18791.82</v>
      </c>
      <c r="U71" s="1"/>
      <c r="V71" s="3"/>
      <c r="W71" s="1"/>
      <c r="X71" s="2" t="s">
        <v>74</v>
      </c>
      <c r="Z71" s="189">
        <f>17366.31+1425.51</f>
        <v>18791.82</v>
      </c>
      <c r="AC71" s="1"/>
      <c r="AD71" s="3"/>
      <c r="AE71" s="1"/>
      <c r="AF71" s="2" t="s">
        <v>74</v>
      </c>
      <c r="AH71" s="189">
        <f>17366.31+1425.51</f>
        <v>18791.82</v>
      </c>
    </row>
    <row r="72" spans="1:35" s="2" customFormat="1" ht="15" thickBot="1" x14ac:dyDescent="0.4">
      <c r="B72" s="251"/>
      <c r="C72" s="252"/>
      <c r="D72" s="253"/>
      <c r="E72" s="254"/>
      <c r="F72" s="1"/>
      <c r="G72" s="3"/>
      <c r="H72" s="186"/>
      <c r="I72" s="2" t="s">
        <v>75</v>
      </c>
      <c r="K72" s="192">
        <f>SUM(K70:K71)</f>
        <v>18791.82</v>
      </c>
      <c r="M72" s="1"/>
      <c r="N72" s="3"/>
      <c r="O72" s="186"/>
      <c r="P72" s="2" t="s">
        <v>75</v>
      </c>
      <c r="R72" s="192">
        <f>SUM(R70:R71)</f>
        <v>18791.82</v>
      </c>
      <c r="U72" s="1"/>
      <c r="V72" s="3"/>
      <c r="W72" s="186"/>
      <c r="X72" s="2" t="s">
        <v>75</v>
      </c>
      <c r="Z72" s="192">
        <f>SUM(Z70:Z71)</f>
        <v>18791.82</v>
      </c>
      <c r="AC72" s="1"/>
      <c r="AD72" s="3"/>
      <c r="AE72" s="186"/>
      <c r="AF72" s="2" t="s">
        <v>75</v>
      </c>
      <c r="AH72" s="192">
        <f>SUM(AH70:AH71)</f>
        <v>18791.82</v>
      </c>
    </row>
    <row r="73" spans="1:35" s="2" customFormat="1" x14ac:dyDescent="0.35">
      <c r="B73" s="251"/>
      <c r="C73" s="252"/>
      <c r="D73" s="253" t="s">
        <v>138</v>
      </c>
      <c r="E73" s="254">
        <v>90000000</v>
      </c>
      <c r="F73" s="1"/>
      <c r="G73" s="3"/>
      <c r="H73" s="186"/>
      <c r="K73" s="56"/>
      <c r="M73" s="1"/>
      <c r="N73" s="3"/>
      <c r="O73" s="186"/>
      <c r="R73" s="56"/>
      <c r="U73" s="1"/>
      <c r="V73" s="3"/>
      <c r="W73" s="186"/>
      <c r="Z73" s="56"/>
      <c r="AC73" s="1"/>
      <c r="AD73" s="3"/>
      <c r="AE73" s="186"/>
      <c r="AH73" s="56"/>
    </row>
    <row r="74" spans="1:35" ht="15" thickBot="1" x14ac:dyDescent="0.4">
      <c r="A74" s="2"/>
      <c r="B74" s="255"/>
      <c r="C74" s="256"/>
      <c r="D74" s="257" t="s">
        <v>145</v>
      </c>
      <c r="E74" s="258">
        <f>E73-E71</f>
        <v>4584789.4800000042</v>
      </c>
      <c r="H74" s="186"/>
      <c r="I74" s="2" t="s">
        <v>76</v>
      </c>
      <c r="O74" s="186"/>
      <c r="P74" s="2" t="s">
        <v>76</v>
      </c>
      <c r="W74" s="186"/>
      <c r="X74" s="2" t="s">
        <v>76</v>
      </c>
      <c r="AE74" s="186"/>
      <c r="AF74" s="2" t="s">
        <v>76</v>
      </c>
    </row>
    <row r="75" spans="1:35" x14ac:dyDescent="0.35">
      <c r="B75" s="2"/>
      <c r="C75" s="2"/>
      <c r="D75" s="2"/>
      <c r="E75" s="2"/>
      <c r="I75" s="2" t="s">
        <v>77</v>
      </c>
      <c r="K75" s="189">
        <v>0</v>
      </c>
      <c r="L75" s="2" t="s">
        <v>106</v>
      </c>
      <c r="P75" s="2" t="s">
        <v>77</v>
      </c>
      <c r="R75" s="189">
        <v>0</v>
      </c>
      <c r="S75" s="2" t="s">
        <v>106</v>
      </c>
      <c r="X75" s="2" t="s">
        <v>77</v>
      </c>
      <c r="Z75" s="189">
        <v>0</v>
      </c>
      <c r="AA75" s="2" t="s">
        <v>106</v>
      </c>
      <c r="AF75" s="2" t="s">
        <v>77</v>
      </c>
      <c r="AH75" s="189">
        <v>0</v>
      </c>
      <c r="AI75" s="2" t="s">
        <v>106</v>
      </c>
    </row>
    <row r="76" spans="1:35" ht="15" thickBot="1" x14ac:dyDescent="0.4">
      <c r="B76" s="2"/>
      <c r="C76" s="2"/>
      <c r="D76" s="2"/>
      <c r="E76" s="30"/>
      <c r="I76" s="2" t="s">
        <v>79</v>
      </c>
      <c r="K76" s="189">
        <v>0</v>
      </c>
      <c r="L76" s="2" t="s">
        <v>107</v>
      </c>
      <c r="P76" s="2" t="s">
        <v>79</v>
      </c>
      <c r="R76" s="189">
        <v>0</v>
      </c>
      <c r="S76" s="2" t="s">
        <v>107</v>
      </c>
      <c r="X76" s="2" t="s">
        <v>79</v>
      </c>
      <c r="Z76" s="189">
        <v>0</v>
      </c>
      <c r="AA76" s="2" t="s">
        <v>107</v>
      </c>
      <c r="AF76" s="2" t="s">
        <v>79</v>
      </c>
      <c r="AH76" s="189">
        <v>0</v>
      </c>
      <c r="AI76" s="2" t="s">
        <v>107</v>
      </c>
    </row>
    <row r="77" spans="1:35" x14ac:dyDescent="0.35">
      <c r="B77" s="259" t="s">
        <v>148</v>
      </c>
      <c r="C77" s="260"/>
      <c r="D77" s="261" t="s">
        <v>134</v>
      </c>
      <c r="E77" s="262">
        <v>133300000</v>
      </c>
      <c r="I77" s="2" t="s">
        <v>81</v>
      </c>
      <c r="K77" s="189">
        <v>0</v>
      </c>
      <c r="L77" s="2" t="s">
        <v>82</v>
      </c>
      <c r="P77" s="2" t="s">
        <v>81</v>
      </c>
      <c r="R77" s="189">
        <v>0</v>
      </c>
      <c r="S77" s="2" t="s">
        <v>82</v>
      </c>
      <c r="X77" s="2" t="s">
        <v>81</v>
      </c>
      <c r="Z77" s="189">
        <v>0</v>
      </c>
      <c r="AA77" s="2" t="s">
        <v>82</v>
      </c>
      <c r="AF77" s="2" t="s">
        <v>81</v>
      </c>
      <c r="AH77" s="189">
        <v>0</v>
      </c>
      <c r="AI77" s="2" t="s">
        <v>82</v>
      </c>
    </row>
    <row r="78" spans="1:35" x14ac:dyDescent="0.35">
      <c r="B78" s="272">
        <f>AF31</f>
        <v>513200</v>
      </c>
      <c r="C78" s="264"/>
      <c r="D78" s="265" t="s">
        <v>135</v>
      </c>
      <c r="E78" s="266">
        <f>23384789.48</f>
        <v>23384789.48</v>
      </c>
      <c r="I78" s="2" t="s">
        <v>83</v>
      </c>
      <c r="K78" s="189">
        <v>0</v>
      </c>
      <c r="P78" s="2" t="s">
        <v>83</v>
      </c>
      <c r="R78" s="189">
        <v>0</v>
      </c>
      <c r="X78" s="2" t="s">
        <v>83</v>
      </c>
      <c r="Z78" s="189">
        <v>0</v>
      </c>
      <c r="AF78" s="2" t="s">
        <v>83</v>
      </c>
      <c r="AH78" s="189">
        <v>0</v>
      </c>
    </row>
    <row r="79" spans="1:35" x14ac:dyDescent="0.35">
      <c r="B79" s="272">
        <f>AF21</f>
        <v>6750</v>
      </c>
      <c r="C79" s="264"/>
      <c r="D79" s="265" t="s">
        <v>136</v>
      </c>
      <c r="E79" s="266">
        <v>25000000</v>
      </c>
      <c r="H79" s="1" t="s">
        <v>122</v>
      </c>
      <c r="I79" s="2" t="s">
        <v>84</v>
      </c>
      <c r="K79" s="190">
        <f>K95</f>
        <v>836072</v>
      </c>
      <c r="L79" s="190"/>
      <c r="O79" s="1" t="s">
        <v>122</v>
      </c>
      <c r="P79" s="2" t="s">
        <v>84</v>
      </c>
      <c r="R79" s="190">
        <f>R95</f>
        <v>836072</v>
      </c>
      <c r="S79" s="190"/>
      <c r="W79" s="1" t="s">
        <v>122</v>
      </c>
      <c r="X79" s="2" t="s">
        <v>84</v>
      </c>
      <c r="Z79" s="190">
        <f>Z95</f>
        <v>836072</v>
      </c>
      <c r="AA79" s="190"/>
      <c r="AE79" s="1" t="s">
        <v>122</v>
      </c>
      <c r="AF79" s="2" t="s">
        <v>84</v>
      </c>
      <c r="AH79" s="190">
        <f>AH95</f>
        <v>836072</v>
      </c>
      <c r="AI79" s="190"/>
    </row>
    <row r="80" spans="1:35" ht="15" thickBot="1" x14ac:dyDescent="0.4">
      <c r="B80" s="273" t="s">
        <v>150</v>
      </c>
      <c r="C80" s="264"/>
      <c r="D80" s="265" t="s">
        <v>137</v>
      </c>
      <c r="E80" s="266">
        <f>E77-E78-E79</f>
        <v>84915210.519999996</v>
      </c>
      <c r="I80" s="2" t="s">
        <v>85</v>
      </c>
      <c r="K80" s="192">
        <f>SUM(K75:K79)</f>
        <v>836072</v>
      </c>
      <c r="L80" s="190"/>
      <c r="P80" s="2" t="s">
        <v>85</v>
      </c>
      <c r="R80" s="192">
        <f>SUM(R75:R79)</f>
        <v>836072</v>
      </c>
      <c r="S80" s="190"/>
      <c r="X80" s="2" t="s">
        <v>85</v>
      </c>
      <c r="Z80" s="192">
        <f>SUM(Z75:Z79)</f>
        <v>836072</v>
      </c>
      <c r="AA80" s="190"/>
      <c r="AF80" s="2" t="s">
        <v>85</v>
      </c>
      <c r="AH80" s="192">
        <f>SUM(AH75:AH79)</f>
        <v>836072</v>
      </c>
      <c r="AI80" s="190"/>
    </row>
    <row r="81" spans="2:35" x14ac:dyDescent="0.35">
      <c r="B81" s="273" t="s">
        <v>149</v>
      </c>
      <c r="C81" s="264"/>
      <c r="D81" s="265"/>
      <c r="E81" s="266"/>
      <c r="L81" s="190"/>
      <c r="S81" s="190"/>
      <c r="AA81" s="190"/>
      <c r="AI81" s="190"/>
    </row>
    <row r="82" spans="2:35" x14ac:dyDescent="0.35">
      <c r="B82" s="263"/>
      <c r="C82" s="264"/>
      <c r="D82" s="265" t="s">
        <v>138</v>
      </c>
      <c r="E82" s="266">
        <v>90000000</v>
      </c>
      <c r="I82" s="2" t="s">
        <v>86</v>
      </c>
      <c r="K82" s="195">
        <f>K67+K72+K80</f>
        <v>5671205.816192016</v>
      </c>
      <c r="P82" s="2" t="s">
        <v>86</v>
      </c>
      <c r="R82" s="195">
        <f>R67+R72+R80</f>
        <v>-719637.58380799764</v>
      </c>
      <c r="X82" s="2" t="s">
        <v>86</v>
      </c>
      <c r="Z82" s="195">
        <f>Z67+Z72+Z80</f>
        <v>1422217.4161920021</v>
      </c>
      <c r="AF82" s="2" t="s">
        <v>86</v>
      </c>
      <c r="AH82" s="195">
        <f>AH67+AH72+AH80</f>
        <v>393110.4161920023</v>
      </c>
    </row>
    <row r="83" spans="2:35" ht="15" thickBot="1" x14ac:dyDescent="0.4">
      <c r="B83" s="267"/>
      <c r="C83" s="101"/>
      <c r="D83" s="268" t="s">
        <v>145</v>
      </c>
      <c r="E83" s="269">
        <f>E82-E80</f>
        <v>5084789.4800000042</v>
      </c>
      <c r="K83" s="196"/>
      <c r="R83" s="196"/>
      <c r="Z83" s="196"/>
      <c r="AH83" s="196"/>
    </row>
    <row r="84" spans="2:35" x14ac:dyDescent="0.35">
      <c r="B84" s="2"/>
      <c r="C84" s="2"/>
      <c r="D84" s="2"/>
      <c r="E84" s="2"/>
      <c r="I84" s="2" t="s">
        <v>87</v>
      </c>
      <c r="K84" s="195">
        <v>0</v>
      </c>
      <c r="P84" s="2" t="s">
        <v>87</v>
      </c>
      <c r="R84" s="195">
        <v>0</v>
      </c>
      <c r="X84" s="2" t="s">
        <v>87</v>
      </c>
      <c r="Z84" s="195">
        <v>0</v>
      </c>
      <c r="AF84" s="2" t="s">
        <v>87</v>
      </c>
      <c r="AH84" s="195">
        <v>0</v>
      </c>
    </row>
    <row r="85" spans="2:35" x14ac:dyDescent="0.35">
      <c r="B85" s="2"/>
      <c r="C85" s="2"/>
      <c r="D85" s="2"/>
      <c r="E85" s="2"/>
    </row>
    <row r="86" spans="2:35" ht="15" thickBot="1" x14ac:dyDescent="0.4">
      <c r="B86" s="2"/>
      <c r="C86" s="2"/>
      <c r="D86" s="2"/>
      <c r="E86" s="56">
        <f>E89/C7/2</f>
        <v>6757.4931880108988</v>
      </c>
      <c r="I86" s="2" t="s">
        <v>88</v>
      </c>
      <c r="K86" s="197">
        <f>K82-K84</f>
        <v>5671205.816192016</v>
      </c>
      <c r="P86" s="2" t="s">
        <v>88</v>
      </c>
      <c r="R86" s="197">
        <f>R82-R84</f>
        <v>-719637.58380799764</v>
      </c>
      <c r="X86" s="2" t="s">
        <v>88</v>
      </c>
      <c r="Z86" s="197">
        <f>Z82-Z84</f>
        <v>1422217.4161920021</v>
      </c>
      <c r="AF86" s="2" t="s">
        <v>88</v>
      </c>
      <c r="AH86" s="197">
        <f>AH82-AH84</f>
        <v>393110.4161920023</v>
      </c>
    </row>
    <row r="87" spans="2:35" ht="15" thickTop="1" x14ac:dyDescent="0.35">
      <c r="E87" s="194">
        <f>E89/C8/2</f>
        <v>513245.03311258275</v>
      </c>
    </row>
    <row r="89" spans="2:35" x14ac:dyDescent="0.35">
      <c r="E89">
        <f>29800000-5000000</f>
        <v>24800000</v>
      </c>
      <c r="I89" s="371" t="s">
        <v>31</v>
      </c>
      <c r="J89" s="371"/>
      <c r="P89" s="371" t="s">
        <v>31</v>
      </c>
      <c r="Q89" s="371"/>
      <c r="X89" s="371" t="s">
        <v>31</v>
      </c>
      <c r="Y89" s="371"/>
      <c r="AF89" s="371" t="s">
        <v>31</v>
      </c>
      <c r="AG89" s="371"/>
    </row>
    <row r="90" spans="2:35" ht="21" customHeight="1" thickBot="1" x14ac:dyDescent="0.4">
      <c r="J90" s="275" t="s">
        <v>33</v>
      </c>
      <c r="K90" s="199">
        <f>C18</f>
        <v>-3377592.5</v>
      </c>
      <c r="Q90" s="275" t="s">
        <v>33</v>
      </c>
      <c r="R90" s="199">
        <v>-3377592.5</v>
      </c>
      <c r="Y90" s="275" t="s">
        <v>33</v>
      </c>
      <c r="Z90" s="199">
        <v>-3377592.5</v>
      </c>
      <c r="AG90" s="275" t="s">
        <v>33</v>
      </c>
      <c r="AH90" s="199">
        <v>-3377592.5</v>
      </c>
    </row>
    <row r="91" spans="2:35" ht="21.75" customHeight="1" x14ac:dyDescent="0.35">
      <c r="H91" s="374" t="s">
        <v>89</v>
      </c>
      <c r="I91" s="275" t="s">
        <v>120</v>
      </c>
      <c r="J91" s="275" t="s">
        <v>36</v>
      </c>
      <c r="K91" s="199">
        <f t="shared" ref="K91:K94" si="8">C19</f>
        <v>-847675</v>
      </c>
      <c r="L91" s="2" t="s">
        <v>37</v>
      </c>
      <c r="O91" s="374" t="s">
        <v>89</v>
      </c>
      <c r="P91" s="275" t="s">
        <v>120</v>
      </c>
      <c r="Q91" s="275" t="s">
        <v>36</v>
      </c>
      <c r="R91" s="199">
        <v>-847675</v>
      </c>
      <c r="S91" s="2" t="s">
        <v>37</v>
      </c>
      <c r="W91" s="374" t="s">
        <v>89</v>
      </c>
      <c r="X91" s="275" t="s">
        <v>120</v>
      </c>
      <c r="Y91" s="275" t="s">
        <v>36</v>
      </c>
      <c r="Z91" s="199">
        <v>-847675</v>
      </c>
      <c r="AA91" s="2" t="s">
        <v>37</v>
      </c>
      <c r="AE91" s="374" t="s">
        <v>89</v>
      </c>
      <c r="AF91" s="275" t="s">
        <v>120</v>
      </c>
      <c r="AG91" s="275" t="s">
        <v>36</v>
      </c>
      <c r="AH91" s="199">
        <v>-847675</v>
      </c>
      <c r="AI91" s="2" t="s">
        <v>37</v>
      </c>
    </row>
    <row r="92" spans="2:35" x14ac:dyDescent="0.35">
      <c r="H92" s="375"/>
      <c r="I92" s="275" t="s">
        <v>120</v>
      </c>
      <c r="J92" s="275" t="s">
        <v>38</v>
      </c>
      <c r="K92" s="199">
        <f t="shared" si="8"/>
        <v>-1585.5</v>
      </c>
      <c r="L92" s="2" t="s">
        <v>37</v>
      </c>
      <c r="O92" s="375"/>
      <c r="P92" s="275" t="s">
        <v>120</v>
      </c>
      <c r="Q92" s="275" t="s">
        <v>38</v>
      </c>
      <c r="R92" s="199">
        <v>-1585.5</v>
      </c>
      <c r="S92" s="2" t="s">
        <v>37</v>
      </c>
      <c r="W92" s="375"/>
      <c r="X92" s="275" t="s">
        <v>120</v>
      </c>
      <c r="Y92" s="275" t="s">
        <v>38</v>
      </c>
      <c r="Z92" s="199">
        <v>-1585.5</v>
      </c>
      <c r="AA92" s="2" t="s">
        <v>37</v>
      </c>
      <c r="AE92" s="375"/>
      <c r="AF92" s="275" t="s">
        <v>120</v>
      </c>
      <c r="AG92" s="275" t="s">
        <v>38</v>
      </c>
      <c r="AH92" s="199">
        <v>-1585.5</v>
      </c>
      <c r="AI92" s="2" t="s">
        <v>37</v>
      </c>
    </row>
    <row r="93" spans="2:35" ht="15" thickBot="1" x14ac:dyDescent="0.4">
      <c r="H93" s="376"/>
      <c r="I93" s="275" t="s">
        <v>92</v>
      </c>
      <c r="J93" s="275" t="s">
        <v>39</v>
      </c>
      <c r="K93" s="199">
        <f t="shared" si="8"/>
        <v>5534565</v>
      </c>
      <c r="L93" s="2" t="s">
        <v>121</v>
      </c>
      <c r="O93" s="376"/>
      <c r="P93" s="275" t="s">
        <v>92</v>
      </c>
      <c r="Q93" s="275" t="s">
        <v>39</v>
      </c>
      <c r="R93" s="199">
        <v>5534565</v>
      </c>
      <c r="S93" s="2" t="s">
        <v>121</v>
      </c>
      <c r="W93" s="376"/>
      <c r="X93" s="275" t="s">
        <v>92</v>
      </c>
      <c r="Y93" s="275" t="s">
        <v>39</v>
      </c>
      <c r="Z93" s="199">
        <v>5534565</v>
      </c>
      <c r="AA93" s="2" t="s">
        <v>121</v>
      </c>
      <c r="AE93" s="376"/>
      <c r="AF93" s="275" t="s">
        <v>92</v>
      </c>
      <c r="AG93" s="275" t="s">
        <v>39</v>
      </c>
      <c r="AH93" s="199">
        <v>5534565</v>
      </c>
      <c r="AI93" s="2" t="s">
        <v>121</v>
      </c>
    </row>
    <row r="94" spans="2:35" x14ac:dyDescent="0.35">
      <c r="I94" s="275" t="s">
        <v>120</v>
      </c>
      <c r="J94" s="275" t="s">
        <v>103</v>
      </c>
      <c r="K94" s="199">
        <f t="shared" si="8"/>
        <v>-471640</v>
      </c>
      <c r="P94" s="275" t="s">
        <v>120</v>
      </c>
      <c r="Q94" s="275" t="s">
        <v>103</v>
      </c>
      <c r="R94" s="199">
        <v>-471640</v>
      </c>
      <c r="X94" s="275" t="s">
        <v>120</v>
      </c>
      <c r="Y94" s="275" t="s">
        <v>103</v>
      </c>
      <c r="Z94" s="199">
        <v>-471640</v>
      </c>
      <c r="AF94" s="275" t="s">
        <v>120</v>
      </c>
      <c r="AG94" s="275" t="s">
        <v>103</v>
      </c>
      <c r="AH94" s="199">
        <v>-471640</v>
      </c>
    </row>
    <row r="95" spans="2:35" x14ac:dyDescent="0.35">
      <c r="J95" s="275" t="s">
        <v>41</v>
      </c>
      <c r="K95" s="200">
        <f>SUM(K90:K94)</f>
        <v>836072</v>
      </c>
      <c r="L95" s="2" t="str">
        <f>B3</f>
        <v>Date as of : 12.07.2020</v>
      </c>
      <c r="Q95" s="275" t="s">
        <v>41</v>
      </c>
      <c r="R95" s="200">
        <f>SUM(R90:R94)</f>
        <v>836072</v>
      </c>
      <c r="S95" s="2">
        <f>K2</f>
        <v>0</v>
      </c>
      <c r="Y95" s="275" t="s">
        <v>41</v>
      </c>
      <c r="Z95" s="200">
        <f>SUM(Z90:Z94)</f>
        <v>836072</v>
      </c>
      <c r="AA95" s="2">
        <f>Q3</f>
        <v>0</v>
      </c>
      <c r="AG95" s="275" t="s">
        <v>41</v>
      </c>
      <c r="AH95" s="200">
        <f>SUM(AH90:AH94)</f>
        <v>836072</v>
      </c>
    </row>
    <row r="98" spans="1:34" ht="15" thickBot="1" x14ac:dyDescent="0.4">
      <c r="R98" s="235"/>
      <c r="Z98" s="235"/>
      <c r="AH98" s="235"/>
    </row>
    <row r="99" spans="1:34" ht="15" thickBot="1" x14ac:dyDescent="0.4">
      <c r="I99" s="333" t="s">
        <v>123</v>
      </c>
      <c r="J99" s="334"/>
      <c r="P99" s="333" t="s">
        <v>123</v>
      </c>
      <c r="Q99" s="334"/>
      <c r="X99" s="333" t="s">
        <v>123</v>
      </c>
      <c r="Y99" s="334"/>
      <c r="AF99" s="333" t="s">
        <v>123</v>
      </c>
      <c r="AG99" s="334"/>
    </row>
    <row r="111" spans="1:34" s="2" customFormat="1" x14ac:dyDescent="0.35">
      <c r="A111"/>
      <c r="B111"/>
      <c r="C111"/>
      <c r="D111"/>
      <c r="E111"/>
      <c r="F111" s="1"/>
      <c r="G111" s="3"/>
      <c r="H111" s="1"/>
      <c r="M111" s="1"/>
      <c r="N111" s="3"/>
      <c r="O111" s="1"/>
      <c r="U111" s="1"/>
      <c r="V111" s="3"/>
      <c r="W111" s="1"/>
      <c r="AC111" s="1"/>
      <c r="AD111" s="3"/>
      <c r="AE111" s="1"/>
    </row>
    <row r="112" spans="1:34" s="2" customFormat="1" x14ac:dyDescent="0.35">
      <c r="B112"/>
      <c r="C112"/>
      <c r="D112"/>
      <c r="E112"/>
      <c r="F112" s="1"/>
      <c r="G112" s="3"/>
      <c r="H112" s="1"/>
      <c r="M112" s="1"/>
      <c r="N112" s="3"/>
      <c r="O112" s="1"/>
      <c r="U112" s="1"/>
      <c r="V112" s="3"/>
      <c r="W112" s="1"/>
      <c r="AC112" s="1"/>
      <c r="AD112" s="3"/>
      <c r="AE112" s="1"/>
    </row>
    <row r="113" spans="1:33" s="2" customFormat="1" ht="15" thickBot="1" x14ac:dyDescent="0.4">
      <c r="B113"/>
      <c r="C113"/>
      <c r="D113"/>
      <c r="E113"/>
      <c r="F113" s="1"/>
      <c r="G113" s="3"/>
      <c r="H113" s="1"/>
      <c r="M113" s="1"/>
      <c r="N113" s="3"/>
      <c r="O113" s="1"/>
      <c r="U113" s="1"/>
      <c r="V113" s="3"/>
      <c r="W113" s="1"/>
      <c r="AC113" s="1"/>
      <c r="AD113" s="3"/>
      <c r="AE113" s="1"/>
    </row>
    <row r="114" spans="1:33" s="2" customFormat="1" ht="15" thickBot="1" x14ac:dyDescent="0.4">
      <c r="B114"/>
      <c r="C114"/>
      <c r="D114"/>
      <c r="E114"/>
      <c r="F114" s="1"/>
      <c r="G114" s="3"/>
      <c r="H114" s="1"/>
      <c r="I114" s="333" t="s">
        <v>36</v>
      </c>
      <c r="J114" s="334"/>
      <c r="M114" s="1"/>
      <c r="N114" s="3"/>
      <c r="O114" s="1"/>
      <c r="P114" s="333" t="s">
        <v>36</v>
      </c>
      <c r="Q114" s="334"/>
      <c r="U114" s="1"/>
      <c r="V114" s="3"/>
      <c r="W114" s="1"/>
      <c r="X114" s="333" t="s">
        <v>36</v>
      </c>
      <c r="Y114" s="334"/>
      <c r="AC114" s="1"/>
      <c r="AD114" s="3"/>
      <c r="AE114" s="1"/>
      <c r="AF114" s="333" t="s">
        <v>36</v>
      </c>
      <c r="AG114" s="334"/>
    </row>
    <row r="115" spans="1:33" s="2" customFormat="1" x14ac:dyDescent="0.35">
      <c r="B115"/>
      <c r="C115"/>
      <c r="D115"/>
      <c r="E115"/>
      <c r="F115" s="1"/>
      <c r="G115" s="3"/>
      <c r="H115" s="1"/>
      <c r="M115" s="1"/>
      <c r="N115" s="3"/>
      <c r="O115" s="1"/>
      <c r="U115" s="1"/>
      <c r="V115" s="3"/>
      <c r="W115" s="1"/>
      <c r="AC115" s="1"/>
      <c r="AD115" s="3"/>
      <c r="AE115" s="1"/>
    </row>
    <row r="116" spans="1:33" x14ac:dyDescent="0.35">
      <c r="A116" s="2"/>
    </row>
    <row r="128" spans="1:33" x14ac:dyDescent="0.35">
      <c r="G128"/>
      <c r="N128"/>
      <c r="V128"/>
      <c r="AD128"/>
    </row>
    <row r="129" spans="7:33" x14ac:dyDescent="0.35">
      <c r="G129"/>
      <c r="N129"/>
      <c r="V129"/>
      <c r="AD129"/>
    </row>
    <row r="130" spans="7:33" x14ac:dyDescent="0.35">
      <c r="G130"/>
      <c r="N130"/>
      <c r="V130"/>
      <c r="AD130"/>
    </row>
    <row r="131" spans="7:33" x14ac:dyDescent="0.35">
      <c r="G131"/>
      <c r="N131"/>
      <c r="V131"/>
      <c r="AD131"/>
    </row>
    <row r="132" spans="7:33" x14ac:dyDescent="0.35">
      <c r="G132"/>
      <c r="N132"/>
      <c r="V132"/>
      <c r="AD132"/>
    </row>
    <row r="133" spans="7:33" ht="15" thickBot="1" x14ac:dyDescent="0.4">
      <c r="G133"/>
      <c r="N133"/>
      <c r="V133"/>
      <c r="AD133"/>
    </row>
    <row r="134" spans="7:33" ht="15" thickBot="1" x14ac:dyDescent="0.4">
      <c r="G134"/>
      <c r="I134" s="333" t="s">
        <v>95</v>
      </c>
      <c r="J134" s="334"/>
      <c r="N134"/>
      <c r="P134" s="333" t="s">
        <v>95</v>
      </c>
      <c r="Q134" s="334"/>
      <c r="V134"/>
      <c r="X134" s="333" t="s">
        <v>95</v>
      </c>
      <c r="Y134" s="334"/>
      <c r="AD134"/>
      <c r="AF134" s="333" t="s">
        <v>95</v>
      </c>
      <c r="AG134" s="334"/>
    </row>
    <row r="135" spans="7:33" x14ac:dyDescent="0.35">
      <c r="G135"/>
      <c r="N135"/>
      <c r="V135"/>
      <c r="AD135"/>
    </row>
    <row r="136" spans="7:33" x14ac:dyDescent="0.35">
      <c r="G136"/>
      <c r="N136"/>
      <c r="V136"/>
      <c r="AD136"/>
    </row>
    <row r="156" spans="1:33" ht="15" thickBot="1" x14ac:dyDescent="0.4"/>
    <row r="157" spans="1:33" s="2" customFormat="1" ht="15" thickBot="1" x14ac:dyDescent="0.4">
      <c r="A157"/>
      <c r="B157"/>
      <c r="C157"/>
      <c r="D157"/>
      <c r="E157"/>
      <c r="F157" s="1"/>
      <c r="G157" s="3"/>
      <c r="H157" s="1"/>
      <c r="I157" s="333" t="s">
        <v>94</v>
      </c>
      <c r="J157" s="334"/>
      <c r="M157" s="1"/>
      <c r="N157" s="3"/>
      <c r="O157" s="1"/>
      <c r="P157" s="333" t="s">
        <v>94</v>
      </c>
      <c r="Q157" s="334"/>
      <c r="U157" s="1"/>
      <c r="V157" s="3"/>
      <c r="W157" s="1"/>
      <c r="X157" s="333" t="s">
        <v>94</v>
      </c>
      <c r="Y157" s="334"/>
      <c r="AC157" s="1"/>
      <c r="AD157" s="3"/>
      <c r="AE157" s="1"/>
      <c r="AF157" s="333" t="s">
        <v>94</v>
      </c>
      <c r="AG157" s="334"/>
    </row>
    <row r="158" spans="1:33" s="2" customFormat="1" x14ac:dyDescent="0.35">
      <c r="B158"/>
      <c r="C158"/>
      <c r="D158"/>
      <c r="E158"/>
      <c r="F158" s="1"/>
      <c r="G158" s="3"/>
      <c r="H158" s="1"/>
      <c r="M158" s="1"/>
      <c r="N158" s="3"/>
      <c r="O158" s="1"/>
      <c r="U158" s="1"/>
      <c r="V158" s="3"/>
      <c r="W158" s="1"/>
      <c r="AC158" s="1"/>
      <c r="AD158" s="3"/>
      <c r="AE158" s="1"/>
    </row>
    <row r="159" spans="1:33" x14ac:dyDescent="0.35">
      <c r="A159" s="2"/>
    </row>
    <row r="188" spans="9:33" ht="15" thickBot="1" x14ac:dyDescent="0.4"/>
    <row r="189" spans="9:33" ht="15" thickBot="1" x14ac:dyDescent="0.4">
      <c r="I189" s="333" t="s">
        <v>103</v>
      </c>
      <c r="J189" s="334"/>
      <c r="P189" s="333" t="s">
        <v>103</v>
      </c>
      <c r="Q189" s="334"/>
      <c r="X189" s="333" t="s">
        <v>103</v>
      </c>
      <c r="Y189" s="334"/>
      <c r="AF189" s="333" t="s">
        <v>103</v>
      </c>
      <c r="AG189" s="334"/>
    </row>
    <row r="205" spans="2:35" s="1" customFormat="1" x14ac:dyDescent="0.35">
      <c r="B205"/>
      <c r="C205"/>
      <c r="D205"/>
      <c r="E205"/>
      <c r="G205" s="3"/>
      <c r="I205" s="2"/>
      <c r="J205" s="2"/>
      <c r="K205" s="2"/>
      <c r="L205" s="2"/>
      <c r="N205" s="3"/>
      <c r="P205" s="2"/>
      <c r="Q205" s="2"/>
      <c r="R205" s="2"/>
      <c r="S205" s="2"/>
      <c r="V205" s="3"/>
      <c r="X205" s="2"/>
      <c r="Y205" s="2"/>
      <c r="Z205" s="2"/>
      <c r="AA205" s="2"/>
      <c r="AD205" s="3"/>
      <c r="AF205" s="2"/>
      <c r="AG205" s="2"/>
      <c r="AH205" s="2"/>
      <c r="AI205" s="2"/>
    </row>
    <row r="206" spans="2:35" s="1" customFormat="1" x14ac:dyDescent="0.35">
      <c r="B206"/>
      <c r="C206"/>
      <c r="D206"/>
      <c r="E206"/>
      <c r="G206" s="3"/>
      <c r="I206" s="2"/>
      <c r="J206" s="2"/>
      <c r="K206" s="2"/>
      <c r="L206" s="2"/>
      <c r="N206" s="3"/>
      <c r="P206" s="2"/>
      <c r="Q206" s="2"/>
      <c r="R206" s="2"/>
      <c r="S206" s="2"/>
      <c r="V206" s="3"/>
      <c r="X206" s="2"/>
      <c r="Y206" s="2"/>
      <c r="Z206" s="2"/>
      <c r="AA206" s="2"/>
      <c r="AD206" s="3"/>
      <c r="AF206" s="2"/>
      <c r="AG206" s="2"/>
      <c r="AH206" s="2"/>
      <c r="AI206" s="2"/>
    </row>
    <row r="226" spans="2:35" x14ac:dyDescent="0.35">
      <c r="F226"/>
      <c r="M226"/>
      <c r="U226"/>
      <c r="AC226"/>
    </row>
    <row r="229" spans="2:35" s="3" customFormat="1" x14ac:dyDescent="0.35">
      <c r="B229"/>
      <c r="C229"/>
      <c r="D229"/>
      <c r="E229"/>
      <c r="F229" s="1"/>
      <c r="H229" s="1"/>
      <c r="I229" s="2"/>
      <c r="J229" s="2"/>
      <c r="K229" s="2"/>
      <c r="L229" s="2"/>
      <c r="M229" s="1"/>
      <c r="O229" s="1"/>
      <c r="P229" s="2"/>
      <c r="Q229" s="2"/>
      <c r="R229" s="2"/>
      <c r="S229" s="2"/>
      <c r="U229" s="1"/>
      <c r="W229" s="1"/>
      <c r="X229" s="2"/>
      <c r="Y229" s="2"/>
      <c r="Z229" s="2"/>
      <c r="AA229" s="2"/>
      <c r="AC229" s="1"/>
      <c r="AE229" s="1"/>
      <c r="AF229" s="2"/>
      <c r="AG229" s="2"/>
      <c r="AH229" s="2"/>
      <c r="AI229" s="2"/>
    </row>
    <row r="251" spans="2:35" ht="15" thickBot="1" x14ac:dyDescent="0.4"/>
    <row r="252" spans="2:35" ht="15" customHeight="1" thickBot="1" x14ac:dyDescent="0.4">
      <c r="B252" s="205" t="s">
        <v>96</v>
      </c>
      <c r="C252" s="206"/>
      <c r="D252" s="206"/>
      <c r="E252" s="206"/>
      <c r="F252" s="206"/>
      <c r="G252" s="206"/>
      <c r="M252" s="206"/>
      <c r="N252" s="206"/>
      <c r="U252" s="206"/>
      <c r="V252" s="206"/>
      <c r="AC252" s="206"/>
      <c r="AD252" s="206"/>
    </row>
    <row r="253" spans="2:35" ht="15" customHeight="1" x14ac:dyDescent="0.35">
      <c r="B253" s="208"/>
      <c r="C253" s="209"/>
      <c r="D253" s="209"/>
      <c r="E253" s="209"/>
      <c r="F253" s="209"/>
      <c r="G253" s="209"/>
      <c r="H253" s="206"/>
      <c r="I253" s="206"/>
      <c r="J253" s="206"/>
      <c r="K253" s="206"/>
      <c r="L253" s="206"/>
      <c r="M253" s="209"/>
      <c r="N253" s="209"/>
      <c r="O253" s="206"/>
      <c r="P253" s="206"/>
      <c r="Q253" s="206"/>
      <c r="R253" s="206"/>
      <c r="S253" s="206"/>
      <c r="U253" s="209"/>
      <c r="V253" s="209"/>
      <c r="W253" s="206"/>
      <c r="X253" s="206"/>
      <c r="Y253" s="206"/>
      <c r="Z253" s="206"/>
      <c r="AA253" s="206"/>
      <c r="AC253" s="209"/>
      <c r="AD253" s="209"/>
      <c r="AE253" s="206"/>
      <c r="AF253" s="206"/>
      <c r="AG253" s="206"/>
      <c r="AH253" s="206"/>
      <c r="AI253" s="206"/>
    </row>
    <row r="254" spans="2:35" ht="15.75" customHeight="1" thickBot="1" x14ac:dyDescent="0.4">
      <c r="B254" s="211"/>
      <c r="C254" s="212"/>
      <c r="D254" s="212"/>
      <c r="E254" s="212"/>
      <c r="F254" s="212"/>
      <c r="G254" s="212"/>
      <c r="H254" s="209"/>
      <c r="I254" s="209"/>
      <c r="J254" s="209"/>
      <c r="K254" s="209"/>
      <c r="L254" s="209"/>
      <c r="M254" s="212"/>
      <c r="N254" s="212"/>
      <c r="O254" s="209"/>
      <c r="P254" s="209"/>
      <c r="Q254" s="209"/>
      <c r="R254" s="209"/>
      <c r="S254" s="209"/>
      <c r="U254" s="212"/>
      <c r="V254" s="212"/>
      <c r="W254" s="209"/>
      <c r="X254" s="209"/>
      <c r="Y254" s="209"/>
      <c r="Z254" s="209"/>
      <c r="AA254" s="209"/>
      <c r="AC254" s="212"/>
      <c r="AD254" s="212"/>
      <c r="AE254" s="209"/>
      <c r="AF254" s="209"/>
      <c r="AG254" s="209"/>
      <c r="AH254" s="209"/>
      <c r="AI254" s="209"/>
    </row>
    <row r="255" spans="2:35" ht="26.5" thickBot="1" x14ac:dyDescent="0.4">
      <c r="H255" s="212"/>
      <c r="I255" s="212"/>
      <c r="J255" s="212"/>
      <c r="K255" s="212"/>
      <c r="L255" s="212"/>
      <c r="O255" s="212"/>
      <c r="P255" s="212"/>
      <c r="Q255" s="212"/>
      <c r="R255" s="212"/>
      <c r="S255" s="212"/>
      <c r="W255" s="212"/>
      <c r="X255" s="212"/>
      <c r="Y255" s="212"/>
      <c r="Z255" s="212"/>
      <c r="AA255" s="212"/>
      <c r="AE255" s="212"/>
      <c r="AF255" s="212"/>
      <c r="AG255" s="212"/>
      <c r="AH255" s="212"/>
      <c r="AI255" s="212"/>
    </row>
    <row r="310" spans="2:35" ht="15" thickBot="1" x14ac:dyDescent="0.4"/>
    <row r="311" spans="2:35" ht="15" customHeight="1" thickBot="1" x14ac:dyDescent="0.4">
      <c r="B311" s="205" t="s">
        <v>25</v>
      </c>
      <c r="C311" s="206"/>
      <c r="D311" s="206"/>
      <c r="E311" s="206"/>
      <c r="F311" s="206"/>
      <c r="G311" s="206"/>
      <c r="M311" s="206"/>
      <c r="N311" s="206"/>
      <c r="U311" s="206"/>
      <c r="V311" s="206"/>
      <c r="AC311" s="206"/>
      <c r="AD311" s="206"/>
    </row>
    <row r="312" spans="2:35" ht="15" customHeight="1" x14ac:dyDescent="0.35">
      <c r="B312" s="208"/>
      <c r="C312" s="209"/>
      <c r="D312" s="209"/>
      <c r="E312" s="209"/>
      <c r="F312" s="209"/>
      <c r="G312" s="209"/>
      <c r="H312" s="206"/>
      <c r="I312" s="206"/>
      <c r="J312" s="206"/>
      <c r="K312" s="206"/>
      <c r="L312" s="206"/>
      <c r="M312" s="209"/>
      <c r="N312" s="209"/>
      <c r="O312" s="206"/>
      <c r="P312" s="206"/>
      <c r="Q312" s="206"/>
      <c r="R312" s="206"/>
      <c r="S312" s="206"/>
      <c r="U312" s="209"/>
      <c r="V312" s="209"/>
      <c r="W312" s="206"/>
      <c r="X312" s="206"/>
      <c r="Y312" s="206"/>
      <c r="Z312" s="206"/>
      <c r="AA312" s="206"/>
      <c r="AC312" s="209"/>
      <c r="AD312" s="209"/>
      <c r="AE312" s="206"/>
      <c r="AF312" s="206"/>
      <c r="AG312" s="206"/>
      <c r="AH312" s="206"/>
      <c r="AI312" s="206"/>
    </row>
    <row r="313" spans="2:35" ht="15.75" customHeight="1" thickBot="1" x14ac:dyDescent="0.4">
      <c r="B313" s="211"/>
      <c r="C313" s="212"/>
      <c r="D313" s="212"/>
      <c r="E313" s="212"/>
      <c r="F313" s="212"/>
      <c r="G313" s="212"/>
      <c r="H313" s="209"/>
      <c r="I313" s="209"/>
      <c r="J313" s="209"/>
      <c r="K313" s="209"/>
      <c r="L313" s="209"/>
      <c r="M313" s="212"/>
      <c r="N313" s="212"/>
      <c r="O313" s="209"/>
      <c r="P313" s="209"/>
      <c r="Q313" s="209"/>
      <c r="R313" s="209"/>
      <c r="S313" s="209"/>
      <c r="U313" s="212"/>
      <c r="V313" s="212"/>
      <c r="W313" s="209"/>
      <c r="X313" s="209"/>
      <c r="Y313" s="209"/>
      <c r="Z313" s="209"/>
      <c r="AA313" s="209"/>
      <c r="AC313" s="212"/>
      <c r="AD313" s="212"/>
      <c r="AE313" s="209"/>
      <c r="AF313" s="209"/>
      <c r="AG313" s="209"/>
      <c r="AH313" s="209"/>
      <c r="AI313" s="209"/>
    </row>
    <row r="314" spans="2:35" ht="26.5" thickBot="1" x14ac:dyDescent="0.4">
      <c r="H314" s="212"/>
      <c r="I314" s="212"/>
      <c r="J314" s="212"/>
      <c r="K314" s="212"/>
      <c r="L314" s="212"/>
      <c r="O314" s="212"/>
      <c r="P314" s="212"/>
      <c r="Q314" s="212"/>
      <c r="R314" s="212"/>
      <c r="S314" s="212"/>
      <c r="W314" s="212"/>
      <c r="X314" s="212"/>
      <c r="Y314" s="212"/>
      <c r="Z314" s="212"/>
      <c r="AA314" s="212"/>
      <c r="AE314" s="212"/>
      <c r="AF314" s="212"/>
      <c r="AG314" s="212"/>
      <c r="AH314" s="212"/>
      <c r="AI314" s="212"/>
    </row>
    <row r="316" spans="2:35" x14ac:dyDescent="0.35">
      <c r="H316" s="1" t="s">
        <v>102</v>
      </c>
      <c r="O316" s="1" t="s">
        <v>102</v>
      </c>
      <c r="W316" s="1" t="s">
        <v>102</v>
      </c>
      <c r="AE316" s="1" t="s">
        <v>102</v>
      </c>
    </row>
    <row r="327" spans="2:35" ht="15" thickBot="1" x14ac:dyDescent="0.4"/>
    <row r="328" spans="2:35" ht="15" customHeight="1" thickBot="1" x14ac:dyDescent="0.4">
      <c r="B328" s="205" t="s">
        <v>97</v>
      </c>
      <c r="C328" s="206"/>
      <c r="D328" s="206"/>
      <c r="E328" s="206"/>
      <c r="F328" s="206"/>
      <c r="G328" s="206"/>
      <c r="M328" s="206"/>
      <c r="N328" s="206"/>
      <c r="U328" s="206"/>
      <c r="V328" s="206"/>
      <c r="AC328" s="206"/>
      <c r="AD328" s="206"/>
    </row>
    <row r="329" spans="2:35" ht="15" customHeight="1" x14ac:dyDescent="0.35">
      <c r="B329" s="208"/>
      <c r="C329" s="209"/>
      <c r="D329" s="209"/>
      <c r="E329" s="209"/>
      <c r="F329" s="209"/>
      <c r="G329" s="209"/>
      <c r="H329" s="206"/>
      <c r="I329" s="206"/>
      <c r="J329" s="206"/>
      <c r="K329" s="206"/>
      <c r="L329" s="206"/>
      <c r="M329" s="209"/>
      <c r="N329" s="209"/>
      <c r="O329" s="206"/>
      <c r="P329" s="206"/>
      <c r="Q329" s="206"/>
      <c r="R329" s="206"/>
      <c r="S329" s="206"/>
      <c r="U329" s="209"/>
      <c r="V329" s="209"/>
      <c r="W329" s="206"/>
      <c r="X329" s="206"/>
      <c r="Y329" s="206"/>
      <c r="Z329" s="206"/>
      <c r="AA329" s="206"/>
      <c r="AC329" s="209"/>
      <c r="AD329" s="209"/>
      <c r="AE329" s="206"/>
      <c r="AF329" s="206"/>
      <c r="AG329" s="206"/>
      <c r="AH329" s="206"/>
      <c r="AI329" s="206"/>
    </row>
    <row r="330" spans="2:35" ht="15.75" customHeight="1" thickBot="1" x14ac:dyDescent="0.4">
      <c r="B330" s="211"/>
      <c r="C330" s="212"/>
      <c r="D330" s="212"/>
      <c r="E330" s="212"/>
      <c r="F330" s="212"/>
      <c r="G330" s="212"/>
      <c r="H330" s="209"/>
      <c r="I330" s="209"/>
      <c r="J330" s="209"/>
      <c r="K330" s="209"/>
      <c r="L330" s="209"/>
      <c r="M330" s="212"/>
      <c r="N330" s="212"/>
      <c r="O330" s="209"/>
      <c r="P330" s="209"/>
      <c r="Q330" s="209"/>
      <c r="R330" s="209"/>
      <c r="S330" s="209"/>
      <c r="U330" s="212"/>
      <c r="V330" s="212"/>
      <c r="W330" s="209"/>
      <c r="X330" s="209"/>
      <c r="Y330" s="209"/>
      <c r="Z330" s="209"/>
      <c r="AA330" s="209"/>
      <c r="AC330" s="212"/>
      <c r="AD330" s="212"/>
      <c r="AE330" s="209"/>
      <c r="AF330" s="209"/>
      <c r="AG330" s="209"/>
      <c r="AH330" s="209"/>
      <c r="AI330" s="209"/>
    </row>
    <row r="331" spans="2:35" ht="26.5" thickBot="1" x14ac:dyDescent="0.4">
      <c r="H331" s="212"/>
      <c r="I331" s="212"/>
      <c r="J331" s="212"/>
      <c r="K331" s="212"/>
      <c r="L331" s="212"/>
      <c r="O331" s="212"/>
      <c r="P331" s="212"/>
      <c r="Q331" s="212"/>
      <c r="R331" s="212"/>
      <c r="S331" s="212"/>
      <c r="W331" s="212"/>
      <c r="X331" s="212"/>
      <c r="Y331" s="212"/>
      <c r="Z331" s="212"/>
      <c r="AA331" s="212"/>
      <c r="AE331" s="212"/>
      <c r="AF331" s="212"/>
      <c r="AG331" s="212"/>
      <c r="AH331" s="212"/>
      <c r="AI331" s="212"/>
    </row>
    <row r="375" spans="3:35" ht="15" thickBot="1" x14ac:dyDescent="0.4"/>
    <row r="376" spans="3:35" x14ac:dyDescent="0.35">
      <c r="C376" s="425" t="s">
        <v>98</v>
      </c>
      <c r="D376" s="426"/>
      <c r="E376" s="427"/>
    </row>
    <row r="377" spans="3:35" ht="15" thickBot="1" x14ac:dyDescent="0.4">
      <c r="C377" s="428"/>
      <c r="D377" s="429"/>
      <c r="E377" s="430"/>
      <c r="H377"/>
      <c r="I377"/>
      <c r="J377"/>
      <c r="K377"/>
      <c r="L377"/>
      <c r="O377"/>
      <c r="P377"/>
      <c r="Q377"/>
      <c r="R377"/>
      <c r="S377"/>
      <c r="W377"/>
      <c r="X377"/>
      <c r="Y377"/>
      <c r="Z377"/>
      <c r="AA377"/>
      <c r="AE377"/>
      <c r="AF377"/>
      <c r="AG377"/>
      <c r="AH377"/>
      <c r="AI377"/>
    </row>
    <row r="378" spans="3:35" x14ac:dyDescent="0.35">
      <c r="H378"/>
      <c r="I378"/>
      <c r="J378"/>
      <c r="K378"/>
      <c r="L378"/>
      <c r="O378"/>
      <c r="P378"/>
      <c r="Q378"/>
      <c r="R378"/>
      <c r="S378"/>
      <c r="W378"/>
      <c r="X378"/>
      <c r="Y378"/>
      <c r="Z378"/>
      <c r="AA378"/>
      <c r="AE378"/>
      <c r="AF378"/>
      <c r="AG378"/>
      <c r="AH378"/>
      <c r="AI378"/>
    </row>
  </sheetData>
  <mergeCells count="76">
    <mergeCell ref="AF14:AG14"/>
    <mergeCell ref="C1:C2"/>
    <mergeCell ref="P1:S2"/>
    <mergeCell ref="X1:AA2"/>
    <mergeCell ref="AF1:AI2"/>
    <mergeCell ref="I2:L3"/>
    <mergeCell ref="B3:E5"/>
    <mergeCell ref="P3:S3"/>
    <mergeCell ref="X3:AA3"/>
    <mergeCell ref="AF3:AI3"/>
    <mergeCell ref="AE18:AE24"/>
    <mergeCell ref="B24:E24"/>
    <mergeCell ref="B12:E12"/>
    <mergeCell ref="C14:E14"/>
    <mergeCell ref="I14:J14"/>
    <mergeCell ref="P14:Q14"/>
    <mergeCell ref="X14:Y14"/>
    <mergeCell ref="D15:E15"/>
    <mergeCell ref="B17:E17"/>
    <mergeCell ref="H18:H24"/>
    <mergeCell ref="O18:O24"/>
    <mergeCell ref="W18:W24"/>
    <mergeCell ref="AE26:AE32"/>
    <mergeCell ref="B27:E27"/>
    <mergeCell ref="B32:E34"/>
    <mergeCell ref="H34:H39"/>
    <mergeCell ref="O34:O39"/>
    <mergeCell ref="W34:W39"/>
    <mergeCell ref="AE34:AE39"/>
    <mergeCell ref="B35:E37"/>
    <mergeCell ref="B25:E25"/>
    <mergeCell ref="B26:E26"/>
    <mergeCell ref="H26:H32"/>
    <mergeCell ref="O26:O32"/>
    <mergeCell ref="W26:W32"/>
    <mergeCell ref="H41:H45"/>
    <mergeCell ref="O41:O45"/>
    <mergeCell ref="W41:W45"/>
    <mergeCell ref="AE41:AE45"/>
    <mergeCell ref="H91:H93"/>
    <mergeCell ref="O91:O93"/>
    <mergeCell ref="W91:W93"/>
    <mergeCell ref="AE91:AE93"/>
    <mergeCell ref="H47:H49"/>
    <mergeCell ref="O47:O49"/>
    <mergeCell ref="W47:W49"/>
    <mergeCell ref="AE47:AE49"/>
    <mergeCell ref="I62:L62"/>
    <mergeCell ref="P62:S62"/>
    <mergeCell ref="X62:AA62"/>
    <mergeCell ref="AF62:AI62"/>
    <mergeCell ref="I89:J89"/>
    <mergeCell ref="P89:Q89"/>
    <mergeCell ref="X89:Y89"/>
    <mergeCell ref="AF89:AG89"/>
    <mergeCell ref="I99:J99"/>
    <mergeCell ref="P99:Q99"/>
    <mergeCell ref="X99:Y99"/>
    <mergeCell ref="AF99:AG99"/>
    <mergeCell ref="I114:J114"/>
    <mergeCell ref="P114:Q114"/>
    <mergeCell ref="X114:Y114"/>
    <mergeCell ref="AF114:AG114"/>
    <mergeCell ref="I134:J134"/>
    <mergeCell ref="P134:Q134"/>
    <mergeCell ref="X134:Y134"/>
    <mergeCell ref="AF134:AG134"/>
    <mergeCell ref="I157:J157"/>
    <mergeCell ref="P157:Q157"/>
    <mergeCell ref="X157:Y157"/>
    <mergeCell ref="AF157:AG157"/>
    <mergeCell ref="I189:J189"/>
    <mergeCell ref="P189:Q189"/>
    <mergeCell ref="X189:Y189"/>
    <mergeCell ref="AF189:AG189"/>
    <mergeCell ref="C376:E377"/>
  </mergeCells>
  <pageMargins left="0.7" right="0.7" top="0.75" bottom="0.75" header="0.3" footer="0.3"/>
  <pageSetup scale="64" orientation="portrait" r:id="rId1"/>
  <rowBreaks count="1" manualBreakCount="1">
    <brk id="59" max="16383" man="1"/>
  </rowBreaks>
  <colBreaks count="1" manualBreakCount="1">
    <brk id="7" max="104857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7DF8E-E32B-435A-909C-0AC3CFD96B5C}">
  <dimension ref="A1:AI378"/>
  <sheetViews>
    <sheetView topLeftCell="A62" zoomScale="90" zoomScaleNormal="90" workbookViewId="0">
      <selection activeCell="A79" sqref="A79"/>
    </sheetView>
  </sheetViews>
  <sheetFormatPr defaultRowHeight="14.5" x14ac:dyDescent="0.35"/>
  <cols>
    <col min="1" max="1" width="3.26953125" customWidth="1"/>
    <col min="2" max="2" width="21.54296875" bestFit="1" customWidth="1"/>
    <col min="3" max="3" width="13" bestFit="1" customWidth="1"/>
    <col min="4" max="4" width="19.1796875" customWidth="1"/>
    <col min="5" max="5" width="22.7265625" bestFit="1" customWidth="1"/>
    <col min="6" max="6" width="3.453125" style="1" customWidth="1"/>
    <col min="7" max="7" width="3.453125" style="3" customWidth="1"/>
    <col min="8" max="8" width="29.81640625" style="1" customWidth="1"/>
    <col min="9" max="9" width="39.453125" style="2" customWidth="1"/>
    <col min="10" max="10" width="15.54296875" style="2" customWidth="1"/>
    <col min="11" max="11" width="26.81640625" style="2" customWidth="1"/>
    <col min="12" max="12" width="28.26953125" style="2" customWidth="1"/>
    <col min="13" max="13" width="3.453125" style="1" customWidth="1"/>
    <col min="14" max="14" width="3.453125" style="3" customWidth="1"/>
    <col min="15" max="15" width="29.81640625" style="1" customWidth="1"/>
    <col min="16" max="16" width="39.453125" style="2" customWidth="1"/>
    <col min="17" max="17" width="15.54296875" style="2" customWidth="1"/>
    <col min="18" max="18" width="26.81640625" style="2" customWidth="1"/>
    <col min="19" max="19" width="28.26953125" style="2" customWidth="1"/>
    <col min="20" max="20" width="9.1796875" customWidth="1"/>
    <col min="21" max="21" width="3.453125" style="1" customWidth="1"/>
    <col min="22" max="22" width="3.453125" style="3" customWidth="1"/>
    <col min="23" max="23" width="29.81640625" style="1" customWidth="1"/>
    <col min="24" max="24" width="39.453125" style="2" customWidth="1"/>
    <col min="25" max="25" width="15.54296875" style="2" customWidth="1"/>
    <col min="26" max="26" width="26.81640625" style="2" customWidth="1"/>
    <col min="27" max="27" width="28.26953125" style="2" customWidth="1"/>
    <col min="28" max="28" width="9.1796875" customWidth="1"/>
    <col min="29" max="29" width="3.453125" style="1" customWidth="1"/>
    <col min="30" max="30" width="3.453125" style="3" customWidth="1"/>
    <col min="31" max="31" width="29.81640625" style="1" bestFit="1" customWidth="1"/>
    <col min="32" max="32" width="39.453125" style="2" customWidth="1"/>
    <col min="33" max="33" width="15.54296875" style="2" customWidth="1"/>
    <col min="34" max="34" width="26.81640625" style="2" customWidth="1"/>
    <col min="35" max="35" width="28.26953125" style="2" bestFit="1" customWidth="1"/>
    <col min="36" max="47" width="9.1796875" customWidth="1"/>
  </cols>
  <sheetData>
    <row r="1" spans="2:35" ht="15" thickBot="1" x14ac:dyDescent="0.4">
      <c r="C1" s="414">
        <v>2020</v>
      </c>
      <c r="P1" s="439" t="s">
        <v>144</v>
      </c>
      <c r="Q1" s="440"/>
      <c r="R1" s="440"/>
      <c r="S1" s="441"/>
      <c r="X1" s="445" t="s">
        <v>143</v>
      </c>
      <c r="Y1" s="446"/>
      <c r="Z1" s="446"/>
      <c r="AA1" s="447"/>
      <c r="AF1" s="451" t="s">
        <v>147</v>
      </c>
      <c r="AG1" s="452"/>
      <c r="AH1" s="452"/>
      <c r="AI1" s="453"/>
    </row>
    <row r="2" spans="2:35" ht="15.75" customHeight="1" thickBot="1" x14ac:dyDescent="0.4">
      <c r="C2" s="415"/>
      <c r="F2" s="224"/>
      <c r="H2"/>
      <c r="I2" s="416" t="s">
        <v>5</v>
      </c>
      <c r="J2" s="417"/>
      <c r="K2" s="417"/>
      <c r="L2" s="418"/>
      <c r="M2" s="224"/>
      <c r="O2"/>
      <c r="P2" s="442"/>
      <c r="Q2" s="443"/>
      <c r="R2" s="443"/>
      <c r="S2" s="444"/>
      <c r="U2" s="224"/>
      <c r="W2"/>
      <c r="X2" s="448"/>
      <c r="Y2" s="449"/>
      <c r="Z2" s="449"/>
      <c r="AA2" s="450"/>
      <c r="AC2" s="224"/>
      <c r="AE2"/>
      <c r="AF2" s="454"/>
      <c r="AG2" s="455"/>
      <c r="AH2" s="455"/>
      <c r="AI2" s="456"/>
    </row>
    <row r="3" spans="2:35" ht="15" customHeight="1" thickBot="1" x14ac:dyDescent="0.4">
      <c r="B3" s="399" t="s">
        <v>128</v>
      </c>
      <c r="C3" s="400"/>
      <c r="D3" s="400"/>
      <c r="E3" s="401"/>
      <c r="F3" s="224"/>
      <c r="H3"/>
      <c r="I3" s="419"/>
      <c r="J3" s="420"/>
      <c r="K3" s="420"/>
      <c r="L3" s="421"/>
      <c r="M3" s="224"/>
      <c r="O3"/>
      <c r="P3" s="368" t="s">
        <v>5</v>
      </c>
      <c r="Q3" s="369"/>
      <c r="R3" s="369"/>
      <c r="S3" s="370"/>
      <c r="U3" s="224"/>
      <c r="W3"/>
      <c r="X3" s="368" t="s">
        <v>5</v>
      </c>
      <c r="Y3" s="369"/>
      <c r="Z3" s="369"/>
      <c r="AA3" s="370"/>
      <c r="AC3" s="224"/>
      <c r="AE3"/>
      <c r="AF3" s="368" t="s">
        <v>5</v>
      </c>
      <c r="AG3" s="369"/>
      <c r="AH3" s="369"/>
      <c r="AI3" s="370"/>
    </row>
    <row r="4" spans="2:35" ht="15.75" customHeight="1" thickBot="1" x14ac:dyDescent="0.4">
      <c r="B4" s="402"/>
      <c r="C4" s="436"/>
      <c r="D4" s="436"/>
      <c r="E4" s="404"/>
      <c r="H4"/>
      <c r="O4"/>
      <c r="W4"/>
      <c r="AE4"/>
    </row>
    <row r="5" spans="2:35" ht="15.75" customHeight="1" thickBot="1" x14ac:dyDescent="0.4">
      <c r="B5" s="405"/>
      <c r="C5" s="406"/>
      <c r="D5" s="406"/>
      <c r="E5" s="407"/>
      <c r="H5"/>
      <c r="I5" s="7" t="s">
        <v>99</v>
      </c>
      <c r="J5" s="8"/>
      <c r="K5" s="9"/>
      <c r="L5" s="9"/>
      <c r="O5"/>
      <c r="P5" s="7" t="s">
        <v>99</v>
      </c>
      <c r="Q5" s="8"/>
      <c r="R5" s="9"/>
      <c r="S5" s="9"/>
      <c r="W5"/>
      <c r="X5" s="7" t="s">
        <v>99</v>
      </c>
      <c r="Y5" s="8"/>
      <c r="Z5" s="9"/>
      <c r="AA5" s="9"/>
      <c r="AE5"/>
      <c r="AF5" s="7" t="s">
        <v>99</v>
      </c>
      <c r="AG5" s="8"/>
      <c r="AH5" s="9"/>
      <c r="AI5" s="9"/>
    </row>
    <row r="6" spans="2:35" ht="15.75" customHeight="1" thickBot="1" x14ac:dyDescent="0.4">
      <c r="B6" s="13"/>
      <c r="C6" s="219" t="s">
        <v>11</v>
      </c>
      <c r="D6" s="15"/>
      <c r="E6" s="218" t="s">
        <v>12</v>
      </c>
      <c r="H6"/>
      <c r="I6" s="17" t="s">
        <v>13</v>
      </c>
      <c r="J6" s="17" t="s">
        <v>14</v>
      </c>
      <c r="K6" s="18" t="s">
        <v>15</v>
      </c>
      <c r="O6"/>
      <c r="P6" s="17" t="s">
        <v>13</v>
      </c>
      <c r="Q6" s="17" t="s">
        <v>14</v>
      </c>
      <c r="R6" s="18" t="s">
        <v>15</v>
      </c>
      <c r="W6"/>
      <c r="X6" s="17" t="s">
        <v>13</v>
      </c>
      <c r="Y6" s="17" t="s">
        <v>14</v>
      </c>
      <c r="Z6" s="18" t="s">
        <v>15</v>
      </c>
      <c r="AE6"/>
      <c r="AF6" s="17" t="s">
        <v>13</v>
      </c>
      <c r="AG6" s="17" t="s">
        <v>14</v>
      </c>
      <c r="AH6" s="18" t="s">
        <v>15</v>
      </c>
    </row>
    <row r="7" spans="2:35" x14ac:dyDescent="0.35">
      <c r="B7" s="20" t="s">
        <v>19</v>
      </c>
      <c r="C7" s="21">
        <v>1815.8</v>
      </c>
      <c r="D7" s="22"/>
      <c r="E7" s="23"/>
      <c r="H7"/>
      <c r="I7" s="24">
        <f>+I24</f>
        <v>11562.909299999999</v>
      </c>
      <c r="J7" s="25">
        <f>C7</f>
        <v>1815.8</v>
      </c>
      <c r="K7" s="26">
        <f>+I7*J7</f>
        <v>20995930.706939999</v>
      </c>
      <c r="O7"/>
      <c r="P7" s="24">
        <f>P24</f>
        <v>11562.909299999999</v>
      </c>
      <c r="Q7" s="25">
        <f>C7</f>
        <v>1815.8</v>
      </c>
      <c r="R7" s="26">
        <f>P7*Q7</f>
        <v>20995930.706939999</v>
      </c>
      <c r="W7"/>
      <c r="X7" s="24">
        <f>X24</f>
        <v>32062.909299999999</v>
      </c>
      <c r="Y7" s="25">
        <f>C7</f>
        <v>1815.8</v>
      </c>
      <c r="Z7" s="26">
        <f>X7*Y7</f>
        <v>58219830.706939995</v>
      </c>
      <c r="AE7"/>
      <c r="AF7" s="24">
        <f>AF24</f>
        <v>21862.909299999999</v>
      </c>
      <c r="AG7" s="25">
        <f>C7</f>
        <v>1815.8</v>
      </c>
      <c r="AH7" s="26">
        <f>AF7*AG7</f>
        <v>39698670.706939995</v>
      </c>
      <c r="AI7" s="190"/>
    </row>
    <row r="8" spans="2:35" x14ac:dyDescent="0.35">
      <c r="B8" s="31" t="s">
        <v>20</v>
      </c>
      <c r="C8" s="32">
        <v>23.54</v>
      </c>
      <c r="D8" s="33"/>
      <c r="E8" s="34">
        <v>0</v>
      </c>
      <c r="H8"/>
      <c r="I8" s="35">
        <f>+I32</f>
        <v>3420470.0164000001</v>
      </c>
      <c r="J8" s="36">
        <f>C8</f>
        <v>23.54</v>
      </c>
      <c r="K8" s="37">
        <f>+I8*J8</f>
        <v>80517864.186056003</v>
      </c>
      <c r="O8"/>
      <c r="P8" s="35">
        <f>P32</f>
        <v>4995470.0164000001</v>
      </c>
      <c r="Q8" s="36">
        <f>C8</f>
        <v>23.54</v>
      </c>
      <c r="R8" s="37">
        <f>P8*Q8</f>
        <v>117593364.186056</v>
      </c>
      <c r="W8"/>
      <c r="X8" s="35">
        <f>X32</f>
        <v>3420470.0164000001</v>
      </c>
      <c r="Y8" s="36">
        <f>C8</f>
        <v>23.54</v>
      </c>
      <c r="Z8" s="37">
        <f>X8*Y8</f>
        <v>80517864.186056003</v>
      </c>
      <c r="AE8"/>
      <c r="AF8" s="35">
        <f>AF32</f>
        <v>4216970.0164000001</v>
      </c>
      <c r="AG8" s="36">
        <f>C8</f>
        <v>23.54</v>
      </c>
      <c r="AH8" s="37">
        <f>AF8*AG8</f>
        <v>99267474.186056003</v>
      </c>
      <c r="AI8" s="190"/>
    </row>
    <row r="9" spans="2:35" x14ac:dyDescent="0.35">
      <c r="B9" s="40" t="s">
        <v>21</v>
      </c>
      <c r="C9" s="41">
        <v>965</v>
      </c>
      <c r="D9" s="42"/>
      <c r="E9" s="43">
        <v>0</v>
      </c>
      <c r="H9"/>
      <c r="I9" s="44">
        <f>I39</f>
        <v>0</v>
      </c>
      <c r="J9" s="45">
        <f>C9</f>
        <v>965</v>
      </c>
      <c r="K9" s="46">
        <f>+I9*J9</f>
        <v>0</v>
      </c>
      <c r="O9"/>
      <c r="P9" s="44">
        <f>P39</f>
        <v>0</v>
      </c>
      <c r="Q9" s="45">
        <f>C9</f>
        <v>965</v>
      </c>
      <c r="R9" s="46">
        <f>P9*Q9</f>
        <v>0</v>
      </c>
      <c r="W9"/>
      <c r="X9" s="44">
        <f>X39</f>
        <v>0</v>
      </c>
      <c r="Y9" s="45">
        <f>C9</f>
        <v>965</v>
      </c>
      <c r="Z9" s="46">
        <f>X9*Y9</f>
        <v>0</v>
      </c>
      <c r="AE9"/>
      <c r="AF9" s="44">
        <f>AF39</f>
        <v>0</v>
      </c>
      <c r="AG9" s="45">
        <f>C9</f>
        <v>965</v>
      </c>
      <c r="AH9" s="46">
        <f>AF9*AG9</f>
        <v>0</v>
      </c>
      <c r="AI9" s="190"/>
    </row>
    <row r="10" spans="2:35" ht="14.5" customHeight="1" x14ac:dyDescent="0.35">
      <c r="B10" s="49" t="s">
        <v>22</v>
      </c>
      <c r="C10" s="50">
        <v>2355</v>
      </c>
      <c r="D10" s="51"/>
      <c r="E10" s="52">
        <v>0</v>
      </c>
      <c r="H10"/>
      <c r="I10" s="53">
        <f>I45</f>
        <v>517.16899999999998</v>
      </c>
      <c r="J10" s="54">
        <f>C10</f>
        <v>2355</v>
      </c>
      <c r="K10" s="55">
        <f>+I10*J10</f>
        <v>1217932.9949999999</v>
      </c>
      <c r="O10"/>
      <c r="P10" s="53">
        <f>P45</f>
        <v>517.16899999999998</v>
      </c>
      <c r="Q10" s="54">
        <f>C10</f>
        <v>2355</v>
      </c>
      <c r="R10" s="55">
        <f>P10*Q10</f>
        <v>1217932.9949999999</v>
      </c>
      <c r="W10"/>
      <c r="X10" s="53">
        <f>X45</f>
        <v>517.16899999999998</v>
      </c>
      <c r="Y10" s="54">
        <f>C10</f>
        <v>2355</v>
      </c>
      <c r="Z10" s="55">
        <f>X10*Y10</f>
        <v>1217932.9949999999</v>
      </c>
      <c r="AE10"/>
      <c r="AF10" s="53">
        <f>AF45</f>
        <v>517.16899999999998</v>
      </c>
      <c r="AG10" s="54">
        <f>C10</f>
        <v>2355</v>
      </c>
      <c r="AH10" s="55">
        <f>AF10*AG10</f>
        <v>1217932.9949999999</v>
      </c>
      <c r="AI10" s="190"/>
    </row>
    <row r="11" spans="2:35" ht="15" thickBot="1" x14ac:dyDescent="0.4">
      <c r="B11" s="57" t="s">
        <v>23</v>
      </c>
      <c r="C11" s="58">
        <v>15700</v>
      </c>
      <c r="D11" s="59"/>
      <c r="E11" s="60">
        <v>0</v>
      </c>
      <c r="H11"/>
      <c r="I11" s="61">
        <v>72.561999999999998</v>
      </c>
      <c r="J11" s="62">
        <f>C11</f>
        <v>15700</v>
      </c>
      <c r="K11" s="63">
        <f>+I11*J11</f>
        <v>1139223.3999999999</v>
      </c>
      <c r="O11"/>
      <c r="P11" s="61">
        <f>P49</f>
        <v>72.56</v>
      </c>
      <c r="Q11" s="62">
        <f>C11</f>
        <v>15700</v>
      </c>
      <c r="R11" s="63">
        <f>P11*Q11</f>
        <v>1139192</v>
      </c>
      <c r="W11"/>
      <c r="X11" s="61">
        <f>X49</f>
        <v>72.56</v>
      </c>
      <c r="Y11" s="62">
        <f>C11</f>
        <v>15700</v>
      </c>
      <c r="Z11" s="63">
        <f>X11*Y11</f>
        <v>1139192</v>
      </c>
      <c r="AE11"/>
      <c r="AF11" s="61">
        <f>AF49</f>
        <v>72.56</v>
      </c>
      <c r="AG11" s="62">
        <f>C11</f>
        <v>15700</v>
      </c>
      <c r="AH11" s="63">
        <f>AF11*AG11</f>
        <v>1139192</v>
      </c>
      <c r="AI11" s="190"/>
    </row>
    <row r="12" spans="2:35" ht="15" thickBot="1" x14ac:dyDescent="0.4">
      <c r="B12" s="457" t="s">
        <v>115</v>
      </c>
      <c r="C12" s="406"/>
      <c r="D12" s="458"/>
      <c r="E12" s="407"/>
      <c r="H12" s="65"/>
      <c r="I12" s="65"/>
      <c r="J12" s="56"/>
      <c r="K12" s="66">
        <f>SUM(K7:K11)</f>
        <v>103870951.28799601</v>
      </c>
      <c r="O12" s="65"/>
      <c r="P12" s="65"/>
      <c r="Q12" s="56"/>
      <c r="R12" s="66">
        <f>SUM(R7:R11)</f>
        <v>140946419.88799602</v>
      </c>
      <c r="W12" s="65"/>
      <c r="X12" s="65"/>
      <c r="Y12" s="56"/>
      <c r="Z12" s="66">
        <f>SUM(Z7:Z11)</f>
        <v>141094819.88799602</v>
      </c>
      <c r="AE12" s="65"/>
      <c r="AF12" s="65"/>
      <c r="AG12" s="56"/>
      <c r="AH12" s="66">
        <f>SUM(AH7:AH11)</f>
        <v>141323269.88799602</v>
      </c>
      <c r="AI12" s="30"/>
    </row>
    <row r="13" spans="2:35" ht="15" thickBot="1" x14ac:dyDescent="0.4">
      <c r="H13"/>
      <c r="I13" s="67"/>
      <c r="J13" s="67"/>
      <c r="K13" s="68">
        <f>C14</f>
        <v>914969.33</v>
      </c>
      <c r="L13" s="69" t="s">
        <v>25</v>
      </c>
      <c r="O13"/>
      <c r="P13" s="67"/>
      <c r="Q13" s="67"/>
      <c r="R13" s="68">
        <v>914969.33</v>
      </c>
      <c r="S13" s="69" t="s">
        <v>25</v>
      </c>
      <c r="W13"/>
      <c r="X13" s="67"/>
      <c r="Y13" s="67"/>
      <c r="Z13" s="68">
        <v>914969.33</v>
      </c>
      <c r="AA13" s="69" t="s">
        <v>25</v>
      </c>
      <c r="AE13"/>
      <c r="AF13" s="67"/>
      <c r="AG13" s="67"/>
      <c r="AH13" s="68">
        <v>914969.33</v>
      </c>
      <c r="AI13" s="69" t="s">
        <v>25</v>
      </c>
    </row>
    <row r="14" spans="2:35" ht="15" thickBot="1" x14ac:dyDescent="0.4">
      <c r="B14" s="73" t="s">
        <v>25</v>
      </c>
      <c r="C14" s="411">
        <v>914969.33</v>
      </c>
      <c r="D14" s="411"/>
      <c r="E14" s="412"/>
      <c r="H14" t="s">
        <v>116</v>
      </c>
      <c r="I14" s="413" t="s">
        <v>27</v>
      </c>
      <c r="J14" s="413"/>
      <c r="K14" s="74">
        <f>D15</f>
        <v>1416119.21</v>
      </c>
      <c r="L14" s="75" t="s">
        <v>28</v>
      </c>
      <c r="O14"/>
      <c r="P14" s="413" t="s">
        <v>27</v>
      </c>
      <c r="Q14" s="413"/>
      <c r="R14" s="74">
        <v>1416119.21</v>
      </c>
      <c r="S14" s="75" t="s">
        <v>28</v>
      </c>
      <c r="W14"/>
      <c r="X14" s="413" t="s">
        <v>27</v>
      </c>
      <c r="Y14" s="413"/>
      <c r="Z14" s="74">
        <v>1416119.21</v>
      </c>
      <c r="AA14" s="75" t="s">
        <v>28</v>
      </c>
      <c r="AE14"/>
      <c r="AF14" s="413" t="s">
        <v>27</v>
      </c>
      <c r="AG14" s="413"/>
      <c r="AH14" s="74">
        <v>1416119.21</v>
      </c>
      <c r="AI14" s="75" t="s">
        <v>28</v>
      </c>
    </row>
    <row r="15" spans="2:35" ht="15" thickBot="1" x14ac:dyDescent="0.4">
      <c r="B15" s="81" t="s">
        <v>28</v>
      </c>
      <c r="C15" s="82"/>
      <c r="D15" s="380">
        <v>1416119.21</v>
      </c>
      <c r="E15" s="381"/>
      <c r="H15" t="s">
        <v>116</v>
      </c>
      <c r="I15" s="56" t="s">
        <v>30</v>
      </c>
      <c r="J15" s="83"/>
      <c r="K15" s="84">
        <f>+K12+K13+K14</f>
        <v>106202039.827996</v>
      </c>
      <c r="O15"/>
      <c r="P15" s="56" t="s">
        <v>30</v>
      </c>
      <c r="Q15" s="83"/>
      <c r="R15" s="84">
        <f>+R12+R13+R14</f>
        <v>143277508.42799604</v>
      </c>
      <c r="W15"/>
      <c r="X15" s="56" t="s">
        <v>30</v>
      </c>
      <c r="Y15" s="83"/>
      <c r="Z15" s="84">
        <f>+Z12+Z13+Z14</f>
        <v>143425908.42799604</v>
      </c>
      <c r="AE15"/>
      <c r="AF15" s="56" t="s">
        <v>30</v>
      </c>
      <c r="AG15" s="83"/>
      <c r="AH15" s="84">
        <f>+AH12+AH13+AH14</f>
        <v>143654358.42799604</v>
      </c>
    </row>
    <row r="16" spans="2:35" ht="15" thickBot="1" x14ac:dyDescent="0.4">
      <c r="C16" s="85"/>
      <c r="D16" s="85"/>
      <c r="E16" s="85"/>
      <c r="H16"/>
      <c r="I16" s="56"/>
      <c r="J16" s="56"/>
      <c r="O16"/>
      <c r="P16" s="56"/>
      <c r="Q16" s="56"/>
      <c r="W16"/>
      <c r="X16" s="56"/>
      <c r="Y16" s="56"/>
      <c r="AE16"/>
      <c r="AF16" s="56"/>
      <c r="AG16" s="56"/>
      <c r="AH16" s="30"/>
    </row>
    <row r="17" spans="2:35" ht="15" thickBot="1" x14ac:dyDescent="0.4">
      <c r="B17" s="382" t="s">
        <v>31</v>
      </c>
      <c r="C17" s="383"/>
      <c r="D17" s="383"/>
      <c r="E17" s="384"/>
      <c r="H17"/>
      <c r="I17" s="7" t="s">
        <v>100</v>
      </c>
      <c r="J17" s="86"/>
      <c r="K17" s="86"/>
      <c r="L17" s="9"/>
      <c r="O17"/>
      <c r="P17" s="7" t="s">
        <v>100</v>
      </c>
      <c r="Q17" s="86"/>
      <c r="R17" s="86"/>
      <c r="S17" s="9"/>
      <c r="W17"/>
      <c r="X17" s="7" t="s">
        <v>100</v>
      </c>
      <c r="Y17" s="86"/>
      <c r="Z17" s="86"/>
      <c r="AA17" s="9"/>
      <c r="AE17"/>
      <c r="AF17" s="7" t="s">
        <v>100</v>
      </c>
      <c r="AG17" s="86"/>
      <c r="AH17" s="86"/>
      <c r="AI17" s="9"/>
    </row>
    <row r="18" spans="2:35" ht="15" customHeight="1" x14ac:dyDescent="0.35">
      <c r="B18" s="87" t="s">
        <v>33</v>
      </c>
      <c r="C18" s="88">
        <f>-SUM('LIFO as of 12.31.19 (01.08.20)'!C19:C21)</f>
        <v>-3377592.5</v>
      </c>
      <c r="D18" s="89"/>
      <c r="E18" s="90"/>
      <c r="H18" s="385" t="s">
        <v>34</v>
      </c>
      <c r="I18" s="91">
        <v>635.15750000000003</v>
      </c>
      <c r="J18" s="92">
        <v>513</v>
      </c>
      <c r="K18" s="92">
        <f>+I18*J18</f>
        <v>325835.79749999999</v>
      </c>
      <c r="L18" s="93">
        <v>2005</v>
      </c>
      <c r="O18" s="385" t="s">
        <v>34</v>
      </c>
      <c r="P18" s="91">
        <v>635.15750000000003</v>
      </c>
      <c r="Q18" s="92">
        <v>513</v>
      </c>
      <c r="R18" s="92">
        <f>+P18*Q18</f>
        <v>325835.79749999999</v>
      </c>
      <c r="S18" s="93">
        <v>2005</v>
      </c>
      <c r="W18" s="385" t="s">
        <v>34</v>
      </c>
      <c r="X18" s="91">
        <v>635.15750000000003</v>
      </c>
      <c r="Y18" s="92">
        <v>513</v>
      </c>
      <c r="Z18" s="92">
        <f>+X18*Y18</f>
        <v>325835.79749999999</v>
      </c>
      <c r="AA18" s="93">
        <v>2005</v>
      </c>
      <c r="AE18" s="437" t="s">
        <v>34</v>
      </c>
      <c r="AF18" s="91">
        <v>635.15750000000003</v>
      </c>
      <c r="AG18" s="92">
        <v>513</v>
      </c>
      <c r="AH18" s="92">
        <f>+AF18*AG18</f>
        <v>325835.79749999999</v>
      </c>
      <c r="AI18" s="93">
        <v>2005</v>
      </c>
    </row>
    <row r="19" spans="2:35" x14ac:dyDescent="0.35">
      <c r="B19" s="87" t="s">
        <v>36</v>
      </c>
      <c r="C19" s="88">
        <v>-847675</v>
      </c>
      <c r="D19" s="96"/>
      <c r="E19" s="97" t="s">
        <v>117</v>
      </c>
      <c r="H19" s="386"/>
      <c r="I19" s="91">
        <v>8241.6015000000007</v>
      </c>
      <c r="J19" s="92">
        <v>635.70000000000005</v>
      </c>
      <c r="K19" s="92">
        <f t="shared" ref="K19:K22" si="0">+I19*J19</f>
        <v>5239186.0735500008</v>
      </c>
      <c r="L19" s="93">
        <v>2006</v>
      </c>
      <c r="O19" s="386"/>
      <c r="P19" s="91">
        <v>8241.6015000000007</v>
      </c>
      <c r="Q19" s="92">
        <v>635.70000000000005</v>
      </c>
      <c r="R19" s="92">
        <f t="shared" ref="R19:R22" si="1">+P19*Q19</f>
        <v>5239186.0735500008</v>
      </c>
      <c r="S19" s="93">
        <v>2006</v>
      </c>
      <c r="W19" s="386"/>
      <c r="X19" s="91">
        <v>8241.6015000000007</v>
      </c>
      <c r="Y19" s="92">
        <v>635.70000000000005</v>
      </c>
      <c r="Z19" s="92">
        <f t="shared" ref="Z19:Z22" si="2">+X19*Y19</f>
        <v>5239186.0735500008</v>
      </c>
      <c r="AA19" s="93">
        <v>2006</v>
      </c>
      <c r="AE19" s="438"/>
      <c r="AF19" s="91">
        <v>8241.6015000000007</v>
      </c>
      <c r="AG19" s="92">
        <v>635.70000000000005</v>
      </c>
      <c r="AH19" s="92">
        <f t="shared" ref="AH19:AH22" si="3">+AF19*AG19</f>
        <v>5239186.0735500008</v>
      </c>
      <c r="AI19" s="93">
        <v>2006</v>
      </c>
    </row>
    <row r="20" spans="2:35" x14ac:dyDescent="0.35">
      <c r="B20" s="87" t="s">
        <v>38</v>
      </c>
      <c r="C20" s="98">
        <v>-1585.5</v>
      </c>
      <c r="D20" s="96"/>
      <c r="E20" s="97" t="s">
        <v>117</v>
      </c>
      <c r="H20" s="386"/>
      <c r="I20" s="91">
        <f>2706.7257-20.5754</f>
        <v>2686.1502999999998</v>
      </c>
      <c r="J20" s="92">
        <v>846.75</v>
      </c>
      <c r="K20" s="92">
        <f t="shared" si="0"/>
        <v>2274497.7665249999</v>
      </c>
      <c r="L20" s="93">
        <v>2008</v>
      </c>
      <c r="O20" s="386"/>
      <c r="P20" s="91">
        <f>2706.7257-20.5754</f>
        <v>2686.1502999999998</v>
      </c>
      <c r="Q20" s="92">
        <v>846.75</v>
      </c>
      <c r="R20" s="92">
        <f t="shared" si="1"/>
        <v>2274497.7665249999</v>
      </c>
      <c r="S20" s="93">
        <v>2008</v>
      </c>
      <c r="W20" s="386"/>
      <c r="X20" s="91">
        <f>2706.7257-20.5754</f>
        <v>2686.1502999999998</v>
      </c>
      <c r="Y20" s="92">
        <v>846.75</v>
      </c>
      <c r="Z20" s="92">
        <f t="shared" si="2"/>
        <v>2274497.7665249999</v>
      </c>
      <c r="AA20" s="93">
        <v>2008</v>
      </c>
      <c r="AE20" s="438"/>
      <c r="AF20" s="91">
        <f>2706.7257-20.5754</f>
        <v>2686.1502999999998</v>
      </c>
      <c r="AG20" s="92">
        <v>846.75</v>
      </c>
      <c r="AH20" s="92">
        <f t="shared" si="3"/>
        <v>2274497.7665249999</v>
      </c>
      <c r="AI20" s="93">
        <v>2008</v>
      </c>
    </row>
    <row r="21" spans="2:35" x14ac:dyDescent="0.35">
      <c r="B21" s="87" t="s">
        <v>39</v>
      </c>
      <c r="C21" s="88">
        <f>5523930+10635</f>
        <v>5534565</v>
      </c>
      <c r="D21" s="96"/>
      <c r="E21" s="97" t="s">
        <v>118</v>
      </c>
      <c r="H21" s="386"/>
      <c r="I21" s="91"/>
      <c r="J21" s="92">
        <v>1527.1</v>
      </c>
      <c r="K21" s="92">
        <f t="shared" si="0"/>
        <v>0</v>
      </c>
      <c r="L21" s="104" t="s">
        <v>113</v>
      </c>
      <c r="O21" s="386"/>
      <c r="P21" s="91">
        <f>668.4836-48.1355-620.3481</f>
        <v>0</v>
      </c>
      <c r="Q21" s="92">
        <v>1527.1</v>
      </c>
      <c r="R21" s="92">
        <f t="shared" si="1"/>
        <v>0</v>
      </c>
      <c r="S21" s="104" t="s">
        <v>113</v>
      </c>
      <c r="W21" s="386"/>
      <c r="X21" s="91">
        <v>20500</v>
      </c>
      <c r="Y21" s="92">
        <v>1527.1</v>
      </c>
      <c r="Z21" s="92">
        <f t="shared" si="2"/>
        <v>31305549.999999996</v>
      </c>
      <c r="AA21" s="104" t="s">
        <v>113</v>
      </c>
      <c r="AE21" s="438"/>
      <c r="AF21" s="91">
        <v>10300</v>
      </c>
      <c r="AG21" s="92">
        <v>1527.1</v>
      </c>
      <c r="AH21" s="92">
        <f t="shared" si="3"/>
        <v>15729129.999999998</v>
      </c>
      <c r="AI21" s="104" t="s">
        <v>113</v>
      </c>
    </row>
    <row r="22" spans="2:35" x14ac:dyDescent="0.35">
      <c r="B22" s="87" t="s">
        <v>103</v>
      </c>
      <c r="C22" s="88">
        <v>-471640</v>
      </c>
      <c r="D22" s="96"/>
      <c r="E22" s="97" t="s">
        <v>118</v>
      </c>
      <c r="H22" s="386"/>
      <c r="I22" s="91"/>
      <c r="J22" s="103"/>
      <c r="K22" s="92">
        <f t="shared" si="0"/>
        <v>0</v>
      </c>
      <c r="O22" s="386"/>
      <c r="P22" s="91"/>
      <c r="Q22" s="103"/>
      <c r="R22" s="92">
        <f t="shared" si="1"/>
        <v>0</v>
      </c>
      <c r="W22" s="386"/>
      <c r="X22" s="91"/>
      <c r="Y22" s="103"/>
      <c r="Z22" s="92">
        <f t="shared" si="2"/>
        <v>0</v>
      </c>
      <c r="AE22" s="438"/>
      <c r="AF22" s="91"/>
      <c r="AG22" s="103"/>
      <c r="AH22" s="92">
        <f t="shared" si="3"/>
        <v>0</v>
      </c>
    </row>
    <row r="23" spans="2:35" ht="15" thickBot="1" x14ac:dyDescent="0.4">
      <c r="B23" s="99" t="s">
        <v>41</v>
      </c>
      <c r="C23" s="100">
        <f>SUM(C18:C22)</f>
        <v>836072</v>
      </c>
      <c r="D23" s="101"/>
      <c r="E23" s="102" t="str">
        <f>B3</f>
        <v>Date as of : 11.25.2020</v>
      </c>
      <c r="H23" s="386"/>
      <c r="I23" s="106"/>
      <c r="J23" s="92"/>
      <c r="K23" s="92"/>
      <c r="L23" s="93"/>
      <c r="O23" s="386"/>
      <c r="P23" s="106"/>
      <c r="Q23" s="92"/>
      <c r="R23" s="92"/>
      <c r="S23" s="93"/>
      <c r="W23" s="386"/>
      <c r="X23" s="106"/>
      <c r="Y23" s="92"/>
      <c r="Z23" s="92"/>
      <c r="AA23" s="93"/>
      <c r="AE23" s="438"/>
      <c r="AF23" s="106"/>
      <c r="AG23" s="92"/>
      <c r="AH23" s="92"/>
      <c r="AI23" s="93"/>
    </row>
    <row r="24" spans="2:35" ht="15" thickBot="1" x14ac:dyDescent="0.4">
      <c r="B24" s="388" t="s">
        <v>125</v>
      </c>
      <c r="C24" s="389"/>
      <c r="D24" s="389"/>
      <c r="E24" s="390"/>
      <c r="H24" s="387"/>
      <c r="I24" s="108">
        <f>SUM(I18:I23)</f>
        <v>11562.909299999999</v>
      </c>
      <c r="J24" s="92"/>
      <c r="K24" s="109">
        <f>SUM(K18:K23)</f>
        <v>7839519.6375750005</v>
      </c>
      <c r="L24" s="93"/>
      <c r="O24" s="387"/>
      <c r="P24" s="108">
        <f>SUM(P18:P23)</f>
        <v>11562.909299999999</v>
      </c>
      <c r="Q24" s="92"/>
      <c r="R24" s="109">
        <f>SUM(R18:R23)</f>
        <v>7839519.6375750005</v>
      </c>
      <c r="S24" s="93"/>
      <c r="W24" s="387"/>
      <c r="X24" s="108">
        <f>SUM(X18:X23)</f>
        <v>32062.909299999999</v>
      </c>
      <c r="Y24" s="92"/>
      <c r="Z24" s="109">
        <f>SUM(Z18:Z23)</f>
        <v>39145069.637575001</v>
      </c>
      <c r="AA24" s="93"/>
      <c r="AE24" s="387"/>
      <c r="AF24" s="108">
        <f>SUM(AF18:AF23)</f>
        <v>21862.909299999999</v>
      </c>
      <c r="AG24" s="92"/>
      <c r="AH24" s="109">
        <f>SUM(AH18:AH23)</f>
        <v>23568649.637575001</v>
      </c>
      <c r="AI24" s="93"/>
    </row>
    <row r="25" spans="2:35" ht="15" thickTop="1" x14ac:dyDescent="0.35">
      <c r="B25" s="388" t="s">
        <v>126</v>
      </c>
      <c r="C25" s="389"/>
      <c r="D25" s="389"/>
      <c r="E25" s="390"/>
      <c r="I25" s="56"/>
      <c r="J25" s="115"/>
      <c r="L25" s="93"/>
      <c r="P25" s="56"/>
      <c r="Q25" s="115"/>
      <c r="S25" s="93"/>
      <c r="X25" s="56"/>
      <c r="Y25" s="115"/>
      <c r="AA25" s="93"/>
      <c r="AF25" s="56"/>
      <c r="AG25" s="115"/>
      <c r="AI25" s="93"/>
    </row>
    <row r="26" spans="2:35" ht="15" customHeight="1" x14ac:dyDescent="0.35">
      <c r="B26" s="391" t="s">
        <v>127</v>
      </c>
      <c r="C26" s="392"/>
      <c r="D26" s="392"/>
      <c r="E26" s="393"/>
      <c r="H26" s="394" t="s">
        <v>47</v>
      </c>
      <c r="I26" s="116">
        <v>981664.58790000004</v>
      </c>
      <c r="J26" s="233">
        <v>8.83</v>
      </c>
      <c r="K26" s="118">
        <f t="shared" ref="K26:K31" si="4">+I26*J26</f>
        <v>8668098.3111570012</v>
      </c>
      <c r="L26" s="93">
        <v>2005</v>
      </c>
      <c r="O26" s="394" t="s">
        <v>47</v>
      </c>
      <c r="P26" s="116">
        <v>981664.58790000004</v>
      </c>
      <c r="Q26" s="233">
        <v>8.83</v>
      </c>
      <c r="R26" s="118">
        <f t="shared" ref="R26:R31" si="5">+P26*Q26</f>
        <v>8668098.3111570012</v>
      </c>
      <c r="S26" s="93">
        <v>2005</v>
      </c>
      <c r="W26" s="394" t="s">
        <v>47</v>
      </c>
      <c r="X26" s="116">
        <v>981664.58790000004</v>
      </c>
      <c r="Y26" s="233">
        <v>8.83</v>
      </c>
      <c r="Z26" s="118">
        <f t="shared" ref="Z26:Z31" si="6">+X26*Y26</f>
        <v>8668098.3111570012</v>
      </c>
      <c r="AA26" s="93">
        <v>2005</v>
      </c>
      <c r="AE26" s="433" t="s">
        <v>47</v>
      </c>
      <c r="AF26" s="116">
        <v>981664.58790000004</v>
      </c>
      <c r="AG26" s="233">
        <v>8.83</v>
      </c>
      <c r="AH26" s="118">
        <f t="shared" ref="AH26:AH31" si="7">+AF26*AG26</f>
        <v>8668098.3111570012</v>
      </c>
      <c r="AI26" s="93">
        <v>2005</v>
      </c>
    </row>
    <row r="27" spans="2:35" ht="15" thickBot="1" x14ac:dyDescent="0.4">
      <c r="B27" s="396" t="s">
        <v>124</v>
      </c>
      <c r="C27" s="397"/>
      <c r="D27" s="397"/>
      <c r="E27" s="398"/>
      <c r="H27" s="395"/>
      <c r="I27" s="116">
        <v>649.01480000000004</v>
      </c>
      <c r="J27" s="233">
        <v>14.93</v>
      </c>
      <c r="K27" s="118">
        <f t="shared" si="4"/>
        <v>9689.7909639999998</v>
      </c>
      <c r="L27" s="93">
        <v>2008</v>
      </c>
      <c r="O27" s="395"/>
      <c r="P27" s="116">
        <v>649.01480000000004</v>
      </c>
      <c r="Q27" s="233">
        <v>14.93</v>
      </c>
      <c r="R27" s="118">
        <f t="shared" si="5"/>
        <v>9689.7909639999998</v>
      </c>
      <c r="S27" s="93">
        <v>2008</v>
      </c>
      <c r="W27" s="395"/>
      <c r="X27" s="116">
        <v>649.01480000000004</v>
      </c>
      <c r="Y27" s="233">
        <v>14.93</v>
      </c>
      <c r="Z27" s="118">
        <f t="shared" si="6"/>
        <v>9689.7909639999998</v>
      </c>
      <c r="AA27" s="93">
        <v>2008</v>
      </c>
      <c r="AE27" s="434"/>
      <c r="AF27" s="116">
        <v>649.01480000000004</v>
      </c>
      <c r="AG27" s="233">
        <v>14.93</v>
      </c>
      <c r="AH27" s="118">
        <f t="shared" si="7"/>
        <v>9689.7909639999998</v>
      </c>
      <c r="AI27" s="93">
        <v>2008</v>
      </c>
    </row>
    <row r="28" spans="2:35" ht="15" thickBot="1" x14ac:dyDescent="0.4">
      <c r="B28" s="93"/>
      <c r="C28" s="93"/>
      <c r="D28" s="93"/>
      <c r="E28" s="93"/>
      <c r="H28" s="395"/>
      <c r="I28" s="122">
        <f>213803.7135</f>
        <v>213803.71350000001</v>
      </c>
      <c r="J28" s="233">
        <v>11.08</v>
      </c>
      <c r="K28" s="118">
        <f t="shared" si="4"/>
        <v>2368945.1455800002</v>
      </c>
      <c r="L28" s="93">
        <v>2009</v>
      </c>
      <c r="O28" s="395"/>
      <c r="P28" s="122">
        <f>213803.7135</f>
        <v>213803.71350000001</v>
      </c>
      <c r="Q28" s="233">
        <v>11.08</v>
      </c>
      <c r="R28" s="118">
        <f t="shared" si="5"/>
        <v>2368945.1455800002</v>
      </c>
      <c r="S28" s="93">
        <v>2009</v>
      </c>
      <c r="W28" s="395"/>
      <c r="X28" s="122">
        <f>213803.7135</f>
        <v>213803.71350000001</v>
      </c>
      <c r="Y28" s="233">
        <v>11.08</v>
      </c>
      <c r="Z28" s="118">
        <f t="shared" si="6"/>
        <v>2368945.1455800002</v>
      </c>
      <c r="AA28" s="93">
        <v>2009</v>
      </c>
      <c r="AE28" s="434"/>
      <c r="AF28" s="122">
        <f>213803.7135</f>
        <v>213803.71350000001</v>
      </c>
      <c r="AG28" s="233">
        <v>11.08</v>
      </c>
      <c r="AH28" s="118">
        <f t="shared" si="7"/>
        <v>2368945.1455800002</v>
      </c>
      <c r="AI28" s="93">
        <v>2009</v>
      </c>
    </row>
    <row r="29" spans="2:35" ht="15" thickBot="1" x14ac:dyDescent="0.4">
      <c r="B29" s="119" t="s">
        <v>48</v>
      </c>
      <c r="C29" s="120" t="str">
        <f>MID(B3,13,15)</f>
        <v xml:space="preserve"> 11.25.2020</v>
      </c>
      <c r="D29" s="120"/>
      <c r="E29" s="121">
        <v>29940634.579999998</v>
      </c>
      <c r="H29" s="395"/>
      <c r="I29" s="122">
        <f>1249196.5802-72195.341</f>
        <v>1177001.2392</v>
      </c>
      <c r="J29" s="233">
        <v>14</v>
      </c>
      <c r="K29" s="118">
        <f t="shared" si="4"/>
        <v>16478017.3488</v>
      </c>
      <c r="L29" s="93">
        <v>2016</v>
      </c>
      <c r="O29" s="395"/>
      <c r="P29" s="122">
        <f>1249196.5802-72195.341</f>
        <v>1177001.2392</v>
      </c>
      <c r="Q29" s="233">
        <v>14</v>
      </c>
      <c r="R29" s="118">
        <f t="shared" si="5"/>
        <v>16478017.3488</v>
      </c>
      <c r="S29" s="93">
        <v>2016</v>
      </c>
      <c r="W29" s="395"/>
      <c r="X29" s="122">
        <f>1249196.5802-72195.341</f>
        <v>1177001.2392</v>
      </c>
      <c r="Y29" s="233">
        <v>14</v>
      </c>
      <c r="Z29" s="118">
        <f t="shared" si="6"/>
        <v>16478017.3488</v>
      </c>
      <c r="AA29" s="93">
        <v>2016</v>
      </c>
      <c r="AE29" s="434"/>
      <c r="AF29" s="122">
        <v>1177001.2392</v>
      </c>
      <c r="AG29" s="233">
        <v>14</v>
      </c>
      <c r="AH29" s="118">
        <f t="shared" si="7"/>
        <v>16478017.3488</v>
      </c>
      <c r="AI29" s="93">
        <v>2016</v>
      </c>
    </row>
    <row r="30" spans="2:35" x14ac:dyDescent="0.35">
      <c r="B30" s="93"/>
      <c r="C30" s="93"/>
      <c r="D30" s="93"/>
      <c r="E30" s="93" t="s">
        <v>104</v>
      </c>
      <c r="H30" s="395"/>
      <c r="I30" s="122">
        <v>1047351.461</v>
      </c>
      <c r="J30" s="234">
        <v>15.44</v>
      </c>
      <c r="K30" s="118">
        <f t="shared" si="4"/>
        <v>16171106.557839999</v>
      </c>
      <c r="L30" s="104" t="s">
        <v>42</v>
      </c>
      <c r="O30" s="395"/>
      <c r="P30" s="122">
        <v>1047351.461</v>
      </c>
      <c r="Q30" s="234">
        <v>15.44</v>
      </c>
      <c r="R30" s="118">
        <f t="shared" si="5"/>
        <v>16171106.557839999</v>
      </c>
      <c r="S30" s="104" t="s">
        <v>42</v>
      </c>
      <c r="W30" s="395"/>
      <c r="X30" s="122">
        <v>1047351.461</v>
      </c>
      <c r="Y30" s="234">
        <v>15.44</v>
      </c>
      <c r="Z30" s="118">
        <f t="shared" si="6"/>
        <v>16171106.557839999</v>
      </c>
      <c r="AA30" s="104" t="s">
        <v>42</v>
      </c>
      <c r="AE30" s="434"/>
      <c r="AF30" s="122">
        <v>1047351.461</v>
      </c>
      <c r="AG30" s="234">
        <v>15.44</v>
      </c>
      <c r="AH30" s="118">
        <f t="shared" si="7"/>
        <v>16171106.557839999</v>
      </c>
      <c r="AI30" s="104" t="s">
        <v>42</v>
      </c>
    </row>
    <row r="31" spans="2:35" ht="15" thickBot="1" x14ac:dyDescent="0.4">
      <c r="B31" s="93"/>
      <c r="C31" s="93"/>
      <c r="D31" s="93"/>
      <c r="E31" s="123"/>
      <c r="H31" s="395"/>
      <c r="I31" s="122">
        <v>0</v>
      </c>
      <c r="J31" s="234">
        <v>17.925000000000001</v>
      </c>
      <c r="K31" s="118">
        <f t="shared" si="4"/>
        <v>0</v>
      </c>
      <c r="L31" s="104" t="s">
        <v>113</v>
      </c>
      <c r="O31" s="395"/>
      <c r="P31" s="122">
        <f>1700000-125000</f>
        <v>1575000</v>
      </c>
      <c r="Q31" s="234">
        <v>17.925000000000001</v>
      </c>
      <c r="R31" s="118">
        <f t="shared" si="5"/>
        <v>28231875</v>
      </c>
      <c r="S31" s="104" t="s">
        <v>113</v>
      </c>
      <c r="W31" s="395"/>
      <c r="X31" s="122">
        <v>0</v>
      </c>
      <c r="Y31" s="234">
        <v>17.925000000000001</v>
      </c>
      <c r="Z31" s="118">
        <f t="shared" si="6"/>
        <v>0</v>
      </c>
      <c r="AA31" s="104" t="s">
        <v>113</v>
      </c>
      <c r="AE31" s="434"/>
      <c r="AF31" s="122">
        <v>796500</v>
      </c>
      <c r="AG31" s="234">
        <v>17.925000000000001</v>
      </c>
      <c r="AH31" s="118">
        <f t="shared" si="7"/>
        <v>14277262.5</v>
      </c>
      <c r="AI31" s="104" t="s">
        <v>113</v>
      </c>
    </row>
    <row r="32" spans="2:35" ht="15" thickBot="1" x14ac:dyDescent="0.4">
      <c r="B32" s="399" t="s">
        <v>49</v>
      </c>
      <c r="C32" s="400"/>
      <c r="D32" s="400"/>
      <c r="E32" s="401"/>
      <c r="H32" s="395"/>
      <c r="I32" s="125">
        <f>SUM(I26:I31)</f>
        <v>3420470.0164000001</v>
      </c>
      <c r="J32" s="126"/>
      <c r="K32" s="127">
        <f>SUM(K26:K31)</f>
        <v>43695857.154340997</v>
      </c>
      <c r="L32" s="93"/>
      <c r="O32" s="395"/>
      <c r="P32" s="125">
        <f>SUM(P26:P31)</f>
        <v>4995470.0164000001</v>
      </c>
      <c r="Q32" s="126"/>
      <c r="R32" s="127">
        <f>SUM(R26:R31)</f>
        <v>71927732.154340997</v>
      </c>
      <c r="S32" s="93"/>
      <c r="W32" s="395"/>
      <c r="X32" s="125">
        <f>SUM(X26:X31)</f>
        <v>3420470.0164000001</v>
      </c>
      <c r="Y32" s="126"/>
      <c r="Z32" s="127">
        <f>SUM(Z26:Z31)</f>
        <v>43695857.154340997</v>
      </c>
      <c r="AA32" s="93"/>
      <c r="AE32" s="435"/>
      <c r="AF32" s="125">
        <f>SUM(AF26:AF31)</f>
        <v>4216970.0164000001</v>
      </c>
      <c r="AG32" s="126"/>
      <c r="AH32" s="127">
        <f>SUM(AH26:AH31)</f>
        <v>57973119.654340997</v>
      </c>
      <c r="AI32" s="93"/>
    </row>
    <row r="33" spans="2:35" ht="15" thickTop="1" x14ac:dyDescent="0.35">
      <c r="B33" s="402"/>
      <c r="C33" s="436"/>
      <c r="D33" s="436"/>
      <c r="E33" s="404"/>
      <c r="I33" s="131"/>
      <c r="K33" s="132"/>
      <c r="L33" s="93"/>
      <c r="P33" s="131"/>
      <c r="R33" s="132"/>
      <c r="S33" s="93"/>
      <c r="X33" s="131"/>
      <c r="Z33" s="132"/>
      <c r="AA33" s="93"/>
      <c r="AF33" s="131"/>
      <c r="AH33" s="132"/>
      <c r="AI33" s="93"/>
    </row>
    <row r="34" spans="2:35" ht="15" thickBot="1" x14ac:dyDescent="0.4">
      <c r="B34" s="405"/>
      <c r="C34" s="406"/>
      <c r="D34" s="406"/>
      <c r="E34" s="407"/>
      <c r="H34" s="408" t="s">
        <v>51</v>
      </c>
      <c r="I34" s="134">
        <v>0</v>
      </c>
      <c r="J34" s="135"/>
      <c r="K34" s="136">
        <f>+I34*J34</f>
        <v>0</v>
      </c>
      <c r="L34" s="93"/>
      <c r="O34" s="408" t="s">
        <v>51</v>
      </c>
      <c r="P34" s="134">
        <v>0</v>
      </c>
      <c r="Q34" s="135"/>
      <c r="R34" s="136">
        <f>+P34*Q34</f>
        <v>0</v>
      </c>
      <c r="S34" s="93"/>
      <c r="W34" s="408" t="s">
        <v>51</v>
      </c>
      <c r="X34" s="134">
        <v>0</v>
      </c>
      <c r="Y34" s="135"/>
      <c r="Z34" s="136">
        <f>+X34*Y34</f>
        <v>0</v>
      </c>
      <c r="AA34" s="93"/>
      <c r="AE34" s="408" t="s">
        <v>51</v>
      </c>
      <c r="AF34" s="134">
        <v>0</v>
      </c>
      <c r="AG34" s="135"/>
      <c r="AH34" s="136">
        <f>+AF34*AG34</f>
        <v>0</v>
      </c>
      <c r="AI34" s="93"/>
    </row>
    <row r="35" spans="2:35" x14ac:dyDescent="0.35">
      <c r="B35" s="350" t="s">
        <v>35</v>
      </c>
      <c r="C35" s="351"/>
      <c r="D35" s="351"/>
      <c r="E35" s="352"/>
      <c r="H35" s="409"/>
      <c r="I35" s="137">
        <v>0</v>
      </c>
      <c r="J35" s="135"/>
      <c r="K35" s="136">
        <f>+I35*J35</f>
        <v>0</v>
      </c>
      <c r="L35" s="93"/>
      <c r="O35" s="409"/>
      <c r="P35" s="137">
        <v>0</v>
      </c>
      <c r="Q35" s="135"/>
      <c r="R35" s="136">
        <f>+P35*Q35</f>
        <v>0</v>
      </c>
      <c r="S35" s="93"/>
      <c r="W35" s="409"/>
      <c r="X35" s="137">
        <v>0</v>
      </c>
      <c r="Y35" s="135"/>
      <c r="Z35" s="136">
        <f>+X35*Y35</f>
        <v>0</v>
      </c>
      <c r="AA35" s="93"/>
      <c r="AE35" s="409"/>
      <c r="AF35" s="137">
        <v>0</v>
      </c>
      <c r="AG35" s="135"/>
      <c r="AH35" s="136">
        <f>+AF35*AG35</f>
        <v>0</v>
      </c>
      <c r="AI35" s="93"/>
    </row>
    <row r="36" spans="2:35" x14ac:dyDescent="0.35">
      <c r="B36" s="353"/>
      <c r="C36" s="354"/>
      <c r="D36" s="354"/>
      <c r="E36" s="355"/>
      <c r="H36" s="409"/>
      <c r="I36" s="137">
        <v>0</v>
      </c>
      <c r="J36" s="135"/>
      <c r="K36" s="136">
        <f>+I36*J36</f>
        <v>0</v>
      </c>
      <c r="L36" s="93"/>
      <c r="O36" s="409"/>
      <c r="P36" s="137">
        <v>0</v>
      </c>
      <c r="Q36" s="135"/>
      <c r="R36" s="136">
        <f>+P36*Q36</f>
        <v>0</v>
      </c>
      <c r="S36" s="93"/>
      <c r="W36" s="409"/>
      <c r="X36" s="137">
        <v>0</v>
      </c>
      <c r="Y36" s="135"/>
      <c r="Z36" s="136">
        <f>+X36*Y36</f>
        <v>0</v>
      </c>
      <c r="AA36" s="93"/>
      <c r="AE36" s="409"/>
      <c r="AF36" s="137">
        <v>0</v>
      </c>
      <c r="AG36" s="135"/>
      <c r="AH36" s="136">
        <f>+AF36*AG36</f>
        <v>0</v>
      </c>
      <c r="AI36" s="93"/>
    </row>
    <row r="37" spans="2:35" ht="15" thickBot="1" x14ac:dyDescent="0.4">
      <c r="B37" s="356"/>
      <c r="C37" s="357"/>
      <c r="D37" s="357"/>
      <c r="E37" s="358"/>
      <c r="H37" s="409"/>
      <c r="I37" s="138"/>
      <c r="J37" s="139"/>
      <c r="K37" s="136"/>
      <c r="L37" s="104" t="s">
        <v>42</v>
      </c>
      <c r="O37" s="409"/>
      <c r="P37" s="138"/>
      <c r="Q37" s="139"/>
      <c r="R37" s="136"/>
      <c r="S37" s="104" t="s">
        <v>42</v>
      </c>
      <c r="W37" s="409"/>
      <c r="X37" s="138"/>
      <c r="Y37" s="139"/>
      <c r="Z37" s="136"/>
      <c r="AA37" s="104" t="s">
        <v>42</v>
      </c>
      <c r="AE37" s="409"/>
      <c r="AF37" s="138"/>
      <c r="AG37" s="139"/>
      <c r="AH37" s="136"/>
      <c r="AI37" s="104" t="s">
        <v>42</v>
      </c>
    </row>
    <row r="38" spans="2:35" x14ac:dyDescent="0.35">
      <c r="H38" s="409"/>
      <c r="I38" s="138"/>
      <c r="J38" s="135"/>
      <c r="K38" s="136"/>
      <c r="L38" s="93"/>
      <c r="O38" s="409"/>
      <c r="P38" s="138"/>
      <c r="Q38" s="135"/>
      <c r="R38" s="136"/>
      <c r="S38" s="93"/>
      <c r="W38" s="409"/>
      <c r="X38" s="138"/>
      <c r="Y38" s="135"/>
      <c r="Z38" s="136"/>
      <c r="AA38" s="93"/>
      <c r="AE38" s="409"/>
      <c r="AF38" s="138"/>
      <c r="AG38" s="135"/>
      <c r="AH38" s="136"/>
      <c r="AI38" s="93"/>
    </row>
    <row r="39" spans="2:35" ht="15" thickBot="1" x14ac:dyDescent="0.4">
      <c r="H39" s="410"/>
      <c r="I39" s="140">
        <f>SUM(I34:I38)</f>
        <v>0</v>
      </c>
      <c r="J39" s="136"/>
      <c r="K39" s="141">
        <f>SUM(K34:K38)</f>
        <v>0</v>
      </c>
      <c r="L39" s="93"/>
      <c r="O39" s="410"/>
      <c r="P39" s="140">
        <f>SUM(P34:P38)</f>
        <v>0</v>
      </c>
      <c r="Q39" s="136"/>
      <c r="R39" s="141">
        <f>SUM(R34:R38)</f>
        <v>0</v>
      </c>
      <c r="S39" s="93"/>
      <c r="W39" s="410"/>
      <c r="X39" s="140">
        <f>SUM(X34:X38)</f>
        <v>0</v>
      </c>
      <c r="Y39" s="136"/>
      <c r="Z39" s="141">
        <f>SUM(Z34:Z38)</f>
        <v>0</v>
      </c>
      <c r="AA39" s="93"/>
      <c r="AE39" s="410"/>
      <c r="AF39" s="140">
        <f>SUM(AF34:AF38)</f>
        <v>0</v>
      </c>
      <c r="AG39" s="136"/>
      <c r="AH39" s="141">
        <f>SUM(AH34:AH38)</f>
        <v>0</v>
      </c>
      <c r="AI39" s="93"/>
    </row>
    <row r="40" spans="2:35" ht="15" thickTop="1" x14ac:dyDescent="0.35">
      <c r="D40" s="222" t="s">
        <v>129</v>
      </c>
      <c r="E40" s="223">
        <v>84021254.26466918</v>
      </c>
      <c r="I40" s="131"/>
      <c r="J40" s="145"/>
      <c r="K40" s="132"/>
      <c r="L40" s="93"/>
      <c r="P40" s="131"/>
      <c r="Q40" s="145"/>
      <c r="R40" s="132"/>
      <c r="S40" s="93"/>
      <c r="X40" s="131"/>
      <c r="Y40" s="145"/>
      <c r="Z40" s="132"/>
      <c r="AA40" s="93"/>
      <c r="AF40" s="131"/>
      <c r="AG40" s="145"/>
      <c r="AH40" s="132"/>
      <c r="AI40" s="93"/>
    </row>
    <row r="41" spans="2:35" x14ac:dyDescent="0.35">
      <c r="D41" s="222" t="s">
        <v>130</v>
      </c>
      <c r="E41" s="223">
        <v>60636464.780000001</v>
      </c>
      <c r="H41" s="359" t="s">
        <v>53</v>
      </c>
      <c r="I41" s="146">
        <v>517.16899999999998</v>
      </c>
      <c r="J41" s="147">
        <v>1267</v>
      </c>
      <c r="K41" s="148">
        <f>+I41*J41</f>
        <v>655253.12300000002</v>
      </c>
      <c r="L41" s="104" t="s">
        <v>42</v>
      </c>
      <c r="O41" s="359" t="s">
        <v>53</v>
      </c>
      <c r="P41" s="146">
        <v>517.16899999999998</v>
      </c>
      <c r="Q41" s="147">
        <v>1267</v>
      </c>
      <c r="R41" s="148">
        <f>+P41*Q41</f>
        <v>655253.12300000002</v>
      </c>
      <c r="S41" s="104" t="s">
        <v>42</v>
      </c>
      <c r="W41" s="359" t="s">
        <v>53</v>
      </c>
      <c r="X41" s="146">
        <v>517.16899999999998</v>
      </c>
      <c r="Y41" s="147">
        <v>1267</v>
      </c>
      <c r="Z41" s="148">
        <f>+X41*Y41</f>
        <v>655253.12300000002</v>
      </c>
      <c r="AA41" s="104" t="s">
        <v>42</v>
      </c>
      <c r="AE41" s="359" t="s">
        <v>53</v>
      </c>
      <c r="AF41" s="146">
        <v>517.16899999999998</v>
      </c>
      <c r="AG41" s="147">
        <v>1267</v>
      </c>
      <c r="AH41" s="148">
        <f>+AF41*AG41</f>
        <v>655253.12300000002</v>
      </c>
      <c r="AI41" s="104" t="s">
        <v>42</v>
      </c>
    </row>
    <row r="42" spans="2:35" x14ac:dyDescent="0.35">
      <c r="D42" s="222" t="s">
        <v>131</v>
      </c>
      <c r="E42" s="223">
        <v>23384789.484669179</v>
      </c>
      <c r="H42" s="360"/>
      <c r="I42" s="146"/>
      <c r="J42" s="149"/>
      <c r="K42" s="148">
        <f>+I42*J42</f>
        <v>0</v>
      </c>
      <c r="L42" s="93"/>
      <c r="O42" s="360"/>
      <c r="P42" s="146"/>
      <c r="Q42" s="149"/>
      <c r="R42" s="148">
        <f>+P42*Q42</f>
        <v>0</v>
      </c>
      <c r="S42" s="93"/>
      <c r="W42" s="360"/>
      <c r="X42" s="146"/>
      <c r="Y42" s="149"/>
      <c r="Z42" s="148">
        <f>+X42*Y42</f>
        <v>0</v>
      </c>
      <c r="AA42" s="93"/>
      <c r="AE42" s="360"/>
      <c r="AF42" s="146"/>
      <c r="AG42" s="149"/>
      <c r="AH42" s="148">
        <f>+AF42*AG42</f>
        <v>0</v>
      </c>
      <c r="AI42" s="93"/>
    </row>
    <row r="43" spans="2:35" x14ac:dyDescent="0.35">
      <c r="D43" s="222" t="s">
        <v>132</v>
      </c>
      <c r="E43" s="223">
        <v>25000000</v>
      </c>
      <c r="H43" s="360"/>
      <c r="I43" s="150"/>
      <c r="J43" s="151"/>
      <c r="K43" s="148">
        <f>+I43*J43</f>
        <v>0</v>
      </c>
      <c r="L43" s="93"/>
      <c r="O43" s="360"/>
      <c r="P43" s="150"/>
      <c r="Q43" s="151"/>
      <c r="R43" s="148">
        <f>+P43*Q43</f>
        <v>0</v>
      </c>
      <c r="S43" s="93"/>
      <c r="W43" s="360"/>
      <c r="X43" s="150"/>
      <c r="Y43" s="151"/>
      <c r="Z43" s="148">
        <f>+X43*Y43</f>
        <v>0</v>
      </c>
      <c r="AA43" s="93"/>
      <c r="AE43" s="360"/>
      <c r="AF43" s="150"/>
      <c r="AG43" s="151"/>
      <c r="AH43" s="148">
        <f>+AF43*AG43</f>
        <v>0</v>
      </c>
      <c r="AI43" s="93"/>
    </row>
    <row r="44" spans="2:35" x14ac:dyDescent="0.35">
      <c r="D44" s="222" t="s">
        <v>133</v>
      </c>
      <c r="E44" s="223">
        <v>48384789.484669201</v>
      </c>
      <c r="H44" s="360"/>
      <c r="I44" s="152">
        <v>0</v>
      </c>
      <c r="J44" s="151"/>
      <c r="K44" s="148">
        <f>+I44*J44</f>
        <v>0</v>
      </c>
      <c r="L44" s="93"/>
      <c r="O44" s="360"/>
      <c r="P44" s="152">
        <v>0</v>
      </c>
      <c r="Q44" s="151"/>
      <c r="R44" s="148">
        <f>+P44*Q44</f>
        <v>0</v>
      </c>
      <c r="S44" s="93"/>
      <c r="W44" s="360"/>
      <c r="X44" s="152">
        <v>0</v>
      </c>
      <c r="Y44" s="151"/>
      <c r="Z44" s="148">
        <f>+X44*Y44</f>
        <v>0</v>
      </c>
      <c r="AA44" s="93"/>
      <c r="AE44" s="360"/>
      <c r="AF44" s="152">
        <v>0</v>
      </c>
      <c r="AG44" s="151"/>
      <c r="AH44" s="148">
        <f>+AF44*AG44</f>
        <v>0</v>
      </c>
      <c r="AI44" s="93"/>
    </row>
    <row r="45" spans="2:35" ht="15" thickBot="1" x14ac:dyDescent="0.4">
      <c r="E45" s="223"/>
      <c r="H45" s="361"/>
      <c r="I45" s="153">
        <f>SUM(I41:I44)</f>
        <v>517.16899999999998</v>
      </c>
      <c r="J45" s="148"/>
      <c r="K45" s="154">
        <f>SUM(K41:K44)</f>
        <v>655253.12300000002</v>
      </c>
      <c r="L45" s="93"/>
      <c r="O45" s="361"/>
      <c r="P45" s="153">
        <f>SUM(P41:P44)</f>
        <v>517.16899999999998</v>
      </c>
      <c r="Q45" s="148"/>
      <c r="R45" s="154">
        <f>SUM(R41:R44)</f>
        <v>655253.12300000002</v>
      </c>
      <c r="S45" s="93"/>
      <c r="W45" s="361"/>
      <c r="X45" s="153">
        <f>SUM(X41:X44)</f>
        <v>517.16899999999998</v>
      </c>
      <c r="Y45" s="148"/>
      <c r="Z45" s="154">
        <f>SUM(Z41:Z44)</f>
        <v>655253.12300000002</v>
      </c>
      <c r="AA45" s="93"/>
      <c r="AE45" s="361"/>
      <c r="AF45" s="153">
        <f>SUM(AF41:AF44)</f>
        <v>517.16899999999998</v>
      </c>
      <c r="AG45" s="148"/>
      <c r="AH45" s="154">
        <f>SUM(AH41:AH44)</f>
        <v>655253.12300000002</v>
      </c>
      <c r="AI45" s="93"/>
    </row>
    <row r="46" spans="2:35" ht="15" thickTop="1" x14ac:dyDescent="0.35">
      <c r="E46" s="223"/>
      <c r="I46" s="131"/>
      <c r="J46" s="132"/>
      <c r="K46" s="132"/>
      <c r="L46" s="93"/>
      <c r="P46" s="131"/>
      <c r="Q46" s="132"/>
      <c r="R46" s="132"/>
      <c r="S46" s="93"/>
      <c r="X46" s="131"/>
      <c r="Y46" s="132"/>
      <c r="Z46" s="132"/>
      <c r="AA46" s="93"/>
      <c r="AF46" s="131"/>
      <c r="AG46" s="132"/>
      <c r="AH46" s="132"/>
      <c r="AI46" s="93"/>
    </row>
    <row r="47" spans="2:35" x14ac:dyDescent="0.35">
      <c r="D47" s="222" t="s">
        <v>134</v>
      </c>
      <c r="E47" s="223">
        <v>107000000</v>
      </c>
      <c r="H47" s="432" t="s">
        <v>55</v>
      </c>
      <c r="I47" s="158">
        <v>72.56</v>
      </c>
      <c r="J47" s="159">
        <v>2300</v>
      </c>
      <c r="K47" s="160">
        <f>+I47*J47</f>
        <v>166888</v>
      </c>
      <c r="L47" s="104" t="s">
        <v>42</v>
      </c>
      <c r="O47" s="432" t="s">
        <v>55</v>
      </c>
      <c r="P47" s="158">
        <v>72.56</v>
      </c>
      <c r="Q47" s="159">
        <v>2300</v>
      </c>
      <c r="R47" s="160">
        <f>+P47*Q47</f>
        <v>166888</v>
      </c>
      <c r="S47" s="104" t="s">
        <v>42</v>
      </c>
      <c r="W47" s="432" t="s">
        <v>55</v>
      </c>
      <c r="X47" s="158">
        <v>72.56</v>
      </c>
      <c r="Y47" s="159">
        <v>2300</v>
      </c>
      <c r="Z47" s="160">
        <f>+X47*Y47</f>
        <v>166888</v>
      </c>
      <c r="AA47" s="104" t="s">
        <v>42</v>
      </c>
      <c r="AE47" s="432" t="s">
        <v>55</v>
      </c>
      <c r="AF47" s="158">
        <v>72.56</v>
      </c>
      <c r="AG47" s="159">
        <v>2300</v>
      </c>
      <c r="AH47" s="160">
        <f>+AF47*AG47</f>
        <v>166888</v>
      </c>
      <c r="AI47" s="104" t="s">
        <v>42</v>
      </c>
    </row>
    <row r="48" spans="2:35" x14ac:dyDescent="0.35">
      <c r="D48" s="222" t="s">
        <v>135</v>
      </c>
      <c r="E48" s="223">
        <f>E42</f>
        <v>23384789.484669179</v>
      </c>
      <c r="H48" s="432"/>
      <c r="I48" s="158"/>
      <c r="J48" s="160"/>
      <c r="K48" s="160">
        <f>+I48*J48</f>
        <v>0</v>
      </c>
      <c r="L48" s="93"/>
      <c r="O48" s="432"/>
      <c r="P48" s="158"/>
      <c r="Q48" s="160"/>
      <c r="R48" s="160">
        <f>+P48*Q48</f>
        <v>0</v>
      </c>
      <c r="S48" s="93"/>
      <c r="W48" s="432"/>
      <c r="X48" s="158"/>
      <c r="Y48" s="160"/>
      <c r="Z48" s="160">
        <f>+X48*Y48</f>
        <v>0</v>
      </c>
      <c r="AA48" s="93"/>
      <c r="AE48" s="432"/>
      <c r="AF48" s="158"/>
      <c r="AG48" s="160"/>
      <c r="AH48" s="160">
        <f>+AF48*AG48</f>
        <v>0</v>
      </c>
      <c r="AI48" s="93"/>
    </row>
    <row r="49" spans="1:35" ht="15" thickBot="1" x14ac:dyDescent="0.4">
      <c r="D49" s="222" t="s">
        <v>136</v>
      </c>
      <c r="E49" s="223">
        <v>25000000</v>
      </c>
      <c r="H49" s="432"/>
      <c r="I49" s="164">
        <f>SUM(I47:I48)</f>
        <v>72.56</v>
      </c>
      <c r="J49" s="160"/>
      <c r="K49" s="165">
        <f>SUM(K47:K48)</f>
        <v>166888</v>
      </c>
      <c r="L49" s="93"/>
      <c r="O49" s="432"/>
      <c r="P49" s="164">
        <f>SUM(P47:P48)</f>
        <v>72.56</v>
      </c>
      <c r="Q49" s="160"/>
      <c r="R49" s="165">
        <f>SUM(R47:R48)</f>
        <v>166888</v>
      </c>
      <c r="S49" s="93"/>
      <c r="W49" s="432"/>
      <c r="X49" s="164">
        <f>SUM(X47:X48)</f>
        <v>72.56</v>
      </c>
      <c r="Y49" s="160"/>
      <c r="Z49" s="165">
        <f>SUM(Z47:Z48)</f>
        <v>166888</v>
      </c>
      <c r="AA49" s="93"/>
      <c r="AE49" s="432"/>
      <c r="AF49" s="164">
        <f>SUM(AF47:AF48)</f>
        <v>72.56</v>
      </c>
      <c r="AG49" s="160"/>
      <c r="AH49" s="165">
        <f>SUM(AH47:AH48)</f>
        <v>166888</v>
      </c>
      <c r="AI49" s="93"/>
    </row>
    <row r="50" spans="1:35" ht="15" thickTop="1" x14ac:dyDescent="0.35">
      <c r="D50" s="222" t="s">
        <v>137</v>
      </c>
      <c r="E50" s="223">
        <f>E47-E48-E49</f>
        <v>58615210.515330821</v>
      </c>
      <c r="I50" s="170"/>
      <c r="J50" s="171"/>
      <c r="K50" s="68">
        <f>+K13</f>
        <v>914969.33</v>
      </c>
      <c r="L50" s="69" t="s">
        <v>26</v>
      </c>
      <c r="P50" s="170"/>
      <c r="Q50" s="171"/>
      <c r="R50" s="68">
        <f>+R13</f>
        <v>914969.33</v>
      </c>
      <c r="S50" s="69" t="s">
        <v>26</v>
      </c>
      <c r="X50" s="170"/>
      <c r="Y50" s="171"/>
      <c r="Z50" s="68">
        <f>+Z13</f>
        <v>914969.33</v>
      </c>
      <c r="AA50" s="69" t="s">
        <v>26</v>
      </c>
      <c r="AF50" s="170"/>
      <c r="AG50" s="171"/>
      <c r="AH50" s="68">
        <f>+AH13</f>
        <v>914969.33</v>
      </c>
      <c r="AI50" s="69" t="s">
        <v>26</v>
      </c>
    </row>
    <row r="51" spans="1:35" ht="15" thickBot="1" x14ac:dyDescent="0.4">
      <c r="D51" s="222"/>
      <c r="E51" s="223"/>
      <c r="I51" s="56" t="s">
        <v>30</v>
      </c>
      <c r="J51" s="132"/>
      <c r="K51" s="84">
        <f>+K24+K32+K39+K45+K50+K49</f>
        <v>53272487.244915999</v>
      </c>
      <c r="P51" s="56" t="s">
        <v>30</v>
      </c>
      <c r="Q51" s="132"/>
      <c r="R51" s="84">
        <f>+R24+R32+R39+R45+R50+R49</f>
        <v>81504362.244915992</v>
      </c>
      <c r="X51" s="56" t="s">
        <v>30</v>
      </c>
      <c r="Y51" s="132"/>
      <c r="Z51" s="84">
        <f>+Z24+Z32+Z39+Z45+Z50+Z49</f>
        <v>84578037.244915992</v>
      </c>
      <c r="AF51" s="56" t="s">
        <v>30</v>
      </c>
      <c r="AG51" s="132"/>
      <c r="AH51" s="84">
        <f>+AH24+AH32+AH39+AH45+AH50+AH49</f>
        <v>83278879.744915992</v>
      </c>
    </row>
    <row r="52" spans="1:35" ht="15" thickTop="1" x14ac:dyDescent="0.35">
      <c r="D52" s="222" t="s">
        <v>138</v>
      </c>
      <c r="E52" s="223">
        <v>100000000</v>
      </c>
      <c r="J52" s="132"/>
      <c r="K52" s="132"/>
      <c r="Q52" s="132"/>
      <c r="R52" s="132"/>
      <c r="Y52" s="132"/>
      <c r="Z52" s="132"/>
      <c r="AG52" s="132"/>
      <c r="AH52" s="132"/>
    </row>
    <row r="53" spans="1:35" ht="15" thickBot="1" x14ac:dyDescent="0.4">
      <c r="D53" s="222" t="s">
        <v>139</v>
      </c>
      <c r="E53" s="223">
        <f>E52-E50</f>
        <v>41384789.484669179</v>
      </c>
      <c r="I53" s="56" t="s">
        <v>56</v>
      </c>
      <c r="J53" s="132"/>
      <c r="K53" s="177">
        <f>+K15-K51</f>
        <v>52929552.583080001</v>
      </c>
      <c r="P53" s="56" t="s">
        <v>56</v>
      </c>
      <c r="Q53" s="132"/>
      <c r="R53" s="177">
        <f>+R15-R51</f>
        <v>61773146.183080047</v>
      </c>
      <c r="X53" s="56" t="s">
        <v>56</v>
      </c>
      <c r="Y53" s="132"/>
      <c r="Z53" s="177">
        <f>+Z15-Z51</f>
        <v>58847871.183080047</v>
      </c>
      <c r="AF53" s="56" t="s">
        <v>56</v>
      </c>
      <c r="AG53" s="132"/>
      <c r="AH53" s="177">
        <f>+AH15-AH51</f>
        <v>60375478.683080047</v>
      </c>
    </row>
    <row r="54" spans="1:35" ht="15.5" thickTop="1" thickBot="1" x14ac:dyDescent="0.4">
      <c r="D54" s="222"/>
      <c r="E54" s="193"/>
      <c r="J54" s="178"/>
      <c r="K54" s="179"/>
      <c r="Q54" s="178"/>
      <c r="R54" s="179"/>
      <c r="Y54" s="178"/>
      <c r="Z54" s="179"/>
      <c r="AG54" s="178"/>
      <c r="AH54" s="179"/>
    </row>
    <row r="55" spans="1:35" x14ac:dyDescent="0.35">
      <c r="A55" s="225"/>
      <c r="B55" s="226"/>
      <c r="C55" s="226"/>
      <c r="D55" s="227" t="s">
        <v>140</v>
      </c>
      <c r="E55" s="228">
        <f>E53/C8</f>
        <v>1758062.4250071868</v>
      </c>
      <c r="I55" s="180" t="s">
        <v>109</v>
      </c>
      <c r="J55" s="178"/>
      <c r="K55" s="181">
        <v>30081777.469999999</v>
      </c>
      <c r="P55" s="180" t="s">
        <v>109</v>
      </c>
      <c r="Q55" s="178"/>
      <c r="R55" s="181">
        <v>30081777.469999999</v>
      </c>
      <c r="X55" s="180" t="s">
        <v>109</v>
      </c>
      <c r="Y55" s="178"/>
      <c r="Z55" s="181">
        <v>30081777.469999999</v>
      </c>
      <c r="AF55" s="180" t="s">
        <v>109</v>
      </c>
      <c r="AG55" s="178"/>
      <c r="AH55" s="181">
        <v>30081777.469999999</v>
      </c>
    </row>
    <row r="56" spans="1:35" ht="15" thickBot="1" x14ac:dyDescent="0.4">
      <c r="A56" s="229"/>
      <c r="B56" s="230"/>
      <c r="C56" s="230"/>
      <c r="D56" s="231" t="s">
        <v>141</v>
      </c>
      <c r="E56" s="232">
        <f>E53/C7</f>
        <v>22791.491069869578</v>
      </c>
      <c r="H56" s="224"/>
      <c r="I56" s="2" t="s">
        <v>110</v>
      </c>
      <c r="J56" s="56"/>
      <c r="K56" s="174">
        <f>+K53</f>
        <v>52929552.583080001</v>
      </c>
      <c r="O56" s="224"/>
      <c r="P56" s="2" t="s">
        <v>110</v>
      </c>
      <c r="Q56" s="56"/>
      <c r="R56" s="174">
        <f>+R53</f>
        <v>61773146.183080047</v>
      </c>
      <c r="W56" s="224"/>
      <c r="X56" s="2" t="s">
        <v>110</v>
      </c>
      <c r="Y56" s="56"/>
      <c r="Z56" s="174">
        <f>+Z53</f>
        <v>58847871.183080047</v>
      </c>
      <c r="AE56" s="224"/>
      <c r="AF56" s="2" t="s">
        <v>110</v>
      </c>
      <c r="AG56" s="56"/>
      <c r="AH56" s="174">
        <f>+AH53</f>
        <v>60375478.683080047</v>
      </c>
    </row>
    <row r="57" spans="1:35" x14ac:dyDescent="0.35">
      <c r="E57" s="193"/>
      <c r="H57" s="224"/>
      <c r="I57" s="2" t="s">
        <v>60</v>
      </c>
      <c r="J57" s="56"/>
      <c r="K57" s="183">
        <f>+K55-K56</f>
        <v>-22847775.113080002</v>
      </c>
      <c r="O57" s="224"/>
      <c r="P57" s="2" t="s">
        <v>60</v>
      </c>
      <c r="Q57" s="56"/>
      <c r="R57" s="183">
        <f>+R55-R56</f>
        <v>-31691368.713080049</v>
      </c>
      <c r="W57" s="224"/>
      <c r="X57" s="2" t="s">
        <v>60</v>
      </c>
      <c r="Y57" s="56"/>
      <c r="Z57" s="183">
        <f>+Z55-Z56</f>
        <v>-28766093.713080049</v>
      </c>
      <c r="AE57" s="224"/>
      <c r="AF57" s="2" t="s">
        <v>60</v>
      </c>
      <c r="AG57" s="56"/>
      <c r="AH57" s="183">
        <f>+AH55-AH56</f>
        <v>-30293701.213080049</v>
      </c>
    </row>
    <row r="58" spans="1:35" ht="15" thickBot="1" x14ac:dyDescent="0.4">
      <c r="E58" s="193"/>
      <c r="I58" s="2" t="s">
        <v>111</v>
      </c>
      <c r="J58" s="56"/>
      <c r="K58" s="184">
        <f>E29</f>
        <v>29940634.579999998</v>
      </c>
      <c r="L58" s="2" t="s">
        <v>119</v>
      </c>
      <c r="P58" s="2" t="s">
        <v>111</v>
      </c>
      <c r="Q58" s="56"/>
      <c r="R58" s="184">
        <f>K58</f>
        <v>29940634.579999998</v>
      </c>
      <c r="S58" s="2" t="s">
        <v>119</v>
      </c>
      <c r="X58" s="2" t="s">
        <v>111</v>
      </c>
      <c r="Y58" s="56"/>
      <c r="Z58" s="184">
        <f>K58</f>
        <v>29940634.579999998</v>
      </c>
      <c r="AA58" s="2" t="s">
        <v>119</v>
      </c>
      <c r="AF58" s="2" t="s">
        <v>111</v>
      </c>
      <c r="AG58" s="56"/>
      <c r="AH58" s="184">
        <f>Z58</f>
        <v>29940634.579999998</v>
      </c>
      <c r="AI58" s="2" t="s">
        <v>119</v>
      </c>
    </row>
    <row r="59" spans="1:35" ht="15" thickBot="1" x14ac:dyDescent="0.4">
      <c r="B59" s="239" t="s">
        <v>142</v>
      </c>
      <c r="C59" s="240"/>
      <c r="D59" s="241" t="s">
        <v>134</v>
      </c>
      <c r="E59" s="242">
        <v>143300000</v>
      </c>
      <c r="H59" s="224"/>
      <c r="I59" s="2" t="s">
        <v>112</v>
      </c>
      <c r="J59" s="56"/>
      <c r="K59" s="177">
        <f>+K57+K58</f>
        <v>7092859.4669199958</v>
      </c>
      <c r="P59" s="2" t="s">
        <v>112</v>
      </c>
      <c r="Q59" s="56"/>
      <c r="R59" s="177">
        <f>+R57+R58</f>
        <v>-1750734.1330800503</v>
      </c>
      <c r="X59" s="2" t="s">
        <v>112</v>
      </c>
      <c r="Y59" s="56"/>
      <c r="Z59" s="177">
        <f>+Z57+Z58</f>
        <v>1174540.8669199497</v>
      </c>
      <c r="AF59" s="2" t="s">
        <v>112</v>
      </c>
      <c r="AG59" s="56"/>
      <c r="AH59" s="177">
        <f>+AH57+AH58</f>
        <v>-353066.63308005035</v>
      </c>
    </row>
    <row r="60" spans="1:35" ht="15" thickTop="1" x14ac:dyDescent="0.35">
      <c r="B60" s="270">
        <f>P31</f>
        <v>1575000</v>
      </c>
      <c r="C60" s="236"/>
      <c r="D60" s="237" t="s">
        <v>135</v>
      </c>
      <c r="E60" s="244">
        <f>23384789.48</f>
        <v>23384789.48</v>
      </c>
      <c r="H60" s="224"/>
      <c r="I60" s="56"/>
      <c r="J60" s="56"/>
      <c r="P60" s="56"/>
      <c r="Q60" s="56"/>
      <c r="X60" s="56"/>
      <c r="Y60" s="56"/>
      <c r="AF60" s="56"/>
      <c r="AG60" s="56"/>
    </row>
    <row r="61" spans="1:35" s="2" customFormat="1" ht="15" thickBot="1" x14ac:dyDescent="0.4">
      <c r="A61"/>
      <c r="B61" s="274" t="s">
        <v>150</v>
      </c>
      <c r="C61" s="236"/>
      <c r="D61" s="237" t="s">
        <v>136</v>
      </c>
      <c r="E61" s="244">
        <v>25000000</v>
      </c>
      <c r="F61" s="1"/>
      <c r="G61" s="3"/>
      <c r="H61" s="224"/>
      <c r="I61" s="56"/>
      <c r="J61" s="56"/>
      <c r="M61" s="1"/>
      <c r="N61" s="3"/>
      <c r="O61" s="1"/>
      <c r="P61" s="56"/>
      <c r="Q61" s="56"/>
      <c r="U61" s="1"/>
      <c r="V61" s="3"/>
      <c r="W61" s="1"/>
      <c r="X61" s="56"/>
      <c r="Y61" s="56"/>
      <c r="AC61" s="1"/>
      <c r="AD61" s="3"/>
      <c r="AE61" s="1"/>
      <c r="AF61" s="56"/>
      <c r="AG61" s="56"/>
    </row>
    <row r="62" spans="1:35" s="2" customFormat="1" ht="15" thickBot="1" x14ac:dyDescent="0.4">
      <c r="B62" s="243"/>
      <c r="C62" s="236"/>
      <c r="D62" s="237" t="s">
        <v>137</v>
      </c>
      <c r="E62" s="244">
        <f>E59-E60-E61</f>
        <v>94915210.519999996</v>
      </c>
      <c r="F62" s="1"/>
      <c r="G62" s="3"/>
      <c r="H62" s="238"/>
      <c r="I62" s="368" t="s">
        <v>65</v>
      </c>
      <c r="J62" s="369"/>
      <c r="K62" s="369"/>
      <c r="L62" s="370"/>
      <c r="M62" s="1"/>
      <c r="N62" s="3"/>
      <c r="O62" s="186"/>
      <c r="P62" s="368" t="s">
        <v>65</v>
      </c>
      <c r="Q62" s="369"/>
      <c r="R62" s="369"/>
      <c r="S62" s="370"/>
      <c r="U62" s="1"/>
      <c r="V62" s="3"/>
      <c r="W62" s="186"/>
      <c r="X62" s="368" t="s">
        <v>65</v>
      </c>
      <c r="Y62" s="369"/>
      <c r="Z62" s="369"/>
      <c r="AA62" s="370"/>
      <c r="AC62" s="1"/>
      <c r="AD62" s="3"/>
      <c r="AE62" s="186"/>
      <c r="AF62" s="368" t="s">
        <v>65</v>
      </c>
      <c r="AG62" s="369"/>
      <c r="AH62" s="369"/>
      <c r="AI62" s="370"/>
    </row>
    <row r="63" spans="1:35" s="2" customFormat="1" ht="15" thickBot="1" x14ac:dyDescent="0.4">
      <c r="B63" s="243"/>
      <c r="C63" s="236"/>
      <c r="D63" s="237"/>
      <c r="E63" s="244"/>
      <c r="F63" s="1"/>
      <c r="G63" s="3"/>
      <c r="H63" s="238"/>
      <c r="I63" s="56"/>
      <c r="J63" s="56"/>
      <c r="M63" s="1"/>
      <c r="N63" s="3"/>
      <c r="O63" s="186"/>
      <c r="P63" s="56"/>
      <c r="Q63" s="56"/>
      <c r="U63" s="1"/>
      <c r="V63" s="3"/>
      <c r="W63" s="186"/>
      <c r="X63" s="56"/>
      <c r="Y63" s="56"/>
      <c r="AC63" s="1"/>
      <c r="AD63" s="3"/>
      <c r="AE63" s="186"/>
      <c r="AF63" s="56"/>
      <c r="AG63" s="56"/>
    </row>
    <row r="64" spans="1:35" s="2" customFormat="1" ht="15" thickBot="1" x14ac:dyDescent="0.4">
      <c r="B64" s="243"/>
      <c r="C64" s="236"/>
      <c r="D64" s="237" t="s">
        <v>138</v>
      </c>
      <c r="E64" s="244">
        <v>100000000</v>
      </c>
      <c r="F64" s="1"/>
      <c r="G64" s="3"/>
      <c r="H64" s="238"/>
      <c r="I64" s="56"/>
      <c r="J64" s="56"/>
      <c r="L64" s="188" t="s">
        <v>66</v>
      </c>
      <c r="M64" s="1"/>
      <c r="N64" s="3"/>
      <c r="O64" s="186"/>
      <c r="P64" s="56"/>
      <c r="Q64" s="56"/>
      <c r="S64" s="188" t="s">
        <v>66</v>
      </c>
      <c r="U64" s="1"/>
      <c r="V64" s="3"/>
      <c r="W64" s="186"/>
      <c r="X64" s="56"/>
      <c r="Y64" s="56"/>
      <c r="AA64" s="188" t="s">
        <v>66</v>
      </c>
      <c r="AC64" s="1"/>
      <c r="AD64" s="3"/>
      <c r="AE64" s="186"/>
      <c r="AF64" s="56"/>
      <c r="AG64" s="56"/>
      <c r="AI64" s="188" t="s">
        <v>66</v>
      </c>
    </row>
    <row r="65" spans="1:35" s="2" customFormat="1" ht="15" thickBot="1" x14ac:dyDescent="0.4">
      <c r="B65" s="245"/>
      <c r="C65" s="246"/>
      <c r="D65" s="247" t="s">
        <v>145</v>
      </c>
      <c r="E65" s="248">
        <f>E64-E62</f>
        <v>5084789.4800000042</v>
      </c>
      <c r="F65" s="1"/>
      <c r="G65" s="3"/>
      <c r="H65" s="238"/>
      <c r="I65" s="56" t="s">
        <v>67</v>
      </c>
      <c r="J65" s="56"/>
      <c r="K65" s="30">
        <f>K59</f>
        <v>7092859.4669199958</v>
      </c>
      <c r="M65" s="1"/>
      <c r="N65" s="3"/>
      <c r="O65" s="186"/>
      <c r="P65" s="56" t="s">
        <v>67</v>
      </c>
      <c r="Q65" s="56"/>
      <c r="R65" s="30">
        <f>R59</f>
        <v>-1750734.1330800503</v>
      </c>
      <c r="U65" s="1"/>
      <c r="V65" s="3"/>
      <c r="W65" s="186"/>
      <c r="X65" s="56" t="s">
        <v>67</v>
      </c>
      <c r="Y65" s="56"/>
      <c r="Z65" s="30">
        <f>Z59</f>
        <v>1174540.8669199497</v>
      </c>
      <c r="AC65" s="1"/>
      <c r="AD65" s="3"/>
      <c r="AE65" s="186"/>
      <c r="AF65" s="56" t="s">
        <v>67</v>
      </c>
      <c r="AG65" s="56"/>
      <c r="AH65" s="30">
        <f>AH59</f>
        <v>-353066.63308005035</v>
      </c>
    </row>
    <row r="66" spans="1:35" s="2" customFormat="1" x14ac:dyDescent="0.35">
      <c r="B66"/>
      <c r="C66"/>
      <c r="D66"/>
      <c r="E66"/>
      <c r="F66" s="1"/>
      <c r="G66" s="3"/>
      <c r="H66" s="186"/>
      <c r="I66" s="56" t="s">
        <v>68</v>
      </c>
      <c r="J66" s="56"/>
      <c r="K66" s="189">
        <v>0</v>
      </c>
      <c r="M66" s="1"/>
      <c r="N66" s="3"/>
      <c r="O66" s="186"/>
      <c r="P66" s="56" t="s">
        <v>68</v>
      </c>
      <c r="Q66" s="56"/>
      <c r="R66" s="189">
        <v>0</v>
      </c>
      <c r="U66" s="1"/>
      <c r="V66" s="3"/>
      <c r="W66" s="186"/>
      <c r="X66" s="56" t="s">
        <v>68</v>
      </c>
      <c r="Y66" s="56"/>
      <c r="Z66" s="189">
        <v>0</v>
      </c>
      <c r="AC66" s="1"/>
      <c r="AD66" s="3"/>
      <c r="AE66" s="186"/>
      <c r="AF66" s="56" t="s">
        <v>68</v>
      </c>
      <c r="AG66" s="56"/>
      <c r="AH66" s="189">
        <v>0</v>
      </c>
    </row>
    <row r="67" spans="1:35" s="2" customFormat="1" ht="15" thickBot="1" x14ac:dyDescent="0.4">
      <c r="B67"/>
      <c r="C67"/>
      <c r="D67"/>
      <c r="E67"/>
      <c r="F67" s="1"/>
      <c r="G67" s="3"/>
      <c r="H67" s="186"/>
      <c r="I67" s="56" t="s">
        <v>69</v>
      </c>
      <c r="J67" s="56"/>
      <c r="K67" s="192">
        <f>K65+K66</f>
        <v>7092859.4669199958</v>
      </c>
      <c r="M67" s="1"/>
      <c r="N67" s="3"/>
      <c r="O67" s="186"/>
      <c r="P67" s="56" t="s">
        <v>69</v>
      </c>
      <c r="Q67" s="56"/>
      <c r="R67" s="192">
        <f>R65+R66</f>
        <v>-1750734.1330800503</v>
      </c>
      <c r="U67" s="1"/>
      <c r="V67" s="3"/>
      <c r="W67" s="186"/>
      <c r="X67" s="56" t="s">
        <v>69</v>
      </c>
      <c r="Y67" s="56"/>
      <c r="Z67" s="192">
        <f>Z65+Z66</f>
        <v>1174540.8669199497</v>
      </c>
      <c r="AC67" s="1"/>
      <c r="AD67" s="3"/>
      <c r="AE67" s="186"/>
      <c r="AF67" s="56" t="s">
        <v>69</v>
      </c>
      <c r="AG67" s="56"/>
      <c r="AH67" s="192">
        <f>AH65+AH66</f>
        <v>-353066.63308005035</v>
      </c>
    </row>
    <row r="68" spans="1:35" x14ac:dyDescent="0.35">
      <c r="A68" s="2"/>
      <c r="B68" s="13" t="s">
        <v>146</v>
      </c>
      <c r="C68" s="15"/>
      <c r="D68" s="249" t="s">
        <v>134</v>
      </c>
      <c r="E68" s="250">
        <v>143400000</v>
      </c>
      <c r="H68" s="186"/>
      <c r="I68" s="56"/>
      <c r="J68" s="56"/>
      <c r="O68" s="186"/>
      <c r="P68" s="56"/>
      <c r="Q68" s="56"/>
      <c r="W68" s="186"/>
      <c r="X68" s="56"/>
      <c r="Y68" s="56"/>
      <c r="AE68" s="186"/>
      <c r="AF68" s="56"/>
      <c r="AG68" s="56"/>
    </row>
    <row r="69" spans="1:35" x14ac:dyDescent="0.35">
      <c r="B69" s="271">
        <f>X21</f>
        <v>20500</v>
      </c>
      <c r="C69" s="252"/>
      <c r="D69" s="253" t="s">
        <v>135</v>
      </c>
      <c r="E69" s="254">
        <f>23384789.48</f>
        <v>23384789.48</v>
      </c>
      <c r="I69" s="2" t="s">
        <v>70</v>
      </c>
      <c r="P69" s="2" t="s">
        <v>70</v>
      </c>
      <c r="X69" s="2" t="s">
        <v>70</v>
      </c>
      <c r="AF69" s="2" t="s">
        <v>70</v>
      </c>
    </row>
    <row r="70" spans="1:35" x14ac:dyDescent="0.35">
      <c r="B70" s="221" t="s">
        <v>149</v>
      </c>
      <c r="C70" s="252"/>
      <c r="D70" s="253" t="s">
        <v>136</v>
      </c>
      <c r="E70" s="254">
        <v>25000000</v>
      </c>
      <c r="I70" s="2" t="s">
        <v>72</v>
      </c>
      <c r="K70" s="189">
        <v>0</v>
      </c>
      <c r="P70" s="2" t="s">
        <v>72</v>
      </c>
      <c r="R70" s="189">
        <v>0</v>
      </c>
      <c r="X70" s="2" t="s">
        <v>72</v>
      </c>
      <c r="Z70" s="189">
        <v>0</v>
      </c>
      <c r="AF70" s="2" t="s">
        <v>72</v>
      </c>
      <c r="AH70" s="189">
        <v>0</v>
      </c>
    </row>
    <row r="71" spans="1:35" s="2" customFormat="1" x14ac:dyDescent="0.35">
      <c r="A71"/>
      <c r="B71" s="251"/>
      <c r="C71" s="252"/>
      <c r="D71" s="253" t="s">
        <v>137</v>
      </c>
      <c r="E71" s="254">
        <f>E68-E69-E70</f>
        <v>95015210.519999996</v>
      </c>
      <c r="F71" s="1"/>
      <c r="G71" s="3"/>
      <c r="H71" s="1"/>
      <c r="I71" s="2" t="s">
        <v>74</v>
      </c>
      <c r="K71" s="189">
        <f>17366.31+1425.51</f>
        <v>18791.82</v>
      </c>
      <c r="M71" s="1"/>
      <c r="N71" s="3"/>
      <c r="O71" s="1"/>
      <c r="P71" s="2" t="s">
        <v>74</v>
      </c>
      <c r="R71" s="189">
        <f>17366.31+1425.51</f>
        <v>18791.82</v>
      </c>
      <c r="U71" s="1"/>
      <c r="V71" s="3"/>
      <c r="W71" s="1"/>
      <c r="X71" s="2" t="s">
        <v>74</v>
      </c>
      <c r="Z71" s="189">
        <f>17366.31+1425.51</f>
        <v>18791.82</v>
      </c>
      <c r="AC71" s="1"/>
      <c r="AD71" s="3"/>
      <c r="AE71" s="1"/>
      <c r="AF71" s="2" t="s">
        <v>74</v>
      </c>
      <c r="AH71" s="189">
        <f>17366.31+1425.51</f>
        <v>18791.82</v>
      </c>
    </row>
    <row r="72" spans="1:35" s="2" customFormat="1" ht="15" thickBot="1" x14ac:dyDescent="0.4">
      <c r="B72" s="251"/>
      <c r="C72" s="252"/>
      <c r="D72" s="253"/>
      <c r="E72" s="254"/>
      <c r="F72" s="1"/>
      <c r="G72" s="3"/>
      <c r="H72" s="186"/>
      <c r="I72" s="2" t="s">
        <v>75</v>
      </c>
      <c r="K72" s="192">
        <f>SUM(K70:K71)</f>
        <v>18791.82</v>
      </c>
      <c r="M72" s="1"/>
      <c r="N72" s="3"/>
      <c r="O72" s="186"/>
      <c r="P72" s="2" t="s">
        <v>75</v>
      </c>
      <c r="R72" s="192">
        <f>SUM(R70:R71)</f>
        <v>18791.82</v>
      </c>
      <c r="U72" s="1"/>
      <c r="V72" s="3"/>
      <c r="W72" s="186"/>
      <c r="X72" s="2" t="s">
        <v>75</v>
      </c>
      <c r="Z72" s="192">
        <f>SUM(Z70:Z71)</f>
        <v>18791.82</v>
      </c>
      <c r="AC72" s="1"/>
      <c r="AD72" s="3"/>
      <c r="AE72" s="186"/>
      <c r="AF72" s="2" t="s">
        <v>75</v>
      </c>
      <c r="AH72" s="192">
        <f>SUM(AH70:AH71)</f>
        <v>18791.82</v>
      </c>
    </row>
    <row r="73" spans="1:35" s="2" customFormat="1" x14ac:dyDescent="0.35">
      <c r="B73" s="251"/>
      <c r="C73" s="252"/>
      <c r="D73" s="253" t="s">
        <v>138</v>
      </c>
      <c r="E73" s="254">
        <v>100000000</v>
      </c>
      <c r="F73" s="1"/>
      <c r="G73" s="3"/>
      <c r="H73" s="186"/>
      <c r="K73" s="56"/>
      <c r="M73" s="1"/>
      <c r="N73" s="3"/>
      <c r="O73" s="186"/>
      <c r="R73" s="56"/>
      <c r="U73" s="1"/>
      <c r="V73" s="3"/>
      <c r="W73" s="186"/>
      <c r="Z73" s="56"/>
      <c r="AC73" s="1"/>
      <c r="AD73" s="3"/>
      <c r="AE73" s="186"/>
      <c r="AH73" s="56"/>
    </row>
    <row r="74" spans="1:35" ht="15" thickBot="1" x14ac:dyDescent="0.4">
      <c r="A74" s="2"/>
      <c r="B74" s="255"/>
      <c r="C74" s="256"/>
      <c r="D74" s="257" t="s">
        <v>145</v>
      </c>
      <c r="E74" s="258">
        <f>E73-E71</f>
        <v>4984789.4800000042</v>
      </c>
      <c r="H74" s="186"/>
      <c r="I74" s="2" t="s">
        <v>76</v>
      </c>
      <c r="O74" s="186"/>
      <c r="P74" s="2" t="s">
        <v>76</v>
      </c>
      <c r="W74" s="186"/>
      <c r="X74" s="2" t="s">
        <v>76</v>
      </c>
      <c r="AE74" s="186"/>
      <c r="AF74" s="2" t="s">
        <v>76</v>
      </c>
    </row>
    <row r="75" spans="1:35" x14ac:dyDescent="0.35">
      <c r="B75" s="2"/>
      <c r="C75" s="2"/>
      <c r="D75" s="2"/>
      <c r="E75" s="2"/>
      <c r="I75" s="2" t="s">
        <v>77</v>
      </c>
      <c r="K75" s="189">
        <v>0</v>
      </c>
      <c r="L75" s="2" t="s">
        <v>106</v>
      </c>
      <c r="P75" s="2" t="s">
        <v>77</v>
      </c>
      <c r="R75" s="189">
        <v>0</v>
      </c>
      <c r="S75" s="2" t="s">
        <v>106</v>
      </c>
      <c r="X75" s="2" t="s">
        <v>77</v>
      </c>
      <c r="Z75" s="189">
        <v>0</v>
      </c>
      <c r="AA75" s="2" t="s">
        <v>106</v>
      </c>
      <c r="AF75" s="2" t="s">
        <v>77</v>
      </c>
      <c r="AH75" s="189">
        <v>0</v>
      </c>
      <c r="AI75" s="2" t="s">
        <v>106</v>
      </c>
    </row>
    <row r="76" spans="1:35" ht="15" thickBot="1" x14ac:dyDescent="0.4">
      <c r="B76" s="2"/>
      <c r="C76" s="2"/>
      <c r="D76" s="2"/>
      <c r="E76" s="30"/>
      <c r="I76" s="2" t="s">
        <v>79</v>
      </c>
      <c r="K76" s="189">
        <v>0</v>
      </c>
      <c r="L76" s="2" t="s">
        <v>107</v>
      </c>
      <c r="P76" s="2" t="s">
        <v>79</v>
      </c>
      <c r="R76" s="189">
        <v>0</v>
      </c>
      <c r="S76" s="2" t="s">
        <v>107</v>
      </c>
      <c r="X76" s="2" t="s">
        <v>79</v>
      </c>
      <c r="Z76" s="189">
        <v>0</v>
      </c>
      <c r="AA76" s="2" t="s">
        <v>107</v>
      </c>
      <c r="AF76" s="2" t="s">
        <v>79</v>
      </c>
      <c r="AH76" s="189">
        <v>0</v>
      </c>
      <c r="AI76" s="2" t="s">
        <v>107</v>
      </c>
    </row>
    <row r="77" spans="1:35" x14ac:dyDescent="0.35">
      <c r="B77" s="259" t="s">
        <v>148</v>
      </c>
      <c r="C77" s="260"/>
      <c r="D77" s="261" t="s">
        <v>134</v>
      </c>
      <c r="E77" s="262">
        <v>143600000</v>
      </c>
      <c r="I77" s="2" t="s">
        <v>81</v>
      </c>
      <c r="K77" s="189">
        <v>0</v>
      </c>
      <c r="L77" s="2" t="s">
        <v>82</v>
      </c>
      <c r="P77" s="2" t="s">
        <v>81</v>
      </c>
      <c r="R77" s="189">
        <v>0</v>
      </c>
      <c r="S77" s="2" t="s">
        <v>82</v>
      </c>
      <c r="X77" s="2" t="s">
        <v>81</v>
      </c>
      <c r="Z77" s="189">
        <v>0</v>
      </c>
      <c r="AA77" s="2" t="s">
        <v>82</v>
      </c>
      <c r="AF77" s="2" t="s">
        <v>81</v>
      </c>
      <c r="AH77" s="189">
        <v>0</v>
      </c>
      <c r="AI77" s="2" t="s">
        <v>82</v>
      </c>
    </row>
    <row r="78" spans="1:35" x14ac:dyDescent="0.35">
      <c r="B78" s="272">
        <f>AF31</f>
        <v>796500</v>
      </c>
      <c r="C78" s="264"/>
      <c r="D78" s="265" t="s">
        <v>135</v>
      </c>
      <c r="E78" s="266">
        <f>23384789.48</f>
        <v>23384789.48</v>
      </c>
      <c r="I78" s="2" t="s">
        <v>83</v>
      </c>
      <c r="K78" s="189">
        <v>0</v>
      </c>
      <c r="P78" s="2" t="s">
        <v>83</v>
      </c>
      <c r="R78" s="189">
        <v>0</v>
      </c>
      <c r="X78" s="2" t="s">
        <v>83</v>
      </c>
      <c r="Z78" s="189">
        <v>0</v>
      </c>
      <c r="AF78" s="2" t="s">
        <v>83</v>
      </c>
      <c r="AH78" s="189">
        <v>0</v>
      </c>
    </row>
    <row r="79" spans="1:35" x14ac:dyDescent="0.35">
      <c r="B79" s="272">
        <f>AF21</f>
        <v>10300</v>
      </c>
      <c r="C79" s="264"/>
      <c r="D79" s="265" t="s">
        <v>136</v>
      </c>
      <c r="E79" s="266">
        <v>25000000</v>
      </c>
      <c r="H79" s="1" t="s">
        <v>122</v>
      </c>
      <c r="I79" s="2" t="s">
        <v>84</v>
      </c>
      <c r="K79" s="190">
        <f>K95</f>
        <v>836072</v>
      </c>
      <c r="L79" s="190"/>
      <c r="O79" s="1" t="s">
        <v>122</v>
      </c>
      <c r="P79" s="2" t="s">
        <v>84</v>
      </c>
      <c r="R79" s="190">
        <f>R95</f>
        <v>836072</v>
      </c>
      <c r="S79" s="190"/>
      <c r="W79" s="1" t="s">
        <v>122</v>
      </c>
      <c r="X79" s="2" t="s">
        <v>84</v>
      </c>
      <c r="Z79" s="190">
        <f>Z95</f>
        <v>836072</v>
      </c>
      <c r="AA79" s="190"/>
      <c r="AE79" s="1" t="s">
        <v>122</v>
      </c>
      <c r="AF79" s="2" t="s">
        <v>84</v>
      </c>
      <c r="AH79" s="190">
        <f>AH95</f>
        <v>836072</v>
      </c>
      <c r="AI79" s="190"/>
    </row>
    <row r="80" spans="1:35" ht="15" thickBot="1" x14ac:dyDescent="0.4">
      <c r="B80" s="273" t="s">
        <v>150</v>
      </c>
      <c r="C80" s="264"/>
      <c r="D80" s="265" t="s">
        <v>137</v>
      </c>
      <c r="E80" s="266">
        <f>E77-E78-E79</f>
        <v>95215210.519999996</v>
      </c>
      <c r="I80" s="2" t="s">
        <v>85</v>
      </c>
      <c r="K80" s="192">
        <f>SUM(K75:K79)</f>
        <v>836072</v>
      </c>
      <c r="L80" s="190"/>
      <c r="P80" s="2" t="s">
        <v>85</v>
      </c>
      <c r="R80" s="192">
        <f>SUM(R75:R79)</f>
        <v>836072</v>
      </c>
      <c r="S80" s="190"/>
      <c r="X80" s="2" t="s">
        <v>85</v>
      </c>
      <c r="Z80" s="192">
        <f>SUM(Z75:Z79)</f>
        <v>836072</v>
      </c>
      <c r="AA80" s="190"/>
      <c r="AF80" s="2" t="s">
        <v>85</v>
      </c>
      <c r="AH80" s="192">
        <f>SUM(AH75:AH79)</f>
        <v>836072</v>
      </c>
      <c r="AI80" s="190"/>
    </row>
    <row r="81" spans="2:35" x14ac:dyDescent="0.35">
      <c r="B81" s="273" t="s">
        <v>149</v>
      </c>
      <c r="C81" s="264"/>
      <c r="D81" s="265"/>
      <c r="E81" s="266"/>
      <c r="L81" s="190"/>
      <c r="S81" s="190"/>
      <c r="AA81" s="190"/>
      <c r="AI81" s="190"/>
    </row>
    <row r="82" spans="2:35" x14ac:dyDescent="0.35">
      <c r="B82" s="263"/>
      <c r="C82" s="264"/>
      <c r="D82" s="265" t="s">
        <v>138</v>
      </c>
      <c r="E82" s="266">
        <v>100000000</v>
      </c>
      <c r="I82" s="2" t="s">
        <v>86</v>
      </c>
      <c r="K82" s="195">
        <f>K67+K72+K80</f>
        <v>7947723.2869199961</v>
      </c>
      <c r="P82" s="2" t="s">
        <v>86</v>
      </c>
      <c r="R82" s="195">
        <f>R67+R72+R80</f>
        <v>-895870.31308005028</v>
      </c>
      <c r="X82" s="2" t="s">
        <v>86</v>
      </c>
      <c r="Z82" s="195">
        <f>Z67+Z72+Z80</f>
        <v>2029404.6869199497</v>
      </c>
      <c r="AF82" s="2" t="s">
        <v>86</v>
      </c>
      <c r="AH82" s="195">
        <f>AH67+AH72+AH80</f>
        <v>501797.18691994966</v>
      </c>
    </row>
    <row r="83" spans="2:35" ht="15" thickBot="1" x14ac:dyDescent="0.4">
      <c r="B83" s="267"/>
      <c r="C83" s="101"/>
      <c r="D83" s="268" t="s">
        <v>145</v>
      </c>
      <c r="E83" s="269">
        <f>E82-E80</f>
        <v>4784789.4800000042</v>
      </c>
      <c r="K83" s="196"/>
      <c r="R83" s="196"/>
      <c r="Z83" s="196"/>
      <c r="AH83" s="196"/>
    </row>
    <row r="84" spans="2:35" x14ac:dyDescent="0.35">
      <c r="B84" s="2"/>
      <c r="C84" s="2"/>
      <c r="D84" s="2"/>
      <c r="E84" s="2"/>
      <c r="I84" s="2" t="s">
        <v>87</v>
      </c>
      <c r="K84" s="195">
        <v>0</v>
      </c>
      <c r="P84" s="2" t="s">
        <v>87</v>
      </c>
      <c r="R84" s="195">
        <v>0</v>
      </c>
      <c r="X84" s="2" t="s">
        <v>87</v>
      </c>
      <c r="Z84" s="195">
        <v>0</v>
      </c>
      <c r="AF84" s="2" t="s">
        <v>87</v>
      </c>
      <c r="AH84" s="195">
        <v>0</v>
      </c>
    </row>
    <row r="85" spans="2:35" x14ac:dyDescent="0.35">
      <c r="B85" s="2"/>
      <c r="C85" s="2"/>
      <c r="D85" s="2"/>
      <c r="E85" s="2"/>
    </row>
    <row r="86" spans="2:35" ht="15" thickBot="1" x14ac:dyDescent="0.4">
      <c r="B86" s="2"/>
      <c r="C86" s="2"/>
      <c r="D86" s="2"/>
      <c r="E86" s="56">
        <f>37500000/C7/2</f>
        <v>10326.027095495099</v>
      </c>
      <c r="I86" s="2" t="s">
        <v>88</v>
      </c>
      <c r="K86" s="197">
        <f>K82-K84</f>
        <v>7947723.2869199961</v>
      </c>
      <c r="P86" s="2" t="s">
        <v>88</v>
      </c>
      <c r="R86" s="197">
        <f>R82-R84</f>
        <v>-895870.31308005028</v>
      </c>
      <c r="X86" s="2" t="s">
        <v>88</v>
      </c>
      <c r="Z86" s="197">
        <f>Z82-Z84</f>
        <v>2029404.6869199497</v>
      </c>
      <c r="AF86" s="2" t="s">
        <v>88</v>
      </c>
      <c r="AH86" s="197">
        <f>AH82-AH84</f>
        <v>501797.18691994966</v>
      </c>
    </row>
    <row r="87" spans="2:35" ht="15" thickTop="1" x14ac:dyDescent="0.35">
      <c r="E87" s="194">
        <f>37500000/C8/2</f>
        <v>796516.567544605</v>
      </c>
    </row>
    <row r="89" spans="2:35" x14ac:dyDescent="0.35">
      <c r="I89" s="371" t="s">
        <v>31</v>
      </c>
      <c r="J89" s="371"/>
      <c r="P89" s="371" t="s">
        <v>31</v>
      </c>
      <c r="Q89" s="371"/>
      <c r="X89" s="371" t="s">
        <v>31</v>
      </c>
      <c r="Y89" s="371"/>
      <c r="AF89" s="371" t="s">
        <v>31</v>
      </c>
      <c r="AG89" s="371"/>
    </row>
    <row r="90" spans="2:35" ht="21" customHeight="1" thickBot="1" x14ac:dyDescent="0.4">
      <c r="J90" s="220" t="s">
        <v>33</v>
      </c>
      <c r="K90" s="199">
        <f>C18</f>
        <v>-3377592.5</v>
      </c>
      <c r="Q90" s="220" t="s">
        <v>33</v>
      </c>
      <c r="R90" s="199">
        <v>-3377592.5</v>
      </c>
      <c r="Y90" s="220" t="s">
        <v>33</v>
      </c>
      <c r="Z90" s="199">
        <v>-3377592.5</v>
      </c>
      <c r="AG90" s="220" t="s">
        <v>33</v>
      </c>
      <c r="AH90" s="199">
        <v>-3377592.5</v>
      </c>
    </row>
    <row r="91" spans="2:35" ht="21.75" customHeight="1" x14ac:dyDescent="0.35">
      <c r="H91" s="374" t="s">
        <v>89</v>
      </c>
      <c r="I91" s="220" t="s">
        <v>120</v>
      </c>
      <c r="J91" s="220" t="s">
        <v>36</v>
      </c>
      <c r="K91" s="199">
        <f t="shared" ref="K91:K94" si="8">C19</f>
        <v>-847675</v>
      </c>
      <c r="L91" s="2" t="s">
        <v>37</v>
      </c>
      <c r="O91" s="374" t="s">
        <v>89</v>
      </c>
      <c r="P91" s="220" t="s">
        <v>120</v>
      </c>
      <c r="Q91" s="220" t="s">
        <v>36</v>
      </c>
      <c r="R91" s="199">
        <v>-847675</v>
      </c>
      <c r="S91" s="2" t="s">
        <v>37</v>
      </c>
      <c r="W91" s="374" t="s">
        <v>89</v>
      </c>
      <c r="X91" s="220" t="s">
        <v>120</v>
      </c>
      <c r="Y91" s="220" t="s">
        <v>36</v>
      </c>
      <c r="Z91" s="199">
        <v>-847675</v>
      </c>
      <c r="AA91" s="2" t="s">
        <v>37</v>
      </c>
      <c r="AE91" s="374" t="s">
        <v>89</v>
      </c>
      <c r="AF91" s="220" t="s">
        <v>120</v>
      </c>
      <c r="AG91" s="220" t="s">
        <v>36</v>
      </c>
      <c r="AH91" s="199">
        <v>-847675</v>
      </c>
      <c r="AI91" s="2" t="s">
        <v>37</v>
      </c>
    </row>
    <row r="92" spans="2:35" x14ac:dyDescent="0.35">
      <c r="H92" s="375"/>
      <c r="I92" s="220" t="s">
        <v>120</v>
      </c>
      <c r="J92" s="220" t="s">
        <v>38</v>
      </c>
      <c r="K92" s="199">
        <f t="shared" si="8"/>
        <v>-1585.5</v>
      </c>
      <c r="L92" s="2" t="s">
        <v>37</v>
      </c>
      <c r="O92" s="375"/>
      <c r="P92" s="220" t="s">
        <v>120</v>
      </c>
      <c r="Q92" s="220" t="s">
        <v>38</v>
      </c>
      <c r="R92" s="199">
        <v>-1585.5</v>
      </c>
      <c r="S92" s="2" t="s">
        <v>37</v>
      </c>
      <c r="W92" s="375"/>
      <c r="X92" s="220" t="s">
        <v>120</v>
      </c>
      <c r="Y92" s="220" t="s">
        <v>38</v>
      </c>
      <c r="Z92" s="199">
        <v>-1585.5</v>
      </c>
      <c r="AA92" s="2" t="s">
        <v>37</v>
      </c>
      <c r="AE92" s="375"/>
      <c r="AF92" s="220" t="s">
        <v>120</v>
      </c>
      <c r="AG92" s="220" t="s">
        <v>38</v>
      </c>
      <c r="AH92" s="199">
        <v>-1585.5</v>
      </c>
      <c r="AI92" s="2" t="s">
        <v>37</v>
      </c>
    </row>
    <row r="93" spans="2:35" ht="15" thickBot="1" x14ac:dyDescent="0.4">
      <c r="H93" s="376"/>
      <c r="I93" s="220" t="s">
        <v>92</v>
      </c>
      <c r="J93" s="220" t="s">
        <v>39</v>
      </c>
      <c r="K93" s="199">
        <f t="shared" si="8"/>
        <v>5534565</v>
      </c>
      <c r="L93" s="2" t="s">
        <v>121</v>
      </c>
      <c r="O93" s="376"/>
      <c r="P93" s="220" t="s">
        <v>92</v>
      </c>
      <c r="Q93" s="220" t="s">
        <v>39</v>
      </c>
      <c r="R93" s="199">
        <v>5534565</v>
      </c>
      <c r="S93" s="2" t="s">
        <v>121</v>
      </c>
      <c r="W93" s="376"/>
      <c r="X93" s="220" t="s">
        <v>92</v>
      </c>
      <c r="Y93" s="220" t="s">
        <v>39</v>
      </c>
      <c r="Z93" s="199">
        <v>5534565</v>
      </c>
      <c r="AA93" s="2" t="s">
        <v>121</v>
      </c>
      <c r="AE93" s="376"/>
      <c r="AF93" s="220" t="s">
        <v>92</v>
      </c>
      <c r="AG93" s="220" t="s">
        <v>39</v>
      </c>
      <c r="AH93" s="199">
        <v>5534565</v>
      </c>
      <c r="AI93" s="2" t="s">
        <v>121</v>
      </c>
    </row>
    <row r="94" spans="2:35" x14ac:dyDescent="0.35">
      <c r="I94" s="220" t="s">
        <v>120</v>
      </c>
      <c r="J94" s="220" t="s">
        <v>103</v>
      </c>
      <c r="K94" s="199">
        <f t="shared" si="8"/>
        <v>-471640</v>
      </c>
      <c r="P94" s="220" t="s">
        <v>120</v>
      </c>
      <c r="Q94" s="220" t="s">
        <v>103</v>
      </c>
      <c r="R94" s="199">
        <v>-471640</v>
      </c>
      <c r="X94" s="220" t="s">
        <v>120</v>
      </c>
      <c r="Y94" s="220" t="s">
        <v>103</v>
      </c>
      <c r="Z94" s="199">
        <v>-471640</v>
      </c>
      <c r="AF94" s="220" t="s">
        <v>120</v>
      </c>
      <c r="AG94" s="220" t="s">
        <v>103</v>
      </c>
      <c r="AH94" s="199">
        <v>-471640</v>
      </c>
    </row>
    <row r="95" spans="2:35" x14ac:dyDescent="0.35">
      <c r="J95" s="220" t="s">
        <v>41</v>
      </c>
      <c r="K95" s="200">
        <f>SUM(K90:K94)</f>
        <v>836072</v>
      </c>
      <c r="L95" s="2" t="str">
        <f>B3</f>
        <v>Date as of : 11.25.2020</v>
      </c>
      <c r="Q95" s="220" t="s">
        <v>41</v>
      </c>
      <c r="R95" s="200">
        <f>SUM(R90:R94)</f>
        <v>836072</v>
      </c>
      <c r="S95" s="2">
        <f>K2</f>
        <v>0</v>
      </c>
      <c r="Y95" s="220" t="s">
        <v>41</v>
      </c>
      <c r="Z95" s="200">
        <f>SUM(Z90:Z94)</f>
        <v>836072</v>
      </c>
      <c r="AA95" s="2">
        <f>Q3</f>
        <v>0</v>
      </c>
      <c r="AG95" s="220" t="s">
        <v>41</v>
      </c>
      <c r="AH95" s="200">
        <f>SUM(AH90:AH94)</f>
        <v>836072</v>
      </c>
    </row>
    <row r="98" spans="1:34" ht="15" thickBot="1" x14ac:dyDescent="0.4">
      <c r="R98" s="235"/>
      <c r="Z98" s="235"/>
      <c r="AH98" s="235"/>
    </row>
    <row r="99" spans="1:34" ht="15" thickBot="1" x14ac:dyDescent="0.4">
      <c r="I99" s="333" t="s">
        <v>123</v>
      </c>
      <c r="J99" s="334"/>
      <c r="P99" s="333" t="s">
        <v>123</v>
      </c>
      <c r="Q99" s="334"/>
      <c r="X99" s="333" t="s">
        <v>123</v>
      </c>
      <c r="Y99" s="334"/>
      <c r="AF99" s="333" t="s">
        <v>123</v>
      </c>
      <c r="AG99" s="334"/>
    </row>
    <row r="111" spans="1:34" s="2" customFormat="1" x14ac:dyDescent="0.35">
      <c r="A111"/>
      <c r="B111"/>
      <c r="C111"/>
      <c r="D111"/>
      <c r="E111"/>
      <c r="F111" s="1"/>
      <c r="G111" s="3"/>
      <c r="H111" s="1"/>
      <c r="M111" s="1"/>
      <c r="N111" s="3"/>
      <c r="O111" s="1"/>
      <c r="U111" s="1"/>
      <c r="V111" s="3"/>
      <c r="W111" s="1"/>
      <c r="AC111" s="1"/>
      <c r="AD111" s="3"/>
      <c r="AE111" s="1"/>
    </row>
    <row r="112" spans="1:34" s="2" customFormat="1" x14ac:dyDescent="0.35">
      <c r="B112"/>
      <c r="C112"/>
      <c r="D112"/>
      <c r="E112"/>
      <c r="F112" s="1"/>
      <c r="G112" s="3"/>
      <c r="H112" s="1"/>
      <c r="M112" s="1"/>
      <c r="N112" s="3"/>
      <c r="O112" s="1"/>
      <c r="U112" s="1"/>
      <c r="V112" s="3"/>
      <c r="W112" s="1"/>
      <c r="AC112" s="1"/>
      <c r="AD112" s="3"/>
      <c r="AE112" s="1"/>
    </row>
    <row r="113" spans="1:33" s="2" customFormat="1" ht="15" thickBot="1" x14ac:dyDescent="0.4">
      <c r="B113"/>
      <c r="C113"/>
      <c r="D113"/>
      <c r="E113"/>
      <c r="F113" s="1"/>
      <c r="G113" s="3"/>
      <c r="H113" s="1"/>
      <c r="M113" s="1"/>
      <c r="N113" s="3"/>
      <c r="O113" s="1"/>
      <c r="U113" s="1"/>
      <c r="V113" s="3"/>
      <c r="W113" s="1"/>
      <c r="AC113" s="1"/>
      <c r="AD113" s="3"/>
      <c r="AE113" s="1"/>
    </row>
    <row r="114" spans="1:33" s="2" customFormat="1" ht="15" thickBot="1" x14ac:dyDescent="0.4">
      <c r="B114"/>
      <c r="C114"/>
      <c r="D114"/>
      <c r="E114"/>
      <c r="F114" s="1"/>
      <c r="G114" s="3"/>
      <c r="H114" s="1"/>
      <c r="I114" s="333" t="s">
        <v>36</v>
      </c>
      <c r="J114" s="334"/>
      <c r="M114" s="1"/>
      <c r="N114" s="3"/>
      <c r="O114" s="1"/>
      <c r="P114" s="333" t="s">
        <v>36</v>
      </c>
      <c r="Q114" s="334"/>
      <c r="U114" s="1"/>
      <c r="V114" s="3"/>
      <c r="W114" s="1"/>
      <c r="X114" s="333" t="s">
        <v>36</v>
      </c>
      <c r="Y114" s="334"/>
      <c r="AC114" s="1"/>
      <c r="AD114" s="3"/>
      <c r="AE114" s="1"/>
      <c r="AF114" s="333" t="s">
        <v>36</v>
      </c>
      <c r="AG114" s="334"/>
    </row>
    <row r="115" spans="1:33" s="2" customFormat="1" x14ac:dyDescent="0.35">
      <c r="B115"/>
      <c r="C115"/>
      <c r="D115"/>
      <c r="E115"/>
      <c r="F115" s="1"/>
      <c r="G115" s="3"/>
      <c r="H115" s="1"/>
      <c r="M115" s="1"/>
      <c r="N115" s="3"/>
      <c r="O115" s="1"/>
      <c r="U115" s="1"/>
      <c r="V115" s="3"/>
      <c r="W115" s="1"/>
      <c r="AC115" s="1"/>
      <c r="AD115" s="3"/>
      <c r="AE115" s="1"/>
    </row>
    <row r="116" spans="1:33" x14ac:dyDescent="0.35">
      <c r="A116" s="2"/>
    </row>
    <row r="128" spans="1:33" x14ac:dyDescent="0.35">
      <c r="G128"/>
      <c r="N128"/>
      <c r="V128"/>
      <c r="AD128"/>
    </row>
    <row r="129" spans="7:33" x14ac:dyDescent="0.35">
      <c r="G129"/>
      <c r="N129"/>
      <c r="V129"/>
      <c r="AD129"/>
    </row>
    <row r="130" spans="7:33" x14ac:dyDescent="0.35">
      <c r="G130"/>
      <c r="N130"/>
      <c r="V130"/>
      <c r="AD130"/>
    </row>
    <row r="131" spans="7:33" x14ac:dyDescent="0.35">
      <c r="G131"/>
      <c r="N131"/>
      <c r="V131"/>
      <c r="AD131"/>
    </row>
    <row r="132" spans="7:33" x14ac:dyDescent="0.35">
      <c r="G132"/>
      <c r="N132"/>
      <c r="V132"/>
      <c r="AD132"/>
    </row>
    <row r="133" spans="7:33" ht="15" thickBot="1" x14ac:dyDescent="0.4">
      <c r="G133"/>
      <c r="N133"/>
      <c r="V133"/>
      <c r="AD133"/>
    </row>
    <row r="134" spans="7:33" ht="15" thickBot="1" x14ac:dyDescent="0.4">
      <c r="G134"/>
      <c r="I134" s="333" t="s">
        <v>95</v>
      </c>
      <c r="J134" s="334"/>
      <c r="N134"/>
      <c r="P134" s="333" t="s">
        <v>95</v>
      </c>
      <c r="Q134" s="334"/>
      <c r="V134"/>
      <c r="X134" s="333" t="s">
        <v>95</v>
      </c>
      <c r="Y134" s="334"/>
      <c r="AD134"/>
      <c r="AF134" s="333" t="s">
        <v>95</v>
      </c>
      <c r="AG134" s="334"/>
    </row>
    <row r="135" spans="7:33" x14ac:dyDescent="0.35">
      <c r="G135"/>
      <c r="N135"/>
      <c r="V135"/>
      <c r="AD135"/>
    </row>
    <row r="136" spans="7:33" x14ac:dyDescent="0.35">
      <c r="G136"/>
      <c r="N136"/>
      <c r="V136"/>
      <c r="AD136"/>
    </row>
    <row r="156" spans="1:33" ht="15" thickBot="1" x14ac:dyDescent="0.4"/>
    <row r="157" spans="1:33" s="2" customFormat="1" ht="15" thickBot="1" x14ac:dyDescent="0.4">
      <c r="A157"/>
      <c r="B157"/>
      <c r="C157"/>
      <c r="D157"/>
      <c r="E157"/>
      <c r="F157" s="1"/>
      <c r="G157" s="3"/>
      <c r="H157" s="1"/>
      <c r="I157" s="333" t="s">
        <v>94</v>
      </c>
      <c r="J157" s="334"/>
      <c r="M157" s="1"/>
      <c r="N157" s="3"/>
      <c r="O157" s="1"/>
      <c r="P157" s="333" t="s">
        <v>94</v>
      </c>
      <c r="Q157" s="334"/>
      <c r="U157" s="1"/>
      <c r="V157" s="3"/>
      <c r="W157" s="1"/>
      <c r="X157" s="333" t="s">
        <v>94</v>
      </c>
      <c r="Y157" s="334"/>
      <c r="AC157" s="1"/>
      <c r="AD157" s="3"/>
      <c r="AE157" s="1"/>
      <c r="AF157" s="333" t="s">
        <v>94</v>
      </c>
      <c r="AG157" s="334"/>
    </row>
    <row r="158" spans="1:33" s="2" customFormat="1" x14ac:dyDescent="0.35">
      <c r="B158"/>
      <c r="C158"/>
      <c r="D158"/>
      <c r="E158"/>
      <c r="F158" s="1"/>
      <c r="G158" s="3"/>
      <c r="H158" s="1"/>
      <c r="M158" s="1"/>
      <c r="N158" s="3"/>
      <c r="O158" s="1"/>
      <c r="U158" s="1"/>
      <c r="V158" s="3"/>
      <c r="W158" s="1"/>
      <c r="AC158" s="1"/>
      <c r="AD158" s="3"/>
      <c r="AE158" s="1"/>
    </row>
    <row r="159" spans="1:33" x14ac:dyDescent="0.35">
      <c r="A159" s="2"/>
    </row>
    <row r="188" spans="9:33" ht="15" thickBot="1" x14ac:dyDescent="0.4"/>
    <row r="189" spans="9:33" ht="15" thickBot="1" x14ac:dyDescent="0.4">
      <c r="I189" s="333" t="s">
        <v>103</v>
      </c>
      <c r="J189" s="334"/>
      <c r="P189" s="333" t="s">
        <v>103</v>
      </c>
      <c r="Q189" s="334"/>
      <c r="X189" s="333" t="s">
        <v>103</v>
      </c>
      <c r="Y189" s="334"/>
      <c r="AF189" s="333" t="s">
        <v>103</v>
      </c>
      <c r="AG189" s="334"/>
    </row>
    <row r="205" spans="2:35" s="1" customFormat="1" x14ac:dyDescent="0.35">
      <c r="B205"/>
      <c r="C205"/>
      <c r="D205"/>
      <c r="E205"/>
      <c r="G205" s="3"/>
      <c r="I205" s="2"/>
      <c r="J205" s="2"/>
      <c r="K205" s="2"/>
      <c r="L205" s="2"/>
      <c r="N205" s="3"/>
      <c r="P205" s="2"/>
      <c r="Q205" s="2"/>
      <c r="R205" s="2"/>
      <c r="S205" s="2"/>
      <c r="V205" s="3"/>
      <c r="X205" s="2"/>
      <c r="Y205" s="2"/>
      <c r="Z205" s="2"/>
      <c r="AA205" s="2"/>
      <c r="AD205" s="3"/>
      <c r="AF205" s="2"/>
      <c r="AG205" s="2"/>
      <c r="AH205" s="2"/>
      <c r="AI205" s="2"/>
    </row>
    <row r="206" spans="2:35" s="1" customFormat="1" x14ac:dyDescent="0.35">
      <c r="B206"/>
      <c r="C206"/>
      <c r="D206"/>
      <c r="E206"/>
      <c r="G206" s="3"/>
      <c r="I206" s="2"/>
      <c r="J206" s="2"/>
      <c r="K206" s="2"/>
      <c r="L206" s="2"/>
      <c r="N206" s="3"/>
      <c r="P206" s="2"/>
      <c r="Q206" s="2"/>
      <c r="R206" s="2"/>
      <c r="S206" s="2"/>
      <c r="V206" s="3"/>
      <c r="X206" s="2"/>
      <c r="Y206" s="2"/>
      <c r="Z206" s="2"/>
      <c r="AA206" s="2"/>
      <c r="AD206" s="3"/>
      <c r="AF206" s="2"/>
      <c r="AG206" s="2"/>
      <c r="AH206" s="2"/>
      <c r="AI206" s="2"/>
    </row>
    <row r="226" spans="2:35" x14ac:dyDescent="0.35">
      <c r="F226"/>
      <c r="M226"/>
      <c r="U226"/>
      <c r="AC226"/>
    </row>
    <row r="229" spans="2:35" s="3" customFormat="1" x14ac:dyDescent="0.35">
      <c r="B229"/>
      <c r="C229"/>
      <c r="D229"/>
      <c r="E229"/>
      <c r="F229" s="1"/>
      <c r="H229" s="1"/>
      <c r="I229" s="2"/>
      <c r="J229" s="2"/>
      <c r="K229" s="2"/>
      <c r="L229" s="2"/>
      <c r="M229" s="1"/>
      <c r="O229" s="1"/>
      <c r="P229" s="2"/>
      <c r="Q229" s="2"/>
      <c r="R229" s="2"/>
      <c r="S229" s="2"/>
      <c r="U229" s="1"/>
      <c r="W229" s="1"/>
      <c r="X229" s="2"/>
      <c r="Y229" s="2"/>
      <c r="Z229" s="2"/>
      <c r="AA229" s="2"/>
      <c r="AC229" s="1"/>
      <c r="AE229" s="1"/>
      <c r="AF229" s="2"/>
      <c r="AG229" s="2"/>
      <c r="AH229" s="2"/>
      <c r="AI229" s="2"/>
    </row>
    <row r="251" spans="2:35" ht="15" thickBot="1" x14ac:dyDescent="0.4"/>
    <row r="252" spans="2:35" ht="15" customHeight="1" thickBot="1" x14ac:dyDescent="0.4">
      <c r="B252" s="205" t="s">
        <v>96</v>
      </c>
      <c r="C252" s="206"/>
      <c r="D252" s="206"/>
      <c r="E252" s="206"/>
      <c r="F252" s="206"/>
      <c r="G252" s="206"/>
      <c r="M252" s="206"/>
      <c r="N252" s="206"/>
      <c r="U252" s="206"/>
      <c r="V252" s="206"/>
      <c r="AC252" s="206"/>
      <c r="AD252" s="206"/>
    </row>
    <row r="253" spans="2:35" ht="15" customHeight="1" x14ac:dyDescent="0.35">
      <c r="B253" s="208"/>
      <c r="C253" s="209"/>
      <c r="D253" s="209"/>
      <c r="E253" s="209"/>
      <c r="F253" s="209"/>
      <c r="G253" s="209"/>
      <c r="H253" s="206"/>
      <c r="I253" s="206"/>
      <c r="J253" s="206"/>
      <c r="K253" s="206"/>
      <c r="L253" s="206"/>
      <c r="M253" s="209"/>
      <c r="N253" s="209"/>
      <c r="O253" s="206"/>
      <c r="P253" s="206"/>
      <c r="Q253" s="206"/>
      <c r="R253" s="206"/>
      <c r="S253" s="206"/>
      <c r="U253" s="209"/>
      <c r="V253" s="209"/>
      <c r="W253" s="206"/>
      <c r="X253" s="206"/>
      <c r="Y253" s="206"/>
      <c r="Z253" s="206"/>
      <c r="AA253" s="206"/>
      <c r="AC253" s="209"/>
      <c r="AD253" s="209"/>
      <c r="AE253" s="206"/>
      <c r="AF253" s="206"/>
      <c r="AG253" s="206"/>
      <c r="AH253" s="206"/>
      <c r="AI253" s="206"/>
    </row>
    <row r="254" spans="2:35" ht="15.75" customHeight="1" thickBot="1" x14ac:dyDescent="0.4">
      <c r="B254" s="211"/>
      <c r="C254" s="212"/>
      <c r="D254" s="212"/>
      <c r="E254" s="212"/>
      <c r="F254" s="212"/>
      <c r="G254" s="212"/>
      <c r="H254" s="209"/>
      <c r="I254" s="209"/>
      <c r="J254" s="209"/>
      <c r="K254" s="209"/>
      <c r="L254" s="209"/>
      <c r="M254" s="212"/>
      <c r="N254" s="212"/>
      <c r="O254" s="209"/>
      <c r="P254" s="209"/>
      <c r="Q254" s="209"/>
      <c r="R254" s="209"/>
      <c r="S254" s="209"/>
      <c r="U254" s="212"/>
      <c r="V254" s="212"/>
      <c r="W254" s="209"/>
      <c r="X254" s="209"/>
      <c r="Y254" s="209"/>
      <c r="Z254" s="209"/>
      <c r="AA254" s="209"/>
      <c r="AC254" s="212"/>
      <c r="AD254" s="212"/>
      <c r="AE254" s="209"/>
      <c r="AF254" s="209"/>
      <c r="AG254" s="209"/>
      <c r="AH254" s="209"/>
      <c r="AI254" s="209"/>
    </row>
    <row r="255" spans="2:35" ht="26.5" thickBot="1" x14ac:dyDescent="0.4">
      <c r="H255" s="212"/>
      <c r="I255" s="212"/>
      <c r="J255" s="212"/>
      <c r="K255" s="212"/>
      <c r="L255" s="212"/>
      <c r="O255" s="212"/>
      <c r="P255" s="212"/>
      <c r="Q255" s="212"/>
      <c r="R255" s="212"/>
      <c r="S255" s="212"/>
      <c r="W255" s="212"/>
      <c r="X255" s="212"/>
      <c r="Y255" s="212"/>
      <c r="Z255" s="212"/>
      <c r="AA255" s="212"/>
      <c r="AE255" s="212"/>
      <c r="AF255" s="212"/>
      <c r="AG255" s="212"/>
      <c r="AH255" s="212"/>
      <c r="AI255" s="212"/>
    </row>
    <row r="310" spans="2:35" ht="15" thickBot="1" x14ac:dyDescent="0.4"/>
    <row r="311" spans="2:35" ht="15" customHeight="1" thickBot="1" x14ac:dyDescent="0.4">
      <c r="B311" s="205" t="s">
        <v>25</v>
      </c>
      <c r="C311" s="206"/>
      <c r="D311" s="206"/>
      <c r="E311" s="206"/>
      <c r="F311" s="206"/>
      <c r="G311" s="206"/>
      <c r="M311" s="206"/>
      <c r="N311" s="206"/>
      <c r="U311" s="206"/>
      <c r="V311" s="206"/>
      <c r="AC311" s="206"/>
      <c r="AD311" s="206"/>
    </row>
    <row r="312" spans="2:35" ht="15" customHeight="1" x14ac:dyDescent="0.35">
      <c r="B312" s="208"/>
      <c r="C312" s="209"/>
      <c r="D312" s="209"/>
      <c r="E312" s="209"/>
      <c r="F312" s="209"/>
      <c r="G312" s="209"/>
      <c r="H312" s="206"/>
      <c r="I312" s="206"/>
      <c r="J312" s="206"/>
      <c r="K312" s="206"/>
      <c r="L312" s="206"/>
      <c r="M312" s="209"/>
      <c r="N312" s="209"/>
      <c r="O312" s="206"/>
      <c r="P312" s="206"/>
      <c r="Q312" s="206"/>
      <c r="R312" s="206"/>
      <c r="S312" s="206"/>
      <c r="U312" s="209"/>
      <c r="V312" s="209"/>
      <c r="W312" s="206"/>
      <c r="X312" s="206"/>
      <c r="Y312" s="206"/>
      <c r="Z312" s="206"/>
      <c r="AA312" s="206"/>
      <c r="AC312" s="209"/>
      <c r="AD312" s="209"/>
      <c r="AE312" s="206"/>
      <c r="AF312" s="206"/>
      <c r="AG312" s="206"/>
      <c r="AH312" s="206"/>
      <c r="AI312" s="206"/>
    </row>
    <row r="313" spans="2:35" ht="15.75" customHeight="1" thickBot="1" x14ac:dyDescent="0.4">
      <c r="B313" s="211"/>
      <c r="C313" s="212"/>
      <c r="D313" s="212"/>
      <c r="E313" s="212"/>
      <c r="F313" s="212"/>
      <c r="G313" s="212"/>
      <c r="H313" s="209"/>
      <c r="I313" s="209"/>
      <c r="J313" s="209"/>
      <c r="K313" s="209"/>
      <c r="L313" s="209"/>
      <c r="M313" s="212"/>
      <c r="N313" s="212"/>
      <c r="O313" s="209"/>
      <c r="P313" s="209"/>
      <c r="Q313" s="209"/>
      <c r="R313" s="209"/>
      <c r="S313" s="209"/>
      <c r="U313" s="212"/>
      <c r="V313" s="212"/>
      <c r="W313" s="209"/>
      <c r="X313" s="209"/>
      <c r="Y313" s="209"/>
      <c r="Z313" s="209"/>
      <c r="AA313" s="209"/>
      <c r="AC313" s="212"/>
      <c r="AD313" s="212"/>
      <c r="AE313" s="209"/>
      <c r="AF313" s="209"/>
      <c r="AG313" s="209"/>
      <c r="AH313" s="209"/>
      <c r="AI313" s="209"/>
    </row>
    <row r="314" spans="2:35" ht="26.5" thickBot="1" x14ac:dyDescent="0.4">
      <c r="H314" s="212"/>
      <c r="I314" s="212"/>
      <c r="J314" s="212"/>
      <c r="K314" s="212"/>
      <c r="L314" s="212"/>
      <c r="O314" s="212"/>
      <c r="P314" s="212"/>
      <c r="Q314" s="212"/>
      <c r="R314" s="212"/>
      <c r="S314" s="212"/>
      <c r="W314" s="212"/>
      <c r="X314" s="212"/>
      <c r="Y314" s="212"/>
      <c r="Z314" s="212"/>
      <c r="AA314" s="212"/>
      <c r="AE314" s="212"/>
      <c r="AF314" s="212"/>
      <c r="AG314" s="212"/>
      <c r="AH314" s="212"/>
      <c r="AI314" s="212"/>
    </row>
    <row r="316" spans="2:35" x14ac:dyDescent="0.35">
      <c r="H316" s="1" t="s">
        <v>102</v>
      </c>
      <c r="O316" s="1" t="s">
        <v>102</v>
      </c>
      <c r="W316" s="1" t="s">
        <v>102</v>
      </c>
      <c r="AE316" s="1" t="s">
        <v>102</v>
      </c>
    </row>
    <row r="327" spans="2:35" ht="15" thickBot="1" x14ac:dyDescent="0.4"/>
    <row r="328" spans="2:35" ht="15" customHeight="1" thickBot="1" x14ac:dyDescent="0.4">
      <c r="B328" s="205" t="s">
        <v>97</v>
      </c>
      <c r="C328" s="206"/>
      <c r="D328" s="206"/>
      <c r="E328" s="206"/>
      <c r="F328" s="206"/>
      <c r="G328" s="206"/>
      <c r="M328" s="206"/>
      <c r="N328" s="206"/>
      <c r="U328" s="206"/>
      <c r="V328" s="206"/>
      <c r="AC328" s="206"/>
      <c r="AD328" s="206"/>
    </row>
    <row r="329" spans="2:35" ht="15" customHeight="1" x14ac:dyDescent="0.35">
      <c r="B329" s="208"/>
      <c r="C329" s="209"/>
      <c r="D329" s="209"/>
      <c r="E329" s="209"/>
      <c r="F329" s="209"/>
      <c r="G329" s="209"/>
      <c r="H329" s="206"/>
      <c r="I329" s="206"/>
      <c r="J329" s="206"/>
      <c r="K329" s="206"/>
      <c r="L329" s="206"/>
      <c r="M329" s="209"/>
      <c r="N329" s="209"/>
      <c r="O329" s="206"/>
      <c r="P329" s="206"/>
      <c r="Q329" s="206"/>
      <c r="R329" s="206"/>
      <c r="S329" s="206"/>
      <c r="U329" s="209"/>
      <c r="V329" s="209"/>
      <c r="W329" s="206"/>
      <c r="X329" s="206"/>
      <c r="Y329" s="206"/>
      <c r="Z329" s="206"/>
      <c r="AA329" s="206"/>
      <c r="AC329" s="209"/>
      <c r="AD329" s="209"/>
      <c r="AE329" s="206"/>
      <c r="AF329" s="206"/>
      <c r="AG329" s="206"/>
      <c r="AH329" s="206"/>
      <c r="AI329" s="206"/>
    </row>
    <row r="330" spans="2:35" ht="15.75" customHeight="1" thickBot="1" x14ac:dyDescent="0.4">
      <c r="B330" s="211"/>
      <c r="C330" s="212"/>
      <c r="D330" s="212"/>
      <c r="E330" s="212"/>
      <c r="F330" s="212"/>
      <c r="G330" s="212"/>
      <c r="H330" s="209"/>
      <c r="I330" s="209"/>
      <c r="J330" s="209"/>
      <c r="K330" s="209"/>
      <c r="L330" s="209"/>
      <c r="M330" s="212"/>
      <c r="N330" s="212"/>
      <c r="O330" s="209"/>
      <c r="P330" s="209"/>
      <c r="Q330" s="209"/>
      <c r="R330" s="209"/>
      <c r="S330" s="209"/>
      <c r="U330" s="212"/>
      <c r="V330" s="212"/>
      <c r="W330" s="209"/>
      <c r="X330" s="209"/>
      <c r="Y330" s="209"/>
      <c r="Z330" s="209"/>
      <c r="AA330" s="209"/>
      <c r="AC330" s="212"/>
      <c r="AD330" s="212"/>
      <c r="AE330" s="209"/>
      <c r="AF330" s="209"/>
      <c r="AG330" s="209"/>
      <c r="AH330" s="209"/>
      <c r="AI330" s="209"/>
    </row>
    <row r="331" spans="2:35" ht="26.5" thickBot="1" x14ac:dyDescent="0.4">
      <c r="H331" s="212"/>
      <c r="I331" s="212"/>
      <c r="J331" s="212"/>
      <c r="K331" s="212"/>
      <c r="L331" s="212"/>
      <c r="O331" s="212"/>
      <c r="P331" s="212"/>
      <c r="Q331" s="212"/>
      <c r="R331" s="212"/>
      <c r="S331" s="212"/>
      <c r="W331" s="212"/>
      <c r="X331" s="212"/>
      <c r="Y331" s="212"/>
      <c r="Z331" s="212"/>
      <c r="AA331" s="212"/>
      <c r="AE331" s="212"/>
      <c r="AF331" s="212"/>
      <c r="AG331" s="212"/>
      <c r="AH331" s="212"/>
      <c r="AI331" s="212"/>
    </row>
    <row r="375" spans="3:35" ht="15" thickBot="1" x14ac:dyDescent="0.4"/>
    <row r="376" spans="3:35" x14ac:dyDescent="0.35">
      <c r="C376" s="425" t="s">
        <v>98</v>
      </c>
      <c r="D376" s="426"/>
      <c r="E376" s="427"/>
    </row>
    <row r="377" spans="3:35" ht="15" thickBot="1" x14ac:dyDescent="0.4">
      <c r="C377" s="428"/>
      <c r="D377" s="429"/>
      <c r="E377" s="430"/>
      <c r="H377"/>
      <c r="I377"/>
      <c r="J377"/>
      <c r="K377"/>
      <c r="L377"/>
      <c r="O377"/>
      <c r="P377"/>
      <c r="Q377"/>
      <c r="R377"/>
      <c r="S377"/>
      <c r="W377"/>
      <c r="X377"/>
      <c r="Y377"/>
      <c r="Z377"/>
      <c r="AA377"/>
      <c r="AE377"/>
      <c r="AF377"/>
      <c r="AG377"/>
      <c r="AH377"/>
      <c r="AI377"/>
    </row>
    <row r="378" spans="3:35" x14ac:dyDescent="0.35">
      <c r="H378"/>
      <c r="I378"/>
      <c r="J378"/>
      <c r="K378"/>
      <c r="L378"/>
      <c r="O378"/>
      <c r="P378"/>
      <c r="Q378"/>
      <c r="R378"/>
      <c r="S378"/>
      <c r="W378"/>
      <c r="X378"/>
      <c r="Y378"/>
      <c r="Z378"/>
      <c r="AA378"/>
      <c r="AE378"/>
      <c r="AF378"/>
      <c r="AG378"/>
      <c r="AH378"/>
      <c r="AI378"/>
    </row>
  </sheetData>
  <mergeCells count="76">
    <mergeCell ref="C1:C2"/>
    <mergeCell ref="B3:E5"/>
    <mergeCell ref="B12:E12"/>
    <mergeCell ref="C14:E14"/>
    <mergeCell ref="I14:J14"/>
    <mergeCell ref="I2:L3"/>
    <mergeCell ref="I62:L62"/>
    <mergeCell ref="D15:E15"/>
    <mergeCell ref="B17:E17"/>
    <mergeCell ref="H18:H24"/>
    <mergeCell ref="B24:E24"/>
    <mergeCell ref="B25:E25"/>
    <mergeCell ref="B26:E26"/>
    <mergeCell ref="B27:E27"/>
    <mergeCell ref="B32:E34"/>
    <mergeCell ref="H34:H39"/>
    <mergeCell ref="B35:E37"/>
    <mergeCell ref="H41:H45"/>
    <mergeCell ref="H47:H49"/>
    <mergeCell ref="P114:Q114"/>
    <mergeCell ref="I189:J189"/>
    <mergeCell ref="C376:E377"/>
    <mergeCell ref="H26:H32"/>
    <mergeCell ref="P3:S3"/>
    <mergeCell ref="P14:Q14"/>
    <mergeCell ref="O18:O24"/>
    <mergeCell ref="O26:O32"/>
    <mergeCell ref="O34:O39"/>
    <mergeCell ref="O41:O45"/>
    <mergeCell ref="I89:J89"/>
    <mergeCell ref="H91:H93"/>
    <mergeCell ref="I99:J99"/>
    <mergeCell ref="I114:J114"/>
    <mergeCell ref="I134:J134"/>
    <mergeCell ref="I157:J157"/>
    <mergeCell ref="O47:O49"/>
    <mergeCell ref="P62:S62"/>
    <mergeCell ref="P89:Q89"/>
    <mergeCell ref="O91:O93"/>
    <mergeCell ref="P99:Q99"/>
    <mergeCell ref="X14:Y14"/>
    <mergeCell ref="W18:W24"/>
    <mergeCell ref="W26:W32"/>
    <mergeCell ref="W34:W39"/>
    <mergeCell ref="W41:W45"/>
    <mergeCell ref="AE34:AE39"/>
    <mergeCell ref="X134:Y134"/>
    <mergeCell ref="X157:Y157"/>
    <mergeCell ref="X189:Y189"/>
    <mergeCell ref="P1:S2"/>
    <mergeCell ref="X1:AA2"/>
    <mergeCell ref="W47:W49"/>
    <mergeCell ref="X62:AA62"/>
    <mergeCell ref="X89:Y89"/>
    <mergeCell ref="W91:W93"/>
    <mergeCell ref="X99:Y99"/>
    <mergeCell ref="X114:Y114"/>
    <mergeCell ref="P134:Q134"/>
    <mergeCell ref="P157:Q157"/>
    <mergeCell ref="P189:Q189"/>
    <mergeCell ref="X3:AA3"/>
    <mergeCell ref="AF1:AI2"/>
    <mergeCell ref="AF3:AI3"/>
    <mergeCell ref="AF14:AG14"/>
    <mergeCell ref="AE18:AE24"/>
    <mergeCell ref="AE26:AE32"/>
    <mergeCell ref="AF114:AG114"/>
    <mergeCell ref="AF134:AG134"/>
    <mergeCell ref="AF157:AG157"/>
    <mergeCell ref="AF189:AG189"/>
    <mergeCell ref="AE41:AE45"/>
    <mergeCell ref="AE47:AE49"/>
    <mergeCell ref="AF62:AI62"/>
    <mergeCell ref="AF89:AG89"/>
    <mergeCell ref="AE91:AE93"/>
    <mergeCell ref="AF99:AG99"/>
  </mergeCells>
  <phoneticPr fontId="20" type="noConversion"/>
  <pageMargins left="0.7" right="0.7" top="0.75" bottom="0.75" header="0.3" footer="0.3"/>
  <pageSetup scale="64" orientation="portrait" r:id="rId1"/>
  <rowBreaks count="1" manualBreakCount="1">
    <brk id="59" max="16383" man="1"/>
  </rowBreaks>
  <colBreaks count="1" manualBreakCount="1">
    <brk id="7" max="10485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F2608-7A0C-4225-B4DB-F682A4133F39}">
  <dimension ref="A1:L377"/>
  <sheetViews>
    <sheetView zoomScale="90" zoomScaleNormal="90" workbookViewId="0">
      <selection activeCell="I79" sqref="I79"/>
    </sheetView>
  </sheetViews>
  <sheetFormatPr defaultRowHeight="14.5" x14ac:dyDescent="0.35"/>
  <cols>
    <col min="1" max="1" width="3.26953125" customWidth="1"/>
    <col min="2" max="2" width="21.54296875" bestFit="1" customWidth="1"/>
    <col min="3" max="3" width="13" bestFit="1" customWidth="1"/>
    <col min="4" max="4" width="19.1796875" customWidth="1"/>
    <col min="5" max="5" width="22.7265625" bestFit="1" customWidth="1"/>
    <col min="6" max="6" width="29.81640625" style="1" bestFit="1" customWidth="1"/>
    <col min="7" max="7" width="39.453125" style="2" customWidth="1"/>
    <col min="8" max="8" width="15.54296875" style="2" customWidth="1"/>
    <col min="9" max="9" width="26.81640625" style="2" customWidth="1"/>
    <col min="10" max="10" width="28.26953125" style="2" bestFit="1" customWidth="1"/>
    <col min="11" max="11" width="3.453125" style="1" customWidth="1"/>
    <col min="12" max="12" width="3.453125" style="3" customWidth="1"/>
    <col min="13" max="36" width="9.1796875" customWidth="1"/>
  </cols>
  <sheetData>
    <row r="1" spans="2:10" ht="15" thickBot="1" x14ac:dyDescent="0.4">
      <c r="C1" s="414">
        <v>2020</v>
      </c>
    </row>
    <row r="2" spans="2:10" ht="15" thickBot="1" x14ac:dyDescent="0.4">
      <c r="C2" s="415"/>
      <c r="F2"/>
      <c r="G2" s="368" t="s">
        <v>0</v>
      </c>
      <c r="H2" s="369"/>
      <c r="I2" s="369"/>
      <c r="J2" s="370"/>
    </row>
    <row r="3" spans="2:10" ht="15" customHeight="1" thickBot="1" x14ac:dyDescent="0.4">
      <c r="B3" s="399" t="s">
        <v>114</v>
      </c>
      <c r="C3" s="400"/>
      <c r="D3" s="400"/>
      <c r="E3" s="401"/>
      <c r="F3"/>
      <c r="G3" s="368" t="s">
        <v>5</v>
      </c>
      <c r="H3" s="369"/>
      <c r="I3" s="369"/>
      <c r="J3" s="370"/>
    </row>
    <row r="4" spans="2:10" ht="15.75" customHeight="1" thickBot="1" x14ac:dyDescent="0.4">
      <c r="B4" s="402"/>
      <c r="C4" s="436"/>
      <c r="D4" s="436"/>
      <c r="E4" s="404"/>
      <c r="F4"/>
    </row>
    <row r="5" spans="2:10" ht="15.75" customHeight="1" thickBot="1" x14ac:dyDescent="0.4">
      <c r="B5" s="405"/>
      <c r="C5" s="406"/>
      <c r="D5" s="406"/>
      <c r="E5" s="407"/>
      <c r="F5"/>
      <c r="G5" s="7" t="s">
        <v>99</v>
      </c>
      <c r="H5" s="8"/>
      <c r="I5" s="9"/>
      <c r="J5" s="9"/>
    </row>
    <row r="6" spans="2:10" ht="15.75" customHeight="1" thickBot="1" x14ac:dyDescent="0.4">
      <c r="B6" s="13"/>
      <c r="C6" s="214" t="s">
        <v>11</v>
      </c>
      <c r="D6" s="15"/>
      <c r="E6" s="216" t="s">
        <v>12</v>
      </c>
      <c r="F6"/>
      <c r="G6" s="17" t="s">
        <v>13</v>
      </c>
      <c r="H6" s="17" t="s">
        <v>14</v>
      </c>
      <c r="I6" s="18" t="s">
        <v>15</v>
      </c>
    </row>
    <row r="7" spans="2:10" x14ac:dyDescent="0.35">
      <c r="B7" s="20" t="s">
        <v>19</v>
      </c>
      <c r="C7" s="21">
        <v>1877.4</v>
      </c>
      <c r="D7" s="22"/>
      <c r="E7" s="23">
        <v>0</v>
      </c>
      <c r="F7"/>
      <c r="G7" s="24">
        <f>+G24</f>
        <v>11562.909299999999</v>
      </c>
      <c r="H7" s="25">
        <f>C7</f>
        <v>1877.4</v>
      </c>
      <c r="I7" s="26">
        <f>+G7*H7</f>
        <v>21708205.919819999</v>
      </c>
    </row>
    <row r="8" spans="2:10" x14ac:dyDescent="0.35">
      <c r="B8" s="31" t="s">
        <v>20</v>
      </c>
      <c r="C8" s="32">
        <v>23.617000000000001</v>
      </c>
      <c r="D8" s="33"/>
      <c r="E8" s="34">
        <v>0</v>
      </c>
      <c r="F8"/>
      <c r="G8" s="35">
        <f>+G31</f>
        <v>3420470.0164000001</v>
      </c>
      <c r="H8" s="36">
        <f>C8</f>
        <v>23.617000000000001</v>
      </c>
      <c r="I8" s="37">
        <f>+G8*H8</f>
        <v>80781240.377318799</v>
      </c>
    </row>
    <row r="9" spans="2:10" x14ac:dyDescent="0.35">
      <c r="B9" s="40" t="s">
        <v>21</v>
      </c>
      <c r="C9" s="41">
        <v>844.6</v>
      </c>
      <c r="D9" s="42"/>
      <c r="E9" s="43">
        <v>0</v>
      </c>
      <c r="F9"/>
      <c r="G9" s="44">
        <f>G38</f>
        <v>0</v>
      </c>
      <c r="H9" s="45">
        <f>C9</f>
        <v>844.6</v>
      </c>
      <c r="I9" s="46">
        <f>+G9*H9</f>
        <v>0</v>
      </c>
    </row>
    <row r="10" spans="2:10" ht="14.5" customHeight="1" x14ac:dyDescent="0.35">
      <c r="B10" s="49" t="s">
        <v>22</v>
      </c>
      <c r="C10" s="50">
        <v>2210.3000000000002</v>
      </c>
      <c r="D10" s="51"/>
      <c r="E10" s="52">
        <v>0</v>
      </c>
      <c r="F10"/>
      <c r="G10" s="53">
        <f>G44</f>
        <v>517.16899999999998</v>
      </c>
      <c r="H10" s="54">
        <f>C10</f>
        <v>2210.3000000000002</v>
      </c>
      <c r="I10" s="55">
        <f>+G10*H10</f>
        <v>1143098.6407000001</v>
      </c>
    </row>
    <row r="11" spans="2:10" ht="15" thickBot="1" x14ac:dyDescent="0.4">
      <c r="B11" s="57" t="s">
        <v>23</v>
      </c>
      <c r="C11" s="58">
        <v>13500</v>
      </c>
      <c r="D11" s="59"/>
      <c r="E11" s="60">
        <v>0</v>
      </c>
      <c r="F11"/>
      <c r="G11" s="61">
        <v>72.561999999999998</v>
      </c>
      <c r="H11" s="62">
        <f>C11</f>
        <v>13500</v>
      </c>
      <c r="I11" s="63">
        <f>+G11*H11</f>
        <v>979587</v>
      </c>
    </row>
    <row r="12" spans="2:10" ht="15" thickBot="1" x14ac:dyDescent="0.4">
      <c r="B12" s="457" t="s">
        <v>115</v>
      </c>
      <c r="C12" s="406"/>
      <c r="D12" s="458"/>
      <c r="E12" s="407"/>
      <c r="F12" s="65"/>
      <c r="G12" s="65"/>
      <c r="H12" s="56"/>
      <c r="I12" s="66">
        <f>SUM(I7:I11)</f>
        <v>104612131.93783879</v>
      </c>
    </row>
    <row r="13" spans="2:10" ht="15" thickBot="1" x14ac:dyDescent="0.4">
      <c r="F13"/>
      <c r="G13" s="67"/>
      <c r="H13" s="67"/>
      <c r="I13" s="68">
        <f>C14</f>
        <v>914969.33</v>
      </c>
      <c r="J13" s="69" t="s">
        <v>25</v>
      </c>
    </row>
    <row r="14" spans="2:10" ht="15" thickBot="1" x14ac:dyDescent="0.4">
      <c r="B14" s="73" t="s">
        <v>25</v>
      </c>
      <c r="C14" s="411">
        <v>914969.33</v>
      </c>
      <c r="D14" s="411"/>
      <c r="E14" s="412"/>
      <c r="F14" t="s">
        <v>116</v>
      </c>
      <c r="G14" s="413" t="s">
        <v>27</v>
      </c>
      <c r="H14" s="413"/>
      <c r="I14" s="74">
        <f>D15</f>
        <v>1416119.21</v>
      </c>
      <c r="J14" s="75" t="s">
        <v>28</v>
      </c>
    </row>
    <row r="15" spans="2:10" ht="15" thickBot="1" x14ac:dyDescent="0.4">
      <c r="B15" s="81" t="s">
        <v>28</v>
      </c>
      <c r="C15" s="82"/>
      <c r="D15" s="380">
        <v>1416119.21</v>
      </c>
      <c r="E15" s="381"/>
      <c r="F15" t="s">
        <v>116</v>
      </c>
      <c r="G15" s="56" t="s">
        <v>30</v>
      </c>
      <c r="H15" s="83"/>
      <c r="I15" s="84">
        <f>+I12+I13+I14</f>
        <v>106943220.47783878</v>
      </c>
    </row>
    <row r="16" spans="2:10" ht="15" thickBot="1" x14ac:dyDescent="0.4">
      <c r="C16" s="85"/>
      <c r="D16" s="85"/>
      <c r="E16" s="85"/>
      <c r="F16"/>
      <c r="G16" s="56"/>
      <c r="H16" s="56"/>
    </row>
    <row r="17" spans="2:10" ht="15" thickBot="1" x14ac:dyDescent="0.4">
      <c r="B17" s="382" t="s">
        <v>31</v>
      </c>
      <c r="C17" s="383"/>
      <c r="D17" s="383"/>
      <c r="E17" s="384"/>
      <c r="F17"/>
      <c r="G17" s="7" t="s">
        <v>100</v>
      </c>
      <c r="H17" s="86"/>
      <c r="I17" s="86"/>
      <c r="J17" s="9"/>
    </row>
    <row r="18" spans="2:10" ht="15" customHeight="1" x14ac:dyDescent="0.35">
      <c r="B18" s="87" t="s">
        <v>33</v>
      </c>
      <c r="C18" s="88">
        <f>-SUM('LIFO as of 12.31.19 (01.08.20)'!C19:C21)</f>
        <v>-3377592.5</v>
      </c>
      <c r="D18" s="89"/>
      <c r="E18" s="90"/>
      <c r="F18" s="385" t="s">
        <v>34</v>
      </c>
      <c r="G18" s="91">
        <v>635.15750000000003</v>
      </c>
      <c r="H18" s="92">
        <v>513</v>
      </c>
      <c r="I18" s="92">
        <f>+G18*H18</f>
        <v>325835.79749999999</v>
      </c>
      <c r="J18" s="93">
        <v>2005</v>
      </c>
    </row>
    <row r="19" spans="2:10" x14ac:dyDescent="0.35">
      <c r="B19" s="87" t="s">
        <v>36</v>
      </c>
      <c r="C19" s="88">
        <v>-847675</v>
      </c>
      <c r="D19" s="96"/>
      <c r="E19" s="97" t="s">
        <v>117</v>
      </c>
      <c r="F19" s="386"/>
      <c r="G19" s="91">
        <v>8241.6015000000007</v>
      </c>
      <c r="H19" s="92">
        <v>635.70000000000005</v>
      </c>
      <c r="I19" s="92">
        <f t="shared" ref="I19:I22" si="0">+G19*H19</f>
        <v>5239186.0735500008</v>
      </c>
      <c r="J19" s="93">
        <v>2006</v>
      </c>
    </row>
    <row r="20" spans="2:10" x14ac:dyDescent="0.35">
      <c r="B20" s="87" t="s">
        <v>38</v>
      </c>
      <c r="C20" s="98">
        <v>-1585.5</v>
      </c>
      <c r="D20" s="96"/>
      <c r="E20" s="97" t="s">
        <v>117</v>
      </c>
      <c r="F20" s="386"/>
      <c r="G20" s="91">
        <f>2706.7257-20.5754</f>
        <v>2686.1502999999998</v>
      </c>
      <c r="H20" s="92">
        <v>846.75</v>
      </c>
      <c r="I20" s="92">
        <f t="shared" si="0"/>
        <v>2274497.7665249999</v>
      </c>
      <c r="J20" s="93">
        <v>2008</v>
      </c>
    </row>
    <row r="21" spans="2:10" x14ac:dyDescent="0.35">
      <c r="B21" s="87" t="s">
        <v>39</v>
      </c>
      <c r="C21" s="88">
        <f>5523930+10635</f>
        <v>5534565</v>
      </c>
      <c r="D21" s="96"/>
      <c r="E21" s="97" t="s">
        <v>118</v>
      </c>
      <c r="F21" s="386"/>
      <c r="G21" s="91">
        <f>668.4836-48.1355-620.3481</f>
        <v>0</v>
      </c>
      <c r="H21" s="92"/>
      <c r="I21" s="92">
        <f t="shared" si="0"/>
        <v>0</v>
      </c>
      <c r="J21" s="93"/>
    </row>
    <row r="22" spans="2:10" x14ac:dyDescent="0.35">
      <c r="B22" s="87" t="s">
        <v>103</v>
      </c>
      <c r="C22" s="88">
        <v>-471640</v>
      </c>
      <c r="D22" s="96"/>
      <c r="E22" s="97" t="s">
        <v>118</v>
      </c>
      <c r="F22" s="386"/>
      <c r="G22" s="91"/>
      <c r="H22" s="103"/>
      <c r="I22" s="92">
        <f t="shared" si="0"/>
        <v>0</v>
      </c>
      <c r="J22" s="104" t="s">
        <v>113</v>
      </c>
    </row>
    <row r="23" spans="2:10" ht="15" thickBot="1" x14ac:dyDescent="0.4">
      <c r="B23" s="99" t="s">
        <v>41</v>
      </c>
      <c r="C23" s="100">
        <f>SUM(C18:C22)</f>
        <v>836072</v>
      </c>
      <c r="D23" s="101"/>
      <c r="E23" s="102" t="str">
        <f>B3</f>
        <v>Date as of : 10.31.2020</v>
      </c>
      <c r="F23" s="386"/>
      <c r="G23" s="106"/>
      <c r="H23" s="92"/>
      <c r="I23" s="92"/>
      <c r="J23" s="93"/>
    </row>
    <row r="24" spans="2:10" ht="15" thickBot="1" x14ac:dyDescent="0.4">
      <c r="B24" s="388" t="s">
        <v>125</v>
      </c>
      <c r="C24" s="389"/>
      <c r="D24" s="389"/>
      <c r="E24" s="390"/>
      <c r="F24" s="387"/>
      <c r="G24" s="108">
        <f>SUM(G18:G23)</f>
        <v>11562.909299999999</v>
      </c>
      <c r="H24" s="92"/>
      <c r="I24" s="109">
        <f>SUM(I18:I23)</f>
        <v>7839519.6375750005</v>
      </c>
      <c r="J24" s="93"/>
    </row>
    <row r="25" spans="2:10" ht="15" thickTop="1" x14ac:dyDescent="0.35">
      <c r="B25" s="388" t="s">
        <v>126</v>
      </c>
      <c r="C25" s="389"/>
      <c r="D25" s="389"/>
      <c r="E25" s="390"/>
      <c r="G25" s="56"/>
      <c r="H25" s="115"/>
      <c r="J25" s="93"/>
    </row>
    <row r="26" spans="2:10" ht="15" customHeight="1" x14ac:dyDescent="0.35">
      <c r="B26" s="391" t="s">
        <v>127</v>
      </c>
      <c r="C26" s="392"/>
      <c r="D26" s="392"/>
      <c r="E26" s="393"/>
      <c r="F26" s="459" t="s">
        <v>47</v>
      </c>
      <c r="G26" s="116">
        <v>981664.58790000004</v>
      </c>
      <c r="H26" s="117">
        <v>8.83</v>
      </c>
      <c r="I26" s="118">
        <f>+G26*H26</f>
        <v>8668098.3111570012</v>
      </c>
      <c r="J26" s="93">
        <v>2005</v>
      </c>
    </row>
    <row r="27" spans="2:10" ht="15" thickBot="1" x14ac:dyDescent="0.4">
      <c r="B27" s="396" t="s">
        <v>124</v>
      </c>
      <c r="C27" s="397"/>
      <c r="D27" s="397"/>
      <c r="E27" s="398"/>
      <c r="F27" s="434"/>
      <c r="G27" s="116">
        <v>649.01480000000004</v>
      </c>
      <c r="H27" s="117">
        <v>14.93</v>
      </c>
      <c r="I27" s="118">
        <f>+G27*H27</f>
        <v>9689.7909639999998</v>
      </c>
      <c r="J27" s="93">
        <v>2008</v>
      </c>
    </row>
    <row r="28" spans="2:10" ht="15" thickBot="1" x14ac:dyDescent="0.4">
      <c r="B28" s="93"/>
      <c r="C28" s="93"/>
      <c r="D28" s="93"/>
      <c r="E28" s="93"/>
      <c r="F28" s="434"/>
      <c r="G28" s="122">
        <f>213803.7135</f>
        <v>213803.71350000001</v>
      </c>
      <c r="H28" s="117">
        <v>11.08</v>
      </c>
      <c r="I28" s="118">
        <f>+G28*H28</f>
        <v>2368945.1455800002</v>
      </c>
      <c r="J28" s="93">
        <v>2009</v>
      </c>
    </row>
    <row r="29" spans="2:10" ht="15" thickBot="1" x14ac:dyDescent="0.4">
      <c r="B29" s="119" t="s">
        <v>48</v>
      </c>
      <c r="C29" s="120" t="str">
        <f>MID(B3,13,15)</f>
        <v xml:space="preserve"> 10.31.2020</v>
      </c>
      <c r="D29" s="120"/>
      <c r="E29" s="121">
        <v>29940634.579999998</v>
      </c>
      <c r="F29" s="434"/>
      <c r="G29" s="122">
        <f>1249196.5802-72195.341</f>
        <v>1177001.2392</v>
      </c>
      <c r="H29" s="117">
        <v>14</v>
      </c>
      <c r="I29" s="118">
        <f>+G29*H29</f>
        <v>16478017.3488</v>
      </c>
      <c r="J29" s="93">
        <v>2016</v>
      </c>
    </row>
    <row r="30" spans="2:10" x14ac:dyDescent="0.35">
      <c r="B30" s="93"/>
      <c r="C30" s="93"/>
      <c r="D30" s="93"/>
      <c r="E30" s="93" t="s">
        <v>104</v>
      </c>
      <c r="F30" s="434"/>
      <c r="G30" s="122">
        <v>1047351.461</v>
      </c>
      <c r="H30" s="124">
        <v>15.44</v>
      </c>
      <c r="I30" s="118">
        <f>+G30*H30</f>
        <v>16171106.557839999</v>
      </c>
      <c r="J30" s="104" t="s">
        <v>42</v>
      </c>
    </row>
    <row r="31" spans="2:10" ht="15" thickBot="1" x14ac:dyDescent="0.4">
      <c r="B31" s="93"/>
      <c r="C31" s="93"/>
      <c r="D31" s="93"/>
      <c r="E31" s="123"/>
      <c r="F31" s="435"/>
      <c r="G31" s="125">
        <f>SUM(G26:G30)</f>
        <v>3420470.0164000001</v>
      </c>
      <c r="H31" s="126"/>
      <c r="I31" s="127">
        <f>SUM(I26:I30)</f>
        <v>43695857.154340997</v>
      </c>
      <c r="J31" s="93"/>
    </row>
    <row r="32" spans="2:10" ht="15" thickTop="1" x14ac:dyDescent="0.35">
      <c r="B32" s="399" t="s">
        <v>49</v>
      </c>
      <c r="C32" s="400"/>
      <c r="D32" s="400"/>
      <c r="E32" s="401"/>
      <c r="G32" s="131"/>
      <c r="I32" s="132"/>
      <c r="J32" s="93"/>
    </row>
    <row r="33" spans="2:10" x14ac:dyDescent="0.35">
      <c r="B33" s="402"/>
      <c r="C33" s="436"/>
      <c r="D33" s="436"/>
      <c r="E33" s="404"/>
      <c r="F33" s="408" t="s">
        <v>51</v>
      </c>
      <c r="G33" s="134">
        <v>0</v>
      </c>
      <c r="H33" s="135"/>
      <c r="I33" s="136">
        <f>+G33*H33</f>
        <v>0</v>
      </c>
      <c r="J33" s="93"/>
    </row>
    <row r="34" spans="2:10" ht="15" thickBot="1" x14ac:dyDescent="0.4">
      <c r="B34" s="405"/>
      <c r="C34" s="406"/>
      <c r="D34" s="406"/>
      <c r="E34" s="407"/>
      <c r="F34" s="409"/>
      <c r="G34" s="137">
        <v>0</v>
      </c>
      <c r="H34" s="135"/>
      <c r="I34" s="136">
        <f>+G34*H34</f>
        <v>0</v>
      </c>
      <c r="J34" s="93"/>
    </row>
    <row r="35" spans="2:10" x14ac:dyDescent="0.35">
      <c r="B35" s="350" t="s">
        <v>35</v>
      </c>
      <c r="C35" s="351"/>
      <c r="D35" s="351"/>
      <c r="E35" s="352"/>
      <c r="F35" s="409"/>
      <c r="G35" s="137">
        <v>0</v>
      </c>
      <c r="H35" s="135"/>
      <c r="I35" s="136">
        <f>+G35*H35</f>
        <v>0</v>
      </c>
      <c r="J35" s="93"/>
    </row>
    <row r="36" spans="2:10" x14ac:dyDescent="0.35">
      <c r="B36" s="353"/>
      <c r="C36" s="354"/>
      <c r="D36" s="354"/>
      <c r="E36" s="355"/>
      <c r="F36" s="409"/>
      <c r="G36" s="138"/>
      <c r="H36" s="139"/>
      <c r="I36" s="136"/>
      <c r="J36" s="104" t="s">
        <v>42</v>
      </c>
    </row>
    <row r="37" spans="2:10" ht="15" thickBot="1" x14ac:dyDescent="0.4">
      <c r="B37" s="356"/>
      <c r="C37" s="357"/>
      <c r="D37" s="357"/>
      <c r="E37" s="358"/>
      <c r="F37" s="409"/>
      <c r="G37" s="138"/>
      <c r="H37" s="135"/>
      <c r="I37" s="136"/>
      <c r="J37" s="93"/>
    </row>
    <row r="38" spans="2:10" ht="15" thickBot="1" x14ac:dyDescent="0.4">
      <c r="F38" s="410"/>
      <c r="G38" s="140">
        <f>SUM(G33:G37)</f>
        <v>0</v>
      </c>
      <c r="H38" s="136"/>
      <c r="I38" s="141">
        <f>SUM(I33:I37)</f>
        <v>0</v>
      </c>
      <c r="J38" s="93"/>
    </row>
    <row r="39" spans="2:10" ht="15" thickTop="1" x14ac:dyDescent="0.35">
      <c r="G39" s="131"/>
      <c r="H39" s="145"/>
      <c r="I39" s="132"/>
      <c r="J39" s="93"/>
    </row>
    <row r="40" spans="2:10" x14ac:dyDescent="0.35">
      <c r="D40" s="217"/>
      <c r="F40" s="359" t="s">
        <v>53</v>
      </c>
      <c r="G40" s="146">
        <v>517.16899999999998</v>
      </c>
      <c r="H40" s="147">
        <v>1267</v>
      </c>
      <c r="I40" s="148">
        <f>+G40*H40</f>
        <v>655253.12300000002</v>
      </c>
      <c r="J40" s="104" t="s">
        <v>42</v>
      </c>
    </row>
    <row r="41" spans="2:10" x14ac:dyDescent="0.35">
      <c r="D41" s="217"/>
      <c r="F41" s="360"/>
      <c r="G41" s="146"/>
      <c r="H41" s="149"/>
      <c r="I41" s="148">
        <f>+G41*H41</f>
        <v>0</v>
      </c>
      <c r="J41" s="93"/>
    </row>
    <row r="42" spans="2:10" x14ac:dyDescent="0.35">
      <c r="D42" s="217"/>
      <c r="F42" s="360"/>
      <c r="G42" s="150"/>
      <c r="H42" s="151"/>
      <c r="I42" s="148">
        <f>+G42*H42</f>
        <v>0</v>
      </c>
      <c r="J42" s="93"/>
    </row>
    <row r="43" spans="2:10" x14ac:dyDescent="0.35">
      <c r="D43" s="217"/>
      <c r="F43" s="360"/>
      <c r="G43" s="152">
        <v>0</v>
      </c>
      <c r="H43" s="151"/>
      <c r="I43" s="148">
        <f>+G43*H43</f>
        <v>0</v>
      </c>
      <c r="J43" s="93"/>
    </row>
    <row r="44" spans="2:10" ht="15" thickBot="1" x14ac:dyDescent="0.4">
      <c r="F44" s="361"/>
      <c r="G44" s="153">
        <f>SUM(G40:G43)</f>
        <v>517.16899999999998</v>
      </c>
      <c r="H44" s="148"/>
      <c r="I44" s="154">
        <f>SUM(I40:I43)</f>
        <v>655253.12300000002</v>
      </c>
      <c r="J44" s="93"/>
    </row>
    <row r="45" spans="2:10" ht="15" thickTop="1" x14ac:dyDescent="0.35">
      <c r="G45" s="131"/>
      <c r="H45" s="132"/>
      <c r="I45" s="132"/>
      <c r="J45" s="93"/>
    </row>
    <row r="46" spans="2:10" x14ac:dyDescent="0.35">
      <c r="F46" s="432" t="s">
        <v>55</v>
      </c>
      <c r="G46" s="158">
        <v>72.56</v>
      </c>
      <c r="H46" s="159">
        <v>2300</v>
      </c>
      <c r="I46" s="160">
        <f>+G46*H46</f>
        <v>166888</v>
      </c>
      <c r="J46" s="104" t="s">
        <v>42</v>
      </c>
    </row>
    <row r="47" spans="2:10" x14ac:dyDescent="0.35">
      <c r="F47" s="432"/>
      <c r="G47" s="158"/>
      <c r="H47" s="160"/>
      <c r="I47" s="160">
        <f>+G47*H47</f>
        <v>0</v>
      </c>
      <c r="J47" s="93"/>
    </row>
    <row r="48" spans="2:10" ht="15" thickBot="1" x14ac:dyDescent="0.4">
      <c r="F48" s="432"/>
      <c r="G48" s="164">
        <f>SUM(G46:G47)</f>
        <v>72.56</v>
      </c>
      <c r="H48" s="160"/>
      <c r="I48" s="165">
        <f>SUM(I46:I47)</f>
        <v>166888</v>
      </c>
      <c r="J48" s="93"/>
    </row>
    <row r="49" spans="1:12" ht="15" thickTop="1" x14ac:dyDescent="0.35">
      <c r="G49" s="170"/>
      <c r="H49" s="171"/>
      <c r="I49" s="68">
        <f>+I13</f>
        <v>914969.33</v>
      </c>
      <c r="J49" s="69" t="s">
        <v>26</v>
      </c>
    </row>
    <row r="50" spans="1:12" ht="15" thickBot="1" x14ac:dyDescent="0.4">
      <c r="G50" s="56" t="s">
        <v>30</v>
      </c>
      <c r="H50" s="132"/>
      <c r="I50" s="84">
        <f>+I24+I31+I38+I44+I49+I48</f>
        <v>53272487.244915999</v>
      </c>
    </row>
    <row r="51" spans="1:12" ht="15" thickTop="1" x14ac:dyDescent="0.35">
      <c r="H51" s="132"/>
      <c r="I51" s="132"/>
    </row>
    <row r="52" spans="1:12" ht="15" thickBot="1" x14ac:dyDescent="0.4">
      <c r="G52" s="56" t="s">
        <v>56</v>
      </c>
      <c r="H52" s="132"/>
      <c r="I52" s="177">
        <f>+I15-I50</f>
        <v>53670733.232922785</v>
      </c>
    </row>
    <row r="53" spans="1:12" ht="15" thickTop="1" x14ac:dyDescent="0.35">
      <c r="H53" s="178"/>
      <c r="I53" s="179"/>
    </row>
    <row r="54" spans="1:12" x14ac:dyDescent="0.35">
      <c r="G54" s="180" t="s">
        <v>109</v>
      </c>
      <c r="H54" s="178"/>
      <c r="I54" s="181">
        <v>30081777.469999999</v>
      </c>
    </row>
    <row r="55" spans="1:12" x14ac:dyDescent="0.35">
      <c r="G55" s="2" t="s">
        <v>110</v>
      </c>
      <c r="H55" s="56"/>
      <c r="I55" s="174">
        <f>+I52</f>
        <v>53670733.232922785</v>
      </c>
    </row>
    <row r="56" spans="1:12" x14ac:dyDescent="0.35">
      <c r="G56" s="2" t="s">
        <v>60</v>
      </c>
      <c r="H56" s="56"/>
      <c r="I56" s="183">
        <f>+I54-I55</f>
        <v>-23588955.762922786</v>
      </c>
    </row>
    <row r="57" spans="1:12" x14ac:dyDescent="0.35">
      <c r="G57" s="2" t="s">
        <v>111</v>
      </c>
      <c r="H57" s="56"/>
      <c r="I57" s="184">
        <f>E29</f>
        <v>29940634.579999998</v>
      </c>
      <c r="J57" s="2" t="s">
        <v>119</v>
      </c>
    </row>
    <row r="58" spans="1:12" ht="15" thickBot="1" x14ac:dyDescent="0.4">
      <c r="G58" s="2" t="s">
        <v>112</v>
      </c>
      <c r="H58" s="56"/>
      <c r="I58" s="177">
        <f>+I56+I57</f>
        <v>6351678.817077212</v>
      </c>
    </row>
    <row r="59" spans="1:12" ht="15" thickTop="1" x14ac:dyDescent="0.35">
      <c r="G59" s="56"/>
      <c r="H59" s="56"/>
    </row>
    <row r="60" spans="1:12" ht="15" thickBot="1" x14ac:dyDescent="0.4">
      <c r="G60" s="56"/>
      <c r="H60" s="56"/>
    </row>
    <row r="61" spans="1:12" s="2" customFormat="1" ht="15" thickBot="1" x14ac:dyDescent="0.4">
      <c r="A61"/>
      <c r="B61"/>
      <c r="C61"/>
      <c r="D61"/>
      <c r="E61"/>
      <c r="F61" s="186"/>
      <c r="G61" s="368" t="s">
        <v>65</v>
      </c>
      <c r="H61" s="369"/>
      <c r="I61" s="369"/>
      <c r="J61" s="370"/>
      <c r="K61" s="1"/>
      <c r="L61" s="3"/>
    </row>
    <row r="62" spans="1:12" s="2" customFormat="1" ht="15" thickBot="1" x14ac:dyDescent="0.4">
      <c r="B62"/>
      <c r="C62"/>
      <c r="D62"/>
      <c r="E62"/>
      <c r="F62" s="186"/>
      <c r="G62" s="56"/>
      <c r="H62" s="56"/>
      <c r="K62" s="1"/>
      <c r="L62" s="3"/>
    </row>
    <row r="63" spans="1:12" s="2" customFormat="1" ht="15" thickBot="1" x14ac:dyDescent="0.4">
      <c r="B63"/>
      <c r="C63"/>
      <c r="D63"/>
      <c r="E63"/>
      <c r="F63" s="186"/>
      <c r="G63" s="56"/>
      <c r="H63" s="56"/>
      <c r="J63" s="188" t="s">
        <v>66</v>
      </c>
      <c r="K63" s="1"/>
      <c r="L63" s="3"/>
    </row>
    <row r="64" spans="1:12" s="2" customFormat="1" x14ac:dyDescent="0.35">
      <c r="B64"/>
      <c r="C64"/>
      <c r="D64"/>
      <c r="E64"/>
      <c r="F64" s="186"/>
      <c r="G64" s="56" t="s">
        <v>67</v>
      </c>
      <c r="H64" s="56"/>
      <c r="I64" s="30">
        <f>I58</f>
        <v>6351678.817077212</v>
      </c>
      <c r="K64" s="1"/>
      <c r="L64" s="3"/>
    </row>
    <row r="65" spans="1:12" s="2" customFormat="1" x14ac:dyDescent="0.35">
      <c r="B65"/>
      <c r="C65"/>
      <c r="D65"/>
      <c r="E65"/>
      <c r="F65" s="186"/>
      <c r="G65" s="56" t="s">
        <v>68</v>
      </c>
      <c r="H65" s="56"/>
      <c r="I65" s="189">
        <v>0</v>
      </c>
      <c r="K65" s="1"/>
      <c r="L65" s="3"/>
    </row>
    <row r="66" spans="1:12" s="2" customFormat="1" ht="15" thickBot="1" x14ac:dyDescent="0.4">
      <c r="B66"/>
      <c r="C66"/>
      <c r="D66"/>
      <c r="E66"/>
      <c r="F66" s="186"/>
      <c r="G66" s="56" t="s">
        <v>69</v>
      </c>
      <c r="H66" s="56"/>
      <c r="I66" s="192">
        <f>I64+I65</f>
        <v>6351678.817077212</v>
      </c>
      <c r="K66" s="1"/>
      <c r="L66" s="3"/>
    </row>
    <row r="67" spans="1:12" s="2" customFormat="1" x14ac:dyDescent="0.35">
      <c r="B67"/>
      <c r="C67"/>
      <c r="D67"/>
      <c r="E67"/>
      <c r="F67" s="186"/>
      <c r="G67" s="56"/>
      <c r="H67" s="56"/>
      <c r="K67" s="1"/>
      <c r="L67" s="3"/>
    </row>
    <row r="68" spans="1:12" x14ac:dyDescent="0.35">
      <c r="A68" s="2"/>
      <c r="E68" s="191"/>
      <c r="G68" s="2" t="s">
        <v>70</v>
      </c>
    </row>
    <row r="69" spans="1:12" x14ac:dyDescent="0.35">
      <c r="E69" s="191"/>
      <c r="G69" s="2" t="s">
        <v>72</v>
      </c>
      <c r="I69" s="189">
        <v>0</v>
      </c>
    </row>
    <row r="70" spans="1:12" x14ac:dyDescent="0.35">
      <c r="G70" s="2" t="s">
        <v>74</v>
      </c>
      <c r="I70" s="189">
        <f>17366.31+1425.51</f>
        <v>18791.82</v>
      </c>
    </row>
    <row r="71" spans="1:12" s="2" customFormat="1" ht="15" thickBot="1" x14ac:dyDescent="0.4">
      <c r="A71"/>
      <c r="B71"/>
      <c r="C71"/>
      <c r="D71"/>
      <c r="E71" s="193"/>
      <c r="F71" s="186"/>
      <c r="G71" s="2" t="s">
        <v>75</v>
      </c>
      <c r="I71" s="192">
        <f>SUM(I69:I70)</f>
        <v>18791.82</v>
      </c>
      <c r="K71" s="1"/>
      <c r="L71" s="3"/>
    </row>
    <row r="72" spans="1:12" s="2" customFormat="1" x14ac:dyDescent="0.35">
      <c r="B72"/>
      <c r="C72"/>
      <c r="D72"/>
      <c r="E72" s="193"/>
      <c r="F72" s="186"/>
      <c r="I72" s="56"/>
      <c r="K72" s="1"/>
      <c r="L72" s="3"/>
    </row>
    <row r="73" spans="1:12" s="2" customFormat="1" x14ac:dyDescent="0.35">
      <c r="B73"/>
      <c r="C73"/>
      <c r="D73"/>
      <c r="E73" s="194"/>
      <c r="F73" s="186"/>
      <c r="G73" s="2" t="s">
        <v>76</v>
      </c>
      <c r="K73" s="1"/>
      <c r="L73" s="3"/>
    </row>
    <row r="74" spans="1:12" x14ac:dyDescent="0.35">
      <c r="A74" s="2"/>
      <c r="B74" s="2"/>
      <c r="C74" s="2"/>
      <c r="D74" s="2"/>
      <c r="E74" s="30"/>
      <c r="G74" s="2" t="s">
        <v>77</v>
      </c>
      <c r="I74" s="189">
        <v>0</v>
      </c>
      <c r="J74" s="2" t="s">
        <v>106</v>
      </c>
    </row>
    <row r="75" spans="1:12" x14ac:dyDescent="0.35">
      <c r="B75" s="2"/>
      <c r="C75" s="2"/>
      <c r="D75" s="2"/>
      <c r="E75" s="2"/>
      <c r="G75" s="2" t="s">
        <v>79</v>
      </c>
      <c r="I75" s="189">
        <v>0</v>
      </c>
      <c r="J75" s="2" t="s">
        <v>107</v>
      </c>
    </row>
    <row r="76" spans="1:12" x14ac:dyDescent="0.35">
      <c r="B76" s="2"/>
      <c r="C76" s="2"/>
      <c r="D76" s="2"/>
      <c r="E76" s="30"/>
      <c r="G76" s="2" t="s">
        <v>81</v>
      </c>
      <c r="I76" s="189">
        <v>0</v>
      </c>
      <c r="J76" s="2" t="s">
        <v>82</v>
      </c>
    </row>
    <row r="77" spans="1:12" x14ac:dyDescent="0.35">
      <c r="B77" s="2"/>
      <c r="C77" s="2"/>
      <c r="D77" s="2"/>
      <c r="E77" s="2"/>
      <c r="G77" s="2" t="s">
        <v>83</v>
      </c>
      <c r="I77" s="189">
        <v>0</v>
      </c>
    </row>
    <row r="78" spans="1:12" x14ac:dyDescent="0.35">
      <c r="B78" s="2"/>
      <c r="C78" s="2"/>
      <c r="D78" s="2"/>
      <c r="E78" s="30"/>
      <c r="F78" s="1" t="s">
        <v>122</v>
      </c>
      <c r="G78" s="2" t="s">
        <v>84</v>
      </c>
      <c r="I78" s="190">
        <f>I94</f>
        <v>836072</v>
      </c>
      <c r="J78" s="190"/>
    </row>
    <row r="79" spans="1:12" ht="15" thickBot="1" x14ac:dyDescent="0.4">
      <c r="B79" s="2"/>
      <c r="C79" s="2"/>
      <c r="D79" s="2"/>
      <c r="E79" s="2"/>
      <c r="G79" s="2" t="s">
        <v>85</v>
      </c>
      <c r="I79" s="192">
        <f>SUM(I74:I78)</f>
        <v>836072</v>
      </c>
      <c r="J79" s="190"/>
    </row>
    <row r="80" spans="1:12" x14ac:dyDescent="0.35">
      <c r="B80" s="2"/>
      <c r="C80" s="2"/>
      <c r="D80" s="2"/>
      <c r="E80" s="2"/>
      <c r="J80" s="190"/>
    </row>
    <row r="81" spans="2:10" x14ac:dyDescent="0.35">
      <c r="G81" s="2" t="s">
        <v>86</v>
      </c>
      <c r="I81" s="195">
        <f>I66+I71+I79</f>
        <v>7206542.6370772123</v>
      </c>
    </row>
    <row r="82" spans="2:10" x14ac:dyDescent="0.35">
      <c r="I82" s="196"/>
    </row>
    <row r="83" spans="2:10" x14ac:dyDescent="0.35">
      <c r="G83" s="2" t="s">
        <v>87</v>
      </c>
      <c r="I83" s="195">
        <v>0</v>
      </c>
    </row>
    <row r="84" spans="2:10" x14ac:dyDescent="0.35">
      <c r="B84" s="2"/>
      <c r="C84" s="2"/>
      <c r="D84" s="2"/>
      <c r="E84" s="2"/>
    </row>
    <row r="85" spans="2:10" ht="15" thickBot="1" x14ac:dyDescent="0.4">
      <c r="B85" s="2"/>
      <c r="C85" s="2"/>
      <c r="D85" s="2"/>
      <c r="E85" s="2"/>
      <c r="G85" s="2" t="s">
        <v>88</v>
      </c>
      <c r="I85" s="197">
        <f>I81-I83</f>
        <v>7206542.6370772123</v>
      </c>
    </row>
    <row r="86" spans="2:10" ht="15" thickTop="1" x14ac:dyDescent="0.35">
      <c r="B86" s="2"/>
      <c r="C86" s="2"/>
      <c r="D86" s="2"/>
      <c r="E86" s="2"/>
    </row>
    <row r="88" spans="2:10" x14ac:dyDescent="0.35">
      <c r="G88" s="371" t="s">
        <v>31</v>
      </c>
      <c r="H88" s="371"/>
    </row>
    <row r="89" spans="2:10" ht="15" thickBot="1" x14ac:dyDescent="0.4">
      <c r="H89" s="215" t="s">
        <v>33</v>
      </c>
      <c r="I89" s="199">
        <f>C18</f>
        <v>-3377592.5</v>
      </c>
    </row>
    <row r="90" spans="2:10" ht="21" customHeight="1" x14ac:dyDescent="0.35">
      <c r="F90" s="374" t="s">
        <v>89</v>
      </c>
      <c r="G90" s="215" t="s">
        <v>120</v>
      </c>
      <c r="H90" s="215" t="s">
        <v>36</v>
      </c>
      <c r="I90" s="199">
        <f t="shared" ref="I90:I93" si="1">C19</f>
        <v>-847675</v>
      </c>
      <c r="J90" s="2" t="s">
        <v>37</v>
      </c>
    </row>
    <row r="91" spans="2:10" ht="21.75" customHeight="1" x14ac:dyDescent="0.35">
      <c r="F91" s="375"/>
      <c r="G91" s="217" t="s">
        <v>120</v>
      </c>
      <c r="H91" s="215" t="s">
        <v>38</v>
      </c>
      <c r="I91" s="199">
        <f t="shared" si="1"/>
        <v>-1585.5</v>
      </c>
      <c r="J91" s="2" t="s">
        <v>37</v>
      </c>
    </row>
    <row r="92" spans="2:10" ht="15" thickBot="1" x14ac:dyDescent="0.4">
      <c r="F92" s="376"/>
      <c r="G92" s="215" t="s">
        <v>92</v>
      </c>
      <c r="H92" s="215" t="s">
        <v>39</v>
      </c>
      <c r="I92" s="199">
        <f t="shared" si="1"/>
        <v>5534565</v>
      </c>
      <c r="J92" s="2" t="s">
        <v>121</v>
      </c>
    </row>
    <row r="93" spans="2:10" x14ac:dyDescent="0.35">
      <c r="G93" s="217" t="s">
        <v>120</v>
      </c>
      <c r="H93" s="215" t="s">
        <v>103</v>
      </c>
      <c r="I93" s="199">
        <f t="shared" si="1"/>
        <v>-471640</v>
      </c>
    </row>
    <row r="94" spans="2:10" x14ac:dyDescent="0.35">
      <c r="H94" s="215" t="s">
        <v>41</v>
      </c>
      <c r="I94" s="200">
        <f>SUM(I89:I93)</f>
        <v>836072</v>
      </c>
      <c r="J94" s="2" t="str">
        <f>B3</f>
        <v>Date as of : 10.31.2020</v>
      </c>
    </row>
    <row r="97" spans="1:12" ht="15" thickBot="1" x14ac:dyDescent="0.4"/>
    <row r="98" spans="1:12" ht="15" thickBot="1" x14ac:dyDescent="0.4">
      <c r="G98" s="333" t="s">
        <v>123</v>
      </c>
      <c r="H98" s="334"/>
    </row>
    <row r="111" spans="1:12" s="2" customFormat="1" x14ac:dyDescent="0.35">
      <c r="A111"/>
      <c r="B111"/>
      <c r="C111"/>
      <c r="D111"/>
      <c r="E111"/>
      <c r="F111" s="1"/>
      <c r="K111" s="1"/>
      <c r="L111" s="3"/>
    </row>
    <row r="112" spans="1:12" s="2" customFormat="1" ht="15" thickBot="1" x14ac:dyDescent="0.4">
      <c r="B112"/>
      <c r="C112"/>
      <c r="D112"/>
      <c r="E112"/>
      <c r="F112" s="1"/>
      <c r="K112" s="1"/>
      <c r="L112" s="3"/>
    </row>
    <row r="113" spans="1:12" s="2" customFormat="1" ht="15" thickBot="1" x14ac:dyDescent="0.4">
      <c r="B113"/>
      <c r="C113"/>
      <c r="D113"/>
      <c r="E113"/>
      <c r="F113" s="1"/>
      <c r="G113" s="333" t="s">
        <v>36</v>
      </c>
      <c r="H113" s="334"/>
      <c r="K113" s="1"/>
      <c r="L113" s="3"/>
    </row>
    <row r="114" spans="1:12" s="2" customFormat="1" x14ac:dyDescent="0.35">
      <c r="B114"/>
      <c r="C114"/>
      <c r="D114"/>
      <c r="E114"/>
      <c r="F114" s="1"/>
      <c r="K114" s="1"/>
      <c r="L114" s="3"/>
    </row>
    <row r="115" spans="1:12" s="2" customFormat="1" x14ac:dyDescent="0.35">
      <c r="B115"/>
      <c r="C115"/>
      <c r="D115"/>
      <c r="E115"/>
      <c r="F115" s="1"/>
      <c r="K115" s="1"/>
      <c r="L115" s="3"/>
    </row>
    <row r="116" spans="1:12" x14ac:dyDescent="0.35">
      <c r="A116" s="2"/>
    </row>
    <row r="128" spans="1:12" x14ac:dyDescent="0.35">
      <c r="L128"/>
    </row>
    <row r="129" spans="7:12" x14ac:dyDescent="0.35">
      <c r="L129"/>
    </row>
    <row r="130" spans="7:12" x14ac:dyDescent="0.35">
      <c r="L130"/>
    </row>
    <row r="131" spans="7:12" x14ac:dyDescent="0.35">
      <c r="L131"/>
    </row>
    <row r="132" spans="7:12" ht="15" thickBot="1" x14ac:dyDescent="0.4">
      <c r="L132"/>
    </row>
    <row r="133" spans="7:12" ht="15" thickBot="1" x14ac:dyDescent="0.4">
      <c r="G133" s="333" t="s">
        <v>95</v>
      </c>
      <c r="H133" s="334"/>
      <c r="L133"/>
    </row>
    <row r="134" spans="7:12" x14ac:dyDescent="0.35">
      <c r="L134"/>
    </row>
    <row r="135" spans="7:12" x14ac:dyDescent="0.35">
      <c r="L135"/>
    </row>
    <row r="136" spans="7:12" x14ac:dyDescent="0.35">
      <c r="L136"/>
    </row>
    <row r="155" spans="1:12" ht="15" thickBot="1" x14ac:dyDescent="0.4"/>
    <row r="156" spans="1:12" ht="15" thickBot="1" x14ac:dyDescent="0.4">
      <c r="G156" s="333" t="s">
        <v>94</v>
      </c>
      <c r="H156" s="334"/>
    </row>
    <row r="157" spans="1:12" s="2" customFormat="1" x14ac:dyDescent="0.35">
      <c r="A157"/>
      <c r="B157"/>
      <c r="C157"/>
      <c r="D157"/>
      <c r="E157"/>
      <c r="F157" s="1"/>
      <c r="K157" s="1"/>
      <c r="L157" s="3"/>
    </row>
    <row r="158" spans="1:12" s="2" customFormat="1" x14ac:dyDescent="0.35">
      <c r="B158"/>
      <c r="C158"/>
      <c r="D158"/>
      <c r="E158"/>
      <c r="F158" s="1"/>
      <c r="K158" s="1"/>
      <c r="L158" s="3"/>
    </row>
    <row r="159" spans="1:12" x14ac:dyDescent="0.35">
      <c r="A159" s="2"/>
    </row>
    <row r="187" spans="7:8" ht="15" thickBot="1" x14ac:dyDescent="0.4"/>
    <row r="188" spans="7:8" ht="15" thickBot="1" x14ac:dyDescent="0.4">
      <c r="G188" s="333" t="s">
        <v>103</v>
      </c>
      <c r="H188" s="334"/>
    </row>
    <row r="205" spans="2:12" s="1" customFormat="1" x14ac:dyDescent="0.35">
      <c r="B205"/>
      <c r="C205"/>
      <c r="D205"/>
      <c r="E205"/>
      <c r="G205" s="2"/>
      <c r="H205" s="2"/>
      <c r="I205" s="2"/>
      <c r="J205" s="2"/>
      <c r="L205" s="3"/>
    </row>
    <row r="206" spans="2:12" s="1" customFormat="1" x14ac:dyDescent="0.35">
      <c r="B206"/>
      <c r="C206"/>
      <c r="D206"/>
      <c r="E206"/>
      <c r="G206" s="2"/>
      <c r="H206" s="2"/>
      <c r="I206" s="2"/>
      <c r="J206" s="2"/>
      <c r="L206" s="3"/>
    </row>
    <row r="226" spans="2:11" x14ac:dyDescent="0.35">
      <c r="K226"/>
    </row>
    <row r="229" spans="2:11" s="3" customFormat="1" x14ac:dyDescent="0.35">
      <c r="B229"/>
      <c r="C229"/>
      <c r="D229"/>
      <c r="E229"/>
      <c r="F229" s="1"/>
      <c r="G229" s="2"/>
      <c r="H229" s="2"/>
      <c r="I229" s="2"/>
      <c r="J229" s="2"/>
      <c r="K229" s="1"/>
    </row>
    <row r="251" spans="2:12" ht="15" thickBot="1" x14ac:dyDescent="0.4"/>
    <row r="252" spans="2:12" ht="15" customHeight="1" x14ac:dyDescent="0.35">
      <c r="B252" s="205" t="s">
        <v>96</v>
      </c>
      <c r="C252" s="206"/>
      <c r="D252" s="206"/>
      <c r="E252" s="206"/>
      <c r="F252" s="206"/>
      <c r="G252" s="206"/>
      <c r="H252" s="206"/>
      <c r="I252" s="206"/>
      <c r="J252" s="206"/>
      <c r="K252" s="206"/>
      <c r="L252" s="206"/>
    </row>
    <row r="253" spans="2:12" ht="15" customHeight="1" x14ac:dyDescent="0.35">
      <c r="B253" s="208"/>
      <c r="C253" s="209"/>
      <c r="D253" s="209"/>
      <c r="E253" s="209"/>
      <c r="F253" s="209"/>
      <c r="G253" s="209"/>
      <c r="H253" s="209"/>
      <c r="I253" s="209"/>
      <c r="J253" s="209"/>
      <c r="K253" s="209"/>
      <c r="L253" s="209"/>
    </row>
    <row r="254" spans="2:12" ht="15.75" customHeight="1" thickBot="1" x14ac:dyDescent="0.4">
      <c r="B254" s="211"/>
      <c r="C254" s="212"/>
      <c r="D254" s="212"/>
      <c r="E254" s="212"/>
      <c r="F254" s="212"/>
      <c r="G254" s="212"/>
      <c r="H254" s="212"/>
      <c r="I254" s="212"/>
      <c r="J254" s="212"/>
      <c r="K254" s="212"/>
      <c r="L254" s="212"/>
    </row>
    <row r="310" spans="2:12" ht="15" thickBot="1" x14ac:dyDescent="0.4"/>
    <row r="311" spans="2:12" ht="15" customHeight="1" x14ac:dyDescent="0.35">
      <c r="B311" s="205" t="s">
        <v>25</v>
      </c>
      <c r="C311" s="206"/>
      <c r="D311" s="206"/>
      <c r="E311" s="206"/>
      <c r="F311" s="206"/>
      <c r="G311" s="206"/>
      <c r="H311" s="206"/>
      <c r="I311" s="206"/>
      <c r="J311" s="206"/>
      <c r="K311" s="206"/>
      <c r="L311" s="206"/>
    </row>
    <row r="312" spans="2:12" ht="15" customHeight="1" x14ac:dyDescent="0.35">
      <c r="B312" s="208"/>
      <c r="C312" s="209"/>
      <c r="D312" s="209"/>
      <c r="E312" s="209"/>
      <c r="F312" s="209"/>
      <c r="G312" s="209"/>
      <c r="H312" s="209"/>
      <c r="I312" s="209"/>
      <c r="J312" s="209"/>
      <c r="K312" s="209"/>
      <c r="L312" s="209"/>
    </row>
    <row r="313" spans="2:12" ht="15.75" customHeight="1" thickBot="1" x14ac:dyDescent="0.4">
      <c r="B313" s="211"/>
      <c r="C313" s="212"/>
      <c r="D313" s="212"/>
      <c r="E313" s="212"/>
      <c r="F313" s="212"/>
      <c r="G313" s="212"/>
      <c r="H313" s="212"/>
      <c r="I313" s="212"/>
      <c r="J313" s="212"/>
      <c r="K313" s="212"/>
      <c r="L313" s="212"/>
    </row>
    <row r="315" spans="2:12" x14ac:dyDescent="0.35">
      <c r="F315" s="1" t="s">
        <v>102</v>
      </c>
    </row>
    <row r="327" spans="2:12" ht="15" thickBot="1" x14ac:dyDescent="0.4"/>
    <row r="328" spans="2:12" ht="15" customHeight="1" x14ac:dyDescent="0.35">
      <c r="B328" s="205" t="s">
        <v>97</v>
      </c>
      <c r="C328" s="206"/>
      <c r="D328" s="206"/>
      <c r="E328" s="206"/>
      <c r="F328" s="206"/>
      <c r="G328" s="206"/>
      <c r="H328" s="206"/>
      <c r="I328" s="206"/>
      <c r="J328" s="206"/>
      <c r="K328" s="206"/>
      <c r="L328" s="206"/>
    </row>
    <row r="329" spans="2:12" ht="15" customHeight="1" x14ac:dyDescent="0.35">
      <c r="B329" s="208"/>
      <c r="C329" s="209"/>
      <c r="D329" s="209"/>
      <c r="E329" s="209"/>
      <c r="F329" s="209"/>
      <c r="G329" s="209"/>
      <c r="H329" s="209"/>
      <c r="I329" s="209"/>
      <c r="J329" s="209"/>
      <c r="K329" s="209"/>
      <c r="L329" s="209"/>
    </row>
    <row r="330" spans="2:12" ht="15.75" customHeight="1" thickBot="1" x14ac:dyDescent="0.4">
      <c r="B330" s="211"/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</row>
    <row r="375" spans="3:10" ht="15" thickBot="1" x14ac:dyDescent="0.4"/>
    <row r="376" spans="3:10" x14ac:dyDescent="0.35">
      <c r="C376" s="425" t="s">
        <v>98</v>
      </c>
      <c r="D376" s="426"/>
      <c r="E376" s="427"/>
      <c r="F376"/>
      <c r="G376"/>
      <c r="H376"/>
      <c r="I376"/>
      <c r="J376"/>
    </row>
    <row r="377" spans="3:10" ht="15" thickBot="1" x14ac:dyDescent="0.4">
      <c r="C377" s="428"/>
      <c r="D377" s="429"/>
      <c r="E377" s="430"/>
      <c r="F377"/>
      <c r="G377"/>
      <c r="H377"/>
      <c r="I377"/>
      <c r="J377"/>
    </row>
  </sheetData>
  <mergeCells count="29">
    <mergeCell ref="C376:E377"/>
    <mergeCell ref="G133:H133"/>
    <mergeCell ref="G188:H188"/>
    <mergeCell ref="F46:F48"/>
    <mergeCell ref="G88:H88"/>
    <mergeCell ref="F90:F92"/>
    <mergeCell ref="G113:H113"/>
    <mergeCell ref="G156:H156"/>
    <mergeCell ref="B27:E27"/>
    <mergeCell ref="B32:E34"/>
    <mergeCell ref="F33:F38"/>
    <mergeCell ref="B35:E37"/>
    <mergeCell ref="F40:F44"/>
    <mergeCell ref="C14:E14"/>
    <mergeCell ref="G14:H14"/>
    <mergeCell ref="G98:H98"/>
    <mergeCell ref="C1:C2"/>
    <mergeCell ref="G2:J2"/>
    <mergeCell ref="B3:E5"/>
    <mergeCell ref="G3:J3"/>
    <mergeCell ref="B12:E12"/>
    <mergeCell ref="G61:J61"/>
    <mergeCell ref="D15:E15"/>
    <mergeCell ref="B17:E17"/>
    <mergeCell ref="F18:F24"/>
    <mergeCell ref="B24:E24"/>
    <mergeCell ref="B25:E25"/>
    <mergeCell ref="B26:E26"/>
    <mergeCell ref="F26:F31"/>
  </mergeCells>
  <pageMargins left="0.7" right="0.7" top="0.75" bottom="0.75" header="0.3" footer="0.3"/>
  <pageSetup scale="64" orientation="portrait" r:id="rId1"/>
  <rowBreaks count="1" manualBreakCount="1">
    <brk id="59" max="16383" man="1"/>
  </rowBreaks>
  <colBreaks count="1" manualBreakCount="1">
    <brk id="5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12.31.2020 (final)</vt:lpstr>
      <vt:lpstr>12.31.2020</vt:lpstr>
      <vt:lpstr>12.30.2020 What if</vt:lpstr>
      <vt:lpstr>12.30.2020</vt:lpstr>
      <vt:lpstr>12.29.2020</vt:lpstr>
      <vt:lpstr>12.14.2020</vt:lpstr>
      <vt:lpstr>12.07.2020</vt:lpstr>
      <vt:lpstr>11.25.2020</vt:lpstr>
      <vt:lpstr>10.31.2020</vt:lpstr>
      <vt:lpstr>10.15.2020</vt:lpstr>
      <vt:lpstr>LIFO as of 12.31.19 (01.08.20)</vt:lpstr>
      <vt:lpstr>'10.15.2020'!Print_Area</vt:lpstr>
      <vt:lpstr>'10.31.2020'!Print_Area</vt:lpstr>
      <vt:lpstr>'11.25.2020'!Print_Area</vt:lpstr>
      <vt:lpstr>'12.07.2020'!Print_Area</vt:lpstr>
      <vt:lpstr>'12.14.2020'!Print_Area</vt:lpstr>
      <vt:lpstr>'12.29.2020'!Print_Area</vt:lpstr>
      <vt:lpstr>'12.30.2020'!Print_Area</vt:lpstr>
      <vt:lpstr>'12.30.2020 What if'!Print_Area</vt:lpstr>
      <vt:lpstr>'12.31.2020'!Print_Area</vt:lpstr>
      <vt:lpstr>'12.31.2020 (final)'!Print_Area</vt:lpstr>
      <vt:lpstr>'LIFO as of 12.31.19 (01.08.20)'!Print_Area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Pezza</dc:creator>
  <cp:lastModifiedBy>Mark Pezza</cp:lastModifiedBy>
  <cp:lastPrinted>2021-01-01T13:26:14Z</cp:lastPrinted>
  <dcterms:created xsi:type="dcterms:W3CDTF">2020-10-07T19:53:10Z</dcterms:created>
  <dcterms:modified xsi:type="dcterms:W3CDTF">2021-05-26T18:41:14Z</dcterms:modified>
</cp:coreProperties>
</file>