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Financials\"/>
    </mc:Choice>
  </mc:AlternateContent>
  <xr:revisionPtr revIDLastSave="0" documentId="13_ncr:1_{E1414552-5EF9-4238-B61A-104106819AE4}" xr6:coauthVersionLast="47" xr6:coauthVersionMax="47" xr10:uidLastSave="{00000000-0000-0000-0000-000000000000}"/>
  <bookViews>
    <workbookView xWindow="57480" yWindow="1620" windowWidth="29040" windowHeight="15990" xr2:uid="{2DC7965C-C370-47E3-BC3A-D137C640062E}"/>
  </bookViews>
  <sheets>
    <sheet name="Charts" sheetId="6" r:id="rId1"/>
    <sheet name="Benefits Cost " sheetId="7" r:id="rId2"/>
    <sheet name="Display (unmodified)" sheetId="5" r:id="rId3"/>
    <sheet name="P&amp;L by Year 2018 - 2024" sheetId="1" r:id="rId4"/>
    <sheet name="Statements of Income (FIFO)" sheetId="2" r:id="rId5"/>
    <sheet name="Expense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6" l="1"/>
  <c r="AC13" i="6" s="1"/>
  <c r="AB14" i="6"/>
  <c r="AC14" i="6" s="1"/>
  <c r="AB11" i="6"/>
  <c r="AC11" i="6" s="1"/>
  <c r="F52" i="7"/>
  <c r="I52" i="7"/>
  <c r="L52" i="7"/>
  <c r="O52" i="7"/>
  <c r="R52" i="7"/>
  <c r="U52" i="7"/>
  <c r="F50" i="7"/>
  <c r="G50" i="7"/>
  <c r="I50" i="7"/>
  <c r="J50" i="7"/>
  <c r="L50" i="7"/>
  <c r="M50" i="7"/>
  <c r="O50" i="7"/>
  <c r="P50" i="7"/>
  <c r="R50" i="7"/>
  <c r="S50" i="7"/>
  <c r="U50" i="7"/>
  <c r="V50" i="7"/>
  <c r="F51" i="7"/>
  <c r="G51" i="7"/>
  <c r="I51" i="7"/>
  <c r="J51" i="7"/>
  <c r="L51" i="7"/>
  <c r="M51" i="7"/>
  <c r="O51" i="7"/>
  <c r="P51" i="7"/>
  <c r="R51" i="7"/>
  <c r="S51" i="7"/>
  <c r="U51" i="7"/>
  <c r="V51" i="7"/>
  <c r="U9" i="7"/>
  <c r="U53" i="7" s="1"/>
  <c r="R9" i="7"/>
  <c r="R53" i="7" s="1"/>
  <c r="O9" i="7"/>
  <c r="O53" i="7" s="1"/>
  <c r="L9" i="7"/>
  <c r="I9" i="7"/>
  <c r="I53" i="7" s="1"/>
  <c r="F9" i="7"/>
  <c r="C9" i="7"/>
  <c r="C53" i="7" s="1"/>
  <c r="C52" i="7"/>
  <c r="D51" i="7"/>
  <c r="C51" i="7"/>
  <c r="D50" i="7"/>
  <c r="C50" i="7"/>
  <c r="U30" i="7"/>
  <c r="U41" i="7" s="1"/>
  <c r="F30" i="7"/>
  <c r="F41" i="7" s="1"/>
  <c r="I30" i="7"/>
  <c r="I41" i="7" s="1"/>
  <c r="L30" i="7"/>
  <c r="L41" i="7" s="1"/>
  <c r="O30" i="7"/>
  <c r="O41" i="7" s="1"/>
  <c r="R30" i="7"/>
  <c r="R41" i="7" s="1"/>
  <c r="U29" i="7"/>
  <c r="U40" i="7" s="1"/>
  <c r="V29" i="7"/>
  <c r="V40" i="7" s="1"/>
  <c r="R29" i="7"/>
  <c r="R40" i="7" s="1"/>
  <c r="S29" i="7"/>
  <c r="S40" i="7" s="1"/>
  <c r="O29" i="7"/>
  <c r="O40" i="7" s="1"/>
  <c r="P29" i="7"/>
  <c r="P40" i="7" s="1"/>
  <c r="L29" i="7"/>
  <c r="L40" i="7" s="1"/>
  <c r="M29" i="7"/>
  <c r="M40" i="7" s="1"/>
  <c r="I29" i="7"/>
  <c r="I40" i="7" s="1"/>
  <c r="J29" i="7"/>
  <c r="J40" i="7" s="1"/>
  <c r="F29" i="7"/>
  <c r="F40" i="7" s="1"/>
  <c r="G29" i="7"/>
  <c r="G40" i="7" s="1"/>
  <c r="V28" i="7"/>
  <c r="V39" i="7" s="1"/>
  <c r="U28" i="7"/>
  <c r="U39" i="7" s="1"/>
  <c r="I28" i="7"/>
  <c r="I39" i="7" s="1"/>
  <c r="J28" i="7"/>
  <c r="J39" i="7" s="1"/>
  <c r="L28" i="7"/>
  <c r="L39" i="7" s="1"/>
  <c r="M28" i="7"/>
  <c r="M39" i="7" s="1"/>
  <c r="O28" i="7"/>
  <c r="O39" i="7" s="1"/>
  <c r="P28" i="7"/>
  <c r="P39" i="7" s="1"/>
  <c r="R28" i="7"/>
  <c r="R39" i="7" s="1"/>
  <c r="S28" i="7"/>
  <c r="S39" i="7" s="1"/>
  <c r="G28" i="7"/>
  <c r="G39" i="7" s="1"/>
  <c r="F28" i="7"/>
  <c r="F39" i="7" s="1"/>
  <c r="C30" i="7"/>
  <c r="C41" i="7" s="1"/>
  <c r="C29" i="7"/>
  <c r="C40" i="7" s="1"/>
  <c r="D29" i="7"/>
  <c r="D40" i="7" s="1"/>
  <c r="D28" i="7"/>
  <c r="D39" i="7" s="1"/>
  <c r="C28" i="7"/>
  <c r="C39" i="7" s="1"/>
  <c r="L18" i="7"/>
  <c r="U19" i="7"/>
  <c r="F19" i="7"/>
  <c r="I19" i="7"/>
  <c r="L19" i="7"/>
  <c r="O19" i="7"/>
  <c r="R19" i="7"/>
  <c r="C19" i="7"/>
  <c r="V18" i="7"/>
  <c r="U18" i="7"/>
  <c r="S18" i="7"/>
  <c r="R18" i="7"/>
  <c r="P18" i="7"/>
  <c r="O18" i="7"/>
  <c r="M18" i="7"/>
  <c r="J18" i="7"/>
  <c r="I18" i="7"/>
  <c r="G18" i="7"/>
  <c r="F18" i="7"/>
  <c r="D18" i="7"/>
  <c r="C18" i="7"/>
  <c r="V17" i="7"/>
  <c r="U17" i="7"/>
  <c r="D17" i="7"/>
  <c r="F17" i="7"/>
  <c r="G17" i="7"/>
  <c r="I17" i="7"/>
  <c r="J17" i="7"/>
  <c r="L17" i="7"/>
  <c r="M17" i="7"/>
  <c r="O17" i="7"/>
  <c r="P17" i="7"/>
  <c r="R17" i="7"/>
  <c r="S17" i="7"/>
  <c r="C17" i="7"/>
  <c r="V11" i="7"/>
  <c r="U11" i="7"/>
  <c r="S11" i="7"/>
  <c r="S33" i="7" s="1"/>
  <c r="S44" i="7" s="1"/>
  <c r="R11" i="7"/>
  <c r="C31" i="7" l="1"/>
  <c r="C42" i="7" s="1"/>
  <c r="I31" i="7"/>
  <c r="I42" i="7" s="1"/>
  <c r="R33" i="7"/>
  <c r="R44" i="7" s="1"/>
  <c r="R55" i="7"/>
  <c r="U31" i="7"/>
  <c r="U42" i="7" s="1"/>
  <c r="P55" i="7"/>
  <c r="O55" i="7"/>
  <c r="U20" i="7"/>
  <c r="C55" i="7"/>
  <c r="V55" i="7"/>
  <c r="J55" i="7"/>
  <c r="D55" i="7"/>
  <c r="S55" i="7"/>
  <c r="I55" i="7"/>
  <c r="U55" i="7"/>
  <c r="C20" i="7"/>
  <c r="R31" i="7"/>
  <c r="R42" i="7" s="1"/>
  <c r="O31" i="7"/>
  <c r="O42" i="7" s="1"/>
  <c r="R20" i="7"/>
  <c r="F31" i="7"/>
  <c r="F42" i="7" s="1"/>
  <c r="I20" i="7"/>
  <c r="L53" i="7"/>
  <c r="L55" i="7" s="1"/>
  <c r="F20" i="7"/>
  <c r="F53" i="7"/>
  <c r="G55" i="7" s="1"/>
  <c r="L20" i="7"/>
  <c r="L31" i="7"/>
  <c r="L42" i="7" s="1"/>
  <c r="O20" i="7"/>
  <c r="S22" i="7"/>
  <c r="R22" i="7"/>
  <c r="M11" i="7"/>
  <c r="L11" i="7"/>
  <c r="P11" i="7"/>
  <c r="P33" i="7" s="1"/>
  <c r="P44" i="7" s="1"/>
  <c r="O11" i="7"/>
  <c r="M55" i="7" l="1"/>
  <c r="F55" i="7"/>
  <c r="L22" i="7"/>
  <c r="L33" i="7"/>
  <c r="L44" i="7" s="1"/>
  <c r="O33" i="7"/>
  <c r="O44" i="7" s="1"/>
  <c r="M33" i="7"/>
  <c r="M44" i="7" s="1"/>
  <c r="O22" i="7"/>
  <c r="P22" i="7"/>
  <c r="M22" i="7"/>
  <c r="J11" i="7" l="1"/>
  <c r="I11" i="7"/>
  <c r="I33" i="7" l="1"/>
  <c r="I44" i="7" s="1"/>
  <c r="J33" i="7"/>
  <c r="J44" i="7" s="1"/>
  <c r="I22" i="7"/>
  <c r="J22" i="7"/>
  <c r="AH44" i="3" l="1"/>
  <c r="AF44" i="3"/>
  <c r="X44" i="3"/>
  <c r="V44" i="3"/>
  <c r="AH43" i="3"/>
  <c r="AF43" i="3"/>
  <c r="X43" i="3"/>
  <c r="V43" i="3"/>
  <c r="AH38" i="3"/>
  <c r="AF38" i="3"/>
  <c r="X38" i="3"/>
  <c r="V38" i="3"/>
  <c r="L38" i="3"/>
  <c r="J38" i="3"/>
  <c r="I23" i="1"/>
  <c r="H23" i="1"/>
  <c r="G23" i="1"/>
  <c r="F23" i="1"/>
  <c r="E23" i="1"/>
  <c r="D23" i="1"/>
  <c r="C23" i="1"/>
  <c r="I19" i="1"/>
  <c r="H19" i="1"/>
  <c r="G19" i="1"/>
  <c r="F19" i="1"/>
  <c r="E19" i="1"/>
  <c r="D19" i="1"/>
  <c r="C19" i="1"/>
  <c r="I17" i="1"/>
  <c r="H17" i="1"/>
  <c r="G17" i="1"/>
  <c r="F17" i="1"/>
  <c r="E17" i="1"/>
  <c r="D17" i="1"/>
  <c r="C17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I7" i="1"/>
  <c r="H7" i="1"/>
  <c r="G7" i="1"/>
  <c r="F7" i="1"/>
  <c r="E7" i="1"/>
  <c r="D7" i="1"/>
  <c r="C7" i="1"/>
  <c r="I6" i="1"/>
  <c r="C6" i="1"/>
  <c r="W23" i="5"/>
  <c r="V23" i="5"/>
  <c r="U23" i="5"/>
  <c r="T23" i="5"/>
  <c r="S23" i="5"/>
  <c r="R23" i="5"/>
  <c r="Q23" i="5"/>
  <c r="W19" i="5"/>
  <c r="V19" i="5"/>
  <c r="U19" i="5"/>
  <c r="T19" i="5"/>
  <c r="S19" i="5"/>
  <c r="R19" i="5"/>
  <c r="Q19" i="5"/>
  <c r="W17" i="5"/>
  <c r="V17" i="5"/>
  <c r="U17" i="5"/>
  <c r="T17" i="5"/>
  <c r="S17" i="5"/>
  <c r="R17" i="5"/>
  <c r="Q17" i="5"/>
  <c r="W13" i="5"/>
  <c r="V13" i="5"/>
  <c r="U13" i="5"/>
  <c r="T13" i="5"/>
  <c r="S13" i="5"/>
  <c r="R13" i="5"/>
  <c r="Q13" i="5"/>
  <c r="W12" i="5"/>
  <c r="V12" i="5"/>
  <c r="U12" i="5"/>
  <c r="T12" i="5"/>
  <c r="S12" i="5"/>
  <c r="R12" i="5"/>
  <c r="Q12" i="5"/>
  <c r="W11" i="5"/>
  <c r="W7" i="5"/>
  <c r="V7" i="5"/>
  <c r="U7" i="5"/>
  <c r="T7" i="5"/>
  <c r="S7" i="5"/>
  <c r="R7" i="5"/>
  <c r="Q7" i="5"/>
  <c r="W6" i="5"/>
  <c r="Q6" i="5"/>
  <c r="AA19" i="6"/>
  <c r="Z19" i="6"/>
  <c r="Y19" i="6"/>
  <c r="X19" i="6"/>
  <c r="W19" i="6"/>
  <c r="V19" i="6"/>
  <c r="U19" i="6"/>
  <c r="AA14" i="6"/>
  <c r="AA12" i="6"/>
  <c r="Z12" i="6"/>
  <c r="AB12" i="6" s="1"/>
  <c r="Y12" i="6"/>
  <c r="Y15" i="6" s="1"/>
  <c r="X12" i="6"/>
  <c r="X15" i="6" s="1"/>
  <c r="W12" i="6"/>
  <c r="W15" i="6" s="1"/>
  <c r="V12" i="6"/>
  <c r="V15" i="6" s="1"/>
  <c r="U12" i="6"/>
  <c r="U15" i="6" s="1"/>
  <c r="AA11" i="6"/>
  <c r="Z7" i="6"/>
  <c r="Y7" i="6"/>
  <c r="X7" i="6"/>
  <c r="W7" i="6"/>
  <c r="V7" i="6"/>
  <c r="AA6" i="6"/>
  <c r="AA7" i="6" s="1"/>
  <c r="AF20" i="6" s="1"/>
  <c r="AF21" i="6" s="1"/>
  <c r="U6" i="6"/>
  <c r="U7" i="6" s="1"/>
  <c r="G11" i="7"/>
  <c r="F11" i="7"/>
  <c r="D11" i="7"/>
  <c r="C11" i="7"/>
  <c r="V9" i="7"/>
  <c r="Z15" i="6" l="1"/>
  <c r="AB15" i="6" s="1"/>
  <c r="AC15" i="6" s="1"/>
  <c r="V21" i="6"/>
  <c r="V25" i="6" s="1"/>
  <c r="AA15" i="6"/>
  <c r="AA21" i="6" s="1"/>
  <c r="AA25" i="6" s="1"/>
  <c r="U21" i="6"/>
  <c r="U25" i="6" s="1"/>
  <c r="AC12" i="6"/>
  <c r="Y21" i="6"/>
  <c r="Y25" i="6" s="1"/>
  <c r="AB7" i="6"/>
  <c r="AF15" i="6"/>
  <c r="AF16" i="6" s="1"/>
  <c r="W21" i="6"/>
  <c r="W25" i="6" s="1"/>
  <c r="X21" i="6"/>
  <c r="X25" i="6" s="1"/>
  <c r="AD7" i="6"/>
  <c r="AD8" i="6" s="1"/>
  <c r="Y8" i="6" s="1"/>
  <c r="Z8" i="6" s="1"/>
  <c r="AC7" i="6"/>
  <c r="V22" i="7"/>
  <c r="V33" i="7"/>
  <c r="V44" i="7" s="1"/>
  <c r="C33" i="7"/>
  <c r="C44" i="7" s="1"/>
  <c r="F33" i="7"/>
  <c r="F44" i="7" s="1"/>
  <c r="D33" i="7"/>
  <c r="D44" i="7" s="1"/>
  <c r="G33" i="7"/>
  <c r="G44" i="7" s="1"/>
  <c r="U22" i="7"/>
  <c r="U33" i="7"/>
  <c r="U44" i="7" s="1"/>
  <c r="C22" i="7"/>
  <c r="F22" i="7"/>
  <c r="D22" i="7"/>
  <c r="G22" i="7"/>
  <c r="Z21" i="6" l="1"/>
  <c r="Z25" i="6" s="1"/>
  <c r="AF10" i="6"/>
  <c r="AF11" i="6" s="1"/>
  <c r="AD10" i="6"/>
  <c r="AD11" i="6" s="1"/>
  <c r="X8" i="6"/>
  <c r="X9" i="6" s="1"/>
</calcChain>
</file>

<file path=xl/sharedStrings.xml><?xml version="1.0" encoding="utf-8"?>
<sst xmlns="http://schemas.openxmlformats.org/spreadsheetml/2006/main" count="179" uniqueCount="50">
  <si>
    <t>Revenue</t>
  </si>
  <si>
    <t>COGS</t>
  </si>
  <si>
    <t>Gross Profit</t>
  </si>
  <si>
    <t>Expenses</t>
  </si>
  <si>
    <t xml:space="preserve">      Personal Cost</t>
  </si>
  <si>
    <t xml:space="preserve">      Facility Cost</t>
  </si>
  <si>
    <t xml:space="preserve">            Wages , Bonuses &amp; Payroll Taxes</t>
  </si>
  <si>
    <t xml:space="preserve">            Employee Benefits</t>
  </si>
  <si>
    <t xml:space="preserve">      Other Expenses/(Income)</t>
  </si>
  <si>
    <t>2018 &amp; 2019</t>
  </si>
  <si>
    <t>Total Expenses</t>
  </si>
  <si>
    <t>2020 &amp; 2021</t>
  </si>
  <si>
    <t>Net Income before Taxes</t>
  </si>
  <si>
    <t>Provision for Income Taxes</t>
  </si>
  <si>
    <t>Net Income/(Loss) after Taxes</t>
  </si>
  <si>
    <t>2022 &amp; 2023</t>
  </si>
  <si>
    <t>May</t>
  </si>
  <si>
    <t xml:space="preserve">            Salary</t>
  </si>
  <si>
    <t xml:space="preserve">            Bonuses</t>
  </si>
  <si>
    <t xml:space="preserve">            Payroll Taxes</t>
  </si>
  <si>
    <t xml:space="preserve">      Health Insurance</t>
  </si>
  <si>
    <t xml:space="preserve">      Dental Insurance</t>
  </si>
  <si>
    <t>Benefits cost per month</t>
  </si>
  <si>
    <t>Single</t>
  </si>
  <si>
    <t>Family</t>
  </si>
  <si>
    <t xml:space="preserve">      Life &amp; Disability (average)</t>
  </si>
  <si>
    <t xml:space="preserve">      3% Safe Harbor 401k (average)</t>
  </si>
  <si>
    <t>Cost per Employee</t>
  </si>
  <si>
    <t>Percentage Increase</t>
  </si>
  <si>
    <t>2018 to 2024</t>
  </si>
  <si>
    <t>2018 - 2019</t>
  </si>
  <si>
    <t>2019 - 2020</t>
  </si>
  <si>
    <t>2020 -2021</t>
  </si>
  <si>
    <t>2021 -2022</t>
  </si>
  <si>
    <t>2022 - 2023</t>
  </si>
  <si>
    <t>2023 - 2024</t>
  </si>
  <si>
    <t>Cost Increase (per month)</t>
  </si>
  <si>
    <t>Cost Increase (per year)</t>
  </si>
  <si>
    <t>Benefits cost per year</t>
  </si>
  <si>
    <t>Bonuses are inline with Gross Profit</t>
  </si>
  <si>
    <t>GP = Rev - COGS (no expenses)</t>
  </si>
  <si>
    <t xml:space="preserve">Gross profits from 2023 are down over 41% from peak in 2021 </t>
  </si>
  <si>
    <t>GP May 2023</t>
  </si>
  <si>
    <t>Gross Profits YTD May 2024 are down over 68% from YTD May 2023</t>
  </si>
  <si>
    <t>GP May 2021</t>
  </si>
  <si>
    <t>Gross Profits YTD May 2024 are down over 77% from YTD May 2021</t>
  </si>
  <si>
    <t>Benefits expenses have risen from 2018 to 2023 over 316%</t>
  </si>
  <si>
    <t>Salaries and wages expenses have increased over 236% from 2018 thru 2023</t>
  </si>
  <si>
    <t>Employer Payroll Taxes expenses have risen from 2018 to 2023 over 300%</t>
  </si>
  <si>
    <t>Overall Personel Costs have risen from 2018 to 2023 over 378%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</si>
</sst>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0" fillId="2" borderId="3" xfId="1" applyNumberFormat="1" applyFont="1" applyFill="1" applyBorder="1"/>
    <xf numFmtId="0" fontId="0" fillId="0" borderId="0" xfId="0" applyAlignment="1">
      <alignment horizontal="left"/>
    </xf>
    <xf numFmtId="164" fontId="0" fillId="2" borderId="9" xfId="1" applyNumberFormat="1" applyFont="1" applyFill="1" applyBorder="1"/>
    <xf numFmtId="164" fontId="0" fillId="2" borderId="10" xfId="1" applyNumberFormat="1" applyFont="1" applyFill="1" applyBorder="1"/>
    <xf numFmtId="164" fontId="2" fillId="2" borderId="11" xfId="1" applyNumberFormat="1" applyFont="1" applyFill="1" applyBorder="1" applyAlignment="1">
      <alignment horizontal="center"/>
    </xf>
    <xf numFmtId="164" fontId="2" fillId="2" borderId="12" xfId="1" applyNumberFormat="1" applyFont="1" applyFill="1" applyBorder="1" applyAlignment="1">
      <alignment horizontal="center"/>
    </xf>
    <xf numFmtId="10" fontId="0" fillId="0" borderId="0" xfId="2" applyNumberFormat="1" applyFont="1"/>
    <xf numFmtId="0" fontId="2" fillId="3" borderId="17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right"/>
    </xf>
    <xf numFmtId="2" fontId="2" fillId="2" borderId="13" xfId="1" applyNumberFormat="1" applyFont="1" applyFill="1" applyBorder="1" applyAlignment="1">
      <alignment horizontal="center"/>
    </xf>
    <xf numFmtId="10" fontId="2" fillId="2" borderId="13" xfId="2" applyNumberFormat="1" applyFont="1" applyFill="1" applyBorder="1" applyAlignment="1">
      <alignment horizontal="center"/>
    </xf>
    <xf numFmtId="10" fontId="2" fillId="2" borderId="14" xfId="2" applyNumberFormat="1" applyFont="1" applyFill="1" applyBorder="1" applyAlignment="1">
      <alignment horizontal="center"/>
    </xf>
    <xf numFmtId="2" fontId="2" fillId="2" borderId="14" xfId="1" applyNumberFormat="1" applyFont="1" applyFill="1" applyBorder="1" applyAlignment="1">
      <alignment horizontal="center"/>
    </xf>
    <xf numFmtId="43" fontId="0" fillId="0" borderId="0" xfId="1" applyFont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2" fillId="2" borderId="9" xfId="1" applyNumberFormat="1" applyFont="1" applyFill="1" applyBorder="1" applyAlignment="1">
      <alignment horizontal="center" vertical="center"/>
    </xf>
    <xf numFmtId="2" fontId="2" fillId="2" borderId="10" xfId="1" applyNumberFormat="1" applyFont="1" applyFill="1" applyBorder="1" applyAlignment="1">
      <alignment horizontal="center" vertical="center"/>
    </xf>
    <xf numFmtId="10" fontId="2" fillId="2" borderId="9" xfId="2" applyNumberFormat="1" applyFont="1" applyFill="1" applyBorder="1" applyAlignment="1">
      <alignment horizontal="center" vertical="center"/>
    </xf>
    <xf numFmtId="10" fontId="2" fillId="2" borderId="10" xfId="2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3" fontId="0" fillId="0" borderId="0" xfId="0" applyNumberFormat="1"/>
    <xf numFmtId="10" fontId="0" fillId="0" borderId="0" xfId="0" applyNumberFormat="1"/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18" xfId="0" applyFill="1" applyBorder="1"/>
    <xf numFmtId="4" fontId="2" fillId="2" borderId="9" xfId="1" applyNumberFormat="1" applyFont="1" applyFill="1" applyBorder="1" applyAlignment="1">
      <alignment horizontal="center" vertical="center"/>
    </xf>
    <xf numFmtId="4" fontId="2" fillId="2" borderId="10" xfId="1" applyNumberFormat="1" applyFont="1" applyFill="1" applyBorder="1" applyAlignment="1">
      <alignment horizontal="center" vertical="center"/>
    </xf>
    <xf numFmtId="2" fontId="2" fillId="2" borderId="9" xfId="1" applyNumberFormat="1" applyFont="1" applyFill="1" applyBorder="1" applyAlignment="1">
      <alignment horizontal="center"/>
    </xf>
    <xf numFmtId="2" fontId="2" fillId="2" borderId="10" xfId="1" applyNumberFormat="1" applyFont="1" applyFill="1" applyBorder="1" applyAlignment="1">
      <alignment horizontal="center"/>
    </xf>
    <xf numFmtId="10" fontId="2" fillId="2" borderId="9" xfId="2" applyNumberFormat="1" applyFont="1" applyFill="1" applyBorder="1" applyAlignment="1">
      <alignment horizontal="center"/>
    </xf>
    <xf numFmtId="10" fontId="2" fillId="2" borderId="10" xfId="2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2" borderId="9" xfId="2" applyNumberFormat="1" applyFont="1" applyFill="1" applyBorder="1" applyAlignment="1">
      <alignment horizontal="center"/>
    </xf>
    <xf numFmtId="10" fontId="0" fillId="2" borderId="10" xfId="2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9" xfId="1" applyNumberFormat="1" applyFont="1" applyFill="1" applyBorder="1" applyAlignment="1">
      <alignment horizontal="center"/>
    </xf>
    <xf numFmtId="2" fontId="0" fillId="2" borderId="10" xfId="1" applyNumberFormat="1" applyFont="1" applyFill="1" applyBorder="1" applyAlignment="1">
      <alignment horizontal="center"/>
    </xf>
    <xf numFmtId="2" fontId="0" fillId="2" borderId="9" xfId="2" applyNumberFormat="1" applyFont="1" applyFill="1" applyBorder="1" applyAlignment="1">
      <alignment horizontal="center"/>
    </xf>
    <xf numFmtId="2" fontId="0" fillId="2" borderId="10" xfId="2" applyNumberFormat="1" applyFont="1" applyFill="1" applyBorder="1" applyAlignment="1">
      <alignment horizontal="center"/>
    </xf>
    <xf numFmtId="4" fontId="2" fillId="2" borderId="9" xfId="1" applyNumberFormat="1" applyFont="1" applyFill="1" applyBorder="1" applyAlignment="1">
      <alignment horizontal="center"/>
    </xf>
    <xf numFmtId="4" fontId="2" fillId="2" borderId="10" xfId="1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2" borderId="9" xfId="1" applyNumberFormat="1" applyFont="1" applyFill="1" applyBorder="1" applyAlignment="1">
      <alignment horizontal="center"/>
    </xf>
    <xf numFmtId="4" fontId="0" fillId="2" borderId="10" xfId="1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 vertical="center"/>
    </xf>
    <xf numFmtId="4" fontId="2" fillId="2" borderId="14" xfId="1" applyNumberFormat="1" applyFont="1" applyFill="1" applyBorder="1" applyAlignment="1">
      <alignment horizontal="center" vertical="center"/>
    </xf>
    <xf numFmtId="4" fontId="0" fillId="2" borderId="9" xfId="2" applyNumberFormat="1" applyFont="1" applyFill="1" applyBorder="1" applyAlignment="1">
      <alignment horizontal="center"/>
    </xf>
    <xf numFmtId="4" fontId="0" fillId="2" borderId="10" xfId="2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2" fillId="2" borderId="14" xfId="1" applyNumberFormat="1" applyFont="1" applyFill="1" applyBorder="1" applyAlignment="1">
      <alignment horizontal="center"/>
    </xf>
    <xf numFmtId="4" fontId="0" fillId="0" borderId="0" xfId="0" applyNumberFormat="1"/>
    <xf numFmtId="4" fontId="0" fillId="2" borderId="9" xfId="1" applyNumberFormat="1" applyFont="1" applyFill="1" applyBorder="1"/>
    <xf numFmtId="4" fontId="0" fillId="2" borderId="10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</a:t>
            </a:r>
            <a:r>
              <a:rPr lang="en-US" baseline="0"/>
              <a:t> Profit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72739431193147"/>
          <c:y val="0.20388961796442112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Charts!$S$7:$T$7</c:f>
              <c:strCache>
                <c:ptCount val="2"/>
                <c:pt idx="0">
                  <c:v>Gross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Charts!$U$7:$AA$7</c:f>
              <c:numCache>
                <c:formatCode>_(* #,##0_);_(* \(#,##0\);_(* "-"??_);_(@_)</c:formatCode>
                <c:ptCount val="7"/>
                <c:pt idx="0">
                  <c:v>5866583</c:v>
                </c:pt>
                <c:pt idx="1">
                  <c:v>7292970</c:v>
                </c:pt>
                <c:pt idx="2">
                  <c:v>44799512</c:v>
                </c:pt>
                <c:pt idx="3">
                  <c:v>65379201</c:v>
                </c:pt>
                <c:pt idx="4">
                  <c:v>58931922</c:v>
                </c:pt>
                <c:pt idx="5">
                  <c:v>38131715</c:v>
                </c:pt>
                <c:pt idx="6">
                  <c:v>6909601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C-4D4C-945C-8F857597F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0BC-4D4C-945C-8F857597FB9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0BC-4D4C-945C-8F857597FB9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0BC-4D4C-945C-8F857597FB93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Wages Bonuses and Payroll Taxes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2682844256117"/>
          <c:y val="0.1946303764052614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8"/>
          <c:order val="8"/>
          <c:tx>
            <c:strRef>
              <c:f>'Display (unmodified)'!$O$12:$P$12</c:f>
              <c:strCache>
                <c:ptCount val="2"/>
                <c:pt idx="0">
                  <c:v>            Wages , Bonuses &amp; Payroll Taxes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'Display (unmodified)'!$Q$3:$W$3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'Display (unmodified)'!$Q$12:$W$12</c:f>
              <c:numCache>
                <c:formatCode>_(* #,##0_);_(* \(#,##0\);_(* "-"??_);_(@_)</c:formatCode>
                <c:ptCount val="7"/>
                <c:pt idx="0">
                  <c:v>2816512</c:v>
                </c:pt>
                <c:pt idx="1">
                  <c:v>3065191</c:v>
                </c:pt>
                <c:pt idx="2">
                  <c:v>8197725</c:v>
                </c:pt>
                <c:pt idx="3">
                  <c:v>9823520</c:v>
                </c:pt>
                <c:pt idx="4">
                  <c:v>11491178</c:v>
                </c:pt>
                <c:pt idx="5">
                  <c:v>10908471</c:v>
                </c:pt>
                <c:pt idx="6">
                  <c:v>2907784.8499999996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CA43-4A56-A6AD-42B1D6363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'Display (unmodified)'!$O$4:$P$4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'Display (unmodified)'!$Q$4:$W$4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A43-4A56-A6AD-42B1D636326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(unmodified)'!$O$5:$P$5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(unmodified)'!$Q$5:$W$5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A43-4A56-A6AD-42B1D636326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(unmodified)'!$O$6:$P$6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(unmodified)'!$Q$6:$W$6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A43-4A56-A6AD-42B1D636326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(unmodified)'!$O$7:$P$7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(unmodified)'!$Q$7:$W$7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A43-4A56-A6AD-42B1D636326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(unmodified)'!$O$8:$P$8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(unmodified)'!$Q$8:$W$8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A43-4A56-A6AD-42B1D636326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(unmodified)'!$O$9:$P$9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(unmodified)'!$Q$9:$W$9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A43-4A56-A6AD-42B1D636326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(unmodified)'!$O$10:$P$10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(unmodified)'!$Q$10:$W$10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A43-4A56-A6AD-42B1D636326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(unmodified)'!$O$11:$P$11</c15:sqref>
                        </c15:formulaRef>
                      </c:ext>
                    </c:extLst>
                    <c:strCache>
                      <c:ptCount val="2"/>
                      <c:pt idx="0">
                        <c:v>            Employee Benefits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(unmodified)'!$Q$11:$W$11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385921</c:v>
                      </c:pt>
                      <c:pt idx="1">
                        <c:v>440863</c:v>
                      </c:pt>
                      <c:pt idx="2">
                        <c:v>721078</c:v>
                      </c:pt>
                      <c:pt idx="3">
                        <c:v>887717</c:v>
                      </c:pt>
                      <c:pt idx="4">
                        <c:v>980768</c:v>
                      </c:pt>
                      <c:pt idx="5">
                        <c:v>1222608</c:v>
                      </c:pt>
                      <c:pt idx="6">
                        <c:v>550869.00000000012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A43-4A56-A6AD-42B1D636326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(unmodified)'!$O$13:$P$13</c15:sqref>
                        </c15:formulaRef>
                      </c:ext>
                    </c:extLst>
                    <c:strCache>
                      <c:ptCount val="2"/>
                      <c:pt idx="0">
                        <c:v>            Wages , Bonuses &amp; Payroll Taxes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(unmodified)'!$Q$13:$W$13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A43-4A56-A6AD-42B1D636326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(unmodified)'!$O$14:$P$14</c15:sqref>
                        </c15:formulaRef>
                      </c:ext>
                    </c:extLst>
                    <c:strCache>
                      <c:ptCount val="2"/>
                      <c:pt idx="0">
                        <c:v>            Wages , Bonuses &amp; Payroll 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(unmodified)'!$Q$14:$W$14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A43-4A56-A6AD-42B1D636326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(unmodified)'!$O$15:$P$15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(unmodified)'!$Q$15:$W$15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A43-4A56-A6AD-42B1D636326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(unmodified)'!$O$16:$P$16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(unmodified)'!$Q$16:$W$16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A43-4A56-A6AD-42B1D636326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(unmodified)'!$O$17:$P$17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(unmodified)'!$Q$17:$W$17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A43-4A56-A6AD-42B1D636326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(unmodified)'!$O$18:$P$18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(unmodified)'!$Q$18:$W$18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A43-4A56-A6AD-42B1D636326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(unmodified)'!$O$19:$P$19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(unmodified)'!$Q$19:$W$19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A43-4A56-A6AD-42B1D636326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(unmodified)'!$O$20:$P$20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(unmodified)'!$Q$20:$W$20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A43-4A56-A6AD-42B1D636326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(unmodified)'!$O$21:$P$21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(unmodified)'!$Q$21:$W$21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A43-4A56-A6AD-42B1D636326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(unmodified)'!$O$22:$P$22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(unmodified)'!$Q$22:$W$22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A43-4A56-A6AD-42B1D636326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(unmodified)'!$O$23:$P$23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(unmodified)'!$Q$23:$W$23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A43-4A56-A6AD-42B1D6363262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Salaries &amp; Wages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0411319245916"/>
          <c:y val="0.1990944881889763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8"/>
          <c:order val="8"/>
          <c:tx>
            <c:strRef>
              <c:f>Charts!$S$12:$T$12</c:f>
              <c:strCache>
                <c:ptCount val="2"/>
                <c:pt idx="0">
                  <c:v>            Salary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Charts!$U$12:$AA$12</c:f>
              <c:numCache>
                <c:formatCode>_(* #,##0_);_(* \(#,##0\);_(* "-"??_);_(@_)</c:formatCode>
                <c:ptCount val="7"/>
                <c:pt idx="0">
                  <c:v>2346642</c:v>
                </c:pt>
                <c:pt idx="1">
                  <c:v>2373559</c:v>
                </c:pt>
                <c:pt idx="2">
                  <c:v>3539177</c:v>
                </c:pt>
                <c:pt idx="3">
                  <c:v>3930024</c:v>
                </c:pt>
                <c:pt idx="4">
                  <c:v>4730587</c:v>
                </c:pt>
                <c:pt idx="5">
                  <c:v>5549557</c:v>
                </c:pt>
                <c:pt idx="6">
                  <c:v>2479531.2899999996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9-4342-96C7-F1568ADD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759-4342-96C7-F1568ADDB98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759-4342-96C7-F1568ADDB98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759-4342-96C7-F1568ADDB98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Charts!$S$7:$T$7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759-4342-96C7-F1568ADDB98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Charts!$S$8:$T$8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 formatCode="_(* #,##0.00_);_(* \(#,##0.00\);_(* &quot;-&quot;??_);_(@_)">
                        <c:v>-27247486</c:v>
                      </c:pt>
                      <c:pt idx="4" formatCode="_(* #,##0.00_);_(* \(#,##0.00\);_(* &quot;-&quot;??_);_(@_)">
                        <c:v>-24560513.054420654</c:v>
                      </c:pt>
                      <c:pt idx="5">
                        <c:v>34371408.94557935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759-4342-96C7-F1568ADDB98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Charts!$S$9:$T$9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>
                        <c:v>38131715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759-4342-96C7-F1568ADDB98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Charts!$S$10:$T$10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759-4342-96C7-F1568ADDB98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Charts!$S$11:$T$11</c15:sqref>
                        </c15:formulaRef>
                      </c:ext>
                    </c:extLst>
                    <c:strCache>
                      <c:ptCount val="2"/>
                      <c:pt idx="0">
                        <c:v>            Employee Benefits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Charts!$U$11:$AA$11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385921</c:v>
                      </c:pt>
                      <c:pt idx="1">
                        <c:v>440863</c:v>
                      </c:pt>
                      <c:pt idx="2">
                        <c:v>721078</c:v>
                      </c:pt>
                      <c:pt idx="3">
                        <c:v>887717</c:v>
                      </c:pt>
                      <c:pt idx="4">
                        <c:v>980768</c:v>
                      </c:pt>
                      <c:pt idx="5">
                        <c:v>1222608</c:v>
                      </c:pt>
                      <c:pt idx="6">
                        <c:v>550869.00000000012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759-4342-96C7-F1568ADDB98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Charts!$S$13:$T$13</c15:sqref>
                        </c15:formulaRef>
                      </c:ext>
                    </c:extLst>
                    <c:strCache>
                      <c:ptCount val="2"/>
                      <c:pt idx="0">
                        <c:v>            Bonuses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Charts!$U$13:$AA$13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260100</c:v>
                      </c:pt>
                      <c:pt idx="1">
                        <c:v>445280</c:v>
                      </c:pt>
                      <c:pt idx="2">
                        <c:v>4303500</c:v>
                      </c:pt>
                      <c:pt idx="3">
                        <c:v>5411500</c:v>
                      </c:pt>
                      <c:pt idx="4">
                        <c:v>6275200</c:v>
                      </c:pt>
                      <c:pt idx="5">
                        <c:v>4728150</c:v>
                      </c:pt>
                      <c:pt idx="6">
                        <c:v>197756.25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759-4342-96C7-F1568ADDB98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Charts!$S$14:$T$14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Charts!$U$14:$AA$14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209770</c:v>
                      </c:pt>
                      <c:pt idx="1">
                        <c:v>246352</c:v>
                      </c:pt>
                      <c:pt idx="2">
                        <c:v>355048</c:v>
                      </c:pt>
                      <c:pt idx="3">
                        <c:v>481996</c:v>
                      </c:pt>
                      <c:pt idx="4">
                        <c:v>485391</c:v>
                      </c:pt>
                      <c:pt idx="5">
                        <c:v>630764</c:v>
                      </c:pt>
                      <c:pt idx="6">
                        <c:v>230497.31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759-4342-96C7-F1568ADDB98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Charts!$S$15:$T$15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Charts!$U$15:$AA$15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759-4342-96C7-F1568ADDB98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Charts!$S$16:$T$16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Charts!$U$16:$AA$16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A64-4AA2-A32A-BFFD9EA763A7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Charts!$S$17:$T$17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Charts!$U$17:$AA$17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A64-4AA2-A32A-BFFD9EA763A7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Charts!$S$18:$T$18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Charts!$U$18:$AA$18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A64-4AA2-A32A-BFFD9EA763A7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Charts!$S$19:$T$19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Charts!$U$19:$AA$19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A64-4AA2-A32A-BFFD9EA763A7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Charts!$S$20:$T$20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Charts!$U$20:$AA$20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A64-4AA2-A32A-BFFD9EA763A7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Charts!$S$21:$T$21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Charts!$U$21:$AA$21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A64-4AA2-A32A-BFFD9EA763A7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Charts!$S$22:$T$22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Charts!$U$22:$AA$22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A64-4AA2-A32A-BFFD9EA763A7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Charts!$S$23:$T$23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A64-4AA2-A32A-BFFD9EA763A7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Charts!$S$24:$T$24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Charts!$U$24:$AA$24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A64-4AA2-A32A-BFFD9EA763A7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Charts!$S$25:$T$25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Charts!$U$25:$AA$25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A64-4AA2-A32A-BFFD9EA763A7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Benefits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0411319245916"/>
          <c:y val="0.1990944881889763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7"/>
          <c:order val="7"/>
          <c:tx>
            <c:strRef>
              <c:f>Charts!$S$11:$T$11</c:f>
              <c:strCache>
                <c:ptCount val="2"/>
                <c:pt idx="0">
                  <c:v>            Employee Benefits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Charts!$U$11:$AA$11</c:f>
              <c:numCache>
                <c:formatCode>_(* #,##0_);_(* \(#,##0\);_(* "-"??_);_(@_)</c:formatCode>
                <c:ptCount val="7"/>
                <c:pt idx="0">
                  <c:v>385921</c:v>
                </c:pt>
                <c:pt idx="1">
                  <c:v>440863</c:v>
                </c:pt>
                <c:pt idx="2">
                  <c:v>721078</c:v>
                </c:pt>
                <c:pt idx="3">
                  <c:v>887717</c:v>
                </c:pt>
                <c:pt idx="4">
                  <c:v>980768</c:v>
                </c:pt>
                <c:pt idx="5">
                  <c:v>1222608</c:v>
                </c:pt>
                <c:pt idx="6">
                  <c:v>550869.00000000012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DFED-40AD-B409-B78B8904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FED-40AD-B409-B78B890458EB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FED-40AD-B409-B78B890458E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FED-40AD-B409-B78B890458E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Charts!$S$7:$T$7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FED-40AD-B409-B78B890458E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Charts!$S$8:$T$8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 formatCode="_(* #,##0.00_);_(* \(#,##0.00\);_(* &quot;-&quot;??_);_(@_)">
                        <c:v>-27247486</c:v>
                      </c:pt>
                      <c:pt idx="4" formatCode="_(* #,##0.00_);_(* \(#,##0.00\);_(* &quot;-&quot;??_);_(@_)">
                        <c:v>-24560513.054420654</c:v>
                      </c:pt>
                      <c:pt idx="5">
                        <c:v>34371408.94557935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ED-40AD-B409-B78B890458E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Charts!$S$9:$T$9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>
                        <c:v>38131715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FED-40AD-B409-B78B890458E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Charts!$S$10:$T$10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FED-40AD-B409-B78B890458E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Charts!$S$12:$T$12</c15:sqref>
                        </c15:formulaRef>
                      </c:ext>
                    </c:extLst>
                    <c:strCache>
                      <c:ptCount val="2"/>
                      <c:pt idx="0">
                        <c:v>            Salary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Charts!$U$12:$AA$12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2346642</c:v>
                      </c:pt>
                      <c:pt idx="1">
                        <c:v>2373559</c:v>
                      </c:pt>
                      <c:pt idx="2">
                        <c:v>3539177</c:v>
                      </c:pt>
                      <c:pt idx="3">
                        <c:v>3930024</c:v>
                      </c:pt>
                      <c:pt idx="4">
                        <c:v>4730587</c:v>
                      </c:pt>
                      <c:pt idx="5">
                        <c:v>5549557</c:v>
                      </c:pt>
                      <c:pt idx="6">
                        <c:v>2479531.2899999996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FED-40AD-B409-B78B890458E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Charts!$S$13:$T$13</c15:sqref>
                        </c15:formulaRef>
                      </c:ext>
                    </c:extLst>
                    <c:strCache>
                      <c:ptCount val="2"/>
                      <c:pt idx="0">
                        <c:v>            Bonuses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Charts!$U$13:$AA$13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260100</c:v>
                      </c:pt>
                      <c:pt idx="1">
                        <c:v>445280</c:v>
                      </c:pt>
                      <c:pt idx="2">
                        <c:v>4303500</c:v>
                      </c:pt>
                      <c:pt idx="3">
                        <c:v>5411500</c:v>
                      </c:pt>
                      <c:pt idx="4">
                        <c:v>6275200</c:v>
                      </c:pt>
                      <c:pt idx="5">
                        <c:v>4728150</c:v>
                      </c:pt>
                      <c:pt idx="6">
                        <c:v>197756.25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FED-40AD-B409-B78B890458E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Charts!$S$14:$T$14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Charts!$U$14:$AA$14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209770</c:v>
                      </c:pt>
                      <c:pt idx="1">
                        <c:v>246352</c:v>
                      </c:pt>
                      <c:pt idx="2">
                        <c:v>355048</c:v>
                      </c:pt>
                      <c:pt idx="3">
                        <c:v>481996</c:v>
                      </c:pt>
                      <c:pt idx="4">
                        <c:v>485391</c:v>
                      </c:pt>
                      <c:pt idx="5">
                        <c:v>630764</c:v>
                      </c:pt>
                      <c:pt idx="6">
                        <c:v>230497.31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FED-40AD-B409-B78B890458E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Charts!$S$15:$T$15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Charts!$U$15:$AA$15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FED-40AD-B409-B78B890458EB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Charts!$S$16:$T$16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Charts!$U$16:$AA$16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FED-40AD-B409-B78B890458EB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Charts!$S$17:$T$17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Charts!$U$17:$AA$17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FED-40AD-B409-B78B890458EB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Charts!$S$18:$T$18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Charts!$U$18:$AA$18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FED-40AD-B409-B78B890458EB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Charts!$S$19:$T$19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Charts!$U$19:$AA$19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FED-40AD-B409-B78B890458EB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Charts!$S$20:$T$20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Charts!$U$20:$AA$20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FED-40AD-B409-B78B890458EB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Charts!$S$21:$T$21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Charts!$U$21:$AA$21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FED-40AD-B409-B78B890458EB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Charts!$S$22:$T$22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Charts!$U$22:$AA$22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FED-40AD-B409-B78B890458EB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Charts!$S$23:$T$23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FED-40AD-B409-B78B890458EB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Charts!$S$24:$T$24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Charts!$U$24:$AA$24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FED-40AD-B409-B78B890458EB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Charts!$S$25:$T$25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Charts!$U$25:$AA$25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FED-40AD-B409-B78B890458EB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Payroll Taxes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0411319245916"/>
          <c:y val="0.1990944881889763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10"/>
          <c:order val="10"/>
          <c:tx>
            <c:strRef>
              <c:f>Charts!$S$14:$T$14</c:f>
              <c:strCache>
                <c:ptCount val="2"/>
                <c:pt idx="0">
                  <c:v>            Payroll Taxes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Charts!$U$14:$AA$14</c:f>
              <c:numCache>
                <c:formatCode>_(* #,##0_);_(* \(#,##0\);_(* "-"??_);_(@_)</c:formatCode>
                <c:ptCount val="7"/>
                <c:pt idx="0">
                  <c:v>209770</c:v>
                </c:pt>
                <c:pt idx="1">
                  <c:v>246352</c:v>
                </c:pt>
                <c:pt idx="2">
                  <c:v>355048</c:v>
                </c:pt>
                <c:pt idx="3">
                  <c:v>481996</c:v>
                </c:pt>
                <c:pt idx="4">
                  <c:v>485391</c:v>
                </c:pt>
                <c:pt idx="5">
                  <c:v>630764</c:v>
                </c:pt>
                <c:pt idx="6">
                  <c:v>230497.31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BB72-4CC9-851C-933BB7735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B72-4CC9-851C-933BB773534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72-4CC9-851C-933BB773534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72-4CC9-851C-933BB773534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Charts!$S$7:$T$7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72-4CC9-851C-933BB773534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Charts!$S$8:$T$8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 formatCode="_(* #,##0.00_);_(* \(#,##0.00\);_(* &quot;-&quot;??_);_(@_)">
                        <c:v>-27247486</c:v>
                      </c:pt>
                      <c:pt idx="4" formatCode="_(* #,##0.00_);_(* \(#,##0.00\);_(* &quot;-&quot;??_);_(@_)">
                        <c:v>-24560513.054420654</c:v>
                      </c:pt>
                      <c:pt idx="5">
                        <c:v>34371408.94557935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72-4CC9-851C-933BB773534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Charts!$S$9:$T$9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>
                        <c:v>38131715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72-4CC9-851C-933BB773534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Charts!$S$10:$T$10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72-4CC9-851C-933BB773534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Charts!$S$11:$T$11</c15:sqref>
                        </c15:formulaRef>
                      </c:ext>
                    </c:extLst>
                    <c:strCache>
                      <c:ptCount val="2"/>
                      <c:pt idx="0">
                        <c:v>            Employee Benefits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Charts!$U$11:$AA$11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385921</c:v>
                      </c:pt>
                      <c:pt idx="1">
                        <c:v>440863</c:v>
                      </c:pt>
                      <c:pt idx="2">
                        <c:v>721078</c:v>
                      </c:pt>
                      <c:pt idx="3">
                        <c:v>887717</c:v>
                      </c:pt>
                      <c:pt idx="4">
                        <c:v>980768</c:v>
                      </c:pt>
                      <c:pt idx="5">
                        <c:v>1222608</c:v>
                      </c:pt>
                      <c:pt idx="6">
                        <c:v>550869.00000000012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B72-4CC9-851C-933BB773534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Charts!$S$12:$T$12</c15:sqref>
                        </c15:formulaRef>
                      </c:ext>
                    </c:extLst>
                    <c:strCache>
                      <c:ptCount val="2"/>
                      <c:pt idx="0">
                        <c:v>            Salary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Charts!$U$12:$AA$12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2346642</c:v>
                      </c:pt>
                      <c:pt idx="1">
                        <c:v>2373559</c:v>
                      </c:pt>
                      <c:pt idx="2">
                        <c:v>3539177</c:v>
                      </c:pt>
                      <c:pt idx="3">
                        <c:v>3930024</c:v>
                      </c:pt>
                      <c:pt idx="4">
                        <c:v>4730587</c:v>
                      </c:pt>
                      <c:pt idx="5">
                        <c:v>5549557</c:v>
                      </c:pt>
                      <c:pt idx="6">
                        <c:v>2479531.2899999996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72-4CC9-851C-933BB773534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Charts!$S$13:$T$13</c15:sqref>
                        </c15:formulaRef>
                      </c:ext>
                    </c:extLst>
                    <c:strCache>
                      <c:ptCount val="2"/>
                      <c:pt idx="0">
                        <c:v>            Bonuses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Charts!$U$13:$AA$13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260100</c:v>
                      </c:pt>
                      <c:pt idx="1">
                        <c:v>445280</c:v>
                      </c:pt>
                      <c:pt idx="2">
                        <c:v>4303500</c:v>
                      </c:pt>
                      <c:pt idx="3">
                        <c:v>5411500</c:v>
                      </c:pt>
                      <c:pt idx="4">
                        <c:v>6275200</c:v>
                      </c:pt>
                      <c:pt idx="5">
                        <c:v>4728150</c:v>
                      </c:pt>
                      <c:pt idx="6">
                        <c:v>197756.25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72-4CC9-851C-933BB773534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Charts!$S$15:$T$15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Charts!$U$15:$AA$15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72-4CC9-851C-933BB7735344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Charts!$S$16:$T$16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Charts!$U$16:$AA$16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B72-4CC9-851C-933BB7735344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Charts!$S$17:$T$17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Charts!$U$17:$AA$17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B72-4CC9-851C-933BB7735344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Charts!$S$18:$T$18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Charts!$U$18:$AA$18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B72-4CC9-851C-933BB7735344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Charts!$S$19:$T$19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Charts!$U$19:$AA$19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B72-4CC9-851C-933BB7735344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Charts!$S$20:$T$20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Charts!$U$20:$AA$20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B72-4CC9-851C-933BB7735344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Charts!$S$21:$T$21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Charts!$U$21:$AA$21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B72-4CC9-851C-933BB7735344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Charts!$S$22:$T$22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Charts!$U$22:$AA$22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B72-4CC9-851C-933BB7735344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Charts!$S$23:$T$23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B72-4CC9-851C-933BB7735344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Charts!$S$24:$T$24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Charts!$U$24:$AA$24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B72-4CC9-851C-933BB7735344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Charts!$S$25:$T$25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Charts!$U$25:$AA$25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B72-4CC9-851C-933BB7735344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Bonuses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0411319245916"/>
          <c:y val="0.1990944881889763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9"/>
          <c:order val="9"/>
          <c:tx>
            <c:strRef>
              <c:f>Charts!$S$13:$T$13</c:f>
              <c:strCache>
                <c:ptCount val="2"/>
                <c:pt idx="0">
                  <c:v>            Bonuses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Charts!$U$13:$AA$13</c:f>
              <c:numCache>
                <c:formatCode>_(* #,##0_);_(* \(#,##0\);_(* "-"??_);_(@_)</c:formatCode>
                <c:ptCount val="7"/>
                <c:pt idx="0">
                  <c:v>260100</c:v>
                </c:pt>
                <c:pt idx="1">
                  <c:v>445280</c:v>
                </c:pt>
                <c:pt idx="2">
                  <c:v>4303500</c:v>
                </c:pt>
                <c:pt idx="3">
                  <c:v>5411500</c:v>
                </c:pt>
                <c:pt idx="4">
                  <c:v>6275200</c:v>
                </c:pt>
                <c:pt idx="5">
                  <c:v>4728150</c:v>
                </c:pt>
                <c:pt idx="6">
                  <c:v>197756.25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512E-4825-A420-B08012904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12E-4825-A420-B08012904B19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12E-4825-A420-B08012904B1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2E-4825-A420-B08012904B19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Charts!$S$7:$T$7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2E-4825-A420-B08012904B1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Charts!$S$8:$T$8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 formatCode="_(* #,##0.00_);_(* \(#,##0.00\);_(* &quot;-&quot;??_);_(@_)">
                        <c:v>-27247486</c:v>
                      </c:pt>
                      <c:pt idx="4" formatCode="_(* #,##0.00_);_(* \(#,##0.00\);_(* &quot;-&quot;??_);_(@_)">
                        <c:v>-24560513.054420654</c:v>
                      </c:pt>
                      <c:pt idx="5">
                        <c:v>34371408.94557935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12E-4825-A420-B08012904B1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Charts!$S$9:$T$9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>
                        <c:v>38131715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12E-4825-A420-B08012904B1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Charts!$S$10:$T$10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12E-4825-A420-B08012904B19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Charts!$S$11:$T$11</c15:sqref>
                        </c15:formulaRef>
                      </c:ext>
                    </c:extLst>
                    <c:strCache>
                      <c:ptCount val="2"/>
                      <c:pt idx="0">
                        <c:v>            Employee Benefits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Charts!$U$11:$AA$11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385921</c:v>
                      </c:pt>
                      <c:pt idx="1">
                        <c:v>440863</c:v>
                      </c:pt>
                      <c:pt idx="2">
                        <c:v>721078</c:v>
                      </c:pt>
                      <c:pt idx="3">
                        <c:v>887717</c:v>
                      </c:pt>
                      <c:pt idx="4">
                        <c:v>980768</c:v>
                      </c:pt>
                      <c:pt idx="5">
                        <c:v>1222608</c:v>
                      </c:pt>
                      <c:pt idx="6">
                        <c:v>550869.00000000012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12E-4825-A420-B08012904B1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Charts!$S$12:$T$12</c15:sqref>
                        </c15:formulaRef>
                      </c:ext>
                    </c:extLst>
                    <c:strCache>
                      <c:ptCount val="2"/>
                      <c:pt idx="0">
                        <c:v>            Salary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Charts!$U$12:$AA$12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2346642</c:v>
                      </c:pt>
                      <c:pt idx="1">
                        <c:v>2373559</c:v>
                      </c:pt>
                      <c:pt idx="2">
                        <c:v>3539177</c:v>
                      </c:pt>
                      <c:pt idx="3">
                        <c:v>3930024</c:v>
                      </c:pt>
                      <c:pt idx="4">
                        <c:v>4730587</c:v>
                      </c:pt>
                      <c:pt idx="5">
                        <c:v>5549557</c:v>
                      </c:pt>
                      <c:pt idx="6">
                        <c:v>2479531.2899999996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12E-4825-A420-B08012904B1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Charts!$S$14:$T$14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Charts!$U$14:$AA$14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209770</c:v>
                      </c:pt>
                      <c:pt idx="1">
                        <c:v>246352</c:v>
                      </c:pt>
                      <c:pt idx="2">
                        <c:v>355048</c:v>
                      </c:pt>
                      <c:pt idx="3">
                        <c:v>481996</c:v>
                      </c:pt>
                      <c:pt idx="4">
                        <c:v>485391</c:v>
                      </c:pt>
                      <c:pt idx="5">
                        <c:v>630764</c:v>
                      </c:pt>
                      <c:pt idx="6">
                        <c:v>230497.31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12E-4825-A420-B08012904B19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Charts!$S$15:$T$15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Charts!$U$15:$AA$15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12E-4825-A420-B08012904B19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Charts!$S$16:$T$16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Charts!$U$16:$AA$16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12E-4825-A420-B08012904B19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Charts!$S$17:$T$17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Charts!$U$17:$AA$17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12E-4825-A420-B08012904B19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Charts!$S$18:$T$18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Charts!$U$18:$AA$18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12E-4825-A420-B08012904B19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Charts!$S$19:$T$19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Charts!$U$19:$AA$19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12E-4825-A420-B08012904B19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Charts!$S$20:$T$20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Charts!$U$20:$AA$20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12E-4825-A420-B08012904B19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Charts!$S$21:$T$21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Charts!$U$21:$AA$21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12E-4825-A420-B08012904B19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Charts!$S$22:$T$22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Charts!$U$22:$AA$22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12E-4825-A420-B08012904B19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Charts!$S$23:$T$23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12E-4825-A420-B08012904B19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Charts!$S$24:$T$24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Charts!$U$24:$AA$24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12E-4825-A420-B08012904B19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Charts!$S$25:$T$25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Charts!$U$25:$AA$25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12E-4825-A420-B08012904B19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Wages Benefits Taxes &amp; Bonuses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0411319245916"/>
          <c:y val="0.19909448818897638"/>
          <c:w val="0.77262206365969366"/>
          <c:h val="0.6153546952464275"/>
        </c:manualLayout>
      </c:layout>
      <c:barChart>
        <c:barDir val="col"/>
        <c:grouping val="stacked"/>
        <c:varyColors val="0"/>
        <c:ser>
          <c:idx val="7"/>
          <c:order val="7"/>
          <c:tx>
            <c:strRef>
              <c:f>Charts!$S$11:$T$11</c:f>
              <c:strCache>
                <c:ptCount val="2"/>
                <c:pt idx="0">
                  <c:v>            Employee Benefits</c:v>
                </c:pt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Charts!$U$11:$AA$11</c:f>
              <c:numCache>
                <c:formatCode>_(* #,##0_);_(* \(#,##0\);_(* "-"??_);_(@_)</c:formatCode>
                <c:ptCount val="7"/>
                <c:pt idx="0">
                  <c:v>385921</c:v>
                </c:pt>
                <c:pt idx="1">
                  <c:v>440863</c:v>
                </c:pt>
                <c:pt idx="2">
                  <c:v>721078</c:v>
                </c:pt>
                <c:pt idx="3">
                  <c:v>887717</c:v>
                </c:pt>
                <c:pt idx="4">
                  <c:v>980768</c:v>
                </c:pt>
                <c:pt idx="5">
                  <c:v>1222608</c:v>
                </c:pt>
                <c:pt idx="6">
                  <c:v>550869.00000000012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8B1C-4C8A-9351-08E075974542}"/>
            </c:ext>
          </c:extLst>
        </c:ser>
        <c:ser>
          <c:idx val="8"/>
          <c:order val="8"/>
          <c:tx>
            <c:strRef>
              <c:f>Charts!$S$12:$T$12</c:f>
              <c:strCache>
                <c:ptCount val="2"/>
                <c:pt idx="0">
                  <c:v>            Salary</c:v>
                </c:pt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Charts!$U$12:$AA$12</c:f>
              <c:numCache>
                <c:formatCode>_(* #,##0_);_(* \(#,##0\);_(* "-"??_);_(@_)</c:formatCode>
                <c:ptCount val="7"/>
                <c:pt idx="0">
                  <c:v>2346642</c:v>
                </c:pt>
                <c:pt idx="1">
                  <c:v>2373559</c:v>
                </c:pt>
                <c:pt idx="2">
                  <c:v>3539177</c:v>
                </c:pt>
                <c:pt idx="3">
                  <c:v>3930024</c:v>
                </c:pt>
                <c:pt idx="4">
                  <c:v>4730587</c:v>
                </c:pt>
                <c:pt idx="5">
                  <c:v>5549557</c:v>
                </c:pt>
                <c:pt idx="6">
                  <c:v>2479531.2899999996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8B1C-4C8A-9351-08E075974542}"/>
            </c:ext>
          </c:extLst>
        </c:ser>
        <c:ser>
          <c:idx val="9"/>
          <c:order val="9"/>
          <c:tx>
            <c:strRef>
              <c:f>Charts!$S$13:$T$13</c:f>
              <c:strCache>
                <c:ptCount val="2"/>
                <c:pt idx="0">
                  <c:v>            Bonuses</c:v>
                </c:pt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Charts!$U$13:$AA$13</c:f>
              <c:numCache>
                <c:formatCode>_(* #,##0_);_(* \(#,##0\);_(* "-"??_);_(@_)</c:formatCode>
                <c:ptCount val="7"/>
                <c:pt idx="0">
                  <c:v>260100</c:v>
                </c:pt>
                <c:pt idx="1">
                  <c:v>445280</c:v>
                </c:pt>
                <c:pt idx="2">
                  <c:v>4303500</c:v>
                </c:pt>
                <c:pt idx="3">
                  <c:v>5411500</c:v>
                </c:pt>
                <c:pt idx="4">
                  <c:v>6275200</c:v>
                </c:pt>
                <c:pt idx="5">
                  <c:v>4728150</c:v>
                </c:pt>
                <c:pt idx="6">
                  <c:v>197756.25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8B1C-4C8A-9351-08E075974542}"/>
            </c:ext>
          </c:extLst>
        </c:ser>
        <c:ser>
          <c:idx val="10"/>
          <c:order val="10"/>
          <c:tx>
            <c:strRef>
              <c:f>Charts!$S$14:$T$14</c:f>
              <c:strCache>
                <c:ptCount val="2"/>
                <c:pt idx="0">
                  <c:v>            Payroll Taxes</c:v>
                </c:pt>
              </c:strCache>
              <c:extLst xmlns:c15="http://schemas.microsoft.com/office/drawing/2012/chart"/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Charts!$U$3:$AA$3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  <c:extLst xmlns:c15="http://schemas.microsoft.com/office/drawing/2012/chart"/>
            </c:numRef>
          </c:cat>
          <c:val>
            <c:numRef>
              <c:f>Charts!$U$14:$AA$14</c:f>
              <c:numCache>
                <c:formatCode>_(* #,##0_);_(* \(#,##0\);_(* "-"??_);_(@_)</c:formatCode>
                <c:ptCount val="7"/>
                <c:pt idx="0">
                  <c:v>209770</c:v>
                </c:pt>
                <c:pt idx="1">
                  <c:v>246352</c:v>
                </c:pt>
                <c:pt idx="2">
                  <c:v>355048</c:v>
                </c:pt>
                <c:pt idx="3">
                  <c:v>481996</c:v>
                </c:pt>
                <c:pt idx="4">
                  <c:v>485391</c:v>
                </c:pt>
                <c:pt idx="5">
                  <c:v>630764</c:v>
                </c:pt>
                <c:pt idx="6">
                  <c:v>230497.31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8B1C-4C8A-9351-08E07597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Charts!$S$4:$T$4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Charts!$U$4:$AA$4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B1C-4C8A-9351-08E07597454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Charts!$S$5:$T$5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Charts!$U$5:$AA$5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B1C-4C8A-9351-08E07597454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Charts!$S$6:$T$6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Charts!$U$6:$AA$6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B1C-4C8A-9351-08E07597454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Charts!$S$7:$T$7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Charts!$U$7:$AA$7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B1C-4C8A-9351-08E07597454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Charts!$S$8:$T$8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Charts!$U$8:$AA$8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 formatCode="_(* #,##0.00_);_(* \(#,##0.00\);_(* &quot;-&quot;??_);_(@_)">
                        <c:v>-27247486</c:v>
                      </c:pt>
                      <c:pt idx="4" formatCode="_(* #,##0.00_);_(* \(#,##0.00\);_(* &quot;-&quot;??_);_(@_)">
                        <c:v>-24560513.054420654</c:v>
                      </c:pt>
                      <c:pt idx="5">
                        <c:v>34371408.94557935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B1C-4C8A-9351-08E07597454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Charts!$S$9:$T$9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Charts!$U$9:$AA$9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3">
                        <c:v>38131715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B1C-4C8A-9351-08E07597454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Charts!$S$10:$T$10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Charts!$U$10:$AA$10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B1C-4C8A-9351-08E07597454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Charts!$S$15:$T$15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Charts!$U$15:$AA$15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B1C-4C8A-9351-08E07597454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Charts!$S$16:$T$16</c15:sqref>
                        </c15:formulaRef>
                      </c:ext>
                    </c:extLst>
                    <c:strCache>
                      <c:ptCount val="2"/>
                      <c:pt idx="0">
                        <c:v>            Payroll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Charts!$U$16:$AA$16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8B1C-4C8A-9351-08E07597454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Charts!$S$17:$T$17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Charts!$U$17:$AA$17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8B1C-4C8A-9351-08E07597454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Charts!$S$18:$T$18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Charts!$U$18:$AA$18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8B1C-4C8A-9351-08E07597454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Charts!$S$19:$T$19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Charts!$U$19:$AA$19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8B1C-4C8A-9351-08E07597454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Charts!$S$20:$T$20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Charts!$U$20:$AA$20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8B1C-4C8A-9351-08E07597454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Charts!$S$21:$T$21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Charts!$U$21:$AA$21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8B1C-4C8A-9351-08E07597454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Charts!$S$22:$T$22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Charts!$U$22:$AA$22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8B1C-4C8A-9351-08E075974542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Charts!$S$23:$T$23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Charts!$U$23:$AA$23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8B1C-4C8A-9351-08E075974542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Charts!$S$24:$T$24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Charts!$U$24:$AA$24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8B1C-4C8A-9351-08E07597454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Charts!$S$25:$T$25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Charts!$U$3:$AA$3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Charts!$U$25:$AA$25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8B1C-4C8A-9351-08E075974542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074189271039666"/>
          <c:y val="0.1665268824649225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'Display (unmodified)'!$O$4:$P$4</c:f>
              <c:strCache>
                <c:ptCount val="2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'Display (unmodified)'!$Q$3:$W$3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'Display (unmodified)'!$Q$4:$W$4</c:f>
              <c:numCache>
                <c:formatCode>_(* #,##0_);_(* \(#,##0\);_(* "-"??_);_(@_)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E0EE-4920-A689-3489F6343A40}"/>
            </c:ext>
          </c:extLst>
        </c:ser>
        <c:ser>
          <c:idx val="1"/>
          <c:order val="1"/>
          <c:tx>
            <c:strRef>
              <c:f>'Display (unmodified)'!$O$5:$P$5</c:f>
              <c:strCache>
                <c:ptCount val="2"/>
                <c:pt idx="0">
                  <c:v>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'Display (unmodified)'!$Q$3:$W$3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'Display (unmodified)'!$Q$5:$W$5</c:f>
              <c:numCache>
                <c:formatCode>_(* #,##0_);_(* \(#,##0\);_(* "-"??_);_(@_)</c:formatCode>
                <c:ptCount val="7"/>
                <c:pt idx="0">
                  <c:v>4686461557</c:v>
                </c:pt>
                <c:pt idx="1">
                  <c:v>6848486308</c:v>
                </c:pt>
                <c:pt idx="2">
                  <c:v>5677053727</c:v>
                </c:pt>
                <c:pt idx="3">
                  <c:v>5621048095</c:v>
                </c:pt>
                <c:pt idx="4">
                  <c:v>4744220565</c:v>
                </c:pt>
                <c:pt idx="5">
                  <c:v>3831008289</c:v>
                </c:pt>
                <c:pt idx="6">
                  <c:v>1187355380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E-4920-A689-3489F6343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</a:t>
            </a:r>
            <a:r>
              <a:rPr lang="en-US" baseline="0"/>
              <a:t> Profit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72739431193147"/>
          <c:y val="0.20388961796442112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'Display (unmodified)'!$O$7:$P$7</c:f>
              <c:strCache>
                <c:ptCount val="2"/>
                <c:pt idx="0">
                  <c:v>Gross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'Display (unmodified)'!$Q$3:$W$3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'Display (unmodified)'!$Q$7:$W$7</c:f>
              <c:numCache>
                <c:formatCode>_(* #,##0_);_(* \(#,##0\);_(* "-"??_);_(@_)</c:formatCode>
                <c:ptCount val="7"/>
                <c:pt idx="0">
                  <c:v>5866583</c:v>
                </c:pt>
                <c:pt idx="1">
                  <c:v>7292970</c:v>
                </c:pt>
                <c:pt idx="2">
                  <c:v>44799512</c:v>
                </c:pt>
                <c:pt idx="3">
                  <c:v>65379201</c:v>
                </c:pt>
                <c:pt idx="4">
                  <c:v>58931922</c:v>
                </c:pt>
                <c:pt idx="5">
                  <c:v>38131715</c:v>
                </c:pt>
                <c:pt idx="6">
                  <c:v>6909601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D4-470F-BFCC-829DE6520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'Display (unmodified)'!$O$4:$P$4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'Display (unmodified)'!$Q$4:$W$4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3D4-470F-BFCC-829DE6520A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(unmodified)'!$O$5:$P$5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(unmodified)'!$Q$5:$W$5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3D4-470F-BFCC-829DE6520A3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(unmodified)'!$O$6:$P$6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(unmodified)'!$Q$6:$W$6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3D4-470F-BFCC-829DE6520A3F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Employee</a:t>
            </a:r>
            <a:r>
              <a:rPr lang="en-US" baseline="0"/>
              <a:t> Benefit Costs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22682844256117"/>
          <c:y val="0.19463037640526148"/>
          <c:w val="0.77262206365969366"/>
          <c:h val="0.6153546952464275"/>
        </c:manualLayout>
      </c:layout>
      <c:barChart>
        <c:barDir val="col"/>
        <c:grouping val="clustered"/>
        <c:varyColors val="0"/>
        <c:ser>
          <c:idx val="7"/>
          <c:order val="7"/>
          <c:tx>
            <c:strRef>
              <c:f>'Display (unmodified)'!$O$11:$P$11</c:f>
              <c:strCache>
                <c:ptCount val="2"/>
                <c:pt idx="0">
                  <c:v>            Employee Benefits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'Display (unmodified)'!$Q$3:$W$3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'Display (unmodified)'!$Q$11:$W$11</c:f>
              <c:numCache>
                <c:formatCode>_(* #,##0_);_(* \(#,##0\);_(* "-"??_);_(@_)</c:formatCode>
                <c:ptCount val="7"/>
                <c:pt idx="0">
                  <c:v>385921</c:v>
                </c:pt>
                <c:pt idx="1">
                  <c:v>440863</c:v>
                </c:pt>
                <c:pt idx="2">
                  <c:v>721078</c:v>
                </c:pt>
                <c:pt idx="3">
                  <c:v>887717</c:v>
                </c:pt>
                <c:pt idx="4">
                  <c:v>980768</c:v>
                </c:pt>
                <c:pt idx="5">
                  <c:v>1222608</c:v>
                </c:pt>
                <c:pt idx="6">
                  <c:v>550869.00000000012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2B-4CDA-8917-DF3ECC0B3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146511"/>
        <c:axId val="129613115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'Display (unmodified)'!$O$4:$P$4</c15:sqref>
                        </c15:formulaRef>
                      </c:ext>
                    </c:extLst>
                    <c:strCache>
                      <c:ptCount val="2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'Display (unmodified)'!$Q$4:$W$4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B2B-4CDA-8917-DF3ECC0B3F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(unmodified)'!$O$5:$P$5</c15:sqref>
                        </c15:formulaRef>
                      </c:ext>
                    </c:extLst>
                    <c:strCache>
                      <c:ptCount val="2"/>
                      <c:pt idx="0">
                        <c:v>Revenue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(unmodified)'!$Q$5:$W$5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4686461557</c:v>
                      </c:pt>
                      <c:pt idx="1">
                        <c:v>6848486308</c:v>
                      </c:pt>
                      <c:pt idx="2">
                        <c:v>5677053727</c:v>
                      </c:pt>
                      <c:pt idx="3">
                        <c:v>5621048095</c:v>
                      </c:pt>
                      <c:pt idx="4">
                        <c:v>4744220565</c:v>
                      </c:pt>
                      <c:pt idx="5">
                        <c:v>3831008289</c:v>
                      </c:pt>
                      <c:pt idx="6">
                        <c:v>1187355380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B2B-4CDA-8917-DF3ECC0B3F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(unmodified)'!$O$6:$P$6</c15:sqref>
                        </c15:formulaRef>
                      </c:ext>
                    </c:extLst>
                    <c:strCache>
                      <c:ptCount val="2"/>
                      <c:pt idx="0">
                        <c:v>COGS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(unmodified)'!$Q$6:$W$6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4680594974</c:v>
                      </c:pt>
                      <c:pt idx="1">
                        <c:v>6841193338</c:v>
                      </c:pt>
                      <c:pt idx="2">
                        <c:v>5632254215</c:v>
                      </c:pt>
                      <c:pt idx="3">
                        <c:v>5555668894</c:v>
                      </c:pt>
                      <c:pt idx="4">
                        <c:v>4685288643</c:v>
                      </c:pt>
                      <c:pt idx="5">
                        <c:v>3792876574</c:v>
                      </c:pt>
                      <c:pt idx="6">
                        <c:v>1180445779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B2B-4CDA-8917-DF3ECC0B3F1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(unmodified)'!$O$7:$P$7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(unmodified)'!$Q$7:$W$7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5866583</c:v>
                      </c:pt>
                      <c:pt idx="1">
                        <c:v>7292970</c:v>
                      </c:pt>
                      <c:pt idx="2">
                        <c:v>44799512</c:v>
                      </c:pt>
                      <c:pt idx="3">
                        <c:v>65379201</c:v>
                      </c:pt>
                      <c:pt idx="4">
                        <c:v>58931922</c:v>
                      </c:pt>
                      <c:pt idx="5">
                        <c:v>38131715</c:v>
                      </c:pt>
                      <c:pt idx="6">
                        <c:v>6909601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B2B-4CDA-8917-DF3ECC0B3F1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(unmodified)'!$O$8:$P$8</c15:sqref>
                        </c15:formulaRef>
                      </c:ext>
                    </c:extLst>
                    <c:strCache>
                      <c:ptCount val="2"/>
                      <c:pt idx="0">
                        <c:v>Gross Profit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(unmodified)'!$Q$8:$W$8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B2B-4CDA-8917-DF3ECC0B3F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(unmodified)'!$O$9:$P$9</c15:sqref>
                        </c15:formulaRef>
                      </c:ext>
                    </c:extLst>
                    <c:strCache>
                      <c:ptCount val="2"/>
                      <c:pt idx="0">
                        <c:v>Expenses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(unmodified)'!$Q$9:$W$9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B2B-4CDA-8917-DF3ECC0B3F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(unmodified)'!$O$10:$P$10</c15:sqref>
                        </c15:formulaRef>
                      </c:ext>
                    </c:extLst>
                    <c:strCache>
                      <c:ptCount val="2"/>
                      <c:pt idx="0">
                        <c:v>      Personal Cost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(unmodified)'!$Q$10:$W$10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2B-4CDA-8917-DF3ECC0B3F1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(unmodified)'!$O$12:$P$12</c15:sqref>
                        </c15:formulaRef>
                      </c:ext>
                    </c:extLst>
                    <c:strCache>
                      <c:ptCount val="2"/>
                      <c:pt idx="0">
                        <c:v>            Wages , Bonuses &amp; Payroll Taxes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(unmodified)'!$Q$12:$W$12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2816512</c:v>
                      </c:pt>
                      <c:pt idx="1">
                        <c:v>3065191</c:v>
                      </c:pt>
                      <c:pt idx="2">
                        <c:v>8197725</c:v>
                      </c:pt>
                      <c:pt idx="3">
                        <c:v>9823520</c:v>
                      </c:pt>
                      <c:pt idx="4">
                        <c:v>11491178</c:v>
                      </c:pt>
                      <c:pt idx="5">
                        <c:v>10908471</c:v>
                      </c:pt>
                      <c:pt idx="6">
                        <c:v>2907784.8499999996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2B-4CDA-8917-DF3ECC0B3F1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(unmodified)'!$O$13:$P$13</c15:sqref>
                        </c15:formulaRef>
                      </c:ext>
                    </c:extLst>
                    <c:strCache>
                      <c:ptCount val="2"/>
                      <c:pt idx="0">
                        <c:v>            Wages , Bonuses &amp; Payroll Taxes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(unmodified)'!$Q$13:$W$13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3202433</c:v>
                      </c:pt>
                      <c:pt idx="1">
                        <c:v>3506054</c:v>
                      </c:pt>
                      <c:pt idx="2">
                        <c:v>8918803</c:v>
                      </c:pt>
                      <c:pt idx="3">
                        <c:v>10711237</c:v>
                      </c:pt>
                      <c:pt idx="4">
                        <c:v>12471946</c:v>
                      </c:pt>
                      <c:pt idx="5">
                        <c:v>12131079</c:v>
                      </c:pt>
                      <c:pt idx="6">
                        <c:v>3458653.8499999996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2B-4CDA-8917-DF3ECC0B3F1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(unmodified)'!$O$14:$P$14</c15:sqref>
                        </c15:formulaRef>
                      </c:ext>
                    </c:extLst>
                    <c:strCache>
                      <c:ptCount val="2"/>
                      <c:pt idx="0">
                        <c:v>            Wages , Bonuses &amp; Payroll Taxes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(unmodified)'!$Q$14:$W$14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B2B-4CDA-8917-DF3ECC0B3F1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(unmodified)'!$O$15:$P$15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(unmodified)'!$Q$15:$W$15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2826434</c:v>
                      </c:pt>
                      <c:pt idx="1">
                        <c:v>2689467</c:v>
                      </c:pt>
                      <c:pt idx="2">
                        <c:v>2657427</c:v>
                      </c:pt>
                      <c:pt idx="3">
                        <c:v>2939550</c:v>
                      </c:pt>
                      <c:pt idx="4">
                        <c:v>3637478</c:v>
                      </c:pt>
                      <c:pt idx="5">
                        <c:v>4189423</c:v>
                      </c:pt>
                      <c:pt idx="6">
                        <c:v>1652150.26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B2B-4CDA-8917-DF3ECC0B3F13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(unmodified)'!$O$16:$P$16</c15:sqref>
                        </c15:formulaRef>
                      </c:ext>
                    </c:extLst>
                    <c:strCache>
                      <c:ptCount val="2"/>
                      <c:pt idx="0">
                        <c:v>      Facility Cost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(unmodified)'!$Q$16:$W$16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B2B-4CDA-8917-DF3ECC0B3F13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(unmodified)'!$O$17:$P$17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(unmodified)'!$Q$17:$W$17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498172</c:v>
                      </c:pt>
                      <c:pt idx="1">
                        <c:v>456226</c:v>
                      </c:pt>
                      <c:pt idx="2">
                        <c:v>1457265</c:v>
                      </c:pt>
                      <c:pt idx="3">
                        <c:v>1636964</c:v>
                      </c:pt>
                      <c:pt idx="4">
                        <c:v>1451996</c:v>
                      </c:pt>
                      <c:pt idx="5">
                        <c:v>1335492</c:v>
                      </c:pt>
                      <c:pt idx="6">
                        <c:v>-733964.11999999988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B2B-4CDA-8917-DF3ECC0B3F13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(unmodified)'!$O$18:$P$18</c15:sqref>
                        </c15:formulaRef>
                      </c:ext>
                    </c:extLst>
                    <c:strCache>
                      <c:ptCount val="2"/>
                      <c:pt idx="0">
                        <c:v>      Other Expenses/(Income)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(unmodified)'!$Q$18:$W$18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B2B-4CDA-8917-DF3ECC0B3F13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(unmodified)'!$O$19:$P$19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(unmodified)'!$Q$19:$W$19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-660456</c:v>
                      </c:pt>
                      <c:pt idx="1">
                        <c:v>641223</c:v>
                      </c:pt>
                      <c:pt idx="2">
                        <c:v>31766017</c:v>
                      </c:pt>
                      <c:pt idx="3">
                        <c:v>50091450</c:v>
                      </c:pt>
                      <c:pt idx="4">
                        <c:v>41370502</c:v>
                      </c:pt>
                      <c:pt idx="5">
                        <c:v>20475721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B2B-4CDA-8917-DF3ECC0B3F13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(unmodified)'!$O$20:$P$20</c15:sqref>
                        </c15:formulaRef>
                      </c:ext>
                    </c:extLst>
                    <c:strCache>
                      <c:ptCount val="2"/>
                      <c:pt idx="0">
                        <c:v>Net Income before Taxes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(unmodified)'!$Q$20:$W$20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B2B-4CDA-8917-DF3ECC0B3F13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(unmodified)'!$O$21:$P$21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(unmodified)'!$Q$21:$W$21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-120939</c:v>
                      </c:pt>
                      <c:pt idx="1">
                        <c:v>-200973</c:v>
                      </c:pt>
                      <c:pt idx="2">
                        <c:v>-1221852</c:v>
                      </c:pt>
                      <c:pt idx="3">
                        <c:v>-4393896</c:v>
                      </c:pt>
                      <c:pt idx="4">
                        <c:v>-3580463</c:v>
                      </c:pt>
                      <c:pt idx="5">
                        <c:v>-2770000</c:v>
                      </c:pt>
                      <c:pt idx="6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BB2B-4CDA-8917-DF3ECC0B3F13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(unmodified)'!$O$22:$P$22</c15:sqref>
                        </c15:formulaRef>
                      </c:ext>
                    </c:extLst>
                    <c:strCache>
                      <c:ptCount val="2"/>
                      <c:pt idx="0">
                        <c:v>Provision for Income Taxes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(unmodified)'!$Q$22:$W$22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BB2B-4CDA-8917-DF3ECC0B3F13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(unmodified)'!$O$23:$P$23</c15:sqref>
                        </c15:formulaRef>
                      </c:ext>
                    </c:extLst>
                    <c:strCache>
                      <c:ptCount val="2"/>
                      <c:pt idx="0">
                        <c:v>Net Income/(Loss) after Taxes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(unmodified)'!$Q$3:$W$3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'Display (unmodified)'!$Q$23:$W$23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7"/>
                      <c:pt idx="0">
                        <c:v>-781395</c:v>
                      </c:pt>
                      <c:pt idx="1">
                        <c:v>440250</c:v>
                      </c:pt>
                      <c:pt idx="2">
                        <c:v>30544165</c:v>
                      </c:pt>
                      <c:pt idx="3">
                        <c:v>45697554</c:v>
                      </c:pt>
                      <c:pt idx="4">
                        <c:v>37790039</c:v>
                      </c:pt>
                      <c:pt idx="5">
                        <c:v>17705721</c:v>
                      </c:pt>
                      <c:pt idx="6">
                        <c:v>2532761.0100000002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B2B-4CDA-8917-DF3ECC0B3F13}"/>
                  </c:ext>
                </c:extLst>
              </c15:ser>
            </c15:filteredBarSeries>
          </c:ext>
        </c:extLst>
      </c:barChart>
      <c:catAx>
        <c:axId val="1296146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131151"/>
        <c:crosses val="autoZero"/>
        <c:auto val="1"/>
        <c:lblAlgn val="ctr"/>
        <c:lblOffset val="100"/>
        <c:noMultiLvlLbl val="0"/>
      </c:catAx>
      <c:valAx>
        <c:axId val="129613115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296146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3</xdr:row>
      <xdr:rowOff>47625</xdr:rowOff>
    </xdr:from>
    <xdr:to>
      <xdr:col>11</xdr:col>
      <xdr:colOff>561975</xdr:colOff>
      <xdr:row>20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061F63-A42C-4F91-9809-B21AEC0A9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425451</xdr:colOff>
      <xdr:row>22</xdr:row>
      <xdr:rowOff>177800</xdr:rowOff>
    </xdr:from>
    <xdr:to>
      <xdr:col>11</xdr:col>
      <xdr:colOff>606425</xdr:colOff>
      <xdr:row>38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EC8E01-01E1-4A3B-8FFE-446E862BD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409575</xdr:colOff>
      <xdr:row>42</xdr:row>
      <xdr:rowOff>0</xdr:rowOff>
    </xdr:from>
    <xdr:to>
      <xdr:col>11</xdr:col>
      <xdr:colOff>590549</xdr:colOff>
      <xdr:row>57</xdr:row>
      <xdr:rowOff>142875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2B2447-A9ED-4157-909C-8D3E8096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415925</xdr:colOff>
      <xdr:row>60</xdr:row>
      <xdr:rowOff>171450</xdr:rowOff>
    </xdr:from>
    <xdr:to>
      <xdr:col>11</xdr:col>
      <xdr:colOff>603249</xdr:colOff>
      <xdr:row>76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857EB99-231E-45C8-BCD1-A7F182525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415925</xdr:colOff>
      <xdr:row>80</xdr:row>
      <xdr:rowOff>0</xdr:rowOff>
    </xdr:from>
    <xdr:to>
      <xdr:col>11</xdr:col>
      <xdr:colOff>603249</xdr:colOff>
      <xdr:row>95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FF81DCE-A7DD-4F16-A4ED-1F3235CA0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419100</xdr:colOff>
      <xdr:row>98</xdr:row>
      <xdr:rowOff>171450</xdr:rowOff>
    </xdr:from>
    <xdr:to>
      <xdr:col>11</xdr:col>
      <xdr:colOff>603249</xdr:colOff>
      <xdr:row>114</xdr:row>
      <xdr:rowOff>130175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D26B731-E484-49B9-978E-8EB831448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163512</xdr:rowOff>
    </xdr:from>
    <xdr:to>
      <xdr:col>9</xdr:col>
      <xdr:colOff>361950</xdr:colOff>
      <xdr:row>17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5B4461-28E1-1853-B1F7-5DCCE312F8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</xdr:row>
      <xdr:rowOff>161925</xdr:rowOff>
    </xdr:from>
    <xdr:to>
      <xdr:col>12</xdr:col>
      <xdr:colOff>1235075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15BACD-DE48-4374-A415-4B53E4540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19</xdr:row>
      <xdr:rowOff>9525</xdr:rowOff>
    </xdr:from>
    <xdr:to>
      <xdr:col>9</xdr:col>
      <xdr:colOff>352425</xdr:colOff>
      <xdr:row>34</xdr:row>
      <xdr:rowOff>34925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5B9677-1391-45B4-AA03-AABBBAE31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34926</xdr:colOff>
      <xdr:row>19</xdr:row>
      <xdr:rowOff>15875</xdr:rowOff>
    </xdr:from>
    <xdr:to>
      <xdr:col>12</xdr:col>
      <xdr:colOff>1228725</xdr:colOff>
      <xdr:row>34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4A26931-74CB-4D70-9163-F5423E2D9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38100</xdr:rowOff>
    </xdr:from>
    <xdr:to>
      <xdr:col>17</xdr:col>
      <xdr:colOff>143981</xdr:colOff>
      <xdr:row>27</xdr:row>
      <xdr:rowOff>124471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FBA92E-BD10-A39B-A46F-13803C24B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400050"/>
          <a:ext cx="7925906" cy="4629796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30</xdr:row>
      <xdr:rowOff>180975</xdr:rowOff>
    </xdr:from>
    <xdr:to>
      <xdr:col>17</xdr:col>
      <xdr:colOff>286814</xdr:colOff>
      <xdr:row>50</xdr:row>
      <xdr:rowOff>171957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EDA932-E770-451F-A5D6-23E23B164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8950" y="5629275"/>
          <a:ext cx="7621064" cy="3629532"/>
        </a:xfrm>
        <a:prstGeom prst="rect">
          <a:avLst/>
        </a:prstGeom>
      </xdr:spPr>
    </xdr:pic>
    <xdr:clientData/>
  </xdr:twoCellAnchor>
  <xdr:twoCellAnchor editAs="oneCell">
    <xdr:from>
      <xdr:col>4</xdr:col>
      <xdr:colOff>311150</xdr:colOff>
      <xdr:row>53</xdr:row>
      <xdr:rowOff>158750</xdr:rowOff>
    </xdr:from>
    <xdr:to>
      <xdr:col>17</xdr:col>
      <xdr:colOff>598046</xdr:colOff>
      <xdr:row>71</xdr:row>
      <xdr:rowOff>9978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39FF3C-91F7-C075-C202-B4C863C0B9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4105"/>
        <a:stretch/>
      </xdr:blipFill>
      <xdr:spPr>
        <a:xfrm>
          <a:off x="2749550" y="9798050"/>
          <a:ext cx="8211696" cy="3118303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74</xdr:row>
      <xdr:rowOff>85725</xdr:rowOff>
    </xdr:from>
    <xdr:to>
      <xdr:col>17</xdr:col>
      <xdr:colOff>372532</xdr:colOff>
      <xdr:row>93</xdr:row>
      <xdr:rowOff>124334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6F9B0A-2DDC-7405-358C-387C05F5A9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703"/>
        <a:stretch/>
      </xdr:blipFill>
      <xdr:spPr>
        <a:xfrm>
          <a:off x="3162300" y="13554075"/>
          <a:ext cx="7573432" cy="347713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96</xdr:row>
      <xdr:rowOff>0</xdr:rowOff>
    </xdr:from>
    <xdr:to>
      <xdr:col>17</xdr:col>
      <xdr:colOff>48653</xdr:colOff>
      <xdr:row>114</xdr:row>
      <xdr:rowOff>152876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55A2F6-1096-4E0D-8F64-080A136BB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48000" y="17468850"/>
          <a:ext cx="7363853" cy="3410426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118</xdr:row>
      <xdr:rowOff>133350</xdr:rowOff>
    </xdr:from>
    <xdr:to>
      <xdr:col>17</xdr:col>
      <xdr:colOff>534509</xdr:colOff>
      <xdr:row>139</xdr:row>
      <xdr:rowOff>83075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A80ACF3-CF93-0A74-2244-FC6D7EA81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52750" y="21593175"/>
          <a:ext cx="7944959" cy="3759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533030</xdr:colOff>
      <xdr:row>2</xdr:row>
      <xdr:rowOff>98424</xdr:rowOff>
    </xdr:from>
    <xdr:to>
      <xdr:col>12</xdr:col>
      <xdr:colOff>476250</xdr:colOff>
      <xdr:row>36</xdr:row>
      <xdr:rowOff>36382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B08956-D56B-C20B-6B0B-99411BA84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4705" y="460374"/>
          <a:ext cx="5435970" cy="6091108"/>
        </a:xfrm>
        <a:prstGeom prst="rect">
          <a:avLst/>
        </a:prstGeom>
      </xdr:spPr>
    </xdr:pic>
    <xdr:clientData/>
  </xdr:twoCellAnchor>
  <xdr:twoCellAnchor editAs="oneCell">
    <xdr:from>
      <xdr:col>15</xdr:col>
      <xdr:colOff>28610</xdr:colOff>
      <xdr:row>2</xdr:row>
      <xdr:rowOff>69735</xdr:rowOff>
    </xdr:from>
    <xdr:to>
      <xdr:col>24</xdr:col>
      <xdr:colOff>178909</xdr:colOff>
      <xdr:row>36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296E1D-2A25-447B-332E-644BBDBCF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7885" y="431685"/>
          <a:ext cx="5611299" cy="6080241"/>
        </a:xfrm>
        <a:prstGeom prst="rect">
          <a:avLst/>
        </a:prstGeom>
      </xdr:spPr>
    </xdr:pic>
    <xdr:clientData/>
  </xdr:twoCellAnchor>
  <xdr:twoCellAnchor editAs="oneCell">
    <xdr:from>
      <xdr:col>26</xdr:col>
      <xdr:colOff>133350</xdr:colOff>
      <xdr:row>3</xdr:row>
      <xdr:rowOff>75089</xdr:rowOff>
    </xdr:from>
    <xdr:to>
      <xdr:col>34</xdr:col>
      <xdr:colOff>53975</xdr:colOff>
      <xdr:row>35</xdr:row>
      <xdr:rowOff>36149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C8BEB4-4F03-3CF9-C257-5AE5415D6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92525" y="618014"/>
          <a:ext cx="4864100" cy="5752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D8734-5A28-4495-B305-EF01DDC49AB1}">
  <dimension ref="M2:AG113"/>
  <sheetViews>
    <sheetView tabSelected="1" workbookViewId="0">
      <selection activeCell="C10" sqref="C10"/>
    </sheetView>
  </sheetViews>
  <sheetFormatPr defaultRowHeight="14.5" x14ac:dyDescent="0.35"/>
  <cols>
    <col min="13" max="13" width="34.7265625" customWidth="1"/>
    <col min="14" max="18" width="32.08984375" customWidth="1"/>
    <col min="19" max="19" width="33.90625" bestFit="1" customWidth="1"/>
    <col min="20" max="20" width="8.7265625" customWidth="1"/>
    <col min="21" max="23" width="13.81640625" customWidth="1"/>
    <col min="24" max="25" width="14.453125" bestFit="1" customWidth="1"/>
    <col min="26" max="27" width="13.81640625" bestFit="1" customWidth="1"/>
    <col min="28" max="28" width="14" bestFit="1" customWidth="1"/>
    <col min="29" max="29" width="10.1796875" bestFit="1" customWidth="1"/>
    <col min="30" max="30" width="14.453125" bestFit="1" customWidth="1"/>
    <col min="32" max="32" width="13.81640625" bestFit="1" customWidth="1"/>
  </cols>
  <sheetData>
    <row r="2" spans="13:33" x14ac:dyDescent="0.35">
      <c r="AA2" s="5" t="s">
        <v>16</v>
      </c>
    </row>
    <row r="3" spans="13:33" x14ac:dyDescent="0.35">
      <c r="U3" s="5">
        <v>2018</v>
      </c>
      <c r="V3" s="5">
        <v>2019</v>
      </c>
      <c r="W3" s="5">
        <v>2020</v>
      </c>
      <c r="X3" s="5">
        <v>2021</v>
      </c>
      <c r="Y3" s="5">
        <v>2022</v>
      </c>
      <c r="Z3" s="5">
        <v>2023</v>
      </c>
      <c r="AA3" s="5">
        <v>2024</v>
      </c>
    </row>
    <row r="4" spans="13:33" x14ac:dyDescent="0.35">
      <c r="U4" s="1"/>
      <c r="V4" s="1"/>
      <c r="W4" s="1"/>
      <c r="X4" s="1"/>
      <c r="Y4" s="1"/>
      <c r="Z4" s="1"/>
      <c r="AA4" s="1"/>
      <c r="AB4" s="1"/>
      <c r="AC4" s="1"/>
    </row>
    <row r="5" spans="13:33" x14ac:dyDescent="0.35">
      <c r="S5" t="s">
        <v>0</v>
      </c>
      <c r="U5" s="1">
        <v>4686461557</v>
      </c>
      <c r="V5" s="1">
        <v>6848486308</v>
      </c>
      <c r="W5" s="1">
        <v>5677053727</v>
      </c>
      <c r="X5" s="1">
        <v>5621048095</v>
      </c>
      <c r="Y5" s="1">
        <v>4744220565</v>
      </c>
      <c r="Z5" s="1">
        <v>3831008289</v>
      </c>
      <c r="AA5" s="1">
        <v>1187355380</v>
      </c>
      <c r="AB5" s="1"/>
      <c r="AC5" s="1"/>
    </row>
    <row r="6" spans="13:33" x14ac:dyDescent="0.35">
      <c r="S6" t="s">
        <v>1</v>
      </c>
      <c r="U6" s="1">
        <f>4680594974</f>
        <v>4680594974</v>
      </c>
      <c r="V6" s="1">
        <v>6841193338</v>
      </c>
      <c r="W6" s="1">
        <v>5632254215</v>
      </c>
      <c r="X6" s="1">
        <v>5555668894</v>
      </c>
      <c r="Y6" s="1">
        <v>4685288643</v>
      </c>
      <c r="Z6" s="1">
        <v>3792876574</v>
      </c>
      <c r="AA6" s="1">
        <f>1180445779</f>
        <v>1180445779</v>
      </c>
      <c r="AB6" s="1"/>
      <c r="AC6" s="1"/>
    </row>
    <row r="7" spans="13:33" x14ac:dyDescent="0.35">
      <c r="S7" t="s">
        <v>2</v>
      </c>
      <c r="U7" s="1">
        <f t="shared" ref="U7:AA7" si="0">U5-U6</f>
        <v>5866583</v>
      </c>
      <c r="V7" s="1">
        <f t="shared" si="0"/>
        <v>7292970</v>
      </c>
      <c r="W7" s="1">
        <f t="shared" si="0"/>
        <v>44799512</v>
      </c>
      <c r="X7" s="1">
        <f t="shared" si="0"/>
        <v>65379201</v>
      </c>
      <c r="Y7" s="1">
        <f t="shared" si="0"/>
        <v>58931922</v>
      </c>
      <c r="Z7" s="1">
        <f t="shared" si="0"/>
        <v>38131715</v>
      </c>
      <c r="AA7" s="1">
        <f t="shared" si="0"/>
        <v>6909601</v>
      </c>
      <c r="AB7" s="1">
        <f>AA7/5*12</f>
        <v>16583042.399999999</v>
      </c>
      <c r="AC7" s="15">
        <f>Z7/X7</f>
        <v>0.58323923230569918</v>
      </c>
      <c r="AD7">
        <f>Z7/X7</f>
        <v>0.58323923230569918</v>
      </c>
    </row>
    <row r="8" spans="13:33" x14ac:dyDescent="0.35">
      <c r="M8" s="36" t="s">
        <v>41</v>
      </c>
      <c r="U8" s="1"/>
      <c r="V8" s="1"/>
      <c r="W8" s="1"/>
      <c r="X8" s="24">
        <f>X7*AD8</f>
        <v>-27247486</v>
      </c>
      <c r="Y8" s="24">
        <f>Y7*AD8</f>
        <v>-24560513.054420654</v>
      </c>
      <c r="Z8" s="1">
        <f>Y7+Y8</f>
        <v>34371408.94557935</v>
      </c>
      <c r="AA8" s="1"/>
      <c r="AB8" s="1"/>
      <c r="AC8" s="15"/>
      <c r="AD8">
        <f>AD7-1</f>
        <v>-0.41676076769430082</v>
      </c>
    </row>
    <row r="9" spans="13:33" x14ac:dyDescent="0.35">
      <c r="M9" s="37"/>
      <c r="S9" t="s">
        <v>3</v>
      </c>
      <c r="U9" s="1"/>
      <c r="V9" s="1"/>
      <c r="W9" s="1"/>
      <c r="X9" s="1">
        <f>X7+X8</f>
        <v>38131715</v>
      </c>
      <c r="Y9" s="1"/>
      <c r="Z9" s="1"/>
      <c r="AA9" s="1"/>
      <c r="AB9" s="1"/>
      <c r="AC9" s="15"/>
    </row>
    <row r="10" spans="13:33" x14ac:dyDescent="0.35">
      <c r="M10" s="38"/>
      <c r="S10" t="s">
        <v>4</v>
      </c>
      <c r="U10" s="1"/>
      <c r="V10" s="1"/>
      <c r="W10" s="1"/>
      <c r="X10" s="1"/>
      <c r="Y10" s="1"/>
      <c r="Z10" s="1"/>
      <c r="AA10" s="1"/>
      <c r="AB10" s="1"/>
      <c r="AC10" s="15"/>
      <c r="AD10" s="34">
        <f>X7*AD8</f>
        <v>-27247486</v>
      </c>
      <c r="AF10" s="6">
        <f>X7*AD8</f>
        <v>-27247486</v>
      </c>
    </row>
    <row r="11" spans="13:33" x14ac:dyDescent="0.35">
      <c r="S11" t="s">
        <v>7</v>
      </c>
      <c r="U11" s="1">
        <v>385921</v>
      </c>
      <c r="V11" s="1">
        <v>440863</v>
      </c>
      <c r="W11" s="1">
        <v>721078</v>
      </c>
      <c r="X11" s="1">
        <v>887717</v>
      </c>
      <c r="Y11" s="1">
        <v>980768</v>
      </c>
      <c r="Z11" s="1">
        <v>1222608</v>
      </c>
      <c r="AA11" s="1">
        <f>9165.09+287093+33302.17+85593.08+40950+6284.71+7960.99+195+68090.81+12234.15</f>
        <v>550869.00000000012</v>
      </c>
      <c r="AB11" s="24">
        <f>Z11</f>
        <v>1222608</v>
      </c>
      <c r="AC11" s="15">
        <f>AB11/U11</f>
        <v>3.1680266168464528</v>
      </c>
      <c r="AD11" s="34">
        <f>Z7+-AD10</f>
        <v>65379201</v>
      </c>
      <c r="AF11" s="6">
        <f>X7+AF10</f>
        <v>38131715</v>
      </c>
    </row>
    <row r="12" spans="13:33" x14ac:dyDescent="0.35">
      <c r="M12" s="39" t="s">
        <v>43</v>
      </c>
      <c r="S12" t="s">
        <v>17</v>
      </c>
      <c r="U12" s="1">
        <f>430296+2176446-260100</f>
        <v>2346642</v>
      </c>
      <c r="V12" s="1">
        <f>515287+2303552-445280</f>
        <v>2373559</v>
      </c>
      <c r="W12" s="1">
        <f>6937122+905555-4303500</f>
        <v>3539177</v>
      </c>
      <c r="X12" s="1">
        <f>1006629+8334895-5411500</f>
        <v>3930024</v>
      </c>
      <c r="Y12" s="1">
        <f>1204422+9801365-6275200</f>
        <v>4730587</v>
      </c>
      <c r="Z12" s="1">
        <f>1191793+9085914-4728150</f>
        <v>5549557</v>
      </c>
      <c r="AA12" s="1">
        <f>2418608.28+60923.01</f>
        <v>2479531.2899999996</v>
      </c>
      <c r="AB12" s="24">
        <f t="shared" ref="AB12:AB15" si="1">Z12</f>
        <v>5549557</v>
      </c>
      <c r="AC12" s="15">
        <f t="shared" ref="AC12:AC14" si="2">AB12/U12</f>
        <v>2.3648928980219392</v>
      </c>
    </row>
    <row r="13" spans="13:33" x14ac:dyDescent="0.35">
      <c r="M13" s="40"/>
      <c r="S13" t="s">
        <v>18</v>
      </c>
      <c r="U13" s="1">
        <v>260100</v>
      </c>
      <c r="V13" s="1">
        <v>445280</v>
      </c>
      <c r="W13" s="1">
        <v>4303500</v>
      </c>
      <c r="X13" s="1">
        <v>5411500</v>
      </c>
      <c r="Y13" s="1">
        <v>6275200</v>
      </c>
      <c r="Z13" s="1">
        <v>4728150</v>
      </c>
      <c r="AA13" s="1">
        <v>197756.25</v>
      </c>
      <c r="AB13" s="24">
        <f t="shared" si="1"/>
        <v>4728150</v>
      </c>
      <c r="AC13" s="15">
        <f t="shared" si="2"/>
        <v>18.178200692041521</v>
      </c>
    </row>
    <row r="14" spans="13:33" x14ac:dyDescent="0.35">
      <c r="S14" t="s">
        <v>19</v>
      </c>
      <c r="U14" s="2">
        <v>209770</v>
      </c>
      <c r="V14" s="1">
        <v>246352</v>
      </c>
      <c r="W14" s="1">
        <v>355048</v>
      </c>
      <c r="X14" s="1">
        <v>481996</v>
      </c>
      <c r="Y14" s="1">
        <v>485391</v>
      </c>
      <c r="Z14" s="1">
        <v>630764</v>
      </c>
      <c r="AA14" s="1">
        <f>225116.4+5380.91</f>
        <v>230497.31</v>
      </c>
      <c r="AB14" s="24">
        <f t="shared" si="1"/>
        <v>630764</v>
      </c>
      <c r="AC14" s="15">
        <f t="shared" si="2"/>
        <v>3.0069314010583019</v>
      </c>
      <c r="AF14" s="24">
        <v>21931517</v>
      </c>
      <c r="AG14" t="s">
        <v>42</v>
      </c>
    </row>
    <row r="15" spans="13:33" ht="15" thickBot="1" x14ac:dyDescent="0.4">
      <c r="M15" s="39" t="s">
        <v>45</v>
      </c>
      <c r="U15" s="3">
        <f t="shared" ref="U15:AA15" si="3">SUM(U11:U14)</f>
        <v>3202433</v>
      </c>
      <c r="V15" s="3">
        <f t="shared" si="3"/>
        <v>3506054</v>
      </c>
      <c r="W15" s="3">
        <f t="shared" si="3"/>
        <v>8918803</v>
      </c>
      <c r="X15" s="3">
        <f t="shared" si="3"/>
        <v>10711237</v>
      </c>
      <c r="Y15" s="3">
        <f t="shared" si="3"/>
        <v>12471946</v>
      </c>
      <c r="Z15" s="3">
        <f t="shared" si="3"/>
        <v>12131079</v>
      </c>
      <c r="AA15" s="3">
        <f t="shared" si="3"/>
        <v>3458653.8499999996</v>
      </c>
      <c r="AB15" s="24">
        <f t="shared" si="1"/>
        <v>12131079</v>
      </c>
      <c r="AC15" s="15">
        <f>AB15/U15</f>
        <v>3.788082061357724</v>
      </c>
      <c r="AF15" s="15">
        <f>AA7/AF14</f>
        <v>0.31505349128379945</v>
      </c>
    </row>
    <row r="16" spans="13:33" x14ac:dyDescent="0.35">
      <c r="M16" s="40"/>
      <c r="U16" s="4"/>
      <c r="V16" s="4"/>
      <c r="W16" s="4"/>
      <c r="X16" s="4"/>
      <c r="Y16" s="4"/>
      <c r="Z16" s="4"/>
      <c r="AA16" s="4"/>
      <c r="AB16" s="1"/>
      <c r="AC16" s="1"/>
      <c r="AF16" s="35">
        <f>1-AF15</f>
        <v>0.68494650871620055</v>
      </c>
    </row>
    <row r="17" spans="13:33" x14ac:dyDescent="0.35">
      <c r="S17" t="s">
        <v>5</v>
      </c>
      <c r="U17" s="1">
        <v>2826434</v>
      </c>
      <c r="V17" s="1">
        <v>2689467</v>
      </c>
      <c r="W17" s="1">
        <v>2657427</v>
      </c>
      <c r="X17" s="1">
        <v>2939550</v>
      </c>
      <c r="Y17" s="1">
        <v>3637478</v>
      </c>
      <c r="Z17" s="1">
        <v>4189423</v>
      </c>
      <c r="AA17" s="1">
        <v>1652150.26</v>
      </c>
      <c r="AB17" s="1"/>
      <c r="AC17" s="1"/>
    </row>
    <row r="18" spans="13:33" x14ac:dyDescent="0.35">
      <c r="U18" s="1"/>
      <c r="V18" s="1"/>
      <c r="W18" s="1"/>
      <c r="X18" s="1"/>
      <c r="Y18" s="1"/>
      <c r="Z18" s="1"/>
      <c r="AA18" s="1"/>
      <c r="AB18" s="1"/>
      <c r="AC18" s="1"/>
      <c r="AD18" s="6"/>
    </row>
    <row r="19" spans="13:33" x14ac:dyDescent="0.35">
      <c r="M19" s="41" t="s">
        <v>40</v>
      </c>
      <c r="S19" t="s">
        <v>8</v>
      </c>
      <c r="U19" s="1">
        <f>1047264-549092</f>
        <v>498172</v>
      </c>
      <c r="V19" s="1">
        <f>930431-474205</f>
        <v>456226</v>
      </c>
      <c r="W19" s="1">
        <f>1420012+37253</f>
        <v>1457265</v>
      </c>
      <c r="X19" s="1">
        <f>1874652-237688</f>
        <v>1636964</v>
      </c>
      <c r="Y19" s="1">
        <f>1990587+-538591</f>
        <v>1451996</v>
      </c>
      <c r="Z19" s="1">
        <f>2238911+-903419</f>
        <v>1335492</v>
      </c>
      <c r="AA19" s="1">
        <f>182449.32+-916413.44</f>
        <v>-733964.11999999988</v>
      </c>
      <c r="AB19" s="6"/>
      <c r="AC19" s="6"/>
      <c r="AD19" s="6"/>
      <c r="AF19" s="34">
        <v>31210616.550000001</v>
      </c>
      <c r="AG19" t="s">
        <v>44</v>
      </c>
    </row>
    <row r="20" spans="13:33" x14ac:dyDescent="0.35">
      <c r="U20" s="1"/>
      <c r="V20" s="1"/>
      <c r="W20" s="1"/>
      <c r="X20" s="1"/>
      <c r="Y20" s="1"/>
      <c r="Z20" s="1"/>
      <c r="AA20" s="1"/>
      <c r="AB20" s="1"/>
      <c r="AC20" s="1"/>
      <c r="AF20" s="15">
        <f>AA7/AF19</f>
        <v>0.22138623852337835</v>
      </c>
    </row>
    <row r="21" spans="13:33" x14ac:dyDescent="0.35">
      <c r="S21" t="s">
        <v>12</v>
      </c>
      <c r="U21" s="1">
        <f t="shared" ref="U21:AA21" si="4">U7-U15-U17-U19</f>
        <v>-660456</v>
      </c>
      <c r="V21" s="1">
        <f t="shared" si="4"/>
        <v>641223</v>
      </c>
      <c r="W21" s="1">
        <f t="shared" si="4"/>
        <v>31766017</v>
      </c>
      <c r="X21" s="1">
        <f t="shared" si="4"/>
        <v>50091450</v>
      </c>
      <c r="Y21" s="1">
        <f t="shared" si="4"/>
        <v>41370502</v>
      </c>
      <c r="Z21" s="1">
        <f t="shared" si="4"/>
        <v>20475721</v>
      </c>
      <c r="AA21" s="1">
        <f t="shared" si="4"/>
        <v>2532761.0100000002</v>
      </c>
      <c r="AB21" s="1"/>
      <c r="AC21" s="1"/>
      <c r="AF21" s="15">
        <f>1-AF20</f>
        <v>0.77861376147662165</v>
      </c>
    </row>
    <row r="22" spans="13:33" x14ac:dyDescent="0.35">
      <c r="U22" s="1"/>
      <c r="V22" s="1"/>
      <c r="W22" s="1"/>
      <c r="X22" s="1"/>
      <c r="Y22" s="1"/>
      <c r="Z22" s="1"/>
      <c r="AA22" s="1"/>
      <c r="AB22" s="1"/>
      <c r="AC22" s="1"/>
    </row>
    <row r="23" spans="13:33" x14ac:dyDescent="0.35">
      <c r="S23" t="s">
        <v>13</v>
      </c>
      <c r="U23" s="1">
        <v>-120939</v>
      </c>
      <c r="V23" s="1">
        <v>-200973</v>
      </c>
      <c r="W23" s="1">
        <v>-1221852</v>
      </c>
      <c r="X23" s="1">
        <v>-4393896</v>
      </c>
      <c r="Y23" s="1">
        <v>-3580463</v>
      </c>
      <c r="Z23" s="1">
        <v>-2770000</v>
      </c>
      <c r="AA23" s="1">
        <v>0</v>
      </c>
      <c r="AB23" s="1"/>
      <c r="AC23" s="1"/>
    </row>
    <row r="24" spans="13:33" x14ac:dyDescent="0.35">
      <c r="U24" s="1"/>
      <c r="V24" s="1"/>
      <c r="W24" s="1"/>
      <c r="X24" s="1"/>
      <c r="Y24" s="1"/>
      <c r="Z24" s="1"/>
      <c r="AA24" s="1"/>
      <c r="AB24" s="1"/>
      <c r="AC24" s="1"/>
    </row>
    <row r="25" spans="13:33" x14ac:dyDescent="0.35">
      <c r="S25" t="s">
        <v>14</v>
      </c>
      <c r="U25" s="1">
        <f t="shared" ref="U25:AA25" si="5">U21+U23</f>
        <v>-781395</v>
      </c>
      <c r="V25" s="1">
        <f t="shared" si="5"/>
        <v>440250</v>
      </c>
      <c r="W25" s="1">
        <f t="shared" si="5"/>
        <v>30544165</v>
      </c>
      <c r="X25" s="1">
        <f t="shared" si="5"/>
        <v>45697554</v>
      </c>
      <c r="Y25" s="1">
        <f t="shared" si="5"/>
        <v>37790039</v>
      </c>
      <c r="Z25" s="1">
        <f t="shared" si="5"/>
        <v>17705721</v>
      </c>
      <c r="AA25" s="1">
        <f t="shared" si="5"/>
        <v>2532761.0100000002</v>
      </c>
      <c r="AB25" s="1"/>
      <c r="AC25" s="1"/>
    </row>
    <row r="26" spans="13:33" x14ac:dyDescent="0.35">
      <c r="U26" s="1"/>
      <c r="V26" s="1"/>
      <c r="W26" s="1"/>
      <c r="X26" s="1"/>
      <c r="Y26" s="1"/>
      <c r="Z26" s="1"/>
      <c r="AA26" s="1"/>
      <c r="AB26" s="1"/>
      <c r="AC26" s="1"/>
    </row>
    <row r="27" spans="13:33" x14ac:dyDescent="0.35">
      <c r="U27" s="1"/>
      <c r="V27" s="1"/>
      <c r="W27" s="1"/>
      <c r="X27" s="1"/>
      <c r="Y27" s="1"/>
      <c r="Z27" s="1"/>
      <c r="AA27" s="1"/>
      <c r="AB27" s="1"/>
      <c r="AC27" s="1"/>
    </row>
    <row r="28" spans="13:33" x14ac:dyDescent="0.35">
      <c r="U28" s="1"/>
      <c r="V28" s="1"/>
      <c r="W28" s="1"/>
      <c r="X28" s="1"/>
      <c r="Y28" s="1"/>
      <c r="Z28" s="1"/>
      <c r="AA28" s="1"/>
      <c r="AB28" s="1"/>
      <c r="AC28" s="1"/>
    </row>
    <row r="29" spans="13:33" x14ac:dyDescent="0.35">
      <c r="U29" s="1"/>
      <c r="V29" s="1"/>
      <c r="W29" s="1"/>
      <c r="X29" s="1"/>
      <c r="Y29" s="1"/>
      <c r="Z29" s="1"/>
      <c r="AA29" s="1"/>
      <c r="AB29" s="1"/>
      <c r="AC29" s="1"/>
    </row>
    <row r="30" spans="13:33" x14ac:dyDescent="0.35">
      <c r="U30" s="1"/>
      <c r="V30" s="1"/>
      <c r="W30" s="1"/>
      <c r="X30" s="1"/>
      <c r="Y30" s="1"/>
      <c r="Z30" s="1"/>
      <c r="AA30" s="1"/>
      <c r="AB30" s="1"/>
      <c r="AC30" s="1"/>
    </row>
    <row r="31" spans="13:33" x14ac:dyDescent="0.35">
      <c r="U31" s="1"/>
      <c r="V31" s="1"/>
      <c r="W31" s="1"/>
      <c r="X31" s="1"/>
      <c r="Y31" s="1"/>
      <c r="Z31" s="1"/>
      <c r="AA31" s="1"/>
      <c r="AB31" s="1"/>
      <c r="AC31" s="1"/>
    </row>
    <row r="32" spans="13:33" x14ac:dyDescent="0.35">
      <c r="AA32" s="1"/>
    </row>
    <row r="33" spans="13:27" x14ac:dyDescent="0.35">
      <c r="AA33" s="1"/>
    </row>
    <row r="35" spans="13:27" ht="14.5" customHeight="1" x14ac:dyDescent="0.35">
      <c r="M35" s="36" t="s">
        <v>47</v>
      </c>
    </row>
    <row r="36" spans="13:27" x14ac:dyDescent="0.35">
      <c r="M36" s="37"/>
    </row>
    <row r="37" spans="13:27" x14ac:dyDescent="0.35">
      <c r="M37" s="38"/>
    </row>
    <row r="54" spans="13:13" x14ac:dyDescent="0.35">
      <c r="M54" s="36" t="s">
        <v>46</v>
      </c>
    </row>
    <row r="55" spans="13:13" x14ac:dyDescent="0.35">
      <c r="M55" s="37"/>
    </row>
    <row r="56" spans="13:13" x14ac:dyDescent="0.35">
      <c r="M56" s="38"/>
    </row>
    <row r="73" spans="13:13" x14ac:dyDescent="0.35">
      <c r="M73" s="36" t="s">
        <v>48</v>
      </c>
    </row>
    <row r="74" spans="13:13" x14ac:dyDescent="0.35">
      <c r="M74" s="37"/>
    </row>
    <row r="75" spans="13:13" x14ac:dyDescent="0.35">
      <c r="M75" s="38"/>
    </row>
    <row r="94" spans="13:13" x14ac:dyDescent="0.35">
      <c r="M94" s="41" t="s">
        <v>39</v>
      </c>
    </row>
    <row r="111" spans="13:13" x14ac:dyDescent="0.35">
      <c r="M111" s="36" t="s">
        <v>49</v>
      </c>
    </row>
    <row r="112" spans="13:13" x14ac:dyDescent="0.35">
      <c r="M112" s="37"/>
    </row>
    <row r="113" spans="13:13" x14ac:dyDescent="0.35">
      <c r="M113" s="38"/>
    </row>
  </sheetData>
  <mergeCells count="7">
    <mergeCell ref="M54:M56"/>
    <mergeCell ref="M8:M10"/>
    <mergeCell ref="M35:M37"/>
    <mergeCell ref="M73:M75"/>
    <mergeCell ref="M111:M113"/>
    <mergeCell ref="M12:M13"/>
    <mergeCell ref="M15:M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A53B0-14C0-44BE-9501-C7FCF93B40D6}">
  <dimension ref="A2:W55"/>
  <sheetViews>
    <sheetView zoomScaleNormal="100" workbookViewId="0">
      <pane xSplit="1" topLeftCell="C1" activePane="topRight" state="frozen"/>
      <selection pane="topRight" activeCell="I22" sqref="I22"/>
    </sheetView>
  </sheetViews>
  <sheetFormatPr defaultRowHeight="14.5" x14ac:dyDescent="0.35"/>
  <cols>
    <col min="1" max="1" width="28.26953125" customWidth="1"/>
    <col min="2" max="2" width="1.1796875" hidden="1" customWidth="1"/>
    <col min="3" max="4" width="12.6328125" customWidth="1"/>
    <col min="5" max="5" width="2.26953125" hidden="1" customWidth="1"/>
    <col min="6" max="7" width="12.6328125" customWidth="1"/>
    <col min="8" max="8" width="2.26953125" hidden="1" customWidth="1"/>
    <col min="9" max="10" width="12.6328125" customWidth="1"/>
    <col min="11" max="11" width="2.26953125" hidden="1" customWidth="1"/>
    <col min="12" max="13" width="12.6328125" customWidth="1"/>
    <col min="14" max="14" width="2.26953125" hidden="1" customWidth="1"/>
    <col min="15" max="16" width="12.6328125" customWidth="1"/>
    <col min="17" max="17" width="2.26953125" hidden="1" customWidth="1"/>
    <col min="18" max="19" width="12.6328125" customWidth="1"/>
    <col min="20" max="20" width="2.26953125" hidden="1" customWidth="1"/>
    <col min="21" max="22" width="12.6328125" customWidth="1"/>
    <col min="23" max="23" width="10.6328125" customWidth="1"/>
    <col min="24" max="24" width="10.1796875" bestFit="1" customWidth="1"/>
  </cols>
  <sheetData>
    <row r="2" spans="1:23" ht="15" thickBot="1" x14ac:dyDescent="0.4">
      <c r="U2" s="5"/>
      <c r="V2" s="5"/>
    </row>
    <row r="3" spans="1:23" ht="15" thickBot="1" x14ac:dyDescent="0.4">
      <c r="C3" s="25">
        <v>2018</v>
      </c>
      <c r="D3" s="26"/>
      <c r="F3" s="25">
        <v>2019</v>
      </c>
      <c r="G3" s="26"/>
      <c r="I3" s="25">
        <v>2020</v>
      </c>
      <c r="J3" s="26"/>
      <c r="L3" s="25">
        <v>2021</v>
      </c>
      <c r="M3" s="26"/>
      <c r="O3" s="25">
        <v>2022</v>
      </c>
      <c r="P3" s="26"/>
      <c r="R3" s="25">
        <v>2023</v>
      </c>
      <c r="S3" s="26"/>
      <c r="U3" s="25">
        <v>2024</v>
      </c>
      <c r="V3" s="26"/>
    </row>
    <row r="4" spans="1:23" ht="15" thickBot="1" x14ac:dyDescent="0.4">
      <c r="A4" s="31" t="s">
        <v>22</v>
      </c>
      <c r="B4" s="32"/>
      <c r="C4" s="11"/>
      <c r="D4" s="12"/>
      <c r="F4" s="11"/>
      <c r="G4" s="12"/>
      <c r="I4" s="11"/>
      <c r="J4" s="12"/>
      <c r="L4" s="11"/>
      <c r="M4" s="12"/>
      <c r="O4" s="11"/>
      <c r="P4" s="12"/>
      <c r="R4" s="11"/>
      <c r="S4" s="12"/>
      <c r="U4" s="11"/>
      <c r="V4" s="12"/>
      <c r="W4" s="1"/>
    </row>
    <row r="5" spans="1:23" ht="15" thickBot="1" x14ac:dyDescent="0.4">
      <c r="C5" s="13" t="s">
        <v>23</v>
      </c>
      <c r="D5" s="14" t="s">
        <v>24</v>
      </c>
      <c r="F5" s="13" t="s">
        <v>23</v>
      </c>
      <c r="G5" s="14" t="s">
        <v>24</v>
      </c>
      <c r="I5" s="13" t="s">
        <v>23</v>
      </c>
      <c r="J5" s="14" t="s">
        <v>24</v>
      </c>
      <c r="L5" s="13" t="s">
        <v>23</v>
      </c>
      <c r="M5" s="14" t="s">
        <v>24</v>
      </c>
      <c r="O5" s="13" t="s">
        <v>23</v>
      </c>
      <c r="P5" s="14" t="s">
        <v>24</v>
      </c>
      <c r="R5" s="13" t="s">
        <v>23</v>
      </c>
      <c r="S5" s="14" t="s">
        <v>24</v>
      </c>
      <c r="U5" s="13" t="s">
        <v>23</v>
      </c>
      <c r="V5" s="14" t="s">
        <v>24</v>
      </c>
      <c r="W5" s="1"/>
    </row>
    <row r="6" spans="1:23" x14ac:dyDescent="0.35">
      <c r="A6" s="16" t="s">
        <v>20</v>
      </c>
      <c r="C6" s="56">
        <v>584.19000000000005</v>
      </c>
      <c r="D6" s="57">
        <v>1532.34</v>
      </c>
      <c r="E6" s="67"/>
      <c r="F6" s="56">
        <v>616.28</v>
      </c>
      <c r="G6" s="57">
        <v>1616.51</v>
      </c>
      <c r="H6" s="67"/>
      <c r="I6" s="56">
        <v>662.5</v>
      </c>
      <c r="J6" s="57">
        <v>1737.75</v>
      </c>
      <c r="K6" s="67"/>
      <c r="L6" s="56">
        <v>698.94</v>
      </c>
      <c r="M6" s="57">
        <v>1833.33</v>
      </c>
      <c r="N6" s="67"/>
      <c r="O6" s="56">
        <v>712.92</v>
      </c>
      <c r="P6" s="57">
        <v>1870</v>
      </c>
      <c r="Q6" s="67"/>
      <c r="R6" s="56">
        <v>788.18</v>
      </c>
      <c r="S6" s="57">
        <v>2067.41</v>
      </c>
      <c r="T6" s="67"/>
      <c r="U6" s="56">
        <v>827.59</v>
      </c>
      <c r="V6" s="57">
        <v>2170.7800000000002</v>
      </c>
      <c r="W6" s="1"/>
    </row>
    <row r="7" spans="1:23" x14ac:dyDescent="0.35">
      <c r="A7" s="17" t="s">
        <v>21</v>
      </c>
      <c r="C7" s="56">
        <v>37.32</v>
      </c>
      <c r="D7" s="57">
        <v>108.49</v>
      </c>
      <c r="E7" s="67"/>
      <c r="F7" s="56">
        <v>38.25</v>
      </c>
      <c r="G7" s="57">
        <v>111.2</v>
      </c>
      <c r="H7" s="67"/>
      <c r="I7" s="56">
        <v>39.21</v>
      </c>
      <c r="J7" s="57">
        <v>113.98</v>
      </c>
      <c r="K7" s="67"/>
      <c r="L7" s="56">
        <v>40.78</v>
      </c>
      <c r="M7" s="57">
        <v>118.54</v>
      </c>
      <c r="N7" s="67"/>
      <c r="O7" s="56">
        <v>40.78</v>
      </c>
      <c r="P7" s="57">
        <v>118.54</v>
      </c>
      <c r="Q7" s="67"/>
      <c r="R7" s="56">
        <v>40.78</v>
      </c>
      <c r="S7" s="57">
        <v>118.54</v>
      </c>
      <c r="T7" s="67"/>
      <c r="U7" s="56">
        <v>40.78</v>
      </c>
      <c r="V7" s="57">
        <v>118.54</v>
      </c>
      <c r="W7" s="1"/>
    </row>
    <row r="8" spans="1:23" x14ac:dyDescent="0.35">
      <c r="A8" s="17" t="s">
        <v>25</v>
      </c>
      <c r="C8" s="42">
        <v>44.31</v>
      </c>
      <c r="D8" s="43"/>
      <c r="E8" s="67"/>
      <c r="F8" s="42">
        <v>70.91</v>
      </c>
      <c r="G8" s="43"/>
      <c r="H8" s="67"/>
      <c r="I8" s="42">
        <v>72.59</v>
      </c>
      <c r="J8" s="43"/>
      <c r="K8" s="67"/>
      <c r="L8" s="42">
        <v>52.16</v>
      </c>
      <c r="M8" s="43"/>
      <c r="N8" s="67"/>
      <c r="O8" s="42">
        <v>58.85</v>
      </c>
      <c r="P8" s="43"/>
      <c r="Q8" s="67"/>
      <c r="R8" s="42">
        <v>59.74</v>
      </c>
      <c r="S8" s="43"/>
      <c r="T8" s="67"/>
      <c r="U8" s="42">
        <v>61.47</v>
      </c>
      <c r="V8" s="43">
        <v>197756.25</v>
      </c>
      <c r="W8" s="1"/>
    </row>
    <row r="9" spans="1:23" x14ac:dyDescent="0.35">
      <c r="A9" s="17" t="s">
        <v>26</v>
      </c>
      <c r="C9" s="42">
        <f>2287.9/12</f>
        <v>190.65833333333333</v>
      </c>
      <c r="D9" s="43"/>
      <c r="E9" s="67"/>
      <c r="F9" s="42">
        <f>2360.99/12</f>
        <v>196.74916666666664</v>
      </c>
      <c r="G9" s="43"/>
      <c r="H9" s="67"/>
      <c r="I9" s="42">
        <f>3048.5/12</f>
        <v>254.04166666666666</v>
      </c>
      <c r="J9" s="43"/>
      <c r="K9" s="67"/>
      <c r="L9" s="42">
        <f>3169.12/12</f>
        <v>264.09333333333331</v>
      </c>
      <c r="M9" s="43"/>
      <c r="N9" s="67"/>
      <c r="O9" s="42">
        <f>3408.11/12</f>
        <v>284.00916666666666</v>
      </c>
      <c r="P9" s="43"/>
      <c r="Q9" s="67"/>
      <c r="R9" s="42">
        <f>3167.37/12</f>
        <v>263.94749999999999</v>
      </c>
      <c r="S9" s="43"/>
      <c r="T9" s="67"/>
      <c r="U9" s="42">
        <f>3167.37/12</f>
        <v>263.94749999999999</v>
      </c>
      <c r="V9" s="43">
        <f>225116.4+5380.91</f>
        <v>230497.31</v>
      </c>
      <c r="W9" s="1"/>
    </row>
    <row r="10" spans="1:23" x14ac:dyDescent="0.35">
      <c r="A10" s="18"/>
      <c r="C10" s="68"/>
      <c r="D10" s="69"/>
      <c r="E10" s="67"/>
      <c r="F10" s="68"/>
      <c r="G10" s="69"/>
      <c r="H10" s="67"/>
      <c r="I10" s="68"/>
      <c r="J10" s="69"/>
      <c r="K10" s="67"/>
      <c r="L10" s="68"/>
      <c r="M10" s="69"/>
      <c r="N10" s="67"/>
      <c r="O10" s="68"/>
      <c r="P10" s="69"/>
      <c r="Q10" s="67"/>
      <c r="R10" s="68"/>
      <c r="S10" s="69"/>
      <c r="T10" s="67"/>
      <c r="U10" s="68"/>
      <c r="V10" s="69"/>
      <c r="W10" s="1"/>
    </row>
    <row r="11" spans="1:23" ht="15" thickBot="1" x14ac:dyDescent="0.4">
      <c r="A11" s="19" t="s">
        <v>27</v>
      </c>
      <c r="C11" s="65">
        <f>C6+C7+44.31+(2287.9/12)</f>
        <v>856.47833333333347</v>
      </c>
      <c r="D11" s="62">
        <f>D6+D7+44.31+(2287.9/12)</f>
        <v>1875.7983333333332</v>
      </c>
      <c r="E11" s="67"/>
      <c r="F11" s="65">
        <f>F6+F7+70.91+(2360.99/12)</f>
        <v>922.18916666666655</v>
      </c>
      <c r="G11" s="62">
        <f>G6+G7+70.91+(2360.99/12)</f>
        <v>1995.3691666666668</v>
      </c>
      <c r="H11" s="67"/>
      <c r="I11" s="65">
        <f>I6+I7+72.59+(3048.5/12)</f>
        <v>1028.3416666666667</v>
      </c>
      <c r="J11" s="62">
        <f>J6+J7+72.59+(3048.5/12)</f>
        <v>2178.3616666666667</v>
      </c>
      <c r="K11" s="67"/>
      <c r="L11" s="65">
        <f>L6+L7+52.16+(3169.12/12)</f>
        <v>1055.9733333333334</v>
      </c>
      <c r="M11" s="62">
        <f>M6+M7+52.16+(3169.12/12)</f>
        <v>2268.1233333333334</v>
      </c>
      <c r="N11" s="67"/>
      <c r="O11" s="65">
        <f>O6+O7+58.85+(3408.11/12)</f>
        <v>1096.5591666666667</v>
      </c>
      <c r="P11" s="62">
        <f>P6+P7+58.85+(3408.11/12)</f>
        <v>2331.3991666666666</v>
      </c>
      <c r="Q11" s="67"/>
      <c r="R11" s="65">
        <f>R6+R7+59.74+(3167.37/12)</f>
        <v>1152.6475</v>
      </c>
      <c r="S11" s="62">
        <f>S6+S7+59.74+(3167.37/12)</f>
        <v>2509.6374999999998</v>
      </c>
      <c r="T11" s="67"/>
      <c r="U11" s="65">
        <f>U6+U7+U8+(3167.37/12)</f>
        <v>1193.7874999999999</v>
      </c>
      <c r="V11" s="62">
        <f>V6+V7+U8+(3167.37/12)</f>
        <v>2614.7375000000002</v>
      </c>
      <c r="W11" s="1"/>
    </row>
    <row r="12" spans="1:23" x14ac:dyDescent="0.35">
      <c r="A12" s="10"/>
      <c r="C12" s="1"/>
      <c r="D12" s="1"/>
      <c r="F12" s="1"/>
      <c r="G12" s="1"/>
      <c r="I12" s="1"/>
      <c r="J12" s="1"/>
      <c r="L12" s="1"/>
      <c r="M12" s="1"/>
      <c r="O12" s="1"/>
      <c r="P12" s="1"/>
      <c r="R12" s="1"/>
      <c r="S12" s="1"/>
      <c r="U12" s="1"/>
      <c r="V12" s="1"/>
      <c r="W12" s="1"/>
    </row>
    <row r="13" spans="1:23" ht="15" thickBot="1" x14ac:dyDescent="0.4">
      <c r="A13" s="10"/>
      <c r="C13" s="1"/>
      <c r="D13" s="1"/>
      <c r="F13" s="1"/>
      <c r="G13" s="1"/>
      <c r="I13" s="1"/>
      <c r="J13" s="1"/>
      <c r="L13" s="1"/>
      <c r="M13" s="1"/>
      <c r="O13" s="1"/>
      <c r="P13" s="1"/>
      <c r="R13" s="1"/>
      <c r="S13" s="1"/>
      <c r="U13" s="1"/>
    </row>
    <row r="14" spans="1:23" ht="15" thickBot="1" x14ac:dyDescent="0.4">
      <c r="A14" s="10"/>
      <c r="C14" s="25" t="s">
        <v>30</v>
      </c>
      <c r="D14" s="26"/>
      <c r="F14" s="25" t="s">
        <v>31</v>
      </c>
      <c r="G14" s="26"/>
      <c r="I14" s="25" t="s">
        <v>32</v>
      </c>
      <c r="J14" s="26"/>
      <c r="L14" s="25" t="s">
        <v>33</v>
      </c>
      <c r="M14" s="26"/>
      <c r="O14" s="25" t="s">
        <v>34</v>
      </c>
      <c r="P14" s="26"/>
      <c r="R14" s="25" t="s">
        <v>35</v>
      </c>
      <c r="S14" s="26"/>
      <c r="U14" s="25" t="s">
        <v>29</v>
      </c>
      <c r="V14" s="26"/>
    </row>
    <row r="15" spans="1:23" ht="15" thickBot="1" x14ac:dyDescent="0.4">
      <c r="A15" s="31" t="s">
        <v>28</v>
      </c>
      <c r="B15" s="32"/>
      <c r="C15" s="11"/>
      <c r="D15" s="12"/>
      <c r="F15" s="11"/>
      <c r="G15" s="12"/>
      <c r="I15" s="11"/>
      <c r="J15" s="12"/>
      <c r="L15" s="11"/>
      <c r="M15" s="12"/>
      <c r="O15" s="11"/>
      <c r="P15" s="12"/>
      <c r="R15" s="11"/>
      <c r="S15" s="12"/>
      <c r="U15" s="11"/>
      <c r="V15" s="12"/>
    </row>
    <row r="16" spans="1:23" ht="15" thickBot="1" x14ac:dyDescent="0.4">
      <c r="A16" s="5"/>
      <c r="C16" s="13" t="s">
        <v>23</v>
      </c>
      <c r="D16" s="14" t="s">
        <v>24</v>
      </c>
      <c r="F16" s="13" t="s">
        <v>23</v>
      </c>
      <c r="G16" s="14" t="s">
        <v>24</v>
      </c>
      <c r="I16" s="13" t="s">
        <v>23</v>
      </c>
      <c r="J16" s="14" t="s">
        <v>24</v>
      </c>
      <c r="L16" s="13" t="s">
        <v>23</v>
      </c>
      <c r="M16" s="14" t="s">
        <v>24</v>
      </c>
      <c r="O16" s="13" t="s">
        <v>23</v>
      </c>
      <c r="P16" s="14" t="s">
        <v>24</v>
      </c>
      <c r="R16" s="13" t="s">
        <v>23</v>
      </c>
      <c r="S16" s="14" t="s">
        <v>24</v>
      </c>
      <c r="U16" s="13" t="s">
        <v>23</v>
      </c>
      <c r="V16" s="14" t="s">
        <v>24</v>
      </c>
    </row>
    <row r="17" spans="1:23" x14ac:dyDescent="0.35">
      <c r="A17" s="16" t="s">
        <v>20</v>
      </c>
      <c r="C17" s="46">
        <f>F6/C6-1</f>
        <v>5.49307588284631E-2</v>
      </c>
      <c r="D17" s="47">
        <f>G6/D6-1</f>
        <v>5.4929062740645129E-2</v>
      </c>
      <c r="E17" s="48"/>
      <c r="F17" s="46">
        <f>I6/F6-1</f>
        <v>7.499837736093995E-2</v>
      </c>
      <c r="G17" s="47">
        <f>J6/G6-1</f>
        <v>7.5001082579136513E-2</v>
      </c>
      <c r="H17" s="48"/>
      <c r="I17" s="46">
        <f>L6/I6-1</f>
        <v>5.5003773584905824E-2</v>
      </c>
      <c r="J17" s="47">
        <f>M6/J6-1</f>
        <v>5.5002157962882992E-2</v>
      </c>
      <c r="K17" s="48"/>
      <c r="L17" s="46">
        <f>O6/L6-1</f>
        <v>2.0001716885569509E-2</v>
      </c>
      <c r="M17" s="47">
        <f>P6/M6-1</f>
        <v>2.0001854548826525E-2</v>
      </c>
      <c r="N17" s="48"/>
      <c r="O17" s="46">
        <f>R6/O6-1</f>
        <v>0.10556584188969298</v>
      </c>
      <c r="P17" s="47">
        <f>S6/P6-1</f>
        <v>0.10556684491978596</v>
      </c>
      <c r="Q17" s="48"/>
      <c r="R17" s="46">
        <f>U6/R6-1</f>
        <v>5.0001268745718086E-2</v>
      </c>
      <c r="S17" s="47">
        <f>V6/S6-1</f>
        <v>4.9999758151503704E-2</v>
      </c>
      <c r="T17" s="48"/>
      <c r="U17" s="46">
        <f>U6/C6-1</f>
        <v>0.41664526951847858</v>
      </c>
      <c r="V17" s="47">
        <f>V6/D6-1</f>
        <v>0.41664382578279002</v>
      </c>
    </row>
    <row r="18" spans="1:23" x14ac:dyDescent="0.35">
      <c r="A18" s="17" t="s">
        <v>21</v>
      </c>
      <c r="C18" s="46">
        <f>F7/C7-1</f>
        <v>2.4919614147909996E-2</v>
      </c>
      <c r="D18" s="47">
        <f t="shared" ref="D18" si="0">G7/D7-1</f>
        <v>2.4979260761360589E-2</v>
      </c>
      <c r="E18" s="48"/>
      <c r="F18" s="46">
        <f t="shared" ref="F18:F19" si="1">I7/F7-1</f>
        <v>2.5098039215686319E-2</v>
      </c>
      <c r="G18" s="47">
        <f t="shared" ref="G18" si="2">J7/G7-1</f>
        <v>2.4999999999999911E-2</v>
      </c>
      <c r="H18" s="48"/>
      <c r="I18" s="46">
        <f t="shared" ref="I18:I19" si="3">L7/I7-1</f>
        <v>4.0040805916857991E-2</v>
      </c>
      <c r="J18" s="47">
        <f t="shared" ref="J18" si="4">M7/J7-1</f>
        <v>4.0007018775223724E-2</v>
      </c>
      <c r="K18" s="48"/>
      <c r="L18" s="46">
        <f>O7/L7-1</f>
        <v>0</v>
      </c>
      <c r="M18" s="47">
        <f t="shared" ref="M18" si="5">P7/M7-1</f>
        <v>0</v>
      </c>
      <c r="N18" s="48"/>
      <c r="O18" s="46">
        <f t="shared" ref="O18:O19" si="6">R7/O7-1</f>
        <v>0</v>
      </c>
      <c r="P18" s="47">
        <f t="shared" ref="P18" si="7">S7/P7-1</f>
        <v>0</v>
      </c>
      <c r="Q18" s="48"/>
      <c r="R18" s="46">
        <f t="shared" ref="R18:R19" si="8">U7/R7-1</f>
        <v>0</v>
      </c>
      <c r="S18" s="47">
        <f t="shared" ref="S18" si="9">V7/S7-1</f>
        <v>0</v>
      </c>
      <c r="T18" s="48"/>
      <c r="U18" s="46">
        <f>U7/C7-1</f>
        <v>9.2711682743837009E-2</v>
      </c>
      <c r="V18" s="47">
        <f>V7/D7-1</f>
        <v>9.2635265923126653E-2</v>
      </c>
    </row>
    <row r="19" spans="1:23" x14ac:dyDescent="0.35">
      <c r="A19" s="17" t="s">
        <v>25</v>
      </c>
      <c r="C19" s="29">
        <f>F8/C8-1</f>
        <v>0.60031595576619257</v>
      </c>
      <c r="D19" s="30"/>
      <c r="E19" s="48"/>
      <c r="F19" s="29">
        <f t="shared" si="1"/>
        <v>2.3692003948667439E-2</v>
      </c>
      <c r="G19" s="30"/>
      <c r="H19" s="48"/>
      <c r="I19" s="29">
        <f t="shared" si="3"/>
        <v>-0.28144372503099613</v>
      </c>
      <c r="J19" s="30"/>
      <c r="K19" s="48"/>
      <c r="L19" s="29">
        <f>O8/L8-1</f>
        <v>0.12825920245398792</v>
      </c>
      <c r="M19" s="30"/>
      <c r="N19" s="48"/>
      <c r="O19" s="29">
        <f t="shared" si="6"/>
        <v>1.5123194562446818E-2</v>
      </c>
      <c r="P19" s="30"/>
      <c r="Q19" s="48"/>
      <c r="R19" s="29">
        <f t="shared" si="8"/>
        <v>2.8958821560093773E-2</v>
      </c>
      <c r="S19" s="30"/>
      <c r="T19" s="48"/>
      <c r="U19" s="29">
        <f>U8/C8-1</f>
        <v>0.38727149627623558</v>
      </c>
      <c r="V19" s="30"/>
    </row>
    <row r="20" spans="1:23" x14ac:dyDescent="0.35">
      <c r="A20" s="17" t="s">
        <v>26</v>
      </c>
      <c r="C20" s="29">
        <f>F9/C9-1</f>
        <v>3.1946326325451135E-2</v>
      </c>
      <c r="D20" s="30"/>
      <c r="E20" s="48"/>
      <c r="F20" s="29">
        <f t="shared" ref="F20" si="10">I9/F9-1</f>
        <v>0.29119564250589813</v>
      </c>
      <c r="G20" s="30"/>
      <c r="H20" s="48"/>
      <c r="I20" s="29">
        <f t="shared" ref="I20" si="11">L9/I9-1</f>
        <v>3.9567000164014932E-2</v>
      </c>
      <c r="J20" s="30"/>
      <c r="K20" s="48"/>
      <c r="L20" s="29">
        <f t="shared" ref="L20" si="12">O9/L9-1</f>
        <v>7.541210178219826E-2</v>
      </c>
      <c r="M20" s="30"/>
      <c r="N20" s="48"/>
      <c r="O20" s="29">
        <f t="shared" ref="O20" si="13">R9/O9-1</f>
        <v>-7.0637391398751803E-2</v>
      </c>
      <c r="P20" s="30"/>
      <c r="Q20" s="48"/>
      <c r="R20" s="29">
        <f t="shared" ref="R20" si="14">U9/R9-1</f>
        <v>0</v>
      </c>
      <c r="S20" s="30"/>
      <c r="T20" s="48"/>
      <c r="U20" s="29">
        <f>U9/C9-1</f>
        <v>0.38440054198173002</v>
      </c>
      <c r="V20" s="30"/>
    </row>
    <row r="21" spans="1:23" x14ac:dyDescent="0.35">
      <c r="A21" s="18"/>
      <c r="C21" s="49"/>
      <c r="D21" s="50"/>
      <c r="E21" s="48"/>
      <c r="F21" s="49"/>
      <c r="G21" s="50"/>
      <c r="H21" s="48"/>
      <c r="I21" s="49"/>
      <c r="J21" s="50"/>
      <c r="K21" s="48"/>
      <c r="L21" s="49"/>
      <c r="M21" s="50"/>
      <c r="N21" s="48"/>
      <c r="O21" s="49"/>
      <c r="P21" s="50"/>
      <c r="Q21" s="48"/>
      <c r="R21" s="49"/>
      <c r="S21" s="50"/>
      <c r="T21" s="48"/>
      <c r="U21" s="49"/>
      <c r="V21" s="50"/>
    </row>
    <row r="22" spans="1:23" ht="15" thickBot="1" x14ac:dyDescent="0.4">
      <c r="A22" s="19" t="s">
        <v>27</v>
      </c>
      <c r="C22" s="21">
        <f>F11/C11-1</f>
        <v>7.6722119843467329E-2</v>
      </c>
      <c r="D22" s="22">
        <f>G11/D11-1</f>
        <v>6.3743970345071066E-2</v>
      </c>
      <c r="E22" s="48"/>
      <c r="F22" s="21">
        <f>I11/F11-1</f>
        <v>0.11510924638563869</v>
      </c>
      <c r="G22" s="22">
        <f>J11/G11-1</f>
        <v>9.1708593606112165E-2</v>
      </c>
      <c r="H22" s="48"/>
      <c r="I22" s="21">
        <f>L11/I11-1</f>
        <v>2.687012260840671E-2</v>
      </c>
      <c r="J22" s="22">
        <f>M11/J11-1</f>
        <v>4.1206043991776742E-2</v>
      </c>
      <c r="K22" s="48"/>
      <c r="L22" s="21">
        <f>O11/L11-1</f>
        <v>3.8434524861738817E-2</v>
      </c>
      <c r="M22" s="22">
        <f>P11/M11-1</f>
        <v>2.7897880332786062E-2</v>
      </c>
      <c r="N22" s="48"/>
      <c r="O22" s="21">
        <f>R11/O11-1</f>
        <v>5.1149390783747029E-2</v>
      </c>
      <c r="P22" s="22">
        <f>S11/P11-1</f>
        <v>7.6451229751518968E-2</v>
      </c>
      <c r="Q22" s="48"/>
      <c r="R22" s="21">
        <f>U11/R11-1</f>
        <v>3.569174444051626E-2</v>
      </c>
      <c r="S22" s="22">
        <f>V11/S11-1</f>
        <v>4.1878558158299883E-2</v>
      </c>
      <c r="T22" s="48"/>
      <c r="U22" s="21">
        <f>U11/C11-1</f>
        <v>0.39383269084448491</v>
      </c>
      <c r="V22" s="22">
        <f>V11/D11-1</f>
        <v>0.39393316090304675</v>
      </c>
    </row>
    <row r="23" spans="1:23" x14ac:dyDescent="0.35">
      <c r="C23" s="1"/>
      <c r="D23" s="1"/>
      <c r="F23" s="1"/>
      <c r="G23" s="1"/>
      <c r="I23" s="1"/>
      <c r="J23" s="1"/>
      <c r="L23" s="1"/>
      <c r="M23" s="1"/>
      <c r="O23" s="1"/>
      <c r="P23" s="1"/>
      <c r="R23" s="1"/>
      <c r="S23" s="1"/>
      <c r="U23" s="1"/>
    </row>
    <row r="24" spans="1:23" ht="15" thickBot="1" x14ac:dyDescent="0.4">
      <c r="C24" s="1"/>
      <c r="D24" s="1"/>
      <c r="F24" s="1"/>
      <c r="G24" s="1"/>
      <c r="I24" s="1"/>
      <c r="J24" s="1"/>
      <c r="L24" s="1"/>
      <c r="M24" s="1"/>
      <c r="O24" s="1"/>
      <c r="P24" s="1"/>
      <c r="R24" s="1"/>
      <c r="S24" s="1"/>
      <c r="U24" s="1"/>
      <c r="V24" s="1"/>
      <c r="W24" s="1"/>
    </row>
    <row r="25" spans="1:23" ht="15" thickBot="1" x14ac:dyDescent="0.4">
      <c r="A25" s="10"/>
      <c r="C25" s="25" t="s">
        <v>30</v>
      </c>
      <c r="D25" s="26"/>
      <c r="F25" s="25" t="s">
        <v>31</v>
      </c>
      <c r="G25" s="26"/>
      <c r="I25" s="25" t="s">
        <v>32</v>
      </c>
      <c r="J25" s="26"/>
      <c r="L25" s="25" t="s">
        <v>33</v>
      </c>
      <c r="M25" s="26"/>
      <c r="O25" s="25" t="s">
        <v>34</v>
      </c>
      <c r="P25" s="26"/>
      <c r="R25" s="25" t="s">
        <v>35</v>
      </c>
      <c r="S25" s="26"/>
      <c r="U25" s="25" t="s">
        <v>29</v>
      </c>
      <c r="V25" s="26"/>
      <c r="W25" s="1"/>
    </row>
    <row r="26" spans="1:23" ht="15" thickBot="1" x14ac:dyDescent="0.4">
      <c r="A26" s="31" t="s">
        <v>36</v>
      </c>
      <c r="B26" s="32"/>
      <c r="C26" s="11"/>
      <c r="D26" s="12"/>
      <c r="F26" s="11"/>
      <c r="G26" s="12"/>
      <c r="I26" s="11"/>
      <c r="J26" s="12"/>
      <c r="L26" s="11"/>
      <c r="M26" s="12"/>
      <c r="O26" s="11"/>
      <c r="P26" s="12"/>
      <c r="R26" s="11"/>
      <c r="S26" s="12"/>
      <c r="U26" s="11"/>
      <c r="V26" s="12"/>
      <c r="W26" s="1"/>
    </row>
    <row r="27" spans="1:23" ht="15" thickBot="1" x14ac:dyDescent="0.4">
      <c r="A27" s="5"/>
      <c r="C27" s="13" t="s">
        <v>23</v>
      </c>
      <c r="D27" s="14" t="s">
        <v>24</v>
      </c>
      <c r="F27" s="13" t="s">
        <v>23</v>
      </c>
      <c r="G27" s="14" t="s">
        <v>24</v>
      </c>
      <c r="I27" s="13" t="s">
        <v>23</v>
      </c>
      <c r="J27" s="14" t="s">
        <v>24</v>
      </c>
      <c r="L27" s="13" t="s">
        <v>23</v>
      </c>
      <c r="M27" s="14" t="s">
        <v>24</v>
      </c>
      <c r="O27" s="13" t="s">
        <v>23</v>
      </c>
      <c r="P27" s="14" t="s">
        <v>24</v>
      </c>
      <c r="R27" s="13" t="s">
        <v>23</v>
      </c>
      <c r="S27" s="14" t="s">
        <v>24</v>
      </c>
      <c r="U27" s="13" t="s">
        <v>23</v>
      </c>
      <c r="V27" s="14" t="s">
        <v>24</v>
      </c>
      <c r="W27" s="1"/>
    </row>
    <row r="28" spans="1:23" x14ac:dyDescent="0.35">
      <c r="A28" s="16" t="s">
        <v>20</v>
      </c>
      <c r="C28" s="44">
        <f>F6-C6</f>
        <v>32.089999999999918</v>
      </c>
      <c r="D28" s="45">
        <f>G6-D6</f>
        <v>84.170000000000073</v>
      </c>
      <c r="E28" s="51"/>
      <c r="F28" s="44">
        <f>I6-F6</f>
        <v>46.220000000000027</v>
      </c>
      <c r="G28" s="45">
        <f>J6-G6</f>
        <v>121.24000000000001</v>
      </c>
      <c r="H28" s="51"/>
      <c r="I28" s="44">
        <f>L6-I6</f>
        <v>36.440000000000055</v>
      </c>
      <c r="J28" s="45">
        <f>M6-J6</f>
        <v>95.579999999999927</v>
      </c>
      <c r="K28" s="51"/>
      <c r="L28" s="44">
        <f>O6-L6</f>
        <v>13.979999999999905</v>
      </c>
      <c r="M28" s="45">
        <f>P6-M6</f>
        <v>36.670000000000073</v>
      </c>
      <c r="N28" s="51"/>
      <c r="O28" s="44">
        <f>R6-O6</f>
        <v>75.259999999999991</v>
      </c>
      <c r="P28" s="45">
        <f>S6-P6</f>
        <v>197.40999999999985</v>
      </c>
      <c r="Q28" s="51"/>
      <c r="R28" s="44">
        <f>U6-R6</f>
        <v>39.410000000000082</v>
      </c>
      <c r="S28" s="45">
        <f>V6-S6</f>
        <v>103.37000000000035</v>
      </c>
      <c r="T28" s="51"/>
      <c r="U28" s="44">
        <f>U6-C6</f>
        <v>243.39999999999998</v>
      </c>
      <c r="V28" s="45">
        <f>V6-D6</f>
        <v>638.44000000000028</v>
      </c>
      <c r="W28" s="1"/>
    </row>
    <row r="29" spans="1:23" x14ac:dyDescent="0.35">
      <c r="A29" s="17" t="s">
        <v>21</v>
      </c>
      <c r="C29" s="44">
        <f>F7-C7</f>
        <v>0.92999999999999972</v>
      </c>
      <c r="D29" s="45">
        <f>G7-D7</f>
        <v>2.710000000000008</v>
      </c>
      <c r="E29" s="51"/>
      <c r="F29" s="44">
        <f>I7-F7</f>
        <v>0.96000000000000085</v>
      </c>
      <c r="G29" s="45">
        <f>J7-G7</f>
        <v>2.7800000000000011</v>
      </c>
      <c r="H29" s="51"/>
      <c r="I29" s="44">
        <f t="shared" ref="I29:I31" si="15">L7-I7</f>
        <v>1.5700000000000003</v>
      </c>
      <c r="J29" s="45">
        <f t="shared" ref="J29" si="16">M7-J7</f>
        <v>4.5600000000000023</v>
      </c>
      <c r="K29" s="51"/>
      <c r="L29" s="44">
        <f t="shared" ref="L29:L31" si="17">O7-L7</f>
        <v>0</v>
      </c>
      <c r="M29" s="45">
        <f t="shared" ref="M29" si="18">P7-M7</f>
        <v>0</v>
      </c>
      <c r="N29" s="51"/>
      <c r="O29" s="44">
        <f t="shared" ref="O29:O31" si="19">R7-O7</f>
        <v>0</v>
      </c>
      <c r="P29" s="45">
        <f t="shared" ref="P29" si="20">S7-P7</f>
        <v>0</v>
      </c>
      <c r="Q29" s="51"/>
      <c r="R29" s="44">
        <f t="shared" ref="R29:R31" si="21">U7-R7</f>
        <v>0</v>
      </c>
      <c r="S29" s="45">
        <f t="shared" ref="S29" si="22">V7-S7</f>
        <v>0</v>
      </c>
      <c r="T29" s="51"/>
      <c r="U29" s="44">
        <f>U7-C7</f>
        <v>3.4600000000000009</v>
      </c>
      <c r="V29" s="45">
        <f>V7-D7</f>
        <v>10.050000000000011</v>
      </c>
      <c r="W29" s="1"/>
    </row>
    <row r="30" spans="1:23" x14ac:dyDescent="0.35">
      <c r="A30" s="17" t="s">
        <v>25</v>
      </c>
      <c r="C30" s="27">
        <f>F8-C8</f>
        <v>26.599999999999994</v>
      </c>
      <c r="D30" s="28"/>
      <c r="E30" s="51"/>
      <c r="F30" s="27">
        <f t="shared" ref="F30:F31" si="23">I8-F8</f>
        <v>1.6800000000000068</v>
      </c>
      <c r="G30" s="28"/>
      <c r="H30" s="51"/>
      <c r="I30" s="27">
        <f t="shared" si="15"/>
        <v>-20.430000000000007</v>
      </c>
      <c r="J30" s="28"/>
      <c r="K30" s="51"/>
      <c r="L30" s="27">
        <f t="shared" si="17"/>
        <v>6.6900000000000048</v>
      </c>
      <c r="M30" s="28"/>
      <c r="N30" s="51"/>
      <c r="O30" s="27">
        <f t="shared" si="19"/>
        <v>0.89000000000000057</v>
      </c>
      <c r="P30" s="28"/>
      <c r="Q30" s="51"/>
      <c r="R30" s="27">
        <f t="shared" si="21"/>
        <v>1.7299999999999969</v>
      </c>
      <c r="S30" s="28"/>
      <c r="T30" s="51"/>
      <c r="U30" s="27">
        <f>U8-C8</f>
        <v>17.159999999999997</v>
      </c>
      <c r="V30" s="28"/>
      <c r="W30" s="1"/>
    </row>
    <row r="31" spans="1:23" x14ac:dyDescent="0.35">
      <c r="A31" s="17" t="s">
        <v>26</v>
      </c>
      <c r="C31" s="27">
        <f>F9-C9</f>
        <v>6.0908333333333076</v>
      </c>
      <c r="D31" s="28"/>
      <c r="E31" s="51"/>
      <c r="F31" s="27">
        <f t="shared" si="23"/>
        <v>57.292500000000018</v>
      </c>
      <c r="G31" s="28"/>
      <c r="H31" s="51"/>
      <c r="I31" s="27">
        <f t="shared" si="15"/>
        <v>10.051666666666648</v>
      </c>
      <c r="J31" s="28"/>
      <c r="K31" s="51"/>
      <c r="L31" s="27">
        <f t="shared" si="17"/>
        <v>19.915833333333353</v>
      </c>
      <c r="M31" s="28"/>
      <c r="N31" s="51"/>
      <c r="O31" s="27">
        <f t="shared" si="19"/>
        <v>-20.061666666666667</v>
      </c>
      <c r="P31" s="28"/>
      <c r="Q31" s="51"/>
      <c r="R31" s="27">
        <f t="shared" si="21"/>
        <v>0</v>
      </c>
      <c r="S31" s="28"/>
      <c r="T31" s="51"/>
      <c r="U31" s="27">
        <f>U9-C9</f>
        <v>73.289166666666659</v>
      </c>
      <c r="V31" s="28"/>
      <c r="W31" s="1"/>
    </row>
    <row r="32" spans="1:23" x14ac:dyDescent="0.35">
      <c r="A32" s="18"/>
      <c r="C32" s="52"/>
      <c r="D32" s="53"/>
      <c r="E32" s="51"/>
      <c r="F32" s="52"/>
      <c r="G32" s="53"/>
      <c r="H32" s="51"/>
      <c r="I32" s="54"/>
      <c r="J32" s="55"/>
      <c r="K32" s="51"/>
      <c r="L32" s="54"/>
      <c r="M32" s="55"/>
      <c r="N32" s="51"/>
      <c r="O32" s="54"/>
      <c r="P32" s="55"/>
      <c r="Q32" s="51"/>
      <c r="R32" s="54"/>
      <c r="S32" s="55"/>
      <c r="T32" s="51"/>
      <c r="U32" s="52"/>
      <c r="V32" s="53"/>
    </row>
    <row r="33" spans="1:22" ht="15" thickBot="1" x14ac:dyDescent="0.4">
      <c r="A33" s="19" t="s">
        <v>27</v>
      </c>
      <c r="C33" s="20">
        <f>F11-C11</f>
        <v>65.710833333333085</v>
      </c>
      <c r="D33" s="23">
        <f>G11-D11</f>
        <v>119.57083333333367</v>
      </c>
      <c r="E33" s="51"/>
      <c r="F33" s="20">
        <f>I11-F11</f>
        <v>106.15250000000015</v>
      </c>
      <c r="G33" s="23">
        <f>J11-G11</f>
        <v>182.99249999999984</v>
      </c>
      <c r="H33" s="51"/>
      <c r="I33" s="20">
        <f>L11-I11</f>
        <v>27.631666666666661</v>
      </c>
      <c r="J33" s="23">
        <f>M11-J11</f>
        <v>89.76166666666677</v>
      </c>
      <c r="K33" s="51"/>
      <c r="L33" s="20">
        <f>O11-L11</f>
        <v>40.585833333333312</v>
      </c>
      <c r="M33" s="23">
        <f>P11-M11</f>
        <v>63.275833333333139</v>
      </c>
      <c r="N33" s="51"/>
      <c r="O33" s="20">
        <f>R11-O11</f>
        <v>56.088333333333367</v>
      </c>
      <c r="P33" s="23">
        <f>S11-P11</f>
        <v>178.23833333333323</v>
      </c>
      <c r="Q33" s="51"/>
      <c r="R33" s="20">
        <f>U11-R11</f>
        <v>41.139999999999873</v>
      </c>
      <c r="S33" s="23">
        <f>V11-S11</f>
        <v>105.10000000000036</v>
      </c>
      <c r="T33" s="51"/>
      <c r="U33" s="20">
        <f>U11-C11</f>
        <v>337.30916666666644</v>
      </c>
      <c r="V33" s="23">
        <f>V11-D11</f>
        <v>738.93916666666701</v>
      </c>
    </row>
    <row r="35" spans="1:22" ht="15" thickBot="1" x14ac:dyDescent="0.4"/>
    <row r="36" spans="1:22" ht="15" thickBot="1" x14ac:dyDescent="0.4">
      <c r="A36" s="10"/>
      <c r="C36" s="25" t="s">
        <v>30</v>
      </c>
      <c r="D36" s="26"/>
      <c r="F36" s="25" t="s">
        <v>31</v>
      </c>
      <c r="G36" s="26"/>
      <c r="I36" s="25" t="s">
        <v>32</v>
      </c>
      <c r="J36" s="26"/>
      <c r="L36" s="25" t="s">
        <v>33</v>
      </c>
      <c r="M36" s="26"/>
      <c r="O36" s="25" t="s">
        <v>34</v>
      </c>
      <c r="P36" s="26"/>
      <c r="R36" s="25" t="s">
        <v>35</v>
      </c>
      <c r="S36" s="26"/>
      <c r="U36" s="25" t="s">
        <v>29</v>
      </c>
      <c r="V36" s="26"/>
    </row>
    <row r="37" spans="1:22" ht="15" thickBot="1" x14ac:dyDescent="0.4">
      <c r="A37" s="31" t="s">
        <v>37</v>
      </c>
      <c r="B37" s="32"/>
      <c r="C37" s="11"/>
      <c r="D37" s="12"/>
      <c r="F37" s="11"/>
      <c r="G37" s="12"/>
      <c r="I37" s="11"/>
      <c r="J37" s="12"/>
      <c r="L37" s="11"/>
      <c r="M37" s="12"/>
      <c r="O37" s="11"/>
      <c r="P37" s="12"/>
      <c r="R37" s="11"/>
      <c r="S37" s="12"/>
      <c r="U37" s="11"/>
      <c r="V37" s="12"/>
    </row>
    <row r="38" spans="1:22" ht="15" thickBot="1" x14ac:dyDescent="0.4">
      <c r="A38" s="5"/>
      <c r="C38" s="13" t="s">
        <v>23</v>
      </c>
      <c r="D38" s="14" t="s">
        <v>24</v>
      </c>
      <c r="F38" s="13" t="s">
        <v>23</v>
      </c>
      <c r="G38" s="14" t="s">
        <v>24</v>
      </c>
      <c r="I38" s="13" t="s">
        <v>23</v>
      </c>
      <c r="J38" s="14" t="s">
        <v>24</v>
      </c>
      <c r="L38" s="13" t="s">
        <v>23</v>
      </c>
      <c r="M38" s="14" t="s">
        <v>24</v>
      </c>
      <c r="O38" s="13" t="s">
        <v>23</v>
      </c>
      <c r="P38" s="14" t="s">
        <v>24</v>
      </c>
      <c r="R38" s="13" t="s">
        <v>23</v>
      </c>
      <c r="S38" s="14" t="s">
        <v>24</v>
      </c>
      <c r="U38" s="13" t="s">
        <v>23</v>
      </c>
      <c r="V38" s="14" t="s">
        <v>24</v>
      </c>
    </row>
    <row r="39" spans="1:22" x14ac:dyDescent="0.35">
      <c r="A39" s="16" t="s">
        <v>20</v>
      </c>
      <c r="C39" s="56">
        <f>C28*12</f>
        <v>385.07999999999902</v>
      </c>
      <c r="D39" s="57">
        <f>D28*12</f>
        <v>1010.0400000000009</v>
      </c>
      <c r="E39" s="58"/>
      <c r="F39" s="56">
        <f t="shared" ref="F39:S39" si="24">F28*12</f>
        <v>554.64000000000033</v>
      </c>
      <c r="G39" s="57">
        <f t="shared" si="24"/>
        <v>1454.88</v>
      </c>
      <c r="H39" s="58"/>
      <c r="I39" s="56">
        <f t="shared" si="24"/>
        <v>437.28000000000065</v>
      </c>
      <c r="J39" s="57">
        <f t="shared" si="24"/>
        <v>1146.9599999999991</v>
      </c>
      <c r="K39" s="58"/>
      <c r="L39" s="56">
        <f t="shared" si="24"/>
        <v>167.75999999999885</v>
      </c>
      <c r="M39" s="57">
        <f t="shared" si="24"/>
        <v>440.04000000000087</v>
      </c>
      <c r="N39" s="58"/>
      <c r="O39" s="56">
        <f t="shared" si="24"/>
        <v>903.11999999999989</v>
      </c>
      <c r="P39" s="57">
        <f t="shared" si="24"/>
        <v>2368.9199999999983</v>
      </c>
      <c r="Q39" s="58"/>
      <c r="R39" s="56">
        <f t="shared" si="24"/>
        <v>472.92000000000098</v>
      </c>
      <c r="S39" s="57">
        <f t="shared" si="24"/>
        <v>1240.4400000000041</v>
      </c>
      <c r="T39" s="58"/>
      <c r="U39" s="56">
        <f t="shared" ref="U39:V39" si="25">U28*12</f>
        <v>2920.7999999999997</v>
      </c>
      <c r="V39" s="57">
        <f t="shared" si="25"/>
        <v>7661.2800000000034</v>
      </c>
    </row>
    <row r="40" spans="1:22" x14ac:dyDescent="0.35">
      <c r="A40" s="17" t="s">
        <v>21</v>
      </c>
      <c r="C40" s="56">
        <f>C29*12</f>
        <v>11.159999999999997</v>
      </c>
      <c r="D40" s="57">
        <f>D29*12</f>
        <v>32.520000000000095</v>
      </c>
      <c r="E40" s="58"/>
      <c r="F40" s="56">
        <f t="shared" ref="F40:S40" si="26">F29*12</f>
        <v>11.52000000000001</v>
      </c>
      <c r="G40" s="57">
        <f t="shared" si="26"/>
        <v>33.360000000000014</v>
      </c>
      <c r="H40" s="58"/>
      <c r="I40" s="56">
        <f t="shared" si="26"/>
        <v>18.840000000000003</v>
      </c>
      <c r="J40" s="57">
        <f t="shared" si="26"/>
        <v>54.720000000000027</v>
      </c>
      <c r="K40" s="58"/>
      <c r="L40" s="56">
        <f t="shared" si="26"/>
        <v>0</v>
      </c>
      <c r="M40" s="57">
        <f t="shared" si="26"/>
        <v>0</v>
      </c>
      <c r="N40" s="58"/>
      <c r="O40" s="56">
        <f t="shared" si="26"/>
        <v>0</v>
      </c>
      <c r="P40" s="57">
        <f t="shared" si="26"/>
        <v>0</v>
      </c>
      <c r="Q40" s="58"/>
      <c r="R40" s="56">
        <f t="shared" si="26"/>
        <v>0</v>
      </c>
      <c r="S40" s="57">
        <f t="shared" si="26"/>
        <v>0</v>
      </c>
      <c r="T40" s="58"/>
      <c r="U40" s="56">
        <f t="shared" ref="U40:V40" si="27">U29*12</f>
        <v>41.52000000000001</v>
      </c>
      <c r="V40" s="57">
        <f t="shared" si="27"/>
        <v>120.60000000000014</v>
      </c>
    </row>
    <row r="41" spans="1:22" x14ac:dyDescent="0.35">
      <c r="A41" s="17" t="s">
        <v>25</v>
      </c>
      <c r="C41" s="42">
        <f>C30*12</f>
        <v>319.19999999999993</v>
      </c>
      <c r="D41" s="43"/>
      <c r="E41" s="58"/>
      <c r="F41" s="42">
        <f t="shared" ref="F41" si="28">F30*12</f>
        <v>20.160000000000082</v>
      </c>
      <c r="G41" s="43"/>
      <c r="H41" s="58"/>
      <c r="I41" s="42">
        <f t="shared" ref="I41" si="29">I30*12</f>
        <v>-245.16000000000008</v>
      </c>
      <c r="J41" s="43"/>
      <c r="K41" s="58"/>
      <c r="L41" s="42">
        <f t="shared" ref="L41" si="30">L30*12</f>
        <v>80.280000000000058</v>
      </c>
      <c r="M41" s="43"/>
      <c r="N41" s="58"/>
      <c r="O41" s="42">
        <f t="shared" ref="O41" si="31">O30*12</f>
        <v>10.680000000000007</v>
      </c>
      <c r="P41" s="43"/>
      <c r="Q41" s="58"/>
      <c r="R41" s="42">
        <f t="shared" ref="R41:U41" si="32">R30*12</f>
        <v>20.759999999999962</v>
      </c>
      <c r="S41" s="43"/>
      <c r="T41" s="58"/>
      <c r="U41" s="42">
        <f t="shared" si="32"/>
        <v>205.91999999999996</v>
      </c>
      <c r="V41" s="43"/>
    </row>
    <row r="42" spans="1:22" x14ac:dyDescent="0.35">
      <c r="A42" s="17" t="s">
        <v>26</v>
      </c>
      <c r="C42" s="42">
        <f>C31*12</f>
        <v>73.089999999999691</v>
      </c>
      <c r="D42" s="43"/>
      <c r="E42" s="58"/>
      <c r="F42" s="42">
        <f t="shared" ref="F42" si="33">F31*12</f>
        <v>687.51000000000022</v>
      </c>
      <c r="G42" s="43"/>
      <c r="H42" s="58"/>
      <c r="I42" s="42">
        <f t="shared" ref="I42" si="34">I31*12</f>
        <v>120.61999999999978</v>
      </c>
      <c r="J42" s="43"/>
      <c r="K42" s="58"/>
      <c r="L42" s="42">
        <f t="shared" ref="L42" si="35">L31*12</f>
        <v>238.99000000000024</v>
      </c>
      <c r="M42" s="43"/>
      <c r="N42" s="58"/>
      <c r="O42" s="42">
        <f t="shared" ref="O42" si="36">O31*12</f>
        <v>-240.74</v>
      </c>
      <c r="P42" s="43"/>
      <c r="Q42" s="58"/>
      <c r="R42" s="42">
        <f t="shared" ref="R42:U42" si="37">R31*12</f>
        <v>0</v>
      </c>
      <c r="S42" s="43"/>
      <c r="T42" s="58"/>
      <c r="U42" s="42">
        <f t="shared" si="37"/>
        <v>879.46999999999991</v>
      </c>
      <c r="V42" s="43"/>
    </row>
    <row r="43" spans="1:22" x14ac:dyDescent="0.35">
      <c r="A43" s="18"/>
      <c r="C43" s="59"/>
      <c r="D43" s="60"/>
      <c r="E43" s="58"/>
      <c r="F43" s="59"/>
      <c r="G43" s="60"/>
      <c r="H43" s="58"/>
      <c r="I43" s="63"/>
      <c r="J43" s="64"/>
      <c r="K43" s="58"/>
      <c r="L43" s="63"/>
      <c r="M43" s="64"/>
      <c r="N43" s="58"/>
      <c r="O43" s="63"/>
      <c r="P43" s="64"/>
      <c r="Q43" s="58"/>
      <c r="R43" s="63"/>
      <c r="S43" s="64"/>
      <c r="T43" s="58"/>
      <c r="U43" s="59"/>
      <c r="V43" s="60"/>
    </row>
    <row r="44" spans="1:22" ht="15" thickBot="1" x14ac:dyDescent="0.4">
      <c r="A44" s="19" t="s">
        <v>27</v>
      </c>
      <c r="C44" s="65">
        <f>C33*12</f>
        <v>788.52999999999702</v>
      </c>
      <c r="D44" s="66">
        <f>D33*12</f>
        <v>1434.850000000004</v>
      </c>
      <c r="E44" s="58"/>
      <c r="F44" s="65">
        <f t="shared" ref="F44:V44" si="38">F33*12</f>
        <v>1273.8300000000017</v>
      </c>
      <c r="G44" s="66">
        <f t="shared" si="38"/>
        <v>2195.909999999998</v>
      </c>
      <c r="H44" s="58"/>
      <c r="I44" s="65">
        <f t="shared" si="38"/>
        <v>331.57999999999993</v>
      </c>
      <c r="J44" s="66">
        <f t="shared" si="38"/>
        <v>1077.1400000000012</v>
      </c>
      <c r="K44" s="58"/>
      <c r="L44" s="65">
        <f t="shared" si="38"/>
        <v>487.02999999999975</v>
      </c>
      <c r="M44" s="66">
        <f t="shared" si="38"/>
        <v>759.30999999999767</v>
      </c>
      <c r="N44" s="58"/>
      <c r="O44" s="65">
        <f t="shared" si="38"/>
        <v>673.0600000000004</v>
      </c>
      <c r="P44" s="66">
        <f t="shared" si="38"/>
        <v>2138.8599999999988</v>
      </c>
      <c r="Q44" s="58"/>
      <c r="R44" s="65">
        <f t="shared" si="38"/>
        <v>493.67999999999847</v>
      </c>
      <c r="S44" s="66">
        <f t="shared" si="38"/>
        <v>1261.2000000000044</v>
      </c>
      <c r="T44" s="58"/>
      <c r="U44" s="65">
        <f t="shared" si="38"/>
        <v>4047.7099999999973</v>
      </c>
      <c r="V44" s="66">
        <f t="shared" si="38"/>
        <v>8867.2700000000041</v>
      </c>
    </row>
    <row r="46" spans="1:22" ht="15" thickBot="1" x14ac:dyDescent="0.4"/>
    <row r="47" spans="1:22" ht="15" thickBot="1" x14ac:dyDescent="0.4">
      <c r="C47" s="25">
        <v>2018</v>
      </c>
      <c r="D47" s="26"/>
      <c r="F47" s="25">
        <v>2019</v>
      </c>
      <c r="G47" s="26"/>
      <c r="I47" s="25">
        <v>2020</v>
      </c>
      <c r="J47" s="26"/>
      <c r="L47" s="25">
        <v>2021</v>
      </c>
      <c r="M47" s="26"/>
      <c r="O47" s="25">
        <v>2022</v>
      </c>
      <c r="P47" s="26"/>
      <c r="R47" s="25">
        <v>2023</v>
      </c>
      <c r="S47" s="26"/>
      <c r="U47" s="25">
        <v>2024</v>
      </c>
      <c r="V47" s="26"/>
    </row>
    <row r="48" spans="1:22" ht="15" thickBot="1" x14ac:dyDescent="0.4">
      <c r="A48" s="31" t="s">
        <v>38</v>
      </c>
      <c r="B48" s="32"/>
      <c r="C48" s="11"/>
      <c r="D48" s="12"/>
      <c r="F48" s="11"/>
      <c r="G48" s="12"/>
      <c r="I48" s="11"/>
      <c r="J48" s="12"/>
      <c r="L48" s="11"/>
      <c r="M48" s="12"/>
      <c r="O48" s="11"/>
      <c r="P48" s="12"/>
      <c r="R48" s="11"/>
      <c r="S48" s="12"/>
      <c r="U48" s="11"/>
      <c r="V48" s="12"/>
    </row>
    <row r="49" spans="1:22" ht="15" thickBot="1" x14ac:dyDescent="0.4">
      <c r="C49" s="13" t="s">
        <v>23</v>
      </c>
      <c r="D49" s="14" t="s">
        <v>24</v>
      </c>
      <c r="F49" s="13" t="s">
        <v>23</v>
      </c>
      <c r="G49" s="14" t="s">
        <v>24</v>
      </c>
      <c r="I49" s="13" t="s">
        <v>23</v>
      </c>
      <c r="J49" s="14" t="s">
        <v>24</v>
      </c>
      <c r="L49" s="13" t="s">
        <v>23</v>
      </c>
      <c r="M49" s="14" t="s">
        <v>24</v>
      </c>
      <c r="O49" s="13" t="s">
        <v>23</v>
      </c>
      <c r="P49" s="14" t="s">
        <v>24</v>
      </c>
      <c r="R49" s="13" t="s">
        <v>23</v>
      </c>
      <c r="S49" s="14" t="s">
        <v>24</v>
      </c>
      <c r="U49" s="13" t="s">
        <v>23</v>
      </c>
      <c r="V49" s="14" t="s">
        <v>24</v>
      </c>
    </row>
    <row r="50" spans="1:22" x14ac:dyDescent="0.35">
      <c r="A50" s="16" t="s">
        <v>20</v>
      </c>
      <c r="C50" s="56">
        <f>C6*12</f>
        <v>7010.2800000000007</v>
      </c>
      <c r="D50" s="57">
        <f>D6*12</f>
        <v>18388.079999999998</v>
      </c>
      <c r="E50" s="58"/>
      <c r="F50" s="56">
        <f t="shared" ref="F50:V50" si="39">F6*12</f>
        <v>7395.36</v>
      </c>
      <c r="G50" s="57">
        <f t="shared" si="39"/>
        <v>19398.12</v>
      </c>
      <c r="H50" s="58"/>
      <c r="I50" s="56">
        <f t="shared" si="39"/>
        <v>7950</v>
      </c>
      <c r="J50" s="57">
        <f t="shared" si="39"/>
        <v>20853</v>
      </c>
      <c r="K50" s="58"/>
      <c r="L50" s="56">
        <f t="shared" si="39"/>
        <v>8387.2800000000007</v>
      </c>
      <c r="M50" s="57">
        <f t="shared" si="39"/>
        <v>21999.96</v>
      </c>
      <c r="N50" s="58"/>
      <c r="O50" s="56">
        <f t="shared" si="39"/>
        <v>8555.0399999999991</v>
      </c>
      <c r="P50" s="57">
        <f t="shared" si="39"/>
        <v>22440</v>
      </c>
      <c r="Q50" s="58"/>
      <c r="R50" s="56">
        <f t="shared" si="39"/>
        <v>9458.16</v>
      </c>
      <c r="S50" s="57">
        <f t="shared" si="39"/>
        <v>24808.92</v>
      </c>
      <c r="T50" s="58"/>
      <c r="U50" s="56">
        <f t="shared" si="39"/>
        <v>9931.08</v>
      </c>
      <c r="V50" s="57">
        <f t="shared" si="39"/>
        <v>26049.360000000001</v>
      </c>
    </row>
    <row r="51" spans="1:22" x14ac:dyDescent="0.35">
      <c r="A51" s="17" t="s">
        <v>21</v>
      </c>
      <c r="C51" s="56">
        <f>C7*12</f>
        <v>447.84000000000003</v>
      </c>
      <c r="D51" s="57">
        <f>D7*12</f>
        <v>1301.8799999999999</v>
      </c>
      <c r="E51" s="58"/>
      <c r="F51" s="56">
        <f t="shared" ref="F51:V51" si="40">F7*12</f>
        <v>459</v>
      </c>
      <c r="G51" s="57">
        <f t="shared" si="40"/>
        <v>1334.4</v>
      </c>
      <c r="H51" s="58"/>
      <c r="I51" s="56">
        <f t="shared" si="40"/>
        <v>470.52</v>
      </c>
      <c r="J51" s="57">
        <f t="shared" si="40"/>
        <v>1367.76</v>
      </c>
      <c r="K51" s="58"/>
      <c r="L51" s="56">
        <f t="shared" si="40"/>
        <v>489.36</v>
      </c>
      <c r="M51" s="57">
        <f t="shared" si="40"/>
        <v>1422.48</v>
      </c>
      <c r="N51" s="58"/>
      <c r="O51" s="56">
        <f t="shared" si="40"/>
        <v>489.36</v>
      </c>
      <c r="P51" s="57">
        <f t="shared" si="40"/>
        <v>1422.48</v>
      </c>
      <c r="Q51" s="58"/>
      <c r="R51" s="56">
        <f t="shared" si="40"/>
        <v>489.36</v>
      </c>
      <c r="S51" s="57">
        <f t="shared" si="40"/>
        <v>1422.48</v>
      </c>
      <c r="T51" s="58"/>
      <c r="U51" s="56">
        <f t="shared" si="40"/>
        <v>489.36</v>
      </c>
      <c r="V51" s="57">
        <f t="shared" si="40"/>
        <v>1422.48</v>
      </c>
    </row>
    <row r="52" spans="1:22" x14ac:dyDescent="0.35">
      <c r="A52" s="17" t="s">
        <v>25</v>
      </c>
      <c r="C52" s="42">
        <f>C8*12</f>
        <v>531.72</v>
      </c>
      <c r="D52" s="43"/>
      <c r="E52" s="58"/>
      <c r="F52" s="42">
        <f t="shared" ref="F52" si="41">F8*12</f>
        <v>850.92</v>
      </c>
      <c r="G52" s="43"/>
      <c r="H52" s="58"/>
      <c r="I52" s="42">
        <f t="shared" ref="I52" si="42">I8*12</f>
        <v>871.08</v>
      </c>
      <c r="J52" s="43"/>
      <c r="K52" s="58"/>
      <c r="L52" s="42">
        <f t="shared" ref="L52" si="43">L8*12</f>
        <v>625.91999999999996</v>
      </c>
      <c r="M52" s="43"/>
      <c r="N52" s="58"/>
      <c r="O52" s="42">
        <f t="shared" ref="O52" si="44">O8*12</f>
        <v>706.2</v>
      </c>
      <c r="P52" s="43"/>
      <c r="Q52" s="58"/>
      <c r="R52" s="42">
        <f t="shared" ref="R52" si="45">R8*12</f>
        <v>716.88</v>
      </c>
      <c r="S52" s="43"/>
      <c r="T52" s="58"/>
      <c r="U52" s="42">
        <f t="shared" ref="U52" si="46">U8*12</f>
        <v>737.64</v>
      </c>
      <c r="V52" s="43"/>
    </row>
    <row r="53" spans="1:22" x14ac:dyDescent="0.35">
      <c r="A53" s="17" t="s">
        <v>26</v>
      </c>
      <c r="C53" s="42">
        <f>C9*12</f>
        <v>2287.9</v>
      </c>
      <c r="D53" s="43"/>
      <c r="E53" s="58"/>
      <c r="F53" s="42">
        <f t="shared" ref="F53" si="47">F9*12</f>
        <v>2360.9899999999998</v>
      </c>
      <c r="G53" s="43"/>
      <c r="H53" s="58"/>
      <c r="I53" s="42">
        <f t="shared" ref="I53" si="48">I9*12</f>
        <v>3048.5</v>
      </c>
      <c r="J53" s="43"/>
      <c r="K53" s="58"/>
      <c r="L53" s="42">
        <f t="shared" ref="L53" si="49">L9*12</f>
        <v>3169.12</v>
      </c>
      <c r="M53" s="43"/>
      <c r="N53" s="58"/>
      <c r="O53" s="42">
        <f t="shared" ref="O53" si="50">O9*12</f>
        <v>3408.1099999999997</v>
      </c>
      <c r="P53" s="43"/>
      <c r="Q53" s="58"/>
      <c r="R53" s="42">
        <f t="shared" ref="R53" si="51">R9*12</f>
        <v>3167.37</v>
      </c>
      <c r="S53" s="43"/>
      <c r="T53" s="58"/>
      <c r="U53" s="42">
        <f t="shared" ref="U53" si="52">U9*12</f>
        <v>3167.37</v>
      </c>
      <c r="V53" s="43"/>
    </row>
    <row r="54" spans="1:22" x14ac:dyDescent="0.35">
      <c r="A54" s="18"/>
      <c r="C54" s="59"/>
      <c r="D54" s="60"/>
      <c r="E54" s="58"/>
      <c r="F54" s="59"/>
      <c r="G54" s="60"/>
      <c r="H54" s="58"/>
      <c r="I54" s="59"/>
      <c r="J54" s="60"/>
      <c r="K54" s="58"/>
      <c r="L54" s="59"/>
      <c r="M54" s="60"/>
      <c r="N54" s="58"/>
      <c r="O54" s="59"/>
      <c r="P54" s="60"/>
      <c r="Q54" s="58"/>
      <c r="R54" s="59"/>
      <c r="S54" s="60"/>
      <c r="T54" s="58"/>
      <c r="U54" s="59"/>
      <c r="V54" s="60"/>
    </row>
    <row r="55" spans="1:22" ht="15" thickBot="1" x14ac:dyDescent="0.4">
      <c r="A55" s="19" t="s">
        <v>27</v>
      </c>
      <c r="C55" s="61">
        <f>C50+C51+C52+C53</f>
        <v>10277.740000000002</v>
      </c>
      <c r="D55" s="62">
        <f>D50+D51+C52+C53</f>
        <v>22509.58</v>
      </c>
      <c r="E55" s="58"/>
      <c r="F55" s="61">
        <f>F50+F51+F52+F53</f>
        <v>11066.269999999999</v>
      </c>
      <c r="G55" s="62">
        <f>G50+G51+F52+F53</f>
        <v>23944.43</v>
      </c>
      <c r="H55" s="58"/>
      <c r="I55" s="61">
        <f>I50+I51+I52+I53</f>
        <v>12340.1</v>
      </c>
      <c r="J55" s="62">
        <f>J50+J51+I52+I53</f>
        <v>26140.34</v>
      </c>
      <c r="K55" s="58"/>
      <c r="L55" s="61">
        <f>L50+L51+L52+L53</f>
        <v>12671.68</v>
      </c>
      <c r="M55" s="62">
        <f>M50+M51+L52+L53</f>
        <v>27217.479999999996</v>
      </c>
      <c r="N55" s="58"/>
      <c r="O55" s="61">
        <f>O50+O51+O52+O53</f>
        <v>13158.71</v>
      </c>
      <c r="P55" s="62">
        <f>P50+P51+O52+O53</f>
        <v>27976.79</v>
      </c>
      <c r="Q55" s="58"/>
      <c r="R55" s="61">
        <f>R50+R51+R52+R53</f>
        <v>13831.77</v>
      </c>
      <c r="S55" s="62">
        <f>S50+S51+R52+R53</f>
        <v>30115.649999999998</v>
      </c>
      <c r="T55" s="58"/>
      <c r="U55" s="61">
        <f>U50+U51+U52+U53</f>
        <v>14325.45</v>
      </c>
      <c r="V55" s="62">
        <f>V50+V51+U52+U53</f>
        <v>31376.85</v>
      </c>
    </row>
  </sheetData>
  <mergeCells count="110">
    <mergeCell ref="R53:S53"/>
    <mergeCell ref="U53:V53"/>
    <mergeCell ref="C53:D53"/>
    <mergeCell ref="F53:G53"/>
    <mergeCell ref="I53:J53"/>
    <mergeCell ref="L53:M53"/>
    <mergeCell ref="O53:P53"/>
    <mergeCell ref="R47:S47"/>
    <mergeCell ref="U47:V47"/>
    <mergeCell ref="C42:D42"/>
    <mergeCell ref="F42:G42"/>
    <mergeCell ref="I42:J42"/>
    <mergeCell ref="L42:M42"/>
    <mergeCell ref="O42:P42"/>
    <mergeCell ref="R42:S42"/>
    <mergeCell ref="U42:V42"/>
    <mergeCell ref="A48:B48"/>
    <mergeCell ref="C52:D52"/>
    <mergeCell ref="F52:G52"/>
    <mergeCell ref="I52:J52"/>
    <mergeCell ref="L52:M52"/>
    <mergeCell ref="O52:P52"/>
    <mergeCell ref="R52:S52"/>
    <mergeCell ref="U52:V52"/>
    <mergeCell ref="C47:D47"/>
    <mergeCell ref="F47:G47"/>
    <mergeCell ref="I47:J47"/>
    <mergeCell ref="L47:M47"/>
    <mergeCell ref="O47:P47"/>
    <mergeCell ref="A37:B37"/>
    <mergeCell ref="C41:D41"/>
    <mergeCell ref="F41:G41"/>
    <mergeCell ref="I41:J41"/>
    <mergeCell ref="L41:M41"/>
    <mergeCell ref="R31:S31"/>
    <mergeCell ref="U31:V31"/>
    <mergeCell ref="C36:D36"/>
    <mergeCell ref="F36:G36"/>
    <mergeCell ref="I36:J36"/>
    <mergeCell ref="L36:M36"/>
    <mergeCell ref="O36:P36"/>
    <mergeCell ref="R36:S36"/>
    <mergeCell ref="U36:V36"/>
    <mergeCell ref="C31:D31"/>
    <mergeCell ref="F31:G31"/>
    <mergeCell ref="I31:J31"/>
    <mergeCell ref="L31:M31"/>
    <mergeCell ref="O31:P31"/>
    <mergeCell ref="O41:P41"/>
    <mergeCell ref="R41:S41"/>
    <mergeCell ref="U41:V41"/>
    <mergeCell ref="R25:S25"/>
    <mergeCell ref="U25:V25"/>
    <mergeCell ref="A26:B26"/>
    <mergeCell ref="C30:D30"/>
    <mergeCell ref="F30:G30"/>
    <mergeCell ref="I30:J30"/>
    <mergeCell ref="L30:M30"/>
    <mergeCell ref="O30:P30"/>
    <mergeCell ref="R30:S30"/>
    <mergeCell ref="U30:V30"/>
    <mergeCell ref="C25:D25"/>
    <mergeCell ref="F25:G25"/>
    <mergeCell ref="I25:J25"/>
    <mergeCell ref="L25:M25"/>
    <mergeCell ref="O25:P25"/>
    <mergeCell ref="O14:P14"/>
    <mergeCell ref="R14:S14"/>
    <mergeCell ref="U14:V14"/>
    <mergeCell ref="A4:B4"/>
    <mergeCell ref="A15:B15"/>
    <mergeCell ref="C14:D14"/>
    <mergeCell ref="F14:G14"/>
    <mergeCell ref="I14:J14"/>
    <mergeCell ref="L14:M14"/>
    <mergeCell ref="R19:S19"/>
    <mergeCell ref="U19:V19"/>
    <mergeCell ref="C20:D20"/>
    <mergeCell ref="F20:G20"/>
    <mergeCell ref="I20:J20"/>
    <mergeCell ref="L20:M20"/>
    <mergeCell ref="O20:P20"/>
    <mergeCell ref="R20:S20"/>
    <mergeCell ref="U20:V20"/>
    <mergeCell ref="C19:D19"/>
    <mergeCell ref="F19:G19"/>
    <mergeCell ref="I19:J19"/>
    <mergeCell ref="L19:M19"/>
    <mergeCell ref="O19:P19"/>
    <mergeCell ref="C3:D3"/>
    <mergeCell ref="C8:D8"/>
    <mergeCell ref="C9:D9"/>
    <mergeCell ref="F3:G3"/>
    <mergeCell ref="I3:J3"/>
    <mergeCell ref="O3:P3"/>
    <mergeCell ref="R3:S3"/>
    <mergeCell ref="U3:V3"/>
    <mergeCell ref="F8:G8"/>
    <mergeCell ref="F9:G9"/>
    <mergeCell ref="I8:J8"/>
    <mergeCell ref="I9:J9"/>
    <mergeCell ref="L3:M3"/>
    <mergeCell ref="L8:M8"/>
    <mergeCell ref="L9:M9"/>
    <mergeCell ref="O8:P8"/>
    <mergeCell ref="O9:P9"/>
    <mergeCell ref="R8:S8"/>
    <mergeCell ref="R9:S9"/>
    <mergeCell ref="U8:V8"/>
    <mergeCell ref="U9:V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CE84-6235-4FFE-82C2-08812C39C096}">
  <dimension ref="O2:Z29"/>
  <sheetViews>
    <sheetView workbookViewId="0">
      <selection activeCell="A17" sqref="A17"/>
    </sheetView>
  </sheetViews>
  <sheetFormatPr defaultRowHeight="14.5" x14ac:dyDescent="0.35"/>
  <cols>
    <col min="11" max="14" width="32.08984375" customWidth="1"/>
    <col min="15" max="15" width="33.90625" bestFit="1" customWidth="1"/>
    <col min="17" max="23" width="13.81640625" bestFit="1" customWidth="1"/>
    <col min="25" max="26" width="10.1796875" bestFit="1" customWidth="1"/>
  </cols>
  <sheetData>
    <row r="2" spans="15:25" x14ac:dyDescent="0.35">
      <c r="W2" s="5" t="s">
        <v>16</v>
      </c>
    </row>
    <row r="3" spans="15:25" x14ac:dyDescent="0.35">
      <c r="Q3" s="5">
        <v>2018</v>
      </c>
      <c r="R3" s="5">
        <v>2019</v>
      </c>
      <c r="S3" s="5">
        <v>2020</v>
      </c>
      <c r="T3" s="5">
        <v>2021</v>
      </c>
      <c r="U3" s="5">
        <v>2022</v>
      </c>
      <c r="V3" s="5">
        <v>2023</v>
      </c>
      <c r="W3" s="5">
        <v>2024</v>
      </c>
    </row>
    <row r="4" spans="15:25" x14ac:dyDescent="0.35">
      <c r="Q4" s="1"/>
      <c r="R4" s="1"/>
      <c r="S4" s="1"/>
      <c r="T4" s="1"/>
      <c r="U4" s="1"/>
      <c r="V4" s="1"/>
      <c r="W4" s="1"/>
      <c r="X4" s="1"/>
      <c r="Y4" s="1"/>
    </row>
    <row r="5" spans="15:25" x14ac:dyDescent="0.35">
      <c r="O5" t="s">
        <v>0</v>
      </c>
      <c r="Q5" s="1">
        <v>4686461557</v>
      </c>
      <c r="R5" s="1">
        <v>6848486308</v>
      </c>
      <c r="S5" s="1">
        <v>5677053727</v>
      </c>
      <c r="T5" s="1">
        <v>5621048095</v>
      </c>
      <c r="U5" s="1">
        <v>4744220565</v>
      </c>
      <c r="V5" s="1">
        <v>3831008289</v>
      </c>
      <c r="W5" s="1">
        <v>1187355380</v>
      </c>
      <c r="X5" s="1"/>
      <c r="Y5" s="1"/>
    </row>
    <row r="6" spans="15:25" x14ac:dyDescent="0.35">
      <c r="O6" t="s">
        <v>1</v>
      </c>
      <c r="Q6" s="1">
        <f>4680594974</f>
        <v>4680594974</v>
      </c>
      <c r="R6" s="1">
        <v>6841193338</v>
      </c>
      <c r="S6" s="1">
        <v>5632254215</v>
      </c>
      <c r="T6" s="1">
        <v>5555668894</v>
      </c>
      <c r="U6" s="1">
        <v>4685288643</v>
      </c>
      <c r="V6" s="1">
        <v>3792876574</v>
      </c>
      <c r="W6" s="1">
        <f>1180445779</f>
        <v>1180445779</v>
      </c>
      <c r="X6" s="1"/>
      <c r="Y6" s="1"/>
    </row>
    <row r="7" spans="15:25" x14ac:dyDescent="0.35">
      <c r="O7" t="s">
        <v>2</v>
      </c>
      <c r="Q7" s="1">
        <f t="shared" ref="Q7:W7" si="0">Q5-Q6</f>
        <v>5866583</v>
      </c>
      <c r="R7" s="1">
        <f t="shared" si="0"/>
        <v>7292970</v>
      </c>
      <c r="S7" s="1">
        <f t="shared" si="0"/>
        <v>44799512</v>
      </c>
      <c r="T7" s="1">
        <f t="shared" si="0"/>
        <v>65379201</v>
      </c>
      <c r="U7" s="1">
        <f t="shared" si="0"/>
        <v>58931922</v>
      </c>
      <c r="V7" s="1">
        <f t="shared" si="0"/>
        <v>38131715</v>
      </c>
      <c r="W7" s="1">
        <f t="shared" si="0"/>
        <v>6909601</v>
      </c>
      <c r="X7" s="1"/>
      <c r="Y7" s="1"/>
    </row>
    <row r="8" spans="15:25" x14ac:dyDescent="0.35">
      <c r="Q8" s="1"/>
      <c r="R8" s="1"/>
      <c r="S8" s="1"/>
      <c r="T8" s="1"/>
      <c r="U8" s="1"/>
      <c r="V8" s="1"/>
      <c r="W8" s="1"/>
      <c r="X8" s="1"/>
      <c r="Y8" s="1"/>
    </row>
    <row r="9" spans="15:25" x14ac:dyDescent="0.35">
      <c r="O9" t="s">
        <v>3</v>
      </c>
      <c r="Q9" s="1"/>
      <c r="R9" s="1"/>
      <c r="S9" s="1"/>
      <c r="T9" s="1"/>
      <c r="U9" s="1"/>
      <c r="V9" s="1"/>
      <c r="W9" s="1"/>
      <c r="X9" s="1"/>
      <c r="Y9" s="1"/>
    </row>
    <row r="10" spans="15:25" x14ac:dyDescent="0.35">
      <c r="O10" t="s">
        <v>4</v>
      </c>
      <c r="Q10" s="1"/>
      <c r="R10" s="1"/>
      <c r="S10" s="1"/>
      <c r="T10" s="1"/>
      <c r="U10" s="1"/>
      <c r="V10" s="1"/>
      <c r="W10" s="1"/>
      <c r="X10" s="1"/>
      <c r="Y10" s="1"/>
    </row>
    <row r="11" spans="15:25" x14ac:dyDescent="0.35">
      <c r="O11" t="s">
        <v>7</v>
      </c>
      <c r="Q11" s="1">
        <v>385921</v>
      </c>
      <c r="R11" s="1">
        <v>440863</v>
      </c>
      <c r="S11" s="1">
        <v>721078</v>
      </c>
      <c r="T11" s="1">
        <v>887717</v>
      </c>
      <c r="U11" s="1">
        <v>980768</v>
      </c>
      <c r="V11" s="1">
        <v>1222608</v>
      </c>
      <c r="W11" s="1">
        <f>9165.09+287093+33302.17+85593.08+40950+6284.71+7960.99+195+68090.81+12234.15</f>
        <v>550869.00000000012</v>
      </c>
      <c r="X11" s="1"/>
      <c r="Y11" s="1"/>
    </row>
    <row r="12" spans="15:25" x14ac:dyDescent="0.35">
      <c r="O12" t="s">
        <v>6</v>
      </c>
      <c r="Q12" s="2">
        <f>209770+430296+2176446</f>
        <v>2816512</v>
      </c>
      <c r="R12" s="1">
        <f>246352+515287+2303552</f>
        <v>3065191</v>
      </c>
      <c r="S12" s="1">
        <f>355048+905555+6937122</f>
        <v>8197725</v>
      </c>
      <c r="T12" s="1">
        <f>481996+1006629+8334895</f>
        <v>9823520</v>
      </c>
      <c r="U12" s="1">
        <f>485391+1204422+9801365</f>
        <v>11491178</v>
      </c>
      <c r="V12" s="1">
        <f>630764+1191793+9085914</f>
        <v>10908471</v>
      </c>
      <c r="W12" s="1">
        <f>2418608.28+178572.92+225116.4+60923.01+19183.33+5380.91</f>
        <v>2907784.8499999996</v>
      </c>
      <c r="X12" s="1"/>
      <c r="Y12" s="1"/>
    </row>
    <row r="13" spans="15:25" ht="15" thickBot="1" x14ac:dyDescent="0.4">
      <c r="Q13" s="3">
        <f t="shared" ref="Q13:W13" si="1">SUM(Q11:Q12)</f>
        <v>3202433</v>
      </c>
      <c r="R13" s="3">
        <f t="shared" si="1"/>
        <v>3506054</v>
      </c>
      <c r="S13" s="3">
        <f t="shared" si="1"/>
        <v>8918803</v>
      </c>
      <c r="T13" s="3">
        <f t="shared" si="1"/>
        <v>10711237</v>
      </c>
      <c r="U13" s="3">
        <f t="shared" si="1"/>
        <v>12471946</v>
      </c>
      <c r="V13" s="3">
        <f t="shared" si="1"/>
        <v>12131079</v>
      </c>
      <c r="W13" s="3">
        <f t="shared" si="1"/>
        <v>3458653.8499999996</v>
      </c>
      <c r="X13" s="1"/>
      <c r="Y13" s="1"/>
    </row>
    <row r="14" spans="15:25" x14ac:dyDescent="0.35">
      <c r="Q14" s="4"/>
      <c r="R14" s="4"/>
      <c r="S14" s="4"/>
      <c r="T14" s="4"/>
      <c r="U14" s="4"/>
      <c r="V14" s="4"/>
      <c r="W14" s="4"/>
      <c r="X14" s="1"/>
      <c r="Y14" s="1"/>
    </row>
    <row r="15" spans="15:25" x14ac:dyDescent="0.35">
      <c r="O15" t="s">
        <v>5</v>
      </c>
      <c r="Q15" s="1">
        <v>2826434</v>
      </c>
      <c r="R15" s="1">
        <v>2689467</v>
      </c>
      <c r="S15" s="1">
        <v>2657427</v>
      </c>
      <c r="T15" s="1">
        <v>2939550</v>
      </c>
      <c r="U15" s="1">
        <v>3637478</v>
      </c>
      <c r="V15" s="1">
        <v>4189423</v>
      </c>
      <c r="W15" s="1">
        <v>1652150.26</v>
      </c>
      <c r="X15" s="1"/>
      <c r="Y15" s="1"/>
    </row>
    <row r="16" spans="15:25" x14ac:dyDescent="0.35">
      <c r="Q16" s="1"/>
      <c r="R16" s="1"/>
      <c r="S16" s="1"/>
      <c r="T16" s="1"/>
      <c r="U16" s="1"/>
      <c r="V16" s="1"/>
      <c r="W16" s="1"/>
      <c r="X16" s="1"/>
      <c r="Y16" s="1"/>
    </row>
    <row r="17" spans="15:26" x14ac:dyDescent="0.35">
      <c r="O17" t="s">
        <v>8</v>
      </c>
      <c r="Q17" s="1">
        <f>1047264-549092</f>
        <v>498172</v>
      </c>
      <c r="R17" s="1">
        <f>930431-474205</f>
        <v>456226</v>
      </c>
      <c r="S17" s="1">
        <f>1420012+37253</f>
        <v>1457265</v>
      </c>
      <c r="T17" s="1">
        <f>1874652-237688</f>
        <v>1636964</v>
      </c>
      <c r="U17" s="1">
        <f>1990587+-538591</f>
        <v>1451996</v>
      </c>
      <c r="V17" s="1">
        <f>2238911+-903419</f>
        <v>1335492</v>
      </c>
      <c r="W17" s="1">
        <f>182449.32+-916413.44</f>
        <v>-733964.11999999988</v>
      </c>
      <c r="X17" s="6"/>
      <c r="Y17" s="6"/>
      <c r="Z17" s="6"/>
    </row>
    <row r="18" spans="15:26" x14ac:dyDescent="0.35">
      <c r="Q18" s="1"/>
      <c r="R18" s="1"/>
      <c r="S18" s="1"/>
      <c r="T18" s="1"/>
      <c r="U18" s="1"/>
      <c r="V18" s="1"/>
      <c r="W18" s="1"/>
      <c r="X18" s="1"/>
      <c r="Y18" s="1"/>
    </row>
    <row r="19" spans="15:26" x14ac:dyDescent="0.35">
      <c r="O19" t="s">
        <v>12</v>
      </c>
      <c r="Q19" s="1">
        <f t="shared" ref="Q19:W19" si="2">Q7-Q13-Q15-Q17</f>
        <v>-660456</v>
      </c>
      <c r="R19" s="1">
        <f t="shared" si="2"/>
        <v>641223</v>
      </c>
      <c r="S19" s="1">
        <f t="shared" si="2"/>
        <v>31766017</v>
      </c>
      <c r="T19" s="1">
        <f t="shared" si="2"/>
        <v>50091450</v>
      </c>
      <c r="U19" s="1">
        <f t="shared" si="2"/>
        <v>41370502</v>
      </c>
      <c r="V19" s="1">
        <f t="shared" si="2"/>
        <v>20475721</v>
      </c>
      <c r="W19" s="1">
        <f t="shared" si="2"/>
        <v>2532761.0100000002</v>
      </c>
      <c r="X19" s="1"/>
      <c r="Y19" s="1"/>
    </row>
    <row r="20" spans="15:26" x14ac:dyDescent="0.35">
      <c r="Q20" s="1"/>
      <c r="R20" s="1"/>
      <c r="S20" s="1"/>
      <c r="T20" s="1"/>
      <c r="U20" s="1"/>
      <c r="V20" s="1"/>
      <c r="W20" s="1"/>
      <c r="X20" s="1"/>
      <c r="Y20" s="1"/>
    </row>
    <row r="21" spans="15:26" x14ac:dyDescent="0.35">
      <c r="O21" t="s">
        <v>13</v>
      </c>
      <c r="Q21" s="1">
        <v>-120939</v>
      </c>
      <c r="R21" s="1">
        <v>-200973</v>
      </c>
      <c r="S21" s="1">
        <v>-1221852</v>
      </c>
      <c r="T21" s="1">
        <v>-4393896</v>
      </c>
      <c r="U21" s="1">
        <v>-3580463</v>
      </c>
      <c r="V21" s="1">
        <v>-2770000</v>
      </c>
      <c r="W21" s="1">
        <v>0</v>
      </c>
      <c r="X21" s="1"/>
      <c r="Y21" s="1"/>
    </row>
    <row r="22" spans="15:26" x14ac:dyDescent="0.35">
      <c r="Q22" s="1"/>
      <c r="R22" s="1"/>
      <c r="S22" s="1"/>
      <c r="T22" s="1"/>
      <c r="U22" s="1"/>
      <c r="V22" s="1"/>
      <c r="W22" s="1"/>
      <c r="X22" s="1"/>
      <c r="Y22" s="1"/>
    </row>
    <row r="23" spans="15:26" x14ac:dyDescent="0.35">
      <c r="O23" t="s">
        <v>14</v>
      </c>
      <c r="Q23" s="1">
        <f t="shared" ref="Q23:W23" si="3">Q19+Q21</f>
        <v>-781395</v>
      </c>
      <c r="R23" s="1">
        <f t="shared" si="3"/>
        <v>440250</v>
      </c>
      <c r="S23" s="1">
        <f t="shared" si="3"/>
        <v>30544165</v>
      </c>
      <c r="T23" s="1">
        <f t="shared" si="3"/>
        <v>45697554</v>
      </c>
      <c r="U23" s="1">
        <f t="shared" si="3"/>
        <v>37790039</v>
      </c>
      <c r="V23" s="1">
        <f t="shared" si="3"/>
        <v>17705721</v>
      </c>
      <c r="W23" s="1">
        <f t="shared" si="3"/>
        <v>2532761.0100000002</v>
      </c>
      <c r="X23" s="1"/>
      <c r="Y23" s="1"/>
    </row>
    <row r="24" spans="15:26" x14ac:dyDescent="0.35">
      <c r="Q24" s="1"/>
      <c r="R24" s="1"/>
      <c r="S24" s="1"/>
      <c r="T24" s="1"/>
      <c r="U24" s="1"/>
      <c r="V24" s="1"/>
      <c r="W24" s="1"/>
      <c r="X24" s="1"/>
      <c r="Y24" s="1"/>
    </row>
    <row r="25" spans="15:26" x14ac:dyDescent="0.35">
      <c r="Q25" s="1"/>
      <c r="R25" s="1"/>
      <c r="S25" s="1"/>
      <c r="T25" s="1"/>
      <c r="U25" s="1"/>
      <c r="V25" s="1"/>
      <c r="W25" s="1"/>
      <c r="X25" s="1"/>
      <c r="Y25" s="1"/>
    </row>
    <row r="26" spans="15:26" x14ac:dyDescent="0.35">
      <c r="Q26" s="1"/>
      <c r="R26" s="1"/>
      <c r="S26" s="1"/>
      <c r="T26" s="1"/>
      <c r="U26" s="1"/>
      <c r="V26" s="1"/>
      <c r="W26" s="1"/>
      <c r="X26" s="1"/>
      <c r="Y26" s="1"/>
    </row>
    <row r="27" spans="15:26" x14ac:dyDescent="0.35">
      <c r="Q27" s="1"/>
      <c r="R27" s="1"/>
      <c r="S27" s="1"/>
      <c r="T27" s="1"/>
      <c r="U27" s="1"/>
      <c r="V27" s="1"/>
      <c r="W27" s="1"/>
      <c r="X27" s="1"/>
      <c r="Y27" s="1"/>
    </row>
    <row r="28" spans="15:26" x14ac:dyDescent="0.35">
      <c r="Q28" s="1"/>
      <c r="R28" s="1"/>
      <c r="S28" s="1"/>
      <c r="T28" s="1"/>
      <c r="U28" s="1"/>
      <c r="V28" s="1"/>
      <c r="W28" s="1"/>
      <c r="X28" s="1"/>
      <c r="Y28" s="1"/>
    </row>
    <row r="29" spans="15:26" x14ac:dyDescent="0.35">
      <c r="Q29" s="1"/>
      <c r="R29" s="1"/>
      <c r="S29" s="1"/>
      <c r="T29" s="1"/>
      <c r="U29" s="1"/>
      <c r="V29" s="1"/>
      <c r="W29" s="1"/>
      <c r="X29" s="1"/>
      <c r="Y29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1FAFF-18C3-4A5B-877B-C765C4E9E0A7}">
  <dimension ref="A2:L29"/>
  <sheetViews>
    <sheetView workbookViewId="0">
      <selection activeCell="F17" sqref="F17"/>
    </sheetView>
  </sheetViews>
  <sheetFormatPr defaultRowHeight="14.5" x14ac:dyDescent="0.35"/>
  <cols>
    <col min="1" max="1" width="33.90625" bestFit="1" customWidth="1"/>
    <col min="3" max="9" width="13.81640625" bestFit="1" customWidth="1"/>
    <col min="11" max="12" width="10.1796875" bestFit="1" customWidth="1"/>
  </cols>
  <sheetData>
    <row r="2" spans="1:11" x14ac:dyDescent="0.35">
      <c r="I2" s="5" t="s">
        <v>16</v>
      </c>
    </row>
    <row r="3" spans="1:11" x14ac:dyDescent="0.35">
      <c r="C3" s="5">
        <v>2018</v>
      </c>
      <c r="D3" s="5">
        <v>2019</v>
      </c>
      <c r="E3" s="5">
        <v>2020</v>
      </c>
      <c r="F3" s="5">
        <v>2021</v>
      </c>
      <c r="G3" s="5">
        <v>2022</v>
      </c>
      <c r="H3" s="5">
        <v>2023</v>
      </c>
      <c r="I3" s="5">
        <v>2024</v>
      </c>
    </row>
    <row r="4" spans="1:11" x14ac:dyDescent="0.35">
      <c r="C4" s="1"/>
      <c r="D4" s="1"/>
      <c r="E4" s="1"/>
      <c r="F4" s="1"/>
      <c r="G4" s="1"/>
      <c r="H4" s="1"/>
      <c r="I4" s="1"/>
      <c r="J4" s="1"/>
      <c r="K4" s="1"/>
    </row>
    <row r="5" spans="1:11" x14ac:dyDescent="0.35">
      <c r="A5" t="s">
        <v>0</v>
      </c>
      <c r="C5" s="1">
        <v>4686461557</v>
      </c>
      <c r="D5" s="1">
        <v>6848486308</v>
      </c>
      <c r="E5" s="1">
        <v>5677053727</v>
      </c>
      <c r="F5" s="1">
        <v>5621048095</v>
      </c>
      <c r="G5" s="1">
        <v>4744220565</v>
      </c>
      <c r="H5" s="1">
        <v>3831008289</v>
      </c>
      <c r="I5" s="1">
        <v>1187355380</v>
      </c>
      <c r="J5" s="1"/>
      <c r="K5" s="1"/>
    </row>
    <row r="6" spans="1:11" x14ac:dyDescent="0.35">
      <c r="A6" t="s">
        <v>1</v>
      </c>
      <c r="C6" s="1">
        <f>4680594974</f>
        <v>4680594974</v>
      </c>
      <c r="D6" s="1">
        <v>6841193338</v>
      </c>
      <c r="E6" s="1">
        <v>5632254215</v>
      </c>
      <c r="F6" s="1">
        <v>5555668894</v>
      </c>
      <c r="G6" s="1">
        <v>4685288643</v>
      </c>
      <c r="H6" s="1">
        <v>3792876574</v>
      </c>
      <c r="I6" s="1">
        <f>1180445779</f>
        <v>1180445779</v>
      </c>
      <c r="J6" s="1"/>
      <c r="K6" s="1"/>
    </row>
    <row r="7" spans="1:11" x14ac:dyDescent="0.35">
      <c r="A7" t="s">
        <v>2</v>
      </c>
      <c r="C7" s="1">
        <f t="shared" ref="C7:I7" si="0">C5-C6</f>
        <v>5866583</v>
      </c>
      <c r="D7" s="1">
        <f t="shared" si="0"/>
        <v>7292970</v>
      </c>
      <c r="E7" s="1">
        <f t="shared" si="0"/>
        <v>44799512</v>
      </c>
      <c r="F7" s="1">
        <f t="shared" si="0"/>
        <v>65379201</v>
      </c>
      <c r="G7" s="1">
        <f t="shared" si="0"/>
        <v>58931922</v>
      </c>
      <c r="H7" s="1">
        <f t="shared" si="0"/>
        <v>38131715</v>
      </c>
      <c r="I7" s="1">
        <f t="shared" si="0"/>
        <v>6909601</v>
      </c>
      <c r="J7" s="1"/>
      <c r="K7" s="1"/>
    </row>
    <row r="8" spans="1:11" x14ac:dyDescent="0.35">
      <c r="C8" s="1"/>
      <c r="D8" s="1"/>
      <c r="E8" s="1"/>
      <c r="F8" s="1"/>
      <c r="G8" s="1"/>
      <c r="H8" s="1"/>
      <c r="I8" s="1"/>
      <c r="J8" s="1"/>
      <c r="K8" s="1"/>
    </row>
    <row r="9" spans="1:11" x14ac:dyDescent="0.35">
      <c r="A9" t="s">
        <v>3</v>
      </c>
      <c r="C9" s="1"/>
      <c r="D9" s="1"/>
      <c r="E9" s="1"/>
      <c r="F9" s="1"/>
      <c r="G9" s="1"/>
      <c r="H9" s="1"/>
      <c r="I9" s="1"/>
      <c r="J9" s="1"/>
      <c r="K9" s="1"/>
    </row>
    <row r="10" spans="1:11" x14ac:dyDescent="0.35">
      <c r="A10" t="s">
        <v>4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35">
      <c r="A11" t="s">
        <v>7</v>
      </c>
      <c r="C11" s="1">
        <v>385921</v>
      </c>
      <c r="D11" s="1">
        <v>440863</v>
      </c>
      <c r="E11" s="1">
        <v>721078</v>
      </c>
      <c r="F11" s="1">
        <v>887717</v>
      </c>
      <c r="G11" s="1">
        <v>980768</v>
      </c>
      <c r="H11" s="1">
        <v>1222608</v>
      </c>
      <c r="I11" s="1">
        <f>9165.09+287093+33302.17+85593.08+40950+6284.71+7960.99+195+68090.81+12234.15</f>
        <v>550869.00000000012</v>
      </c>
      <c r="J11" s="1"/>
      <c r="K11" s="1"/>
    </row>
    <row r="12" spans="1:11" x14ac:dyDescent="0.35">
      <c r="A12" t="s">
        <v>6</v>
      </c>
      <c r="C12" s="2">
        <f>209770+430296+2176446</f>
        <v>2816512</v>
      </c>
      <c r="D12" s="1">
        <f>246352+515287+2303552</f>
        <v>3065191</v>
      </c>
      <c r="E12" s="1">
        <f>355048+905555+6937122</f>
        <v>8197725</v>
      </c>
      <c r="F12" s="1">
        <f>481996+1006629+8334895</f>
        <v>9823520</v>
      </c>
      <c r="G12" s="1">
        <f>485391+1204422+9801365</f>
        <v>11491178</v>
      </c>
      <c r="H12" s="1">
        <f>630764+1191793+9085914</f>
        <v>10908471</v>
      </c>
      <c r="I12" s="1">
        <f>2418608.28+178572.92+225116.4+60923.01+19183.33+5380.91</f>
        <v>2907784.8499999996</v>
      </c>
      <c r="J12" s="1"/>
      <c r="K12" s="1"/>
    </row>
    <row r="13" spans="1:11" ht="15" thickBot="1" x14ac:dyDescent="0.4">
      <c r="C13" s="3">
        <f t="shared" ref="C13:I13" si="1">SUM(C11:C12)</f>
        <v>3202433</v>
      </c>
      <c r="D13" s="3">
        <f t="shared" si="1"/>
        <v>3506054</v>
      </c>
      <c r="E13" s="3">
        <f t="shared" si="1"/>
        <v>8918803</v>
      </c>
      <c r="F13" s="3">
        <f t="shared" si="1"/>
        <v>10711237</v>
      </c>
      <c r="G13" s="3">
        <f t="shared" si="1"/>
        <v>12471946</v>
      </c>
      <c r="H13" s="3">
        <f t="shared" si="1"/>
        <v>12131079</v>
      </c>
      <c r="I13" s="3">
        <f t="shared" si="1"/>
        <v>3458653.8499999996</v>
      </c>
      <c r="J13" s="1"/>
      <c r="K13" s="1"/>
    </row>
    <row r="14" spans="1:11" x14ac:dyDescent="0.35">
      <c r="C14" s="4"/>
      <c r="D14" s="4"/>
      <c r="E14" s="4"/>
      <c r="F14" s="4"/>
      <c r="G14" s="4"/>
      <c r="H14" s="4"/>
      <c r="I14" s="4"/>
      <c r="J14" s="1"/>
      <c r="K14" s="1"/>
    </row>
    <row r="15" spans="1:11" x14ac:dyDescent="0.35">
      <c r="A15" t="s">
        <v>5</v>
      </c>
      <c r="C15" s="1">
        <v>2826434</v>
      </c>
      <c r="D15" s="1">
        <v>2689467</v>
      </c>
      <c r="E15" s="1">
        <v>2657427</v>
      </c>
      <c r="F15" s="1">
        <v>2939550</v>
      </c>
      <c r="G15" s="1">
        <v>3637478</v>
      </c>
      <c r="H15" s="1">
        <v>4189423</v>
      </c>
      <c r="I15" s="1">
        <v>1652150.26</v>
      </c>
      <c r="J15" s="1"/>
      <c r="K15" s="1"/>
    </row>
    <row r="16" spans="1:11" x14ac:dyDescent="0.35">
      <c r="C16" s="1"/>
      <c r="D16" s="1"/>
      <c r="E16" s="1"/>
      <c r="F16" s="1"/>
      <c r="G16" s="1"/>
      <c r="H16" s="1"/>
      <c r="I16" s="1"/>
      <c r="J16" s="1"/>
      <c r="K16" s="1"/>
    </row>
    <row r="17" spans="1:12" x14ac:dyDescent="0.35">
      <c r="A17" t="s">
        <v>8</v>
      </c>
      <c r="C17" s="1">
        <f>1047264-549092</f>
        <v>498172</v>
      </c>
      <c r="D17" s="1">
        <f>930431-474205</f>
        <v>456226</v>
      </c>
      <c r="E17" s="1">
        <f>1420012+37253</f>
        <v>1457265</v>
      </c>
      <c r="F17" s="1">
        <f>1874652-237688</f>
        <v>1636964</v>
      </c>
      <c r="G17" s="1">
        <f>1990587+-538591</f>
        <v>1451996</v>
      </c>
      <c r="H17" s="1">
        <f>2238911+-903419</f>
        <v>1335492</v>
      </c>
      <c r="I17" s="1">
        <f>182449.32+-916413.44</f>
        <v>-733964.11999999988</v>
      </c>
      <c r="J17" s="6"/>
      <c r="K17" s="6"/>
      <c r="L17" s="6"/>
    </row>
    <row r="18" spans="1:12" x14ac:dyDescent="0.35">
      <c r="C18" s="1"/>
      <c r="D18" s="1"/>
      <c r="E18" s="1"/>
      <c r="F18" s="1"/>
      <c r="G18" s="1"/>
      <c r="H18" s="1"/>
      <c r="I18" s="1"/>
      <c r="J18" s="1"/>
      <c r="K18" s="1"/>
    </row>
    <row r="19" spans="1:12" x14ac:dyDescent="0.35">
      <c r="A19" t="s">
        <v>12</v>
      </c>
      <c r="C19" s="1">
        <f t="shared" ref="C19:I19" si="2">C7-C13-C15-C17</f>
        <v>-660456</v>
      </c>
      <c r="D19" s="1">
        <f t="shared" si="2"/>
        <v>641223</v>
      </c>
      <c r="E19" s="1">
        <f t="shared" si="2"/>
        <v>31766017</v>
      </c>
      <c r="F19" s="1">
        <f t="shared" si="2"/>
        <v>50091450</v>
      </c>
      <c r="G19" s="1">
        <f t="shared" si="2"/>
        <v>41370502</v>
      </c>
      <c r="H19" s="1">
        <f t="shared" si="2"/>
        <v>20475721</v>
      </c>
      <c r="I19" s="1">
        <f t="shared" si="2"/>
        <v>2532761.0100000002</v>
      </c>
      <c r="J19" s="1"/>
      <c r="K19" s="1"/>
    </row>
    <row r="20" spans="1:12" x14ac:dyDescent="0.35"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35">
      <c r="A21" t="s">
        <v>13</v>
      </c>
      <c r="C21" s="1">
        <v>-120939</v>
      </c>
      <c r="D21" s="1">
        <v>-200973</v>
      </c>
      <c r="E21" s="1">
        <v>-1221852</v>
      </c>
      <c r="F21" s="1">
        <v>-4393896</v>
      </c>
      <c r="G21" s="1">
        <v>-3580463</v>
      </c>
      <c r="H21" s="1">
        <v>-2770000</v>
      </c>
      <c r="I21" s="1">
        <v>0</v>
      </c>
      <c r="J21" s="1"/>
      <c r="K21" s="1"/>
    </row>
    <row r="22" spans="1:12" x14ac:dyDescent="0.35">
      <c r="C22" s="1"/>
      <c r="D22" s="1"/>
      <c r="E22" s="1"/>
      <c r="F22" s="1"/>
      <c r="G22" s="1"/>
      <c r="H22" s="1"/>
      <c r="I22" s="1"/>
      <c r="J22" s="1"/>
      <c r="K22" s="1"/>
    </row>
    <row r="23" spans="1:12" x14ac:dyDescent="0.35">
      <c r="A23" t="s">
        <v>14</v>
      </c>
      <c r="C23" s="1">
        <f t="shared" ref="C23:I23" si="3">C19+C21</f>
        <v>-781395</v>
      </c>
      <c r="D23" s="1">
        <f t="shared" si="3"/>
        <v>440250</v>
      </c>
      <c r="E23" s="1">
        <f t="shared" si="3"/>
        <v>30544165</v>
      </c>
      <c r="F23" s="1">
        <f t="shared" si="3"/>
        <v>45697554</v>
      </c>
      <c r="G23" s="1">
        <f t="shared" si="3"/>
        <v>37790039</v>
      </c>
      <c r="H23" s="1">
        <f t="shared" si="3"/>
        <v>17705721</v>
      </c>
      <c r="I23" s="1">
        <f t="shared" si="3"/>
        <v>2532761.0100000002</v>
      </c>
      <c r="J23" s="1"/>
      <c r="K23" s="1"/>
    </row>
    <row r="24" spans="1:12" x14ac:dyDescent="0.35">
      <c r="C24" s="1"/>
      <c r="D24" s="1"/>
      <c r="E24" s="1"/>
      <c r="F24" s="1"/>
      <c r="G24" s="1"/>
      <c r="H24" s="1"/>
      <c r="I24" s="1"/>
      <c r="J24" s="1"/>
      <c r="K24" s="1"/>
    </row>
    <row r="25" spans="1:12" x14ac:dyDescent="0.35">
      <c r="C25" s="1"/>
      <c r="D25" s="1"/>
      <c r="E25" s="1"/>
      <c r="F25" s="1"/>
      <c r="G25" s="1"/>
      <c r="H25" s="1"/>
      <c r="I25" s="1"/>
      <c r="J25" s="1"/>
      <c r="K25" s="1"/>
    </row>
    <row r="26" spans="1:12" x14ac:dyDescent="0.35">
      <c r="C26" s="1"/>
      <c r="D26" s="1"/>
      <c r="E26" s="1"/>
      <c r="F26" s="1"/>
      <c r="G26" s="1"/>
      <c r="H26" s="1"/>
      <c r="I26" s="1"/>
      <c r="J26" s="1"/>
      <c r="K26" s="1"/>
    </row>
    <row r="27" spans="1:12" x14ac:dyDescent="0.35">
      <c r="C27" s="1"/>
      <c r="D27" s="1"/>
      <c r="E27" s="1"/>
      <c r="F27" s="1"/>
      <c r="G27" s="1"/>
      <c r="H27" s="1"/>
      <c r="I27" s="1"/>
      <c r="J27" s="1"/>
      <c r="K27" s="1"/>
    </row>
    <row r="28" spans="1:12" x14ac:dyDescent="0.35">
      <c r="C28" s="1"/>
      <c r="D28" s="1"/>
      <c r="E28" s="1"/>
      <c r="F28" s="1"/>
      <c r="G28" s="1"/>
      <c r="H28" s="1"/>
      <c r="I28" s="1"/>
      <c r="J28" s="1"/>
      <c r="K28" s="1"/>
    </row>
    <row r="29" spans="1:12" x14ac:dyDescent="0.35">
      <c r="C29" s="1"/>
      <c r="D29" s="1"/>
      <c r="E29" s="1"/>
      <c r="F29" s="1"/>
      <c r="G29" s="1"/>
      <c r="H29" s="1"/>
      <c r="I29" s="1"/>
      <c r="J29" s="1"/>
      <c r="K2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9EF3-958B-4108-81A1-47C15C778073}">
  <dimension ref="D3:D119"/>
  <sheetViews>
    <sheetView topLeftCell="A93" workbookViewId="0">
      <selection activeCell="E125" sqref="E125"/>
    </sheetView>
  </sheetViews>
  <sheetFormatPr defaultRowHeight="14.5" x14ac:dyDescent="0.35"/>
  <cols>
    <col min="4" max="4" width="8.7265625" style="7"/>
  </cols>
  <sheetData>
    <row r="3" spans="4:4" ht="15" thickBot="1" x14ac:dyDescent="0.4"/>
    <row r="4" spans="4:4" ht="15" thickBot="1" x14ac:dyDescent="0.4">
      <c r="D4" s="8">
        <v>2018</v>
      </c>
    </row>
    <row r="31" spans="4:4" ht="15" thickBot="1" x14ac:dyDescent="0.4"/>
    <row r="32" spans="4:4" ht="15" thickBot="1" x14ac:dyDescent="0.4">
      <c r="D32" s="8">
        <v>2019</v>
      </c>
    </row>
    <row r="53" spans="4:4" ht="15" thickBot="1" x14ac:dyDescent="0.4"/>
    <row r="54" spans="4:4" ht="15" thickBot="1" x14ac:dyDescent="0.4">
      <c r="D54" s="8">
        <v>2020</v>
      </c>
    </row>
    <row r="73" spans="4:4" ht="15" thickBot="1" x14ac:dyDescent="0.4"/>
    <row r="74" spans="4:4" ht="15" thickBot="1" x14ac:dyDescent="0.4">
      <c r="D74" s="8">
        <v>2021</v>
      </c>
    </row>
    <row r="95" spans="4:4" ht="15" thickBot="1" x14ac:dyDescent="0.4"/>
    <row r="96" spans="4:4" ht="15" thickBot="1" x14ac:dyDescent="0.4">
      <c r="D96" s="8">
        <v>2022</v>
      </c>
    </row>
    <row r="118" spans="4:4" ht="15" thickBot="1" x14ac:dyDescent="0.4"/>
    <row r="119" spans="4:4" ht="15" thickBot="1" x14ac:dyDescent="0.4">
      <c r="D119" s="8">
        <v>2023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374F6-3E6A-4D6E-AF50-ABF0797F8046}">
  <dimension ref="C3:AH44"/>
  <sheetViews>
    <sheetView topLeftCell="O10" workbookViewId="0">
      <selection activeCell="AF42" sqref="AF42"/>
    </sheetView>
  </sheetViews>
  <sheetFormatPr defaultRowHeight="14.5" x14ac:dyDescent="0.35"/>
  <cols>
    <col min="3" max="3" width="10.7265625" bestFit="1" customWidth="1"/>
    <col min="10" max="10" width="12.7265625" bestFit="1" customWidth="1"/>
    <col min="11" max="11" width="2.81640625" customWidth="1"/>
    <col min="12" max="12" width="10.7265625" customWidth="1"/>
    <col min="14" max="14" width="10.7265625" bestFit="1" customWidth="1"/>
    <col min="22" max="22" width="11.1796875" bestFit="1" customWidth="1"/>
    <col min="23" max="23" width="3.453125" customWidth="1"/>
    <col min="24" max="24" width="11.1796875" bestFit="1" customWidth="1"/>
    <col min="26" max="26" width="10.7265625" bestFit="1" customWidth="1"/>
    <col min="32" max="32" width="11.1796875" bestFit="1" customWidth="1"/>
    <col min="33" max="33" width="4.7265625" customWidth="1"/>
    <col min="34" max="34" width="11.1796875" bestFit="1" customWidth="1"/>
  </cols>
  <sheetData>
    <row r="3" spans="3:26" x14ac:dyDescent="0.35">
      <c r="C3" t="s">
        <v>9</v>
      </c>
      <c r="N3" t="s">
        <v>11</v>
      </c>
      <c r="Z3" t="s">
        <v>15</v>
      </c>
    </row>
    <row r="37" spans="7:34" ht="15" thickBot="1" x14ac:dyDescent="0.4"/>
    <row r="38" spans="7:34" ht="15" thickBot="1" x14ac:dyDescent="0.4">
      <c r="G38" s="31" t="s">
        <v>10</v>
      </c>
      <c r="H38" s="33"/>
      <c r="I38" s="32"/>
      <c r="J38" s="9">
        <f>3506054+2689467+930431</f>
        <v>7125952</v>
      </c>
      <c r="K38" s="1"/>
      <c r="L38" s="9">
        <f>3202433+2826434+1047264</f>
        <v>7076131</v>
      </c>
      <c r="S38" s="31" t="s">
        <v>10</v>
      </c>
      <c r="T38" s="33"/>
      <c r="U38" s="32"/>
      <c r="V38" s="9">
        <f>10711237+2939550+1874652</f>
        <v>15525439</v>
      </c>
      <c r="W38" s="1"/>
      <c r="X38" s="9">
        <f>8918803+2657427+1420012</f>
        <v>12996242</v>
      </c>
      <c r="AC38" s="31" t="s">
        <v>10</v>
      </c>
      <c r="AD38" s="33"/>
      <c r="AE38" s="32"/>
      <c r="AF38" s="9">
        <f>12131079+4189423+2238911</f>
        <v>18559413</v>
      </c>
      <c r="AG38" s="1"/>
      <c r="AH38" s="9">
        <f>12471946+3637478+1990587</f>
        <v>18100011</v>
      </c>
    </row>
    <row r="43" spans="7:34" x14ac:dyDescent="0.35">
      <c r="V43">
        <f>10711237+2939550+1874652</f>
        <v>15525439</v>
      </c>
      <c r="X43">
        <f>8918803+2657427+1420012</f>
        <v>12996242</v>
      </c>
      <c r="AF43">
        <f>12131079+4189423+2238911</f>
        <v>18559413</v>
      </c>
      <c r="AH43">
        <f>12471946+3637478+1990587</f>
        <v>18100011</v>
      </c>
    </row>
    <row r="44" spans="7:34" x14ac:dyDescent="0.35">
      <c r="V44" s="6">
        <f>V38-V43</f>
        <v>0</v>
      </c>
      <c r="X44" s="6">
        <f>X38-X43</f>
        <v>0</v>
      </c>
      <c r="AF44" s="6">
        <f>AF38-AF43</f>
        <v>0</v>
      </c>
      <c r="AH44" s="6">
        <f>AH38-AH43</f>
        <v>0</v>
      </c>
    </row>
  </sheetData>
  <mergeCells count="3">
    <mergeCell ref="G38:I38"/>
    <mergeCell ref="S38:U38"/>
    <mergeCell ref="AC38:AE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Charts</vt:lpstr>
      <vt:lpstr>Benefits Cost </vt:lpstr>
      <vt:lpstr>Display (unmodified)</vt:lpstr>
      <vt:lpstr>P&amp;L by Year 2018 - 2024</vt:lpstr>
      <vt:lpstr>Statements of Income (FIFO)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Mark Pezza</cp:lastModifiedBy>
  <dcterms:created xsi:type="dcterms:W3CDTF">2024-06-10T16:40:50Z</dcterms:created>
  <dcterms:modified xsi:type="dcterms:W3CDTF">2024-06-25T19:31:52Z</dcterms:modified>
</cp:coreProperties>
</file>