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1\"/>
    </mc:Choice>
  </mc:AlternateContent>
  <xr:revisionPtr revIDLastSave="0" documentId="13_ncr:1_{B0C5AEF5-9527-4088-9982-1C15F38EEDCB}" xr6:coauthVersionLast="46" xr6:coauthVersionMax="46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1-2020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(Dome)'!$A$1:$N$86</definedName>
    <definedName name="_xlnm.Print_Area" localSheetId="5">'Budgets &amp; Projections 2019 '!$A$747:$O$863</definedName>
    <definedName name="_xlnm.Print_Area" localSheetId="12">CNT!$A$1:$N$311</definedName>
    <definedName name="_xlnm.Print_Area" localSheetId="3">'Comp Summary YTD 2020-2019 '!$A$9:$AE$37</definedName>
    <definedName name="_xlnm.Print_Area" localSheetId="4">'Comp YTD 2021-2020 '!$A$1:$L$452</definedName>
    <definedName name="_xlnm.Print_Area" localSheetId="0">Cooley!$B$1:$K$78</definedName>
    <definedName name="_xlnm.Print_Area" localSheetId="6">DEP!$A$1:$N$92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81029"/>
</workbook>
</file>

<file path=xl/calcChain.xml><?xml version="1.0" encoding="utf-8"?>
<calcChain xmlns="http://schemas.openxmlformats.org/spreadsheetml/2006/main">
  <c r="E40" i="5" l="1"/>
  <c r="D16" i="2"/>
  <c r="N65" i="2"/>
  <c r="D65" i="2"/>
  <c r="N190" i="2"/>
  <c r="N149" i="2"/>
  <c r="F117" i="12" l="1"/>
  <c r="B73" i="10"/>
  <c r="C73" i="10"/>
  <c r="D73" i="10"/>
  <c r="N72" i="10"/>
  <c r="D40" i="5"/>
  <c r="C40" i="5" l="1"/>
  <c r="B46" i="5"/>
  <c r="B40" i="5"/>
  <c r="N18" i="5"/>
  <c r="N223" i="2"/>
  <c r="E424" i="12" l="1"/>
  <c r="N48" i="2"/>
  <c r="L21" i="5" l="1"/>
  <c r="M21" i="5"/>
  <c r="L93" i="2" l="1"/>
  <c r="L94" i="2"/>
  <c r="L77" i="2"/>
  <c r="L61" i="2"/>
  <c r="L91" i="2" s="1"/>
  <c r="L62" i="2"/>
  <c r="L92" i="2" s="1"/>
  <c r="L63" i="2"/>
  <c r="L64" i="2"/>
  <c r="L66" i="2"/>
  <c r="L67" i="2"/>
  <c r="L69" i="2"/>
  <c r="L95" i="2" s="1"/>
  <c r="L55" i="2"/>
  <c r="L86" i="2" s="1"/>
  <c r="L56" i="2"/>
  <c r="L87" i="2" s="1"/>
  <c r="L57" i="2"/>
  <c r="L58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2" i="2"/>
  <c r="M22" i="2"/>
  <c r="L23" i="2"/>
  <c r="M23" i="2"/>
  <c r="L24" i="2"/>
  <c r="M24" i="2"/>
  <c r="L25" i="2"/>
  <c r="M25" i="2"/>
  <c r="L27" i="2"/>
  <c r="M27" i="2"/>
  <c r="L28" i="2"/>
  <c r="M28" i="2"/>
  <c r="L29" i="2"/>
  <c r="M29" i="2"/>
  <c r="L30" i="2"/>
  <c r="M30" i="2"/>
  <c r="L32" i="2"/>
  <c r="M32" i="2"/>
  <c r="L33" i="2"/>
  <c r="M33" i="2"/>
  <c r="L5" i="2"/>
  <c r="L6" i="2"/>
  <c r="L7" i="2"/>
  <c r="L8" i="2"/>
  <c r="L9" i="2"/>
  <c r="L10" i="2"/>
  <c r="L96" i="2" l="1"/>
  <c r="L70" i="2"/>
  <c r="L59" i="2"/>
  <c r="L88" i="2"/>
  <c r="L82" i="5"/>
  <c r="L80" i="6"/>
  <c r="L61" i="6"/>
  <c r="L54" i="6"/>
  <c r="L37" i="6"/>
  <c r="L28" i="17"/>
  <c r="L17" i="17"/>
  <c r="L12" i="17"/>
  <c r="L97" i="2" l="1"/>
  <c r="L71" i="2"/>
  <c r="K9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5" i="2"/>
  <c r="K6" i="2"/>
  <c r="K7" i="2"/>
  <c r="K8" i="2"/>
  <c r="K10" i="2"/>
  <c r="K251" i="2"/>
  <c r="K15" i="10" l="1"/>
  <c r="J15" i="10"/>
  <c r="I15" i="10"/>
  <c r="H15" i="10"/>
  <c r="K21" i="5"/>
  <c r="N19" i="5"/>
  <c r="J21" i="5" l="1"/>
  <c r="I305" i="12" l="1"/>
  <c r="E440" i="12" s="1"/>
  <c r="I21" i="5" l="1"/>
  <c r="N20" i="5"/>
  <c r="H21" i="5"/>
  <c r="G21" i="5"/>
  <c r="F21" i="5"/>
  <c r="E21" i="5"/>
  <c r="D21" i="5"/>
  <c r="C21" i="5"/>
  <c r="B21" i="5"/>
  <c r="H14" i="2" l="1"/>
  <c r="H15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6" i="2"/>
  <c r="H7" i="2"/>
  <c r="H8" i="2"/>
  <c r="H9" i="2"/>
  <c r="H10" i="2"/>
  <c r="N46" i="2"/>
  <c r="H11" i="2" l="1"/>
  <c r="H34" i="2"/>
  <c r="E366" i="12"/>
  <c r="E365" i="12"/>
  <c r="N303" i="2"/>
  <c r="B118" i="12" s="1"/>
  <c r="I118" i="12" s="1"/>
  <c r="C443" i="12" s="1"/>
  <c r="H35" i="2" l="1"/>
  <c r="N236" i="2" l="1"/>
  <c r="AF236" i="2" s="1"/>
  <c r="AG236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3" i="2"/>
  <c r="G94" i="2"/>
  <c r="G55" i="2"/>
  <c r="G86" i="2" s="1"/>
  <c r="H55" i="2"/>
  <c r="I55" i="2"/>
  <c r="J55" i="2"/>
  <c r="K55" i="2"/>
  <c r="M55" i="2"/>
  <c r="G56" i="2"/>
  <c r="H56" i="2"/>
  <c r="I56" i="2"/>
  <c r="J56" i="2"/>
  <c r="K56" i="2"/>
  <c r="M56" i="2"/>
  <c r="G57" i="2"/>
  <c r="H57" i="2"/>
  <c r="I57" i="2"/>
  <c r="J57" i="2"/>
  <c r="K57" i="2"/>
  <c r="M57" i="2"/>
  <c r="G58" i="2"/>
  <c r="H58" i="2"/>
  <c r="I58" i="2"/>
  <c r="J58" i="2"/>
  <c r="K58" i="2"/>
  <c r="M58" i="2"/>
  <c r="G61" i="2"/>
  <c r="G91" i="2" s="1"/>
  <c r="H61" i="2"/>
  <c r="I61" i="2"/>
  <c r="J61" i="2"/>
  <c r="K61" i="2"/>
  <c r="M61" i="2"/>
  <c r="G62" i="2"/>
  <c r="G92" i="2" s="1"/>
  <c r="H62" i="2"/>
  <c r="I62" i="2"/>
  <c r="J62" i="2"/>
  <c r="K62" i="2"/>
  <c r="M62" i="2"/>
  <c r="G63" i="2"/>
  <c r="H63" i="2"/>
  <c r="I63" i="2"/>
  <c r="J63" i="2"/>
  <c r="K63" i="2"/>
  <c r="M63" i="2"/>
  <c r="G64" i="2"/>
  <c r="H64" i="2"/>
  <c r="I64" i="2"/>
  <c r="J64" i="2"/>
  <c r="K64" i="2"/>
  <c r="M64" i="2"/>
  <c r="G66" i="2"/>
  <c r="H66" i="2"/>
  <c r="I66" i="2"/>
  <c r="J66" i="2"/>
  <c r="K66" i="2"/>
  <c r="M66" i="2"/>
  <c r="G67" i="2"/>
  <c r="H67" i="2"/>
  <c r="I67" i="2"/>
  <c r="J67" i="2"/>
  <c r="K67" i="2"/>
  <c r="M67" i="2"/>
  <c r="G69" i="2"/>
  <c r="G95" i="2" s="1"/>
  <c r="H69" i="2"/>
  <c r="I69" i="2"/>
  <c r="J69" i="2"/>
  <c r="K69" i="2"/>
  <c r="M69" i="2"/>
  <c r="G77" i="2"/>
  <c r="H77" i="2"/>
  <c r="I77" i="2"/>
  <c r="J77" i="2"/>
  <c r="K77" i="2"/>
  <c r="M77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G59" i="2" l="1"/>
  <c r="K59" i="2"/>
  <c r="J70" i="2"/>
  <c r="J59" i="2"/>
  <c r="H59" i="2"/>
  <c r="I70" i="2"/>
  <c r="M70" i="2"/>
  <c r="G96" i="2"/>
  <c r="G11" i="2"/>
  <c r="H70" i="2"/>
  <c r="K70" i="2"/>
  <c r="M59" i="2"/>
  <c r="I59" i="2"/>
  <c r="G87" i="2"/>
  <c r="G88" i="2" s="1"/>
  <c r="G70" i="2"/>
  <c r="G34" i="2"/>
  <c r="F49" i="2"/>
  <c r="G35" i="2" l="1"/>
  <c r="H71" i="2"/>
  <c r="M71" i="2"/>
  <c r="G71" i="2"/>
  <c r="K71" i="2"/>
  <c r="G97" i="2"/>
  <c r="J71" i="2"/>
  <c r="I71" i="2"/>
  <c r="N14" i="5"/>
  <c r="I276" i="12" l="1"/>
  <c r="F93" i="2"/>
  <c r="F94" i="2"/>
  <c r="F55" i="2"/>
  <c r="F86" i="2" s="1"/>
  <c r="F56" i="2"/>
  <c r="F87" i="2" s="1"/>
  <c r="F57" i="2"/>
  <c r="F58" i="2"/>
  <c r="F61" i="2"/>
  <c r="F91" i="2" s="1"/>
  <c r="F62" i="2"/>
  <c r="F92" i="2" s="1"/>
  <c r="F63" i="2"/>
  <c r="F64" i="2"/>
  <c r="F66" i="2"/>
  <c r="F67" i="2"/>
  <c r="F69" i="2"/>
  <c r="F95" i="2" s="1"/>
  <c r="F77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7" i="2"/>
  <c r="N296" i="2"/>
  <c r="N300" i="2"/>
  <c r="N299" i="2"/>
  <c r="C288" i="2"/>
  <c r="D288" i="2"/>
  <c r="E288" i="2"/>
  <c r="F288" i="2"/>
  <c r="F75" i="2" s="1"/>
  <c r="G288" i="2"/>
  <c r="G75" i="2" s="1"/>
  <c r="H288" i="2"/>
  <c r="H75" i="2" s="1"/>
  <c r="I288" i="2"/>
  <c r="I75" i="2" s="1"/>
  <c r="J288" i="2"/>
  <c r="J75" i="2" s="1"/>
  <c r="K288" i="2"/>
  <c r="K75" i="2" s="1"/>
  <c r="L288" i="2"/>
  <c r="L75" i="2" s="1"/>
  <c r="M288" i="2"/>
  <c r="M75" i="2" s="1"/>
  <c r="B288" i="2"/>
  <c r="N287" i="2"/>
  <c r="B92" i="12" s="1"/>
  <c r="I92" i="12" s="1"/>
  <c r="C410" i="12" s="1"/>
  <c r="F88" i="2" l="1"/>
  <c r="F70" i="2"/>
  <c r="I410" i="12"/>
  <c r="K410" i="12" s="1"/>
  <c r="B81" i="11"/>
  <c r="I81" i="11" s="1"/>
  <c r="F34" i="2"/>
  <c r="F59" i="2"/>
  <c r="F96" i="2"/>
  <c r="E410" i="12"/>
  <c r="G410" i="12"/>
  <c r="F97" i="2" l="1"/>
  <c r="F71" i="2"/>
  <c r="E15" i="10"/>
  <c r="F15" i="10"/>
  <c r="N14" i="10" l="1"/>
  <c r="D15" i="10"/>
  <c r="C15" i="10"/>
  <c r="B15" i="10"/>
  <c r="I284" i="12" l="1"/>
  <c r="E418" i="12" s="1"/>
  <c r="E93" i="2"/>
  <c r="E94" i="2"/>
  <c r="E77" i="2"/>
  <c r="E61" i="2"/>
  <c r="E91" i="2" s="1"/>
  <c r="E62" i="2"/>
  <c r="E92" i="2" s="1"/>
  <c r="E63" i="2"/>
  <c r="E64" i="2"/>
  <c r="E66" i="2"/>
  <c r="E67" i="2"/>
  <c r="E69" i="2"/>
  <c r="E95" i="2" s="1"/>
  <c r="E55" i="2"/>
  <c r="E86" i="2" s="1"/>
  <c r="E56" i="2"/>
  <c r="E87" i="2" s="1"/>
  <c r="E57" i="2"/>
  <c r="E58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2" i="2"/>
  <c r="B100" i="12" s="1"/>
  <c r="I100" i="12" l="1"/>
  <c r="B89" i="11"/>
  <c r="I89" i="11" s="1"/>
  <c r="D15" i="14"/>
  <c r="C15" i="14"/>
  <c r="B15" i="14"/>
  <c r="N11" i="14"/>
  <c r="G51" i="12" s="1"/>
  <c r="G46" i="11" s="1"/>
  <c r="I418" i="12" l="1"/>
  <c r="G418" i="12"/>
  <c r="C418" i="12"/>
  <c r="D93" i="2" l="1"/>
  <c r="D94" i="2"/>
  <c r="D55" i="2"/>
  <c r="D86" i="2" s="1"/>
  <c r="D56" i="2"/>
  <c r="D87" i="2" s="1"/>
  <c r="D57" i="2"/>
  <c r="D58" i="2"/>
  <c r="D61" i="2"/>
  <c r="D91" i="2" s="1"/>
  <c r="D62" i="2"/>
  <c r="D92" i="2" s="1"/>
  <c r="D63" i="2"/>
  <c r="D64" i="2"/>
  <c r="D66" i="2"/>
  <c r="D67" i="2"/>
  <c r="D69" i="2"/>
  <c r="D95" i="2" s="1"/>
  <c r="D77" i="2"/>
  <c r="D14" i="2"/>
  <c r="D15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9" i="2"/>
  <c r="D76" i="2" s="1"/>
  <c r="D88" i="2" l="1"/>
  <c r="D59" i="2"/>
  <c r="D96" i="2"/>
  <c r="D70" i="2"/>
  <c r="I307" i="12"/>
  <c r="E442" i="12" s="1"/>
  <c r="B314" i="12"/>
  <c r="C314" i="12"/>
  <c r="D314" i="12"/>
  <c r="E314" i="12"/>
  <c r="F314" i="12"/>
  <c r="G314" i="12"/>
  <c r="D97" i="2" l="1"/>
  <c r="D71" i="2"/>
  <c r="C80" i="6"/>
  <c r="N70" i="6"/>
  <c r="C63" i="2"/>
  <c r="B63" i="2"/>
  <c r="B309" i="2"/>
  <c r="C309" i="2"/>
  <c r="N198" i="2"/>
  <c r="N67" i="6" l="1"/>
  <c r="C86" i="11" l="1"/>
  <c r="C48" i="16"/>
  <c r="C97" i="12"/>
  <c r="B93" i="2"/>
  <c r="C93" i="2"/>
  <c r="H93" i="2"/>
  <c r="I93" i="2"/>
  <c r="J93" i="2"/>
  <c r="K93" i="2"/>
  <c r="B94" i="2"/>
  <c r="C94" i="2"/>
  <c r="H94" i="2"/>
  <c r="I94" i="2"/>
  <c r="J94" i="2"/>
  <c r="K94" i="2"/>
  <c r="B55" i="2"/>
  <c r="B86" i="2" s="1"/>
  <c r="C55" i="2"/>
  <c r="C86" i="2" s="1"/>
  <c r="H86" i="2"/>
  <c r="I86" i="2"/>
  <c r="J86" i="2"/>
  <c r="K86" i="2"/>
  <c r="B56" i="2"/>
  <c r="C56" i="2"/>
  <c r="C87" i="2" s="1"/>
  <c r="K87" i="2"/>
  <c r="B57" i="2"/>
  <c r="C57" i="2"/>
  <c r="B58" i="2"/>
  <c r="C58" i="2"/>
  <c r="E59" i="2"/>
  <c r="B61" i="2"/>
  <c r="B91" i="2" s="1"/>
  <c r="C61" i="2"/>
  <c r="C91" i="2" s="1"/>
  <c r="I91" i="2"/>
  <c r="K91" i="2"/>
  <c r="B62" i="2"/>
  <c r="B92" i="2" s="1"/>
  <c r="C62" i="2"/>
  <c r="C92" i="2" s="1"/>
  <c r="H92" i="2"/>
  <c r="I92" i="2"/>
  <c r="J92" i="2"/>
  <c r="B64" i="2"/>
  <c r="C64" i="2"/>
  <c r="B66" i="2"/>
  <c r="C66" i="2"/>
  <c r="B67" i="2"/>
  <c r="C67" i="2"/>
  <c r="B69" i="2"/>
  <c r="B95" i="2" s="1"/>
  <c r="C69" i="2"/>
  <c r="C95" i="2" s="1"/>
  <c r="H95" i="2"/>
  <c r="I95" i="2"/>
  <c r="J95" i="2"/>
  <c r="K95" i="2"/>
  <c r="B76" i="2"/>
  <c r="C76" i="2"/>
  <c r="B77" i="2"/>
  <c r="C77" i="2"/>
  <c r="B75" i="2"/>
  <c r="B251" i="2"/>
  <c r="B74" i="2" s="1"/>
  <c r="B225" i="2"/>
  <c r="B73" i="2" s="1"/>
  <c r="B207" i="2"/>
  <c r="B132" i="2"/>
  <c r="B14" i="2"/>
  <c r="C14" i="2"/>
  <c r="I14" i="2"/>
  <c r="J14" i="2"/>
  <c r="B15" i="2"/>
  <c r="C15" i="2"/>
  <c r="I15" i="2"/>
  <c r="J15" i="2"/>
  <c r="B16" i="2"/>
  <c r="C16" i="2"/>
  <c r="I16" i="2"/>
  <c r="J16" i="2"/>
  <c r="B17" i="2"/>
  <c r="C17" i="2"/>
  <c r="I17" i="2"/>
  <c r="J17" i="2"/>
  <c r="B18" i="2"/>
  <c r="C18" i="2"/>
  <c r="I18" i="2"/>
  <c r="J18" i="2"/>
  <c r="B19" i="2"/>
  <c r="C19" i="2"/>
  <c r="I19" i="2"/>
  <c r="J19" i="2"/>
  <c r="B20" i="2"/>
  <c r="C20" i="2"/>
  <c r="I20" i="2"/>
  <c r="J20" i="2"/>
  <c r="B22" i="2"/>
  <c r="C22" i="2"/>
  <c r="I22" i="2"/>
  <c r="J22" i="2"/>
  <c r="B23" i="2"/>
  <c r="C23" i="2"/>
  <c r="I23" i="2"/>
  <c r="J23" i="2"/>
  <c r="B24" i="2"/>
  <c r="C24" i="2"/>
  <c r="I24" i="2"/>
  <c r="J24" i="2"/>
  <c r="B25" i="2"/>
  <c r="C25" i="2"/>
  <c r="I25" i="2"/>
  <c r="J25" i="2"/>
  <c r="B27" i="2"/>
  <c r="C27" i="2"/>
  <c r="I27" i="2"/>
  <c r="J27" i="2"/>
  <c r="B28" i="2"/>
  <c r="C28" i="2"/>
  <c r="I28" i="2"/>
  <c r="J28" i="2"/>
  <c r="B29" i="2"/>
  <c r="C29" i="2"/>
  <c r="I29" i="2"/>
  <c r="J29" i="2"/>
  <c r="B30" i="2"/>
  <c r="C30" i="2"/>
  <c r="I30" i="2"/>
  <c r="J30" i="2"/>
  <c r="B32" i="2"/>
  <c r="C32" i="2"/>
  <c r="I32" i="2"/>
  <c r="J32" i="2"/>
  <c r="B33" i="2"/>
  <c r="C33" i="2"/>
  <c r="I33" i="2"/>
  <c r="J33" i="2"/>
  <c r="B5" i="2"/>
  <c r="C5" i="2"/>
  <c r="I5" i="2"/>
  <c r="J5" i="2"/>
  <c r="B6" i="2"/>
  <c r="C6" i="2"/>
  <c r="I6" i="2"/>
  <c r="J6" i="2"/>
  <c r="B7" i="2"/>
  <c r="C7" i="2"/>
  <c r="I7" i="2"/>
  <c r="J7" i="2"/>
  <c r="B8" i="2"/>
  <c r="C8" i="2"/>
  <c r="I8" i="2"/>
  <c r="J8" i="2"/>
  <c r="B9" i="2"/>
  <c r="C9" i="2"/>
  <c r="I9" i="2"/>
  <c r="J9" i="2"/>
  <c r="B10" i="2"/>
  <c r="C10" i="2"/>
  <c r="I10" i="2"/>
  <c r="J10" i="2"/>
  <c r="M5" i="2"/>
  <c r="N222" i="2"/>
  <c r="I87" i="2" l="1"/>
  <c r="I88" i="2" s="1"/>
  <c r="I96" i="2"/>
  <c r="H91" i="2"/>
  <c r="H96" i="2" s="1"/>
  <c r="H87" i="2"/>
  <c r="H88" i="2" s="1"/>
  <c r="C88" i="2"/>
  <c r="C59" i="2"/>
  <c r="K92" i="2"/>
  <c r="K96" i="2" s="1"/>
  <c r="J91" i="2"/>
  <c r="J96" i="2" s="1"/>
  <c r="J87" i="2"/>
  <c r="J88" i="2" s="1"/>
  <c r="K88" i="2"/>
  <c r="E70" i="2"/>
  <c r="E71" i="2" s="1"/>
  <c r="E96" i="2"/>
  <c r="E88" i="2"/>
  <c r="B78" i="2"/>
  <c r="C70" i="2"/>
  <c r="B70" i="2"/>
  <c r="C96" i="2"/>
  <c r="B96" i="2"/>
  <c r="B59" i="2"/>
  <c r="B87" i="2"/>
  <c r="B88" i="2" s="1"/>
  <c r="J6" i="12"/>
  <c r="I371" i="12"/>
  <c r="I369" i="12"/>
  <c r="G371" i="12"/>
  <c r="G370" i="12"/>
  <c r="C371" i="12"/>
  <c r="C429" i="12" s="1"/>
  <c r="E371" i="12"/>
  <c r="E429" i="12" s="1"/>
  <c r="H97" i="2" l="1"/>
  <c r="E97" i="2"/>
  <c r="J97" i="2"/>
  <c r="I97" i="2"/>
  <c r="C97" i="2"/>
  <c r="K97" i="2"/>
  <c r="C71" i="2"/>
  <c r="B71" i="2"/>
  <c r="B97" i="2"/>
  <c r="M54" i="6"/>
  <c r="N34" i="6"/>
  <c r="M43" i="5"/>
  <c r="M93" i="2" l="1"/>
  <c r="M94" i="2"/>
  <c r="M86" i="2"/>
  <c r="M87" i="2"/>
  <c r="M92" i="2"/>
  <c r="M95" i="2"/>
  <c r="M6" i="2"/>
  <c r="M7" i="2"/>
  <c r="M8" i="2"/>
  <c r="M9" i="2"/>
  <c r="M10" i="2"/>
  <c r="M132" i="2"/>
  <c r="N119" i="2"/>
  <c r="AF119" i="2" s="1"/>
  <c r="AG119" i="2" s="1"/>
  <c r="M34" i="2" l="1"/>
  <c r="M91" i="2"/>
  <c r="M96" i="2" s="1"/>
  <c r="M88" i="2"/>
  <c r="M97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AF44" i="2" s="1"/>
  <c r="AG44" i="2" s="1"/>
  <c r="N41" i="2"/>
  <c r="L49" i="2" l="1"/>
  <c r="N88" i="5" l="1"/>
  <c r="D112" i="12" s="1"/>
  <c r="D101" i="11" s="1"/>
  <c r="K49" i="2" l="1"/>
  <c r="K54" i="6" l="1"/>
  <c r="K43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1" i="2"/>
  <c r="B115" i="12" s="1"/>
  <c r="I115" i="12" s="1"/>
  <c r="C440" i="12" s="1"/>
  <c r="I207" i="2"/>
  <c r="J132" i="2"/>
  <c r="B104" i="11" l="1"/>
  <c r="B60" i="16" s="1"/>
  <c r="F60" i="16"/>
  <c r="I60" i="16" l="1"/>
  <c r="I104" i="11"/>
  <c r="J43" i="5"/>
  <c r="J54" i="6" l="1"/>
  <c r="I313" i="12" l="1"/>
  <c r="N78" i="6" l="1"/>
  <c r="C91" i="11" s="1"/>
  <c r="I54" i="6"/>
  <c r="C102" i="12" l="1"/>
  <c r="N57" i="5"/>
  <c r="D88" i="11" s="1"/>
  <c r="I43" i="5"/>
  <c r="D99" i="12" l="1"/>
  <c r="H54" i="6"/>
  <c r="I251" i="2"/>
  <c r="I74" i="2" s="1"/>
  <c r="J251" i="2"/>
  <c r="J74" i="2" s="1"/>
  <c r="K74" i="2"/>
  <c r="L251" i="2"/>
  <c r="L74" i="2" s="1"/>
  <c r="M251" i="2"/>
  <c r="M74" i="2" s="1"/>
  <c r="H251" i="2"/>
  <c r="H74" i="2" s="1"/>
  <c r="G251" i="2"/>
  <c r="G74" i="2" s="1"/>
  <c r="N250" i="2"/>
  <c r="AF250" i="2" s="1"/>
  <c r="AG250" i="2" s="1"/>
  <c r="F251" i="2"/>
  <c r="F74" i="2" s="1"/>
  <c r="E251" i="2"/>
  <c r="E74" i="2" s="1"/>
  <c r="D251" i="2"/>
  <c r="D74" i="2" s="1"/>
  <c r="C251" i="2"/>
  <c r="C74" i="2" s="1"/>
  <c r="H43" i="5" l="1"/>
  <c r="N286" i="2" l="1"/>
  <c r="C75" i="2"/>
  <c r="D75" i="2"/>
  <c r="E75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3" i="5"/>
  <c r="F225" i="2" l="1"/>
  <c r="F73" i="2" s="1"/>
  <c r="E225" i="2"/>
  <c r="E73" i="2" s="1"/>
  <c r="F43" i="5" l="1"/>
  <c r="N285" i="2" l="1"/>
  <c r="N199" i="2"/>
  <c r="F207" i="2"/>
  <c r="F54" i="6" l="1"/>
  <c r="N51" i="6"/>
  <c r="N80" i="10" l="1"/>
  <c r="F113" i="12" s="1"/>
  <c r="F102" i="11" s="1"/>
  <c r="E15" i="14"/>
  <c r="E207" i="2" l="1"/>
  <c r="E43" i="5" l="1"/>
  <c r="N10" i="14"/>
  <c r="E80" i="6"/>
  <c r="D80" i="6"/>
  <c r="N64" i="6"/>
  <c r="C82" i="12" s="1"/>
  <c r="E54" i="6"/>
  <c r="N53" i="6"/>
  <c r="D54" i="6"/>
  <c r="C54" i="6"/>
  <c r="B54" i="6"/>
  <c r="N25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3" i="5"/>
  <c r="D52" i="12" s="1"/>
  <c r="D47" i="11" s="1"/>
  <c r="N48" i="5"/>
  <c r="D53" i="12" s="1"/>
  <c r="D48" i="11" s="1"/>
  <c r="N42" i="5"/>
  <c r="D45" i="12" s="1"/>
  <c r="D40" i="11" s="1"/>
  <c r="D43" i="5"/>
  <c r="N35" i="5"/>
  <c r="D39" i="12" s="1"/>
  <c r="D34" i="11" s="1"/>
  <c r="N130" i="2"/>
  <c r="N201" i="2"/>
  <c r="D207" i="2"/>
  <c r="D132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61" i="5"/>
  <c r="R61" i="5" s="1"/>
  <c r="N61" i="5"/>
  <c r="D102" i="12" s="1"/>
  <c r="D91" i="11" s="1"/>
  <c r="C43" i="5"/>
  <c r="C442" i="12" l="1"/>
  <c r="G442" i="12"/>
  <c r="C66" i="11"/>
  <c r="C71" i="12"/>
  <c r="N54" i="6"/>
  <c r="G84" i="12"/>
  <c r="Q61" i="5"/>
  <c r="P61" i="5" s="1"/>
  <c r="S61" i="5"/>
  <c r="P220" i="2" l="1"/>
  <c r="N265" i="2"/>
  <c r="N220" i="2"/>
  <c r="AF220" i="2" s="1"/>
  <c r="AG220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9" i="5"/>
  <c r="Q64" i="5"/>
  <c r="Q52" i="5"/>
  <c r="Q39" i="5"/>
  <c r="Q33" i="5"/>
  <c r="Q38" i="5"/>
  <c r="Q49" i="6"/>
  <c r="Q37" i="5"/>
  <c r="Q73" i="6"/>
  <c r="Q71" i="6" l="1"/>
  <c r="C163" i="18" l="1"/>
  <c r="C164" i="18"/>
  <c r="C165" i="18"/>
  <c r="C166" i="18"/>
  <c r="Q272" i="2" l="1"/>
  <c r="Q48" i="6"/>
  <c r="P48" i="6"/>
  <c r="Q277" i="2"/>
  <c r="Q245" i="2"/>
  <c r="Q237" i="2"/>
  <c r="Q235" i="2"/>
  <c r="D43" i="18"/>
  <c r="Q214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3" i="5"/>
  <c r="M450" i="18" l="1"/>
  <c r="I409" i="18"/>
  <c r="I427" i="18" s="1"/>
  <c r="O465" i="18"/>
  <c r="O448" i="18"/>
  <c r="M662" i="18"/>
  <c r="K450" i="18"/>
  <c r="O438" i="18"/>
  <c r="O450" i="18" l="1"/>
  <c r="Q72" i="5"/>
  <c r="Q55" i="5"/>
  <c r="G267" i="18" s="1"/>
  <c r="Q47" i="5"/>
  <c r="G258" i="18" s="1"/>
  <c r="Q34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6" i="2"/>
  <c r="G73" i="18" s="1"/>
  <c r="Q211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AF28" i="17"/>
  <c r="AE28" i="17"/>
  <c r="AD28" i="17"/>
  <c r="AB28" i="17"/>
  <c r="AA28" i="17"/>
  <c r="Z28" i="17"/>
  <c r="Y28" i="17"/>
  <c r="X28" i="17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R16" i="17" s="1"/>
  <c r="I602" i="18" s="1"/>
  <c r="AG15" i="17"/>
  <c r="R15" i="17" s="1"/>
  <c r="I606" i="18" s="1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AG11" i="17"/>
  <c r="R11" i="17" s="1"/>
  <c r="AG10" i="17"/>
  <c r="AG12" i="17" s="1"/>
  <c r="S18" i="17"/>
  <c r="P27" i="17"/>
  <c r="D630" i="18" s="1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R10" i="17" l="1"/>
  <c r="W19" i="17"/>
  <c r="AA19" i="17"/>
  <c r="AE19" i="17"/>
  <c r="X19" i="17"/>
  <c r="X30" i="17" s="1"/>
  <c r="AB19" i="17"/>
  <c r="AB30" i="17" s="1"/>
  <c r="AF19" i="17"/>
  <c r="Q24" i="14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D30" i="17" s="1"/>
  <c r="AF22" i="7"/>
  <c r="Q24" i="17"/>
  <c r="P24" i="17" s="1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 s="1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Z33" i="14" s="1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P69" i="5"/>
  <c r="D285" i="18" s="1"/>
  <c r="P71" i="5"/>
  <c r="D293" i="18" s="1"/>
  <c r="P72" i="5"/>
  <c r="D290" i="18" s="1"/>
  <c r="P73" i="5"/>
  <c r="D288" i="18" s="1"/>
  <c r="P76" i="5"/>
  <c r="D291" i="18" s="1"/>
  <c r="S66" i="5"/>
  <c r="S67" i="5"/>
  <c r="P55" i="5"/>
  <c r="D267" i="18" s="1"/>
  <c r="P34" i="5"/>
  <c r="D245" i="18" s="1"/>
  <c r="P37" i="5"/>
  <c r="D248" i="18" s="1"/>
  <c r="P38" i="5"/>
  <c r="D249" i="18" s="1"/>
  <c r="P39" i="5"/>
  <c r="D250" i="18" s="1"/>
  <c r="R34" i="5"/>
  <c r="I245" i="18" s="1"/>
  <c r="P64" i="5"/>
  <c r="D278" i="18" s="1"/>
  <c r="P52" i="5"/>
  <c r="D265" i="18" s="1"/>
  <c r="P47" i="5"/>
  <c r="AF90" i="5"/>
  <c r="AE90" i="5"/>
  <c r="AD90" i="5"/>
  <c r="AC90" i="5"/>
  <c r="AB90" i="5"/>
  <c r="AA90" i="5"/>
  <c r="Z90" i="5"/>
  <c r="Y90" i="5"/>
  <c r="X90" i="5"/>
  <c r="W90" i="5"/>
  <c r="V90" i="5"/>
  <c r="U90" i="5"/>
  <c r="AG89" i="5"/>
  <c r="R89" i="5" s="1"/>
  <c r="I312" i="18" s="1"/>
  <c r="AG87" i="5"/>
  <c r="R87" i="5" s="1"/>
  <c r="AF82" i="5"/>
  <c r="AE82" i="5"/>
  <c r="AD82" i="5"/>
  <c r="AC82" i="5"/>
  <c r="AB82" i="5"/>
  <c r="AA82" i="5"/>
  <c r="Z82" i="5"/>
  <c r="X82" i="5"/>
  <c r="W82" i="5"/>
  <c r="V82" i="5"/>
  <c r="U82" i="5"/>
  <c r="AG81" i="5"/>
  <c r="R81" i="5" s="1"/>
  <c r="AG80" i="5"/>
  <c r="R80" i="5" s="1"/>
  <c r="I268" i="18" s="1"/>
  <c r="AG79" i="5"/>
  <c r="R79" i="5" s="1"/>
  <c r="AG78" i="5"/>
  <c r="R78" i="5" s="1"/>
  <c r="AG77" i="5"/>
  <c r="R77" i="5" s="1"/>
  <c r="AG76" i="5"/>
  <c r="R76" i="5" s="1"/>
  <c r="Y75" i="5"/>
  <c r="AG75" i="5" s="1"/>
  <c r="R75" i="5" s="1"/>
  <c r="AG74" i="5"/>
  <c r="R74" i="5" s="1"/>
  <c r="AG73" i="5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4" i="5"/>
  <c r="R64" i="5" s="1"/>
  <c r="AG63" i="5"/>
  <c r="R63" i="5" s="1"/>
  <c r="AG62" i="5"/>
  <c r="R62" i="5" s="1"/>
  <c r="I275" i="18" s="1"/>
  <c r="AG60" i="5"/>
  <c r="R60" i="5" s="1"/>
  <c r="AG59" i="5"/>
  <c r="R59" i="5" s="1"/>
  <c r="AG58" i="5"/>
  <c r="R58" i="5" s="1"/>
  <c r="AG56" i="5"/>
  <c r="R56" i="5" s="1"/>
  <c r="I270" i="18" s="1"/>
  <c r="I798" i="18" s="1"/>
  <c r="AG55" i="5"/>
  <c r="R55" i="5" s="1"/>
  <c r="AG54" i="5"/>
  <c r="R54" i="5" s="1"/>
  <c r="AG52" i="5"/>
  <c r="R52" i="5" s="1"/>
  <c r="AC51" i="5"/>
  <c r="AG50" i="5"/>
  <c r="R50" i="5" s="1"/>
  <c r="AG49" i="5"/>
  <c r="R49" i="5" s="1"/>
  <c r="AD47" i="5"/>
  <c r="Y47" i="5"/>
  <c r="AG47" i="5" s="1"/>
  <c r="R47" i="5" s="1"/>
  <c r="I258" i="18" s="1"/>
  <c r="AF46" i="5"/>
  <c r="AF65" i="5" s="1"/>
  <c r="AE46" i="5"/>
  <c r="AE65" i="5" s="1"/>
  <c r="AD46" i="5"/>
  <c r="AD65" i="5" s="1"/>
  <c r="AC46" i="5"/>
  <c r="AB46" i="5"/>
  <c r="AB65" i="5" s="1"/>
  <c r="AA46" i="5"/>
  <c r="AA65" i="5" s="1"/>
  <c r="Z46" i="5"/>
  <c r="Z65" i="5" s="1"/>
  <c r="Y46" i="5"/>
  <c r="X46" i="5"/>
  <c r="X65" i="5" s="1"/>
  <c r="W46" i="5"/>
  <c r="W65" i="5" s="1"/>
  <c r="V46" i="5"/>
  <c r="V65" i="5" s="1"/>
  <c r="U46" i="5"/>
  <c r="AE43" i="5"/>
  <c r="AD43" i="5"/>
  <c r="AB43" i="5"/>
  <c r="Y43" i="5"/>
  <c r="X43" i="5"/>
  <c r="W43" i="5"/>
  <c r="V43" i="5"/>
  <c r="U43" i="5"/>
  <c r="AG41" i="5"/>
  <c r="R41" i="5" s="1"/>
  <c r="AF40" i="5"/>
  <c r="AF43" i="5" s="1"/>
  <c r="AC40" i="5"/>
  <c r="AC43" i="5" s="1"/>
  <c r="AA40" i="5"/>
  <c r="AA43" i="5" s="1"/>
  <c r="Z40" i="5"/>
  <c r="Z43" i="5" s="1"/>
  <c r="AG39" i="5"/>
  <c r="R39" i="5" s="1"/>
  <c r="AG38" i="5"/>
  <c r="R38" i="5" s="1"/>
  <c r="AG37" i="5"/>
  <c r="R37" i="5" s="1"/>
  <c r="I248" i="18" s="1"/>
  <c r="AG36" i="5"/>
  <c r="R36" i="5" s="1"/>
  <c r="AG33" i="5"/>
  <c r="AG32" i="5"/>
  <c r="AF27" i="5"/>
  <c r="AE27" i="5"/>
  <c r="AD27" i="5"/>
  <c r="AC27" i="5"/>
  <c r="AB27" i="5"/>
  <c r="AA27" i="5"/>
  <c r="Z27" i="5"/>
  <c r="Y27" i="5"/>
  <c r="X27" i="5"/>
  <c r="W27" i="5"/>
  <c r="V27" i="5"/>
  <c r="U27" i="5"/>
  <c r="AG26" i="5"/>
  <c r="R26" i="5" s="1"/>
  <c r="AG25" i="5"/>
  <c r="R25" i="5" s="1"/>
  <c r="AG24" i="5"/>
  <c r="AG23" i="5"/>
  <c r="AF21" i="5"/>
  <c r="AF29" i="5" s="1"/>
  <c r="AE21" i="5"/>
  <c r="AE29" i="5" s="1"/>
  <c r="AD21" i="5"/>
  <c r="AD29" i="5" s="1"/>
  <c r="AC21" i="5"/>
  <c r="AB21" i="5"/>
  <c r="AB29" i="5" s="1"/>
  <c r="Y21" i="5"/>
  <c r="X21" i="5"/>
  <c r="W21" i="5"/>
  <c r="V21" i="5"/>
  <c r="U21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21" i="5" s="1"/>
  <c r="Z8" i="5"/>
  <c r="AA29" i="5" l="1"/>
  <c r="U39" i="6"/>
  <c r="W39" i="6"/>
  <c r="I288" i="18"/>
  <c r="S73" i="5"/>
  <c r="I287" i="18"/>
  <c r="I815" i="18" s="1"/>
  <c r="S79" i="5"/>
  <c r="I151" i="18"/>
  <c r="S57" i="6"/>
  <c r="I282" i="18"/>
  <c r="I810" i="18" s="1"/>
  <c r="S68" i="5"/>
  <c r="Q68" i="5"/>
  <c r="G282" i="18" s="1"/>
  <c r="I285" i="18"/>
  <c r="S69" i="5"/>
  <c r="I307" i="18"/>
  <c r="I320" i="18" s="1"/>
  <c r="S87" i="5"/>
  <c r="Q87" i="5"/>
  <c r="G307" i="18" s="1"/>
  <c r="I206" i="18"/>
  <c r="I840" i="18" s="1"/>
  <c r="Q85" i="6"/>
  <c r="S85" i="6"/>
  <c r="AG46" i="5"/>
  <c r="R46" i="5" s="1"/>
  <c r="Q8" i="6"/>
  <c r="G114" i="18" s="1"/>
  <c r="I114" i="18"/>
  <c r="I748" i="18" s="1"/>
  <c r="I838" i="18"/>
  <c r="S84" i="6"/>
  <c r="X29" i="5"/>
  <c r="AG27" i="5"/>
  <c r="S89" i="5"/>
  <c r="Y39" i="6"/>
  <c r="AA39" i="6"/>
  <c r="Q84" i="6"/>
  <c r="I293" i="18"/>
  <c r="I821" i="18" s="1"/>
  <c r="S71" i="5"/>
  <c r="I292" i="18"/>
  <c r="I820" i="18" s="1"/>
  <c r="Q75" i="5"/>
  <c r="S75" i="5"/>
  <c r="I290" i="18"/>
  <c r="S72" i="5"/>
  <c r="I294" i="18"/>
  <c r="S81" i="5"/>
  <c r="Q81" i="5"/>
  <c r="I296" i="18"/>
  <c r="I824" i="18" s="1"/>
  <c r="Q70" i="5"/>
  <c r="S70" i="5"/>
  <c r="I289" i="18"/>
  <c r="S74" i="5"/>
  <c r="Q74" i="5"/>
  <c r="I295" i="18"/>
  <c r="I823" i="18" s="1"/>
  <c r="Q78" i="5"/>
  <c r="S78" i="5"/>
  <c r="Q89" i="5"/>
  <c r="Q80" i="5"/>
  <c r="R90" i="5"/>
  <c r="S80" i="5"/>
  <c r="Q79" i="5"/>
  <c r="S65" i="6"/>
  <c r="I179" i="18"/>
  <c r="I183" i="18"/>
  <c r="S74" i="6"/>
  <c r="I291" i="18"/>
  <c r="R82" i="5"/>
  <c r="S76" i="5"/>
  <c r="I298" i="18"/>
  <c r="I826" i="18" s="1"/>
  <c r="Q77" i="5"/>
  <c r="S77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4" i="5"/>
  <c r="S47" i="5"/>
  <c r="I249" i="18"/>
  <c r="S38" i="5"/>
  <c r="I265" i="18"/>
  <c r="I793" i="18" s="1"/>
  <c r="S52" i="5"/>
  <c r="I276" i="18"/>
  <c r="S58" i="5"/>
  <c r="Q58" i="5"/>
  <c r="I277" i="18"/>
  <c r="I805" i="18" s="1"/>
  <c r="S63" i="5"/>
  <c r="Q63" i="5"/>
  <c r="I250" i="18"/>
  <c r="S39" i="5"/>
  <c r="I261" i="18"/>
  <c r="I789" i="18" s="1"/>
  <c r="S49" i="5"/>
  <c r="Q49" i="5"/>
  <c r="I266" i="18"/>
  <c r="I794" i="18" s="1"/>
  <c r="S54" i="5"/>
  <c r="Q54" i="5"/>
  <c r="I271" i="18"/>
  <c r="I799" i="18" s="1"/>
  <c r="S59" i="5"/>
  <c r="Q59" i="5"/>
  <c r="I278" i="18"/>
  <c r="S64" i="5"/>
  <c r="I247" i="18"/>
  <c r="S36" i="5"/>
  <c r="Q36" i="5"/>
  <c r="I253" i="18"/>
  <c r="Q41" i="5"/>
  <c r="S41" i="5"/>
  <c r="I262" i="18"/>
  <c r="I790" i="18" s="1"/>
  <c r="S50" i="5"/>
  <c r="Q50" i="5"/>
  <c r="I267" i="18"/>
  <c r="I795" i="18" s="1"/>
  <c r="S55" i="5"/>
  <c r="I273" i="18"/>
  <c r="I801" i="18" s="1"/>
  <c r="S60" i="5"/>
  <c r="Q60" i="5"/>
  <c r="Q56" i="5"/>
  <c r="S62" i="5"/>
  <c r="I773" i="18"/>
  <c r="S37" i="5"/>
  <c r="Q62" i="5"/>
  <c r="S5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6" i="5"/>
  <c r="P26" i="5" s="1"/>
  <c r="S26" i="5"/>
  <c r="S11" i="5"/>
  <c r="Q11" i="5"/>
  <c r="P11" i="5" s="1"/>
  <c r="S16" i="5"/>
  <c r="Q16" i="5"/>
  <c r="P16" i="5" s="1"/>
  <c r="AF84" i="5"/>
  <c r="AF92" i="5" s="1"/>
  <c r="AF95" i="5" s="1"/>
  <c r="AD84" i="5"/>
  <c r="AD92" i="5" s="1"/>
  <c r="AD95" i="5" s="1"/>
  <c r="R33" i="5"/>
  <c r="I244" i="18" s="1"/>
  <c r="I772" i="18" s="1"/>
  <c r="AB84" i="5"/>
  <c r="AB92" i="5" s="1"/>
  <c r="AB95" i="5" s="1"/>
  <c r="Z84" i="5"/>
  <c r="AE84" i="5"/>
  <c r="AE92" i="5" s="1"/>
  <c r="AE95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5" i="5"/>
  <c r="Q25" i="5"/>
  <c r="P25" i="5" s="1"/>
  <c r="Q17" i="5"/>
  <c r="P17" i="5" s="1"/>
  <c r="S17" i="5"/>
  <c r="AC65" i="5"/>
  <c r="AC84" i="5" s="1"/>
  <c r="R24" i="5"/>
  <c r="R27" i="5" s="1"/>
  <c r="I236" i="18" s="1"/>
  <c r="AG90" i="5"/>
  <c r="V29" i="5"/>
  <c r="X84" i="5"/>
  <c r="X92" i="5" s="1"/>
  <c r="X95" i="5" s="1"/>
  <c r="AG8" i="5"/>
  <c r="R8" i="5" s="1"/>
  <c r="S8" i="5" s="1"/>
  <c r="W29" i="5"/>
  <c r="U29" i="5"/>
  <c r="Y29" i="5"/>
  <c r="AC29" i="5"/>
  <c r="V84" i="5"/>
  <c r="U65" i="5"/>
  <c r="U84" i="5" s="1"/>
  <c r="S12" i="5"/>
  <c r="P87" i="5"/>
  <c r="AA84" i="5"/>
  <c r="W84" i="5"/>
  <c r="AG82" i="5"/>
  <c r="Z21" i="5"/>
  <c r="Z29" i="5" s="1"/>
  <c r="Y65" i="5"/>
  <c r="Y82" i="5"/>
  <c r="AG51" i="5"/>
  <c r="R51" i="5" s="1"/>
  <c r="AG40" i="5"/>
  <c r="R40" i="5" s="1"/>
  <c r="I251" i="18" s="1"/>
  <c r="I779" i="18" s="1"/>
  <c r="AA92" i="5" l="1"/>
  <c r="AA95" i="5" s="1"/>
  <c r="Q90" i="5"/>
  <c r="P68" i="5"/>
  <c r="D282" i="18" s="1"/>
  <c r="S90" i="5"/>
  <c r="S40" i="5"/>
  <c r="I816" i="18"/>
  <c r="K282" i="18"/>
  <c r="I813" i="18"/>
  <c r="Y90" i="6"/>
  <c r="I775" i="18"/>
  <c r="P72" i="6"/>
  <c r="D184" i="18" s="1"/>
  <c r="P85" i="6"/>
  <c r="D206" i="18" s="1"/>
  <c r="G206" i="18"/>
  <c r="I257" i="18"/>
  <c r="S46" i="5"/>
  <c r="Q46" i="5"/>
  <c r="S61" i="6"/>
  <c r="Q40" i="5"/>
  <c r="G251" i="18" s="1"/>
  <c r="I818" i="18"/>
  <c r="I835" i="18"/>
  <c r="I848" i="18" s="1"/>
  <c r="P84" i="6"/>
  <c r="D204" i="18" s="1"/>
  <c r="G204" i="18"/>
  <c r="I214" i="18"/>
  <c r="I862" i="18" s="1"/>
  <c r="S33" i="5"/>
  <c r="I817" i="18"/>
  <c r="I785" i="18"/>
  <c r="G289" i="18"/>
  <c r="P74" i="5"/>
  <c r="D289" i="18" s="1"/>
  <c r="G296" i="18"/>
  <c r="P70" i="5"/>
  <c r="D296" i="18" s="1"/>
  <c r="I822" i="18"/>
  <c r="G287" i="18"/>
  <c r="P79" i="5"/>
  <c r="D287" i="18" s="1"/>
  <c r="G292" i="18"/>
  <c r="P75" i="5"/>
  <c r="D292" i="18" s="1"/>
  <c r="D820" i="18" s="1"/>
  <c r="G268" i="18"/>
  <c r="P80" i="5"/>
  <c r="D268" i="18" s="1"/>
  <c r="E268" i="18" s="1"/>
  <c r="G295" i="18"/>
  <c r="P78" i="5"/>
  <c r="D295" i="18" s="1"/>
  <c r="G294" i="18"/>
  <c r="P81" i="5"/>
  <c r="D294" i="18" s="1"/>
  <c r="P89" i="5"/>
  <c r="D312" i="18" s="1"/>
  <c r="G312" i="18"/>
  <c r="G320" i="18" s="1"/>
  <c r="P24" i="6"/>
  <c r="D128" i="18" s="1"/>
  <c r="K128" i="18" s="1"/>
  <c r="I819" i="18"/>
  <c r="S82" i="5"/>
  <c r="G298" i="18"/>
  <c r="P77" i="5"/>
  <c r="Q82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2" i="5"/>
  <c r="W95" i="5" s="1"/>
  <c r="I263" i="18"/>
  <c r="S51" i="5"/>
  <c r="Q51" i="5"/>
  <c r="P56" i="5"/>
  <c r="D270" i="18" s="1"/>
  <c r="G270" i="18"/>
  <c r="G247" i="18"/>
  <c r="P36" i="5"/>
  <c r="D247" i="18" s="1"/>
  <c r="G266" i="18"/>
  <c r="P54" i="5"/>
  <c r="D266" i="18" s="1"/>
  <c r="R65" i="5"/>
  <c r="G276" i="18"/>
  <c r="P58" i="5"/>
  <c r="D276" i="18" s="1"/>
  <c r="P62" i="5"/>
  <c r="D275" i="18" s="1"/>
  <c r="G275" i="18"/>
  <c r="I254" i="18"/>
  <c r="P60" i="5"/>
  <c r="D273" i="18" s="1"/>
  <c r="G273" i="18"/>
  <c r="G271" i="18"/>
  <c r="P59" i="5"/>
  <c r="D271" i="18" s="1"/>
  <c r="E271" i="18" s="1"/>
  <c r="G277" i="18"/>
  <c r="P63" i="5"/>
  <c r="D277" i="18" s="1"/>
  <c r="G261" i="18"/>
  <c r="P49" i="5"/>
  <c r="D261" i="18" s="1"/>
  <c r="I764" i="18"/>
  <c r="I237" i="18"/>
  <c r="P50" i="5"/>
  <c r="D262" i="18" s="1"/>
  <c r="G262" i="18"/>
  <c r="G253" i="18"/>
  <c r="P41" i="5"/>
  <c r="D253" i="18" s="1"/>
  <c r="D307" i="18"/>
  <c r="P90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2" i="5"/>
  <c r="Z95" i="5" s="1"/>
  <c r="AG43" i="5"/>
  <c r="U92" i="5"/>
  <c r="U95" i="5" s="1"/>
  <c r="Y84" i="5"/>
  <c r="Y92" i="5" s="1"/>
  <c r="Y95" i="5" s="1"/>
  <c r="S24" i="5"/>
  <c r="S27" i="5"/>
  <c r="Q24" i="5"/>
  <c r="Q27" i="5" s="1"/>
  <c r="G236" i="18" s="1"/>
  <c r="G237" i="18" s="1"/>
  <c r="AG65" i="5"/>
  <c r="AC92" i="5"/>
  <c r="AC95" i="5" s="1"/>
  <c r="AG21" i="5"/>
  <c r="R21" i="5"/>
  <c r="I226" i="18" s="1"/>
  <c r="V92" i="5"/>
  <c r="V95" i="5" s="1"/>
  <c r="P40" i="5" l="1"/>
  <c r="D251" i="18" s="1"/>
  <c r="K251" i="18" s="1"/>
  <c r="I859" i="18"/>
  <c r="I872" i="18"/>
  <c r="I806" i="18"/>
  <c r="G214" i="18"/>
  <c r="K204" i="18"/>
  <c r="D214" i="18"/>
  <c r="K206" i="18"/>
  <c r="G257" i="18"/>
  <c r="P46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K169" i="18"/>
  <c r="D130" i="18"/>
  <c r="K162" i="18"/>
  <c r="K183" i="18"/>
  <c r="D298" i="18"/>
  <c r="D302" i="18" s="1"/>
  <c r="P82" i="5"/>
  <c r="G302" i="18"/>
  <c r="S65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51" i="5"/>
  <c r="K253" i="18"/>
  <c r="K273" i="18"/>
  <c r="K277" i="18"/>
  <c r="K266" i="18"/>
  <c r="I791" i="18"/>
  <c r="I279" i="18"/>
  <c r="I858" i="18" s="1"/>
  <c r="K271" i="18"/>
  <c r="M271" i="18"/>
  <c r="K275" i="18"/>
  <c r="G254" i="18"/>
  <c r="K247" i="18"/>
  <c r="I227" i="18"/>
  <c r="I754" i="18"/>
  <c r="I755" i="18" s="1"/>
  <c r="I857" i="18"/>
  <c r="Q65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9" i="5"/>
  <c r="S21" i="5"/>
  <c r="AG84" i="5"/>
  <c r="R43" i="5"/>
  <c r="P33" i="5"/>
  <c r="D244" i="18" s="1"/>
  <c r="Q43" i="5"/>
  <c r="Q8" i="5"/>
  <c r="P8" i="5" s="1"/>
  <c r="AG29" i="5"/>
  <c r="P24" i="5"/>
  <c r="P27" i="5" s="1"/>
  <c r="D236" i="18" s="1"/>
  <c r="I807" i="18" l="1"/>
  <c r="I832" i="18" s="1"/>
  <c r="I870" i="18"/>
  <c r="K257" i="18"/>
  <c r="K214" i="18"/>
  <c r="O268" i="18"/>
  <c r="K298" i="18"/>
  <c r="K302" i="18" s="1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9" i="5"/>
  <c r="I304" i="18"/>
  <c r="O271" i="18"/>
  <c r="I860" i="18"/>
  <c r="Q84" i="5"/>
  <c r="R84" i="5"/>
  <c r="S84" i="5" s="1"/>
  <c r="S43" i="5"/>
  <c r="I853" i="18"/>
  <c r="I855" i="18" s="1"/>
  <c r="I239" i="18"/>
  <c r="I868" i="18"/>
  <c r="D263" i="18"/>
  <c r="D279" i="18" s="1"/>
  <c r="P65" i="5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3" i="5"/>
  <c r="P21" i="5"/>
  <c r="Q21" i="5"/>
  <c r="AG92" i="5"/>
  <c r="I869" i="18" l="1"/>
  <c r="I322" i="18"/>
  <c r="I850" i="18"/>
  <c r="I871" i="18"/>
  <c r="S88" i="6"/>
  <c r="S90" i="6"/>
  <c r="G216" i="18"/>
  <c r="P39" i="6"/>
  <c r="Q90" i="6"/>
  <c r="R92" i="5"/>
  <c r="S92" i="5" s="1"/>
  <c r="K263" i="18"/>
  <c r="K279" i="18" s="1"/>
  <c r="P84" i="5"/>
  <c r="I867" i="18"/>
  <c r="I863" i="18"/>
  <c r="Q29" i="5"/>
  <c r="Q92" i="5" s="1"/>
  <c r="G226" i="18"/>
  <c r="G227" i="18" s="1"/>
  <c r="G239" i="18" s="1"/>
  <c r="G322" i="18" s="1"/>
  <c r="I865" i="18"/>
  <c r="P29" i="5"/>
  <c r="D226" i="18"/>
  <c r="K254" i="18"/>
  <c r="K173" i="18"/>
  <c r="P80" i="6"/>
  <c r="P88" i="6" s="1"/>
  <c r="D193" i="18"/>
  <c r="K125" i="18"/>
  <c r="D131" i="18"/>
  <c r="AG95" i="5"/>
  <c r="I873" i="18" l="1"/>
  <c r="P90" i="6"/>
  <c r="K304" i="18"/>
  <c r="P92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4" i="10"/>
  <c r="Q79" i="10"/>
  <c r="Q81" i="10"/>
  <c r="Q82" i="10"/>
  <c r="Q83" i="10"/>
  <c r="P83" i="10" s="1"/>
  <c r="Q78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6" i="10"/>
  <c r="P78" i="10"/>
  <c r="AF8" i="10"/>
  <c r="S8" i="10" s="1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AF83" i="10"/>
  <c r="S83" i="10" s="1"/>
  <c r="AF82" i="10"/>
  <c r="S82" i="10" s="1"/>
  <c r="AF81" i="10"/>
  <c r="S81" i="10" s="1"/>
  <c r="AF79" i="10"/>
  <c r="S79" i="10" s="1"/>
  <c r="AF78" i="10"/>
  <c r="S78" i="10" s="1"/>
  <c r="AE73" i="10"/>
  <c r="AD73" i="10"/>
  <c r="AC73" i="10"/>
  <c r="AB73" i="10"/>
  <c r="AA73" i="10"/>
  <c r="Z73" i="10"/>
  <c r="Y73" i="10"/>
  <c r="X73" i="10"/>
  <c r="W73" i="10"/>
  <c r="V73" i="10"/>
  <c r="U73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P26" i="10" l="1"/>
  <c r="D350" i="18" s="1"/>
  <c r="K350" i="18" s="1"/>
  <c r="O358" i="18"/>
  <c r="P28" i="10"/>
  <c r="D353" i="18" s="1"/>
  <c r="K353" i="18" s="1"/>
  <c r="P32" i="10"/>
  <c r="D357" i="18" s="1"/>
  <c r="K357" i="18" s="1"/>
  <c r="O357" i="18" s="1"/>
  <c r="P37" i="10"/>
  <c r="D362" i="18" s="1"/>
  <c r="S18" i="10"/>
  <c r="Q84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K356" i="18" s="1"/>
  <c r="G387" i="18"/>
  <c r="P61" i="10"/>
  <c r="D387" i="18" s="1"/>
  <c r="Z75" i="10"/>
  <c r="AB21" i="10"/>
  <c r="P57" i="10"/>
  <c r="D383" i="18" s="1"/>
  <c r="K383" i="18" s="1"/>
  <c r="P45" i="10"/>
  <c r="D374" i="18" s="1"/>
  <c r="K374" i="18" s="1"/>
  <c r="G401" i="18"/>
  <c r="P64" i="10"/>
  <c r="D401" i="18" s="1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9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2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3" i="10"/>
  <c r="G419" i="18"/>
  <c r="P81" i="10"/>
  <c r="D419" i="18" s="1"/>
  <c r="M371" i="18"/>
  <c r="D376" i="18"/>
  <c r="D37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5" i="10"/>
  <c r="AB75" i="10"/>
  <c r="AB86" i="10" s="1"/>
  <c r="AF84" i="10"/>
  <c r="S84" i="10" s="1"/>
  <c r="AD75" i="10"/>
  <c r="V58" i="10"/>
  <c r="V75" i="10" s="1"/>
  <c r="V86" i="10" s="1"/>
  <c r="Z21" i="10"/>
  <c r="AD21" i="10"/>
  <c r="AA75" i="10"/>
  <c r="AE75" i="10"/>
  <c r="U21" i="10"/>
  <c r="Y21" i="10"/>
  <c r="X21" i="10"/>
  <c r="AF34" i="10"/>
  <c r="S34" i="10" s="1"/>
  <c r="W75" i="10"/>
  <c r="X75" i="10"/>
  <c r="AF73" i="10"/>
  <c r="S73" i="10" s="1"/>
  <c r="Q15" i="10"/>
  <c r="AC21" i="10"/>
  <c r="AF15" i="10"/>
  <c r="U75" i="10"/>
  <c r="Y75" i="10"/>
  <c r="W15" i="10"/>
  <c r="W21" i="10" s="1"/>
  <c r="AF43" i="10"/>
  <c r="S43" i="10" s="1"/>
  <c r="AF45" i="10"/>
  <c r="S45" i="10" s="1"/>
  <c r="E357" i="18" l="1"/>
  <c r="K387" i="18"/>
  <c r="AE86" i="10"/>
  <c r="O371" i="18"/>
  <c r="D342" i="18"/>
  <c r="Z86" i="10"/>
  <c r="AD86" i="10"/>
  <c r="X86" i="10"/>
  <c r="E371" i="18"/>
  <c r="AA86" i="10"/>
  <c r="K398" i="18"/>
  <c r="K394" i="18"/>
  <c r="K392" i="18"/>
  <c r="K399" i="18"/>
  <c r="Y86" i="10"/>
  <c r="U86" i="10"/>
  <c r="AC86" i="10"/>
  <c r="W86" i="10"/>
  <c r="Q75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4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3" i="10"/>
  <c r="T73" i="10" s="1"/>
  <c r="T75" i="10" s="1"/>
  <c r="T86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6" i="10"/>
  <c r="O380" i="18"/>
  <c r="D384" i="18"/>
  <c r="D409" i="18" s="1"/>
  <c r="E379" i="18"/>
  <c r="K425" i="18"/>
  <c r="O395" i="18"/>
  <c r="O662" i="18"/>
  <c r="G409" i="18"/>
  <c r="G427" i="18" s="1"/>
  <c r="AF75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5" i="10"/>
  <c r="P86" i="10" s="1"/>
  <c r="D639" i="18"/>
  <c r="D322" i="18"/>
  <c r="E662" i="18"/>
  <c r="E556" i="18"/>
  <c r="K639" i="18" l="1"/>
  <c r="D427" i="18"/>
  <c r="K745" i="18"/>
  <c r="K409" i="18"/>
  <c r="AF86" i="10"/>
  <c r="S86" i="10" s="1"/>
  <c r="S75" i="10"/>
  <c r="K332" i="18"/>
  <c r="K344" i="18" s="1"/>
  <c r="K322" i="18"/>
  <c r="K427" i="18" l="1"/>
  <c r="P211" i="2"/>
  <c r="P214" i="2"/>
  <c r="P215" i="2"/>
  <c r="P216" i="2"/>
  <c r="P217" i="2"/>
  <c r="D33" i="18" l="1"/>
  <c r="D36" i="18"/>
  <c r="D37" i="18"/>
  <c r="D38" i="18"/>
  <c r="P256" i="2"/>
  <c r="D73" i="18" s="1"/>
  <c r="P264" i="2"/>
  <c r="D63" i="18" s="1"/>
  <c r="D803" i="18" s="1"/>
  <c r="P272" i="2"/>
  <c r="D88" i="18" s="1"/>
  <c r="K88" i="18" s="1"/>
  <c r="P276" i="2"/>
  <c r="D78" i="18" s="1"/>
  <c r="P277" i="2"/>
  <c r="D76" i="18" s="1"/>
  <c r="P279" i="2"/>
  <c r="D79" i="18" s="1"/>
  <c r="P235" i="2"/>
  <c r="D53" i="18" s="1"/>
  <c r="D793" i="18" s="1"/>
  <c r="P237" i="2"/>
  <c r="D54" i="18" s="1"/>
  <c r="P241" i="2"/>
  <c r="P243" i="2"/>
  <c r="P245" i="2"/>
  <c r="D66" i="18" s="1"/>
  <c r="P248" i="2"/>
  <c r="Q292" i="2"/>
  <c r="Q293" i="2"/>
  <c r="G98" i="18" s="1"/>
  <c r="Q294" i="2"/>
  <c r="G99" i="18" s="1"/>
  <c r="G839" i="18" s="1"/>
  <c r="Q295" i="2"/>
  <c r="G100" i="18" s="1"/>
  <c r="G840" i="18" s="1"/>
  <c r="Q298" i="2"/>
  <c r="G101" i="18" s="1"/>
  <c r="G841" i="18" s="1"/>
  <c r="Q302" i="2"/>
  <c r="G102" i="18" s="1"/>
  <c r="G842" i="18" s="1"/>
  <c r="Q304" i="2"/>
  <c r="G103" i="18" s="1"/>
  <c r="G843" i="18" s="1"/>
  <c r="Q305" i="2"/>
  <c r="G104" i="18" s="1"/>
  <c r="G844" i="18" s="1"/>
  <c r="Q306" i="2"/>
  <c r="G106" i="18" s="1"/>
  <c r="G846" i="18" s="1"/>
  <c r="Q307" i="2"/>
  <c r="G105" i="18" s="1"/>
  <c r="G845" i="18" s="1"/>
  <c r="Q308" i="2"/>
  <c r="G107" i="18" s="1"/>
  <c r="G847" i="18" s="1"/>
  <c r="Q291" i="2"/>
  <c r="G95" i="18" s="1"/>
  <c r="G835" i="18" s="1"/>
  <c r="Q254" i="2"/>
  <c r="G41" i="18" s="1"/>
  <c r="G781" i="18" s="1"/>
  <c r="Q255" i="2"/>
  <c r="G70" i="18" s="1"/>
  <c r="Q257" i="2"/>
  <c r="G84" i="18" s="1"/>
  <c r="G824" i="18" s="1"/>
  <c r="Q258" i="2"/>
  <c r="G75" i="18" s="1"/>
  <c r="G815" i="18" s="1"/>
  <c r="Q259" i="2"/>
  <c r="P259" i="2" s="1"/>
  <c r="Q260" i="2"/>
  <c r="P260" i="2" s="1"/>
  <c r="Q261" i="2"/>
  <c r="P261" i="2" s="1"/>
  <c r="Q262" i="2"/>
  <c r="P262" i="2" s="1"/>
  <c r="Q263" i="2"/>
  <c r="G85" i="18" s="1"/>
  <c r="G825" i="18" s="1"/>
  <c r="Q266" i="2"/>
  <c r="G62" i="18" s="1"/>
  <c r="G802" i="18" s="1"/>
  <c r="Q267" i="2"/>
  <c r="G82" i="18" s="1"/>
  <c r="G822" i="18" s="1"/>
  <c r="Q268" i="2"/>
  <c r="G83" i="18" s="1"/>
  <c r="G823" i="18" s="1"/>
  <c r="Q269" i="2"/>
  <c r="P269" i="2" s="1"/>
  <c r="Q270" i="2"/>
  <c r="G86" i="18" s="1"/>
  <c r="G826" i="18" s="1"/>
  <c r="Q271" i="2"/>
  <c r="P271" i="2" s="1"/>
  <c r="Q273" i="2"/>
  <c r="G89" i="18" s="1"/>
  <c r="G829" i="18" s="1"/>
  <c r="Q274" i="2"/>
  <c r="P274" i="2" s="1"/>
  <c r="Q275" i="2"/>
  <c r="P275" i="2" s="1"/>
  <c r="Q278" i="2"/>
  <c r="G77" i="18" s="1"/>
  <c r="G817" i="18" s="1"/>
  <c r="Q280" i="2"/>
  <c r="G56" i="18" s="1"/>
  <c r="G796" i="18" s="1"/>
  <c r="Q281" i="2"/>
  <c r="P281" i="2" s="1"/>
  <c r="Q283" i="2"/>
  <c r="P283" i="2" s="1"/>
  <c r="Q284" i="2"/>
  <c r="G57" i="18" s="1"/>
  <c r="G797" i="18" s="1"/>
  <c r="Q253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8" i="2"/>
  <c r="G55" i="18" s="1"/>
  <c r="G795" i="18" s="1"/>
  <c r="Q239" i="2"/>
  <c r="G58" i="18" s="1"/>
  <c r="G798" i="18" s="1"/>
  <c r="Q240" i="2"/>
  <c r="G59" i="18" s="1"/>
  <c r="G799" i="18" s="1"/>
  <c r="Q242" i="2"/>
  <c r="G60" i="18" s="1"/>
  <c r="G800" i="18" s="1"/>
  <c r="Q244" i="2"/>
  <c r="G65" i="18" s="1"/>
  <c r="G805" i="18" s="1"/>
  <c r="Q246" i="2"/>
  <c r="G52" i="18" s="1"/>
  <c r="G792" i="18" s="1"/>
  <c r="Q247" i="2"/>
  <c r="G64" i="18" s="1"/>
  <c r="G804" i="18" s="1"/>
  <c r="Q249" i="2"/>
  <c r="P249" i="2" s="1"/>
  <c r="Q227" i="2"/>
  <c r="P227" i="2" s="1"/>
  <c r="Q212" i="2"/>
  <c r="Q213" i="2"/>
  <c r="Q218" i="2"/>
  <c r="Q219" i="2"/>
  <c r="P219" i="2" s="1"/>
  <c r="Q221" i="2"/>
  <c r="Q224" i="2"/>
  <c r="P224" i="2" s="1"/>
  <c r="Q210" i="2"/>
  <c r="Q135" i="2"/>
  <c r="Q136" i="2"/>
  <c r="Q137" i="2"/>
  <c r="Q138" i="2"/>
  <c r="P138" i="2" s="1"/>
  <c r="Q139" i="2"/>
  <c r="Q140" i="2"/>
  <c r="Q141" i="2"/>
  <c r="P141" i="2" s="1"/>
  <c r="Q142" i="2"/>
  <c r="P142" i="2" s="1"/>
  <c r="Q143" i="2"/>
  <c r="P143" i="2" s="1"/>
  <c r="Q144" i="2"/>
  <c r="P144" i="2" s="1"/>
  <c r="Q145" i="2"/>
  <c r="Q146" i="2"/>
  <c r="P146" i="2" s="1"/>
  <c r="Q147" i="2"/>
  <c r="P147" i="2" s="1"/>
  <c r="Q148" i="2"/>
  <c r="P148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1" i="2"/>
  <c r="P191" i="2" s="1"/>
  <c r="Q192" i="2"/>
  <c r="P192" i="2" s="1"/>
  <c r="Q193" i="2"/>
  <c r="P193" i="2" s="1"/>
  <c r="Q194" i="2"/>
  <c r="P194" i="2" s="1"/>
  <c r="Q195" i="2"/>
  <c r="Q196" i="2"/>
  <c r="P196" i="2" s="1"/>
  <c r="Q197" i="2"/>
  <c r="P197" i="2" s="1"/>
  <c r="Q200" i="2"/>
  <c r="P200" i="2" s="1"/>
  <c r="Q202" i="2"/>
  <c r="P202" i="2" s="1"/>
  <c r="Q203" i="2"/>
  <c r="P203" i="2" s="1"/>
  <c r="Q204" i="2"/>
  <c r="P204" i="2" s="1"/>
  <c r="Q205" i="2"/>
  <c r="P205" i="2" s="1"/>
  <c r="Q206" i="2"/>
  <c r="P206" i="2" s="1"/>
  <c r="Q134" i="2"/>
  <c r="P134" i="2" s="1"/>
  <c r="Q108" i="2"/>
  <c r="Q109" i="2"/>
  <c r="P109" i="2" s="1"/>
  <c r="Q110" i="2"/>
  <c r="Q111" i="2"/>
  <c r="Q112" i="2"/>
  <c r="Q113" i="2"/>
  <c r="P113" i="2" s="1"/>
  <c r="Q114" i="2"/>
  <c r="P114" i="2" s="1"/>
  <c r="Q115" i="2"/>
  <c r="Q116" i="2"/>
  <c r="P116" i="2" s="1"/>
  <c r="Q117" i="2"/>
  <c r="P117" i="2" s="1"/>
  <c r="Q118" i="2"/>
  <c r="P118" i="2" s="1"/>
  <c r="Q120" i="2"/>
  <c r="P120" i="2" s="1"/>
  <c r="Q121" i="2"/>
  <c r="P121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1" i="2"/>
  <c r="P131" i="2" s="1"/>
  <c r="Q107" i="2"/>
  <c r="P107" i="2" s="1"/>
  <c r="Q92" i="2"/>
  <c r="P92" i="2" s="1"/>
  <c r="Q93" i="2"/>
  <c r="P93" i="2" s="1"/>
  <c r="Q94" i="2"/>
  <c r="P94" i="2" s="1"/>
  <c r="Q95" i="2"/>
  <c r="P95" i="2" s="1"/>
  <c r="Q91" i="2"/>
  <c r="P91" i="2" s="1"/>
  <c r="Q87" i="2"/>
  <c r="P87" i="2" s="1"/>
  <c r="Q86" i="2"/>
  <c r="P86" i="2" s="1"/>
  <c r="Q56" i="2"/>
  <c r="P56" i="2" s="1"/>
  <c r="Q57" i="2"/>
  <c r="P57" i="2" s="1"/>
  <c r="Q58" i="2"/>
  <c r="P58" i="2" s="1"/>
  <c r="Q59" i="2"/>
  <c r="Q61" i="2"/>
  <c r="Q62" i="2"/>
  <c r="P62" i="2" s="1"/>
  <c r="Q63" i="2"/>
  <c r="P63" i="2" s="1"/>
  <c r="Q64" i="2"/>
  <c r="P64" i="2" s="1"/>
  <c r="Q66" i="2"/>
  <c r="P66" i="2" s="1"/>
  <c r="Q67" i="2"/>
  <c r="P67" i="2" s="1"/>
  <c r="Q68" i="2"/>
  <c r="P68" i="2" s="1"/>
  <c r="Q69" i="2"/>
  <c r="P69" i="2" s="1"/>
  <c r="Q73" i="2"/>
  <c r="Q74" i="2"/>
  <c r="P74" i="2" s="1"/>
  <c r="Q75" i="2"/>
  <c r="P75" i="2" s="1"/>
  <c r="Q76" i="2"/>
  <c r="P76" i="2" s="1"/>
  <c r="Q77" i="2"/>
  <c r="P77" i="2" s="1"/>
  <c r="Q55" i="2"/>
  <c r="P55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3" i="2"/>
  <c r="S12" i="2"/>
  <c r="S13" i="2"/>
  <c r="S21" i="2"/>
  <c r="S26" i="2"/>
  <c r="S31" i="2"/>
  <c r="S42" i="2"/>
  <c r="S45" i="2"/>
  <c r="S47" i="2"/>
  <c r="S51" i="2"/>
  <c r="S52" i="2"/>
  <c r="S53" i="2"/>
  <c r="S54" i="2"/>
  <c r="S60" i="2"/>
  <c r="S68" i="2"/>
  <c r="S72" i="2"/>
  <c r="S80" i="2"/>
  <c r="S81" i="2"/>
  <c r="S82" i="2"/>
  <c r="S84" i="2"/>
  <c r="S85" i="2"/>
  <c r="S89" i="2"/>
  <c r="S90" i="2"/>
  <c r="S98" i="2"/>
  <c r="S99" i="2"/>
  <c r="S100" i="2"/>
  <c r="S101" i="2"/>
  <c r="Q101" i="2" s="1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20" i="2"/>
  <c r="S121" i="2"/>
  <c r="S122" i="2"/>
  <c r="S123" i="2"/>
  <c r="S124" i="2"/>
  <c r="S125" i="2"/>
  <c r="S126" i="2"/>
  <c r="S127" i="2"/>
  <c r="S128" i="2"/>
  <c r="S129" i="2"/>
  <c r="S131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9" i="2"/>
  <c r="S180" i="2"/>
  <c r="S181" i="2"/>
  <c r="S182" i="2"/>
  <c r="S183" i="2"/>
  <c r="S184" i="2"/>
  <c r="S185" i="2"/>
  <c r="S186" i="2"/>
  <c r="S187" i="2"/>
  <c r="S188" i="2"/>
  <c r="S189" i="2"/>
  <c r="S191" i="2"/>
  <c r="S192" i="2"/>
  <c r="S193" i="2"/>
  <c r="S195" i="2"/>
  <c r="S196" i="2"/>
  <c r="S197" i="2"/>
  <c r="S200" i="2"/>
  <c r="S202" i="2"/>
  <c r="S203" i="2"/>
  <c r="S204" i="2"/>
  <c r="S205" i="2"/>
  <c r="S206" i="2"/>
  <c r="S209" i="2"/>
  <c r="S210" i="2"/>
  <c r="S211" i="2"/>
  <c r="S224" i="2"/>
  <c r="S226" i="2"/>
  <c r="S227" i="2"/>
  <c r="S228" i="2"/>
  <c r="S229" i="2"/>
  <c r="S230" i="2"/>
  <c r="S231" i="2"/>
  <c r="S232" i="2"/>
  <c r="S233" i="2"/>
  <c r="S234" i="2"/>
  <c r="S235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3" i="2"/>
  <c r="S284" i="2"/>
  <c r="S289" i="2"/>
  <c r="S290" i="2"/>
  <c r="S291" i="2"/>
  <c r="S292" i="2"/>
  <c r="S293" i="2"/>
  <c r="S294" i="2"/>
  <c r="S295" i="2"/>
  <c r="S298" i="2"/>
  <c r="S302" i="2"/>
  <c r="S304" i="2"/>
  <c r="S305" i="2"/>
  <c r="S306" i="2"/>
  <c r="S307" i="2"/>
  <c r="S308" i="2"/>
  <c r="S310" i="2"/>
  <c r="S312" i="2"/>
  <c r="P308" i="2" l="1"/>
  <c r="D107" i="18" s="1"/>
  <c r="D847" i="18" s="1"/>
  <c r="Q88" i="2"/>
  <c r="P294" i="2"/>
  <c r="D99" i="18" s="1"/>
  <c r="D839" i="18" s="1"/>
  <c r="K839" i="18" s="1"/>
  <c r="P307" i="2"/>
  <c r="D105" i="18" s="1"/>
  <c r="K105" i="18" s="1"/>
  <c r="P293" i="2"/>
  <c r="D98" i="18" s="1"/>
  <c r="D838" i="18" s="1"/>
  <c r="G32" i="18"/>
  <c r="G772" i="18" s="1"/>
  <c r="P210" i="2"/>
  <c r="D32" i="18" s="1"/>
  <c r="P304" i="2"/>
  <c r="D103" i="18" s="1"/>
  <c r="D843" i="18" s="1"/>
  <c r="K843" i="18" s="1"/>
  <c r="P291" i="2"/>
  <c r="D95" i="18" s="1"/>
  <c r="P302" i="2"/>
  <c r="D102" i="18" s="1"/>
  <c r="D842" i="18" s="1"/>
  <c r="K842" i="18" s="1"/>
  <c r="G838" i="18"/>
  <c r="G848" i="18" s="1"/>
  <c r="G108" i="18"/>
  <c r="G862" i="18" s="1"/>
  <c r="P306" i="2"/>
  <c r="D106" i="18" s="1"/>
  <c r="K106" i="18" s="1"/>
  <c r="P298" i="2"/>
  <c r="D101" i="18" s="1"/>
  <c r="K101" i="18" s="1"/>
  <c r="Q309" i="2"/>
  <c r="P305" i="2"/>
  <c r="D104" i="18" s="1"/>
  <c r="K104" i="18" s="1"/>
  <c r="P295" i="2"/>
  <c r="D100" i="18" s="1"/>
  <c r="K100" i="18" s="1"/>
  <c r="P253" i="2"/>
  <c r="D71" i="18" s="1"/>
  <c r="K71" i="18" s="1"/>
  <c r="P292" i="2"/>
  <c r="P263" i="2"/>
  <c r="D85" i="18" s="1"/>
  <c r="D825" i="18" s="1"/>
  <c r="P240" i="2"/>
  <c r="D59" i="18" s="1"/>
  <c r="D799" i="18" s="1"/>
  <c r="K799" i="18" s="1"/>
  <c r="P244" i="2"/>
  <c r="D65" i="18" s="1"/>
  <c r="K65" i="18" s="1"/>
  <c r="P230" i="2"/>
  <c r="D47" i="18" s="1"/>
  <c r="K47" i="18" s="1"/>
  <c r="P268" i="2"/>
  <c r="D83" i="18" s="1"/>
  <c r="D823" i="18" s="1"/>
  <c r="K823" i="18" s="1"/>
  <c r="P231" i="2"/>
  <c r="D48" i="18" s="1"/>
  <c r="D788" i="18" s="1"/>
  <c r="K788" i="18" s="1"/>
  <c r="P280" i="2"/>
  <c r="D56" i="18" s="1"/>
  <c r="D796" i="18" s="1"/>
  <c r="K796" i="18" s="1"/>
  <c r="P258" i="2"/>
  <c r="D75" i="18" s="1"/>
  <c r="K75" i="18" s="1"/>
  <c r="G45" i="18"/>
  <c r="G785" i="18" s="1"/>
  <c r="G807" i="18" s="1"/>
  <c r="P247" i="2"/>
  <c r="D64" i="18" s="1"/>
  <c r="P234" i="2"/>
  <c r="D51" i="18" s="1"/>
  <c r="K51" i="18" s="1"/>
  <c r="P284" i="2"/>
  <c r="D57" i="18" s="1"/>
  <c r="K57" i="18" s="1"/>
  <c r="P267" i="2"/>
  <c r="D82" i="18" s="1"/>
  <c r="D822" i="18" s="1"/>
  <c r="G22" i="18"/>
  <c r="G762" i="18" s="1"/>
  <c r="G18" i="18"/>
  <c r="G758" i="18" s="1"/>
  <c r="P255" i="2"/>
  <c r="D70" i="18" s="1"/>
  <c r="K70" i="18" s="1"/>
  <c r="Q251" i="2"/>
  <c r="P239" i="2"/>
  <c r="D58" i="18" s="1"/>
  <c r="D798" i="18" s="1"/>
  <c r="K798" i="18" s="1"/>
  <c r="P254" i="2"/>
  <c r="D41" i="18" s="1"/>
  <c r="K41" i="18" s="1"/>
  <c r="Q96" i="2"/>
  <c r="Q97" i="2" s="1"/>
  <c r="G81" i="18"/>
  <c r="G821" i="18" s="1"/>
  <c r="Q288" i="2"/>
  <c r="P246" i="2"/>
  <c r="D52" i="18" s="1"/>
  <c r="D792" i="18" s="1"/>
  <c r="P242" i="2"/>
  <c r="D60" i="18" s="1"/>
  <c r="K60" i="18" s="1"/>
  <c r="P238" i="2"/>
  <c r="D55" i="18" s="1"/>
  <c r="K55" i="18" s="1"/>
  <c r="P233" i="2"/>
  <c r="D50" i="18" s="1"/>
  <c r="D790" i="18" s="1"/>
  <c r="K790" i="18" s="1"/>
  <c r="P229" i="2"/>
  <c r="D46" i="18" s="1"/>
  <c r="K46" i="18" s="1"/>
  <c r="P278" i="2"/>
  <c r="D77" i="18" s="1"/>
  <c r="K77" i="18" s="1"/>
  <c r="P270" i="2"/>
  <c r="D86" i="18" s="1"/>
  <c r="D826" i="18" s="1"/>
  <c r="K826" i="18" s="1"/>
  <c r="P266" i="2"/>
  <c r="D62" i="18" s="1"/>
  <c r="K62" i="18" s="1"/>
  <c r="P257" i="2"/>
  <c r="D84" i="18" s="1"/>
  <c r="D824" i="18" s="1"/>
  <c r="K824" i="18" s="1"/>
  <c r="G810" i="18"/>
  <c r="Q11" i="2"/>
  <c r="Q34" i="2"/>
  <c r="G10" i="18"/>
  <c r="G750" i="18" s="1"/>
  <c r="G87" i="18"/>
  <c r="G827" i="18" s="1"/>
  <c r="P110" i="2"/>
  <c r="D10" i="18" s="1"/>
  <c r="P232" i="2"/>
  <c r="D49" i="18" s="1"/>
  <c r="K49" i="18" s="1"/>
  <c r="P228" i="2"/>
  <c r="D45" i="18" s="1"/>
  <c r="P273" i="2"/>
  <c r="D89" i="18" s="1"/>
  <c r="G8" i="18"/>
  <c r="P108" i="2"/>
  <c r="D8" i="18" s="1"/>
  <c r="G34" i="18"/>
  <c r="P212" i="2"/>
  <c r="Q225" i="2"/>
  <c r="G12" i="18"/>
  <c r="G752" i="18" s="1"/>
  <c r="P115" i="2"/>
  <c r="D12" i="18" s="1"/>
  <c r="G11" i="18"/>
  <c r="G751" i="18" s="1"/>
  <c r="P111" i="2"/>
  <c r="D11" i="18" s="1"/>
  <c r="D751" i="18" s="1"/>
  <c r="Q132" i="2"/>
  <c r="G21" i="18"/>
  <c r="G761" i="18" s="1"/>
  <c r="P139" i="2"/>
  <c r="D21" i="18" s="1"/>
  <c r="Q207" i="2"/>
  <c r="P135" i="2"/>
  <c r="G40" i="18"/>
  <c r="P221" i="2"/>
  <c r="D40" i="18" s="1"/>
  <c r="P140" i="2"/>
  <c r="D22" i="18" s="1"/>
  <c r="G14" i="18"/>
  <c r="G754" i="18" s="1"/>
  <c r="P112" i="2"/>
  <c r="Q49" i="2"/>
  <c r="Q78" i="2"/>
  <c r="P73" i="2"/>
  <c r="P78" i="2" s="1"/>
  <c r="Q70" i="2"/>
  <c r="Q71" i="2" s="1"/>
  <c r="P61" i="2"/>
  <c r="P70" i="2" s="1"/>
  <c r="G35" i="18"/>
  <c r="G775" i="18" s="1"/>
  <c r="P213" i="2"/>
  <c r="D35" i="18" s="1"/>
  <c r="D775" i="18" s="1"/>
  <c r="P136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8" i="2"/>
  <c r="D39" i="18" s="1"/>
  <c r="P195" i="2"/>
  <c r="D23" i="18" s="1"/>
  <c r="D763" i="18" s="1"/>
  <c r="P145" i="2"/>
  <c r="D24" i="18" s="1"/>
  <c r="P137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88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59" i="2"/>
  <c r="P34" i="2"/>
  <c r="P96" i="2"/>
  <c r="P49" i="2"/>
  <c r="AE309" i="2"/>
  <c r="AE76" i="2" s="1"/>
  <c r="AD309" i="2"/>
  <c r="AD76" i="2" s="1"/>
  <c r="AC309" i="2"/>
  <c r="AC76" i="2" s="1"/>
  <c r="AB309" i="2"/>
  <c r="AB76" i="2" s="1"/>
  <c r="AA309" i="2"/>
  <c r="AA76" i="2" s="1"/>
  <c r="Z309" i="2"/>
  <c r="Z76" i="2" s="1"/>
  <c r="Y309" i="2"/>
  <c r="Y76" i="2" s="1"/>
  <c r="X309" i="2"/>
  <c r="X76" i="2" s="1"/>
  <c r="W309" i="2"/>
  <c r="W76" i="2" s="1"/>
  <c r="V309" i="2"/>
  <c r="V76" i="2" s="1"/>
  <c r="U309" i="2"/>
  <c r="U76" i="2" s="1"/>
  <c r="T309" i="2"/>
  <c r="AE288" i="2"/>
  <c r="AE75" i="2" s="1"/>
  <c r="AD288" i="2"/>
  <c r="AD75" i="2" s="1"/>
  <c r="AC288" i="2"/>
  <c r="AC75" i="2" s="1"/>
  <c r="AB288" i="2"/>
  <c r="AA288" i="2"/>
  <c r="AA75" i="2" s="1"/>
  <c r="Z288" i="2"/>
  <c r="Z75" i="2" s="1"/>
  <c r="Y288" i="2"/>
  <c r="Y75" i="2" s="1"/>
  <c r="X288" i="2"/>
  <c r="X75" i="2" s="1"/>
  <c r="V288" i="2"/>
  <c r="V75" i="2" s="1"/>
  <c r="U288" i="2"/>
  <c r="U75" i="2" s="1"/>
  <c r="T288" i="2"/>
  <c r="T75" i="2" s="1"/>
  <c r="W264" i="2"/>
  <c r="AE251" i="2"/>
  <c r="AE74" i="2" s="1"/>
  <c r="AD251" i="2"/>
  <c r="AD74" i="2" s="1"/>
  <c r="AC251" i="2"/>
  <c r="AC74" i="2" s="1"/>
  <c r="AB251" i="2"/>
  <c r="AA251" i="2"/>
  <c r="AA74" i="2" s="1"/>
  <c r="Z251" i="2"/>
  <c r="Z74" i="2" s="1"/>
  <c r="Y251" i="2"/>
  <c r="Y74" i="2" s="1"/>
  <c r="X251" i="2"/>
  <c r="W251" i="2"/>
  <c r="V251" i="2"/>
  <c r="V74" i="2" s="1"/>
  <c r="U251" i="2"/>
  <c r="U74" i="2" s="1"/>
  <c r="T251" i="2"/>
  <c r="T74" i="2" s="1"/>
  <c r="AE225" i="2"/>
  <c r="AE73" i="2" s="1"/>
  <c r="AD225" i="2"/>
  <c r="AD73" i="2" s="1"/>
  <c r="AC225" i="2"/>
  <c r="AC73" i="2" s="1"/>
  <c r="AB225" i="2"/>
  <c r="AB73" i="2" s="1"/>
  <c r="AA225" i="2"/>
  <c r="AA73" i="2" s="1"/>
  <c r="Y225" i="2"/>
  <c r="Y73" i="2" s="1"/>
  <c r="X225" i="2"/>
  <c r="X73" i="2" s="1"/>
  <c r="W225" i="2"/>
  <c r="W73" i="2" s="1"/>
  <c r="V225" i="2"/>
  <c r="V73" i="2" s="1"/>
  <c r="U225" i="2"/>
  <c r="U73" i="2" s="1"/>
  <c r="T225" i="2"/>
  <c r="T73" i="2" s="1"/>
  <c r="Z221" i="2"/>
  <c r="S221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AE207" i="2"/>
  <c r="AD207" i="2"/>
  <c r="AC207" i="2"/>
  <c r="AB207" i="2"/>
  <c r="AA207" i="2"/>
  <c r="Z207" i="2"/>
  <c r="Y207" i="2"/>
  <c r="U207" i="2"/>
  <c r="T207" i="2"/>
  <c r="W194" i="2"/>
  <c r="S194" i="2" s="1"/>
  <c r="W178" i="2"/>
  <c r="X148" i="2"/>
  <c r="X207" i="2" s="1"/>
  <c r="V148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X95" i="2"/>
  <c r="AE94" i="2"/>
  <c r="AD94" i="2"/>
  <c r="AC94" i="2"/>
  <c r="AB94" i="2"/>
  <c r="AA94" i="2"/>
  <c r="Z94" i="2"/>
  <c r="Y94" i="2"/>
  <c r="X94" i="2"/>
  <c r="W94" i="2"/>
  <c r="V94" i="2"/>
  <c r="U94" i="2"/>
  <c r="T94" i="2"/>
  <c r="AE93" i="2"/>
  <c r="AD93" i="2"/>
  <c r="AC93" i="2"/>
  <c r="AB93" i="2"/>
  <c r="AA93" i="2"/>
  <c r="Z93" i="2"/>
  <c r="Y93" i="2"/>
  <c r="X93" i="2"/>
  <c r="W93" i="2"/>
  <c r="V93" i="2"/>
  <c r="U93" i="2"/>
  <c r="T93" i="2"/>
  <c r="Y92" i="2"/>
  <c r="X92" i="2"/>
  <c r="W92" i="2"/>
  <c r="V92" i="2"/>
  <c r="U92" i="2"/>
  <c r="T92" i="2"/>
  <c r="X91" i="2"/>
  <c r="X87" i="2"/>
  <c r="X86" i="2"/>
  <c r="AE77" i="2"/>
  <c r="AD77" i="2"/>
  <c r="AC77" i="2"/>
  <c r="AB77" i="2"/>
  <c r="AA77" i="2"/>
  <c r="Z77" i="2"/>
  <c r="Y77" i="2"/>
  <c r="X77" i="2"/>
  <c r="W77" i="2"/>
  <c r="V77" i="2"/>
  <c r="U77" i="2"/>
  <c r="T77" i="2"/>
  <c r="X74" i="2"/>
  <c r="W74" i="2"/>
  <c r="AE69" i="2"/>
  <c r="AE95" i="2" s="1"/>
  <c r="AD69" i="2"/>
  <c r="AD95" i="2" s="1"/>
  <c r="AC69" i="2"/>
  <c r="AC95" i="2" s="1"/>
  <c r="AB69" i="2"/>
  <c r="AB95" i="2" s="1"/>
  <c r="AA69" i="2"/>
  <c r="AA95" i="2" s="1"/>
  <c r="Z69" i="2"/>
  <c r="Z95" i="2" s="1"/>
  <c r="Y69" i="2"/>
  <c r="Y95" i="2" s="1"/>
  <c r="X69" i="2"/>
  <c r="W69" i="2"/>
  <c r="W95" i="2" s="1"/>
  <c r="V69" i="2"/>
  <c r="V95" i="2" s="1"/>
  <c r="U69" i="2"/>
  <c r="U95" i="2" s="1"/>
  <c r="T69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X66" i="2"/>
  <c r="V66" i="2"/>
  <c r="U66" i="2"/>
  <c r="T66" i="2"/>
  <c r="AE64" i="2"/>
  <c r="AD64" i="2"/>
  <c r="AC64" i="2"/>
  <c r="AB64" i="2"/>
  <c r="AA64" i="2"/>
  <c r="Z64" i="2"/>
  <c r="Y64" i="2"/>
  <c r="X64" i="2"/>
  <c r="W64" i="2"/>
  <c r="V64" i="2"/>
  <c r="U64" i="2"/>
  <c r="T64" i="2"/>
  <c r="AE63" i="2"/>
  <c r="AD63" i="2"/>
  <c r="AC63" i="2"/>
  <c r="AB63" i="2"/>
  <c r="AA63" i="2"/>
  <c r="Z63" i="2"/>
  <c r="Y63" i="2"/>
  <c r="W63" i="2"/>
  <c r="U63" i="2"/>
  <c r="T63" i="2"/>
  <c r="AE62" i="2"/>
  <c r="AE92" i="2" s="1"/>
  <c r="AD62" i="2"/>
  <c r="AD92" i="2" s="1"/>
  <c r="AC62" i="2"/>
  <c r="AC92" i="2" s="1"/>
  <c r="AB62" i="2"/>
  <c r="AB92" i="2" s="1"/>
  <c r="AA62" i="2"/>
  <c r="AA92" i="2" s="1"/>
  <c r="Z62" i="2"/>
  <c r="Z92" i="2" s="1"/>
  <c r="Y62" i="2"/>
  <c r="X62" i="2"/>
  <c r="W62" i="2"/>
  <c r="V62" i="2"/>
  <c r="U62" i="2"/>
  <c r="T62" i="2"/>
  <c r="AE61" i="2"/>
  <c r="AD61" i="2"/>
  <c r="AD91" i="2" s="1"/>
  <c r="AC61" i="2"/>
  <c r="AC91" i="2" s="1"/>
  <c r="AB61" i="2"/>
  <c r="AB91" i="2" s="1"/>
  <c r="AA61" i="2"/>
  <c r="Z61" i="2"/>
  <c r="Y61" i="2"/>
  <c r="Y91" i="2" s="1"/>
  <c r="X61" i="2"/>
  <c r="W61" i="2"/>
  <c r="V61" i="2"/>
  <c r="U61" i="2"/>
  <c r="U91" i="2" s="1"/>
  <c r="T61" i="2"/>
  <c r="AE58" i="2"/>
  <c r="AD58" i="2"/>
  <c r="AC58" i="2"/>
  <c r="AB58" i="2"/>
  <c r="AA58" i="2"/>
  <c r="Z58" i="2"/>
  <c r="Y58" i="2"/>
  <c r="X58" i="2"/>
  <c r="W58" i="2"/>
  <c r="V58" i="2"/>
  <c r="U58" i="2"/>
  <c r="T58" i="2"/>
  <c r="AE57" i="2"/>
  <c r="AD57" i="2"/>
  <c r="AC57" i="2"/>
  <c r="AB57" i="2"/>
  <c r="AA57" i="2"/>
  <c r="Z57" i="2"/>
  <c r="Y57" i="2"/>
  <c r="X57" i="2"/>
  <c r="W57" i="2"/>
  <c r="V57" i="2"/>
  <c r="U57" i="2"/>
  <c r="T57" i="2"/>
  <c r="AE56" i="2"/>
  <c r="AE87" i="2" s="1"/>
  <c r="AD56" i="2"/>
  <c r="AD87" i="2" s="1"/>
  <c r="AC56" i="2"/>
  <c r="AC87" i="2" s="1"/>
  <c r="AB56" i="2"/>
  <c r="AB87" i="2" s="1"/>
  <c r="AA56" i="2"/>
  <c r="AA87" i="2" s="1"/>
  <c r="Z56" i="2"/>
  <c r="Z87" i="2" s="1"/>
  <c r="Y56" i="2"/>
  <c r="Y87" i="2" s="1"/>
  <c r="X56" i="2"/>
  <c r="W56" i="2"/>
  <c r="W87" i="2" s="1"/>
  <c r="V56" i="2"/>
  <c r="V87" i="2" s="1"/>
  <c r="U56" i="2"/>
  <c r="U87" i="2" s="1"/>
  <c r="T56" i="2"/>
  <c r="AE55" i="2"/>
  <c r="AE59" i="2" s="1"/>
  <c r="AD55" i="2"/>
  <c r="AC55" i="2"/>
  <c r="AC86" i="2" s="1"/>
  <c r="AC88" i="2" s="1"/>
  <c r="AB55" i="2"/>
  <c r="AB86" i="2" s="1"/>
  <c r="AB88" i="2" s="1"/>
  <c r="AA55" i="2"/>
  <c r="AA59" i="2" s="1"/>
  <c r="Z55" i="2"/>
  <c r="Z59" i="2" s="1"/>
  <c r="Y55" i="2"/>
  <c r="Y86" i="2" s="1"/>
  <c r="Y88" i="2" s="1"/>
  <c r="X55" i="2"/>
  <c r="X59" i="2" s="1"/>
  <c r="W55" i="2"/>
  <c r="W59" i="2" s="1"/>
  <c r="V55" i="2"/>
  <c r="V59" i="2" s="1"/>
  <c r="U55" i="2"/>
  <c r="U86" i="2" s="1"/>
  <c r="U88" i="2" s="1"/>
  <c r="T55" i="2"/>
  <c r="AE49" i="2"/>
  <c r="AD49" i="2"/>
  <c r="AC49" i="2"/>
  <c r="X49" i="2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AD59" i="2" l="1"/>
  <c r="K32" i="18"/>
  <c r="U208" i="2"/>
  <c r="U311" i="2" s="1"/>
  <c r="D772" i="18"/>
  <c r="K772" i="18" s="1"/>
  <c r="K838" i="18"/>
  <c r="Y11" i="2"/>
  <c r="AC11" i="2"/>
  <c r="D845" i="18"/>
  <c r="K845" i="18" s="1"/>
  <c r="AE11" i="2"/>
  <c r="AA70" i="2"/>
  <c r="AA71" i="2" s="1"/>
  <c r="AE70" i="2"/>
  <c r="AE71" i="2" s="1"/>
  <c r="S148" i="2"/>
  <c r="S77" i="2"/>
  <c r="X88" i="2"/>
  <c r="U96" i="2"/>
  <c r="U97" i="2" s="1"/>
  <c r="AC96" i="2"/>
  <c r="AC97" i="2" s="1"/>
  <c r="W66" i="2"/>
  <c r="W70" i="2" s="1"/>
  <c r="W71" i="2" s="1"/>
  <c r="S18" i="2"/>
  <c r="S19" i="2"/>
  <c r="S22" i="2"/>
  <c r="S23" i="2"/>
  <c r="S24" i="2"/>
  <c r="S25" i="2"/>
  <c r="S29" i="2"/>
  <c r="S43" i="2"/>
  <c r="Z11" i="2"/>
  <c r="AD11" i="2"/>
  <c r="Z70" i="2"/>
  <c r="Z71" i="2" s="1"/>
  <c r="AD70" i="2"/>
  <c r="AD71" i="2" s="1"/>
  <c r="K98" i="18"/>
  <c r="V49" i="2"/>
  <c r="D844" i="18"/>
  <c r="U49" i="2"/>
  <c r="K83" i="18"/>
  <c r="V34" i="2"/>
  <c r="V35" i="2" s="1"/>
  <c r="V36" i="2" s="1"/>
  <c r="Z34" i="2"/>
  <c r="AD34" i="2"/>
  <c r="X96" i="2"/>
  <c r="X97" i="2" s="1"/>
  <c r="W207" i="2"/>
  <c r="W208" i="2" s="1"/>
  <c r="S178" i="2"/>
  <c r="V207" i="2"/>
  <c r="V208" i="2" s="1"/>
  <c r="V311" i="2" s="1"/>
  <c r="S251" i="2"/>
  <c r="W288" i="2"/>
  <c r="W75" i="2" s="1"/>
  <c r="W78" i="2" s="1"/>
  <c r="S264" i="2"/>
  <c r="S309" i="2"/>
  <c r="D840" i="18"/>
  <c r="K840" i="18" s="1"/>
  <c r="V63" i="2"/>
  <c r="V91" i="2"/>
  <c r="V96" i="2" s="1"/>
  <c r="S93" i="2"/>
  <c r="S94" i="2"/>
  <c r="X11" i="2"/>
  <c r="AB11" i="2"/>
  <c r="S9" i="2"/>
  <c r="S10" i="2"/>
  <c r="S33" i="2"/>
  <c r="S39" i="2"/>
  <c r="S41" i="2"/>
  <c r="T87" i="2"/>
  <c r="S87" i="2" s="1"/>
  <c r="S56" i="2"/>
  <c r="S58" i="2"/>
  <c r="T91" i="2"/>
  <c r="S61" i="2"/>
  <c r="AB96" i="2"/>
  <c r="AB97" i="2" s="1"/>
  <c r="S62" i="2"/>
  <c r="X63" i="2"/>
  <c r="X70" i="2" s="1"/>
  <c r="X71" i="2" s="1"/>
  <c r="S64" i="2"/>
  <c r="S67" i="2"/>
  <c r="Z91" i="2"/>
  <c r="Z96" i="2" s="1"/>
  <c r="AD96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9" i="2"/>
  <c r="G872" i="18"/>
  <c r="K82" i="18"/>
  <c r="K59" i="18"/>
  <c r="T86" i="2"/>
  <c r="S55" i="2"/>
  <c r="AB59" i="2"/>
  <c r="AD86" i="2"/>
  <c r="AD88" i="2" s="1"/>
  <c r="Z86" i="2"/>
  <c r="Z88" i="2" s="1"/>
  <c r="Z97" i="2" s="1"/>
  <c r="V86" i="2"/>
  <c r="V88" i="2" s="1"/>
  <c r="S57" i="2"/>
  <c r="S132" i="2"/>
  <c r="Z208" i="2"/>
  <c r="S30" i="2"/>
  <c r="W34" i="2"/>
  <c r="AE34" i="2"/>
  <c r="S32" i="2"/>
  <c r="Y34" i="2"/>
  <c r="T95" i="2"/>
  <c r="S95" i="2" s="1"/>
  <c r="S69" i="2"/>
  <c r="AA34" i="2"/>
  <c r="AA208" i="2"/>
  <c r="AA311" i="2" s="1"/>
  <c r="AE208" i="2"/>
  <c r="AE311" i="2" s="1"/>
  <c r="X208" i="2"/>
  <c r="X311" i="2" s="1"/>
  <c r="AB208" i="2"/>
  <c r="AB311" i="2" s="1"/>
  <c r="S20" i="2"/>
  <c r="Y208" i="2"/>
  <c r="Y311" i="2" s="1"/>
  <c r="AC208" i="2"/>
  <c r="AC311" i="2" s="1"/>
  <c r="AC34" i="2"/>
  <c r="T208" i="2"/>
  <c r="T311" i="2" s="1"/>
  <c r="AD208" i="2"/>
  <c r="AD311" i="2" s="1"/>
  <c r="AB74" i="2"/>
  <c r="S74" i="2" s="1"/>
  <c r="P288" i="2"/>
  <c r="AD78" i="2"/>
  <c r="X78" i="2"/>
  <c r="T76" i="2"/>
  <c r="S76" i="2" s="1"/>
  <c r="AE78" i="2"/>
  <c r="AA78" i="2"/>
  <c r="AB75" i="2"/>
  <c r="V78" i="2"/>
  <c r="U78" i="2"/>
  <c r="Y78" i="2"/>
  <c r="AC78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49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7" i="2"/>
  <c r="Y49" i="2"/>
  <c r="K763" i="18"/>
  <c r="P71" i="2"/>
  <c r="K58" i="18"/>
  <c r="K19" i="18"/>
  <c r="Q208" i="2"/>
  <c r="Q31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1" i="2"/>
  <c r="K23" i="18"/>
  <c r="K84" i="18"/>
  <c r="K50" i="18"/>
  <c r="P207" i="2"/>
  <c r="P132" i="2"/>
  <c r="D829" i="18"/>
  <c r="K829" i="18" s="1"/>
  <c r="K89" i="18"/>
  <c r="T11" i="2"/>
  <c r="S5" i="2"/>
  <c r="S7" i="2"/>
  <c r="S8" i="2"/>
  <c r="AB34" i="2"/>
  <c r="T34" i="2"/>
  <c r="X34" i="2"/>
  <c r="S92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6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49" i="2"/>
  <c r="W49" i="2"/>
  <c r="T49" i="2"/>
  <c r="S38" i="2"/>
  <c r="S40" i="2"/>
  <c r="AB49" i="2"/>
  <c r="T70" i="2"/>
  <c r="T59" i="2"/>
  <c r="Z225" i="2"/>
  <c r="AB70" i="2"/>
  <c r="AB71" i="2" s="1"/>
  <c r="U59" i="2"/>
  <c r="Y59" i="2"/>
  <c r="AC59" i="2"/>
  <c r="U70" i="2"/>
  <c r="Y70" i="2"/>
  <c r="AC70" i="2"/>
  <c r="W86" i="2"/>
  <c r="W88" i="2" s="1"/>
  <c r="AA86" i="2"/>
  <c r="AA88" i="2" s="1"/>
  <c r="AE86" i="2"/>
  <c r="AE88" i="2" s="1"/>
  <c r="W91" i="2"/>
  <c r="W96" i="2" s="1"/>
  <c r="AA91" i="2"/>
  <c r="AA96" i="2" s="1"/>
  <c r="AE91" i="2"/>
  <c r="AE96" i="2" s="1"/>
  <c r="AE35" i="2" l="1"/>
  <c r="AE50" i="2" s="1"/>
  <c r="Y35" i="2"/>
  <c r="Y36" i="2" s="1"/>
  <c r="S66" i="2"/>
  <c r="AC35" i="2"/>
  <c r="AC50" i="2" s="1"/>
  <c r="AD35" i="2"/>
  <c r="AD36" i="2" s="1"/>
  <c r="T88" i="2"/>
  <c r="S88" i="2" s="1"/>
  <c r="Y71" i="2"/>
  <c r="K108" i="18"/>
  <c r="Z35" i="2"/>
  <c r="Z36" i="2" s="1"/>
  <c r="S63" i="2"/>
  <c r="S288" i="2"/>
  <c r="W311" i="2"/>
  <c r="S75" i="2"/>
  <c r="W35" i="2"/>
  <c r="W36" i="2" s="1"/>
  <c r="Z311" i="2"/>
  <c r="AB35" i="2"/>
  <c r="AB36" i="2" s="1"/>
  <c r="S207" i="2"/>
  <c r="AD97" i="2"/>
  <c r="V70" i="2"/>
  <c r="V71" i="2" s="1"/>
  <c r="V79" i="2" s="1"/>
  <c r="V313" i="2" s="1"/>
  <c r="X35" i="2"/>
  <c r="X79" i="2" s="1"/>
  <c r="X83" i="2" s="1"/>
  <c r="G866" i="18"/>
  <c r="K858" i="18"/>
  <c r="V97" i="2"/>
  <c r="S59" i="2"/>
  <c r="U71" i="2"/>
  <c r="U79" i="2" s="1"/>
  <c r="U313" i="2" s="1"/>
  <c r="AA35" i="2"/>
  <c r="AA50" i="2" s="1"/>
  <c r="T71" i="2"/>
  <c r="T96" i="2"/>
  <c r="AE36" i="2"/>
  <c r="S208" i="2"/>
  <c r="AB78" i="2"/>
  <c r="T78" i="2"/>
  <c r="AE79" i="2"/>
  <c r="AE313" i="2" s="1"/>
  <c r="O52" i="18"/>
  <c r="Q79" i="2"/>
  <c r="Q313" i="2" s="1"/>
  <c r="U50" i="2"/>
  <c r="U36" i="2"/>
  <c r="P79" i="2"/>
  <c r="V50" i="2"/>
  <c r="P208" i="2"/>
  <c r="P311" i="2" s="1"/>
  <c r="K67" i="18"/>
  <c r="D830" i="18"/>
  <c r="D870" i="18" s="1"/>
  <c r="Q50" i="2"/>
  <c r="K779" i="18"/>
  <c r="P50" i="2"/>
  <c r="G767" i="18"/>
  <c r="K780" i="18"/>
  <c r="S86" i="2"/>
  <c r="D15" i="18"/>
  <c r="D853" i="18" s="1"/>
  <c r="G870" i="18"/>
  <c r="K25" i="18"/>
  <c r="AE97" i="2"/>
  <c r="D754" i="18"/>
  <c r="K754" i="18" s="1"/>
  <c r="G92" i="18"/>
  <c r="G857" i="18"/>
  <c r="Y97" i="2"/>
  <c r="D774" i="18"/>
  <c r="K34" i="18"/>
  <c r="K42" i="18" s="1"/>
  <c r="D42" i="18"/>
  <c r="K90" i="18"/>
  <c r="G782" i="18"/>
  <c r="G832" i="18" s="1"/>
  <c r="G27" i="18"/>
  <c r="G853" i="18"/>
  <c r="S91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3" i="2"/>
  <c r="S225" i="2"/>
  <c r="S49" i="2"/>
  <c r="AA97" i="2"/>
  <c r="W97" i="2"/>
  <c r="AC71" i="2"/>
  <c r="AC36" i="2" l="1"/>
  <c r="Y50" i="2"/>
  <c r="W79" i="2"/>
  <c r="W83" i="2" s="1"/>
  <c r="Y79" i="2"/>
  <c r="Y313" i="2" s="1"/>
  <c r="AD79" i="2"/>
  <c r="AD313" i="2" s="1"/>
  <c r="AD50" i="2"/>
  <c r="AC79" i="2"/>
  <c r="AC313" i="2" s="1"/>
  <c r="W50" i="2"/>
  <c r="AA79" i="2"/>
  <c r="AA313" i="2" s="1"/>
  <c r="T97" i="2"/>
  <c r="S97" i="2" s="1"/>
  <c r="AB50" i="2"/>
  <c r="Z50" i="2"/>
  <c r="X50" i="2"/>
  <c r="X36" i="2"/>
  <c r="AB79" i="2"/>
  <c r="AB83" i="2" s="1"/>
  <c r="S311" i="2"/>
  <c r="S70" i="2"/>
  <c r="X313" i="2"/>
  <c r="AA36" i="2"/>
  <c r="K92" i="18"/>
  <c r="S71" i="2"/>
  <c r="S96" i="2"/>
  <c r="U83" i="2"/>
  <c r="V83" i="2"/>
  <c r="G110" i="18"/>
  <c r="K27" i="18"/>
  <c r="G850" i="18"/>
  <c r="D27" i="18"/>
  <c r="S35" i="2"/>
  <c r="T36" i="2"/>
  <c r="D92" i="18"/>
  <c r="D857" i="18"/>
  <c r="T50" i="2"/>
  <c r="D755" i="18"/>
  <c r="D767" i="18" s="1"/>
  <c r="G860" i="18"/>
  <c r="G871" i="18" s="1"/>
  <c r="G868" i="18"/>
  <c r="T79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78" i="2"/>
  <c r="S73" i="2"/>
  <c r="AC83" i="2" l="1"/>
  <c r="Y83" i="2"/>
  <c r="W313" i="2"/>
  <c r="AA83" i="2"/>
  <c r="AB313" i="2"/>
  <c r="S50" i="2"/>
  <c r="K110" i="18"/>
  <c r="D110" i="18"/>
  <c r="K866" i="18"/>
  <c r="K767" i="18"/>
  <c r="D865" i="18"/>
  <c r="K865" i="18"/>
  <c r="D850" i="18"/>
  <c r="K782" i="18"/>
  <c r="K832" i="18" s="1"/>
  <c r="T83" i="2"/>
  <c r="T313" i="2"/>
  <c r="D868" i="18"/>
  <c r="D860" i="18"/>
  <c r="D863" i="18" s="1"/>
  <c r="K857" i="18"/>
  <c r="G867" i="18"/>
  <c r="G863" i="18"/>
  <c r="G873" i="18" s="1"/>
  <c r="D867" i="18"/>
  <c r="K855" i="18"/>
  <c r="S78" i="2"/>
  <c r="Z79" i="2"/>
  <c r="K850" i="18" l="1"/>
  <c r="K867" i="18"/>
  <c r="D873" i="18"/>
  <c r="D871" i="18"/>
  <c r="K860" i="18"/>
  <c r="K871" i="18" s="1"/>
  <c r="K868" i="18"/>
  <c r="S79" i="2"/>
  <c r="Z83" i="2"/>
  <c r="S83" i="2" s="1"/>
  <c r="Z313" i="2"/>
  <c r="S31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4" i="5"/>
  <c r="D38" i="12" s="1"/>
  <c r="C245" i="18" s="1"/>
  <c r="B43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07" i="2"/>
  <c r="N108" i="2"/>
  <c r="C225" i="2"/>
  <c r="C73" i="2" s="1"/>
  <c r="C78" i="2" s="1"/>
  <c r="D225" i="2"/>
  <c r="D73" i="2" s="1"/>
  <c r="D78" i="2" s="1"/>
  <c r="G225" i="2"/>
  <c r="G73" i="2" s="1"/>
  <c r="H225" i="2"/>
  <c r="H73" i="2" s="1"/>
  <c r="I225" i="2"/>
  <c r="I73" i="2" s="1"/>
  <c r="J225" i="2"/>
  <c r="J73" i="2" s="1"/>
  <c r="K225" i="2"/>
  <c r="K73" i="2" s="1"/>
  <c r="L225" i="2"/>
  <c r="L73" i="2" s="1"/>
  <c r="M225" i="2"/>
  <c r="M73" i="2" s="1"/>
  <c r="C207" i="2"/>
  <c r="G207" i="2"/>
  <c r="H207" i="2"/>
  <c r="J207" i="2"/>
  <c r="K207" i="2"/>
  <c r="L207" i="2"/>
  <c r="M207" i="2"/>
  <c r="C132" i="2"/>
  <c r="E132" i="2"/>
  <c r="E208" i="2" s="1"/>
  <c r="F132" i="2"/>
  <c r="G132" i="2"/>
  <c r="H132" i="2"/>
  <c r="I132" i="2"/>
  <c r="I208" i="2" s="1"/>
  <c r="K132" i="2"/>
  <c r="L132" i="2"/>
  <c r="I177" i="12" l="1"/>
  <c r="N33" i="5" l="1"/>
  <c r="N89" i="5"/>
  <c r="N87" i="5"/>
  <c r="M27" i="5"/>
  <c r="L27" i="5"/>
  <c r="K27" i="5"/>
  <c r="J27" i="5"/>
  <c r="I27" i="5"/>
  <c r="H27" i="5"/>
  <c r="G27" i="5"/>
  <c r="F27" i="5"/>
  <c r="E27" i="5"/>
  <c r="D27" i="5"/>
  <c r="C27" i="5"/>
  <c r="B27" i="5"/>
  <c r="N8" i="10"/>
  <c r="N90" i="5" l="1"/>
  <c r="N83" i="10"/>
  <c r="N82" i="10"/>
  <c r="N81" i="10"/>
  <c r="N79" i="10"/>
  <c r="N78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N73" i="10" l="1"/>
  <c r="N15" i="10"/>
  <c r="E83" i="12"/>
  <c r="E39" i="16" s="1"/>
  <c r="I39" i="16" s="1"/>
  <c r="M350" i="18"/>
  <c r="O350" i="18" s="1"/>
  <c r="E350" i="18"/>
  <c r="N19" i="10"/>
  <c r="F33" i="11"/>
  <c r="N84" i="10"/>
  <c r="N58" i="10"/>
  <c r="N34" i="10"/>
  <c r="K355" i="12"/>
  <c r="I83" i="12" l="1"/>
  <c r="G401" i="12" s="1"/>
  <c r="C495" i="18"/>
  <c r="M495" i="18" s="1"/>
  <c r="N21" i="10"/>
  <c r="N75" i="10"/>
  <c r="N224" i="2"/>
  <c r="M309" i="2"/>
  <c r="M76" i="2" s="1"/>
  <c r="M78" i="2" s="1"/>
  <c r="N75" i="2"/>
  <c r="C812" i="18" l="1"/>
  <c r="E812" i="18" s="1"/>
  <c r="C401" i="12"/>
  <c r="E495" i="18"/>
  <c r="O495" i="18"/>
  <c r="N86" i="10"/>
  <c r="M208" i="2"/>
  <c r="M311" i="2" s="1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31" i="14"/>
  <c r="L19" i="14"/>
  <c r="L21" i="14" s="1"/>
  <c r="L84" i="10"/>
  <c r="L73" i="10"/>
  <c r="L58" i="10"/>
  <c r="L34" i="10"/>
  <c r="L19" i="10"/>
  <c r="L15" i="10"/>
  <c r="L20" i="7"/>
  <c r="L22" i="7" s="1"/>
  <c r="L17" i="6"/>
  <c r="L39" i="6" s="1"/>
  <c r="L90" i="5"/>
  <c r="L65" i="5"/>
  <c r="L43" i="5"/>
  <c r="L29" i="5"/>
  <c r="L88" i="6" l="1"/>
  <c r="L33" i="14"/>
  <c r="L75" i="10"/>
  <c r="L21" i="10"/>
  <c r="L19" i="17"/>
  <c r="L30" i="17" s="1"/>
  <c r="L84" i="5"/>
  <c r="L92" i="5" s="1"/>
  <c r="L309" i="2"/>
  <c r="L76" i="2" s="1"/>
  <c r="L78" i="2" s="1"/>
  <c r="N47" i="2"/>
  <c r="AF47" i="2" s="1"/>
  <c r="AG47" i="2" s="1"/>
  <c r="K309" i="2"/>
  <c r="K76" i="2" s="1"/>
  <c r="K78" i="2" s="1"/>
  <c r="N245" i="2"/>
  <c r="AF245" i="2" s="1"/>
  <c r="AG245" i="2" s="1"/>
  <c r="N244" i="2"/>
  <c r="N241" i="2"/>
  <c r="AF241" i="2" s="1"/>
  <c r="AG241" i="2" s="1"/>
  <c r="N206" i="2"/>
  <c r="B70" i="12" l="1"/>
  <c r="C65" i="18" s="1"/>
  <c r="E65" i="18" s="1"/>
  <c r="AF244" i="2"/>
  <c r="AG244" i="2" s="1"/>
  <c r="L90" i="6"/>
  <c r="L86" i="10"/>
  <c r="B71" i="12"/>
  <c r="C66" i="18" s="1"/>
  <c r="B148" i="12"/>
  <c r="B147" i="12"/>
  <c r="B135" i="12"/>
  <c r="B136" i="12"/>
  <c r="B134" i="12"/>
  <c r="B133" i="12"/>
  <c r="B132" i="12"/>
  <c r="M65" i="18" l="1"/>
  <c r="O65" i="18" s="1"/>
  <c r="E66" i="18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90" i="5" l="1"/>
  <c r="K90" i="5"/>
  <c r="K82" i="5"/>
  <c r="K65" i="5"/>
  <c r="K29" i="5"/>
  <c r="K80" i="6"/>
  <c r="K61" i="6"/>
  <c r="K37" i="6"/>
  <c r="K17" i="6"/>
  <c r="K20" i="7"/>
  <c r="K22" i="7" s="1"/>
  <c r="M84" i="10"/>
  <c r="K84" i="10"/>
  <c r="K73" i="10"/>
  <c r="K58" i="10"/>
  <c r="K34" i="10"/>
  <c r="K19" i="10"/>
  <c r="K31" i="14"/>
  <c r="K19" i="14"/>
  <c r="K28" i="17"/>
  <c r="K17" i="17"/>
  <c r="K12" i="17"/>
  <c r="K88" i="6" l="1"/>
  <c r="K21" i="14"/>
  <c r="K33" i="14" s="1"/>
  <c r="K19" i="17"/>
  <c r="K30" i="17" s="1"/>
  <c r="K39" i="6"/>
  <c r="K84" i="5"/>
  <c r="K92" i="5" s="1"/>
  <c r="K75" i="10"/>
  <c r="K21" i="10"/>
  <c r="K90" i="6" l="1"/>
  <c r="K86" i="10"/>
  <c r="C42" i="12"/>
  <c r="C143" i="18" s="1"/>
  <c r="M143" i="18" l="1"/>
  <c r="O143" i="18" s="1"/>
  <c r="E143" i="18"/>
  <c r="C37" i="11"/>
  <c r="N79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2" i="2"/>
  <c r="N293" i="2"/>
  <c r="N294" i="2"/>
  <c r="N295" i="2"/>
  <c r="B113" i="12" s="1"/>
  <c r="N298" i="2"/>
  <c r="N302" i="2"/>
  <c r="N304" i="2"/>
  <c r="N305" i="2"/>
  <c r="N306" i="2"/>
  <c r="B121" i="12" s="1"/>
  <c r="N307" i="2"/>
  <c r="B122" i="12" s="1"/>
  <c r="N308" i="2"/>
  <c r="N254" i="2"/>
  <c r="N255" i="2"/>
  <c r="N256" i="2"/>
  <c r="N257" i="2"/>
  <c r="N258" i="2"/>
  <c r="N259" i="2"/>
  <c r="N260" i="2"/>
  <c r="N261" i="2"/>
  <c r="N262" i="2"/>
  <c r="N263" i="2"/>
  <c r="N266" i="2"/>
  <c r="N267" i="2"/>
  <c r="N268" i="2"/>
  <c r="N270" i="2"/>
  <c r="N271" i="2"/>
  <c r="N272" i="2"/>
  <c r="N273" i="2"/>
  <c r="B102" i="12" s="1"/>
  <c r="N274" i="2"/>
  <c r="N275" i="2"/>
  <c r="N276" i="2"/>
  <c r="N277" i="2"/>
  <c r="B87" i="12" s="1"/>
  <c r="N278" i="2"/>
  <c r="B88" i="12" s="1"/>
  <c r="N279" i="2"/>
  <c r="N280" i="2"/>
  <c r="N281" i="2"/>
  <c r="N283" i="2"/>
  <c r="N284" i="2"/>
  <c r="N228" i="2"/>
  <c r="N229" i="2"/>
  <c r="B51" i="12" s="1"/>
  <c r="N230" i="2"/>
  <c r="N231" i="2"/>
  <c r="N232" i="2"/>
  <c r="AF232" i="2" s="1"/>
  <c r="AG232" i="2" s="1"/>
  <c r="N233" i="2"/>
  <c r="N234" i="2"/>
  <c r="N235" i="2"/>
  <c r="N237" i="2"/>
  <c r="N238" i="2"/>
  <c r="B60" i="12" s="1"/>
  <c r="N239" i="2"/>
  <c r="N240" i="2"/>
  <c r="N242" i="2"/>
  <c r="N243" i="2"/>
  <c r="N246" i="2"/>
  <c r="N247" i="2"/>
  <c r="B69" i="12" s="1"/>
  <c r="C64" i="18" s="1"/>
  <c r="N248" i="2"/>
  <c r="AF248" i="2" s="1"/>
  <c r="AG248" i="2" s="1"/>
  <c r="N249" i="2"/>
  <c r="AF249" i="2" s="1"/>
  <c r="AG249" i="2" s="1"/>
  <c r="N211" i="2"/>
  <c r="N186" i="2"/>
  <c r="N187" i="2"/>
  <c r="N188" i="2"/>
  <c r="N189" i="2"/>
  <c r="N191" i="2"/>
  <c r="N192" i="2"/>
  <c r="N193" i="2"/>
  <c r="N195" i="2"/>
  <c r="AF195" i="2" s="1"/>
  <c r="AG195" i="2" s="1"/>
  <c r="N196" i="2"/>
  <c r="N197" i="2"/>
  <c r="N200" i="2"/>
  <c r="N202" i="2"/>
  <c r="N203" i="2"/>
  <c r="N204" i="2"/>
  <c r="N205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AF172" i="2" s="1"/>
  <c r="AG172" i="2" s="1"/>
  <c r="N173" i="2"/>
  <c r="N174" i="2"/>
  <c r="N175" i="2"/>
  <c r="N176" i="2"/>
  <c r="N177" i="2"/>
  <c r="N179" i="2"/>
  <c r="N180" i="2"/>
  <c r="N181" i="2"/>
  <c r="N182" i="2"/>
  <c r="N183" i="2"/>
  <c r="N109" i="2"/>
  <c r="N110" i="2"/>
  <c r="N111" i="2"/>
  <c r="N112" i="2"/>
  <c r="N113" i="2"/>
  <c r="N114" i="2"/>
  <c r="N115" i="2"/>
  <c r="N116" i="2"/>
  <c r="N117" i="2"/>
  <c r="N118" i="2"/>
  <c r="N120" i="2"/>
  <c r="N121" i="2"/>
  <c r="N122" i="2"/>
  <c r="N123" i="2"/>
  <c r="N124" i="2"/>
  <c r="N125" i="2"/>
  <c r="N126" i="2"/>
  <c r="N127" i="2"/>
  <c r="N128" i="2"/>
  <c r="N129" i="2"/>
  <c r="N131" i="2"/>
  <c r="N68" i="2"/>
  <c r="N42" i="2"/>
  <c r="N45" i="2"/>
  <c r="J28" i="17"/>
  <c r="J17" i="17"/>
  <c r="J12" i="17"/>
  <c r="J31" i="14"/>
  <c r="J19" i="14"/>
  <c r="J84" i="10"/>
  <c r="J73" i="10"/>
  <c r="J58" i="10"/>
  <c r="J34" i="10"/>
  <c r="J19" i="10"/>
  <c r="J20" i="7"/>
  <c r="J80" i="6"/>
  <c r="J61" i="6"/>
  <c r="J37" i="6"/>
  <c r="J17" i="6"/>
  <c r="N76" i="5"/>
  <c r="J90" i="5"/>
  <c r="J82" i="5"/>
  <c r="B24" i="12" l="1"/>
  <c r="B15" i="12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2" i="2"/>
  <c r="J39" i="6"/>
  <c r="I200" i="12"/>
  <c r="I208" i="12"/>
  <c r="I210" i="12"/>
  <c r="I201" i="12"/>
  <c r="I199" i="12"/>
  <c r="I207" i="12"/>
  <c r="J21" i="10"/>
  <c r="J75" i="10"/>
  <c r="I214" i="12"/>
  <c r="J29" i="5"/>
  <c r="J65" i="5"/>
  <c r="J84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2" i="5"/>
  <c r="J86" i="10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8" i="5"/>
  <c r="N77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40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C20" i="18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9" i="2"/>
  <c r="I76" i="2" s="1"/>
  <c r="I78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49" i="2"/>
  <c r="M15" i="18" l="1"/>
  <c r="O15" i="18"/>
  <c r="E15" i="18"/>
  <c r="N73" i="5"/>
  <c r="C98" i="12" l="1"/>
  <c r="C192" i="18" s="1"/>
  <c r="C87" i="11"/>
  <c r="M192" i="18" l="1"/>
  <c r="O192" i="18" s="1"/>
  <c r="E192" i="18"/>
  <c r="J309" i="2"/>
  <c r="J76" i="2" s="1"/>
  <c r="J78" i="2" s="1"/>
  <c r="I28" i="17"/>
  <c r="I17" i="17"/>
  <c r="I12" i="17"/>
  <c r="N13" i="14"/>
  <c r="I31" i="14"/>
  <c r="I19" i="14"/>
  <c r="M73" i="10"/>
  <c r="I84" i="10"/>
  <c r="I73" i="10"/>
  <c r="I58" i="10"/>
  <c r="I34" i="10"/>
  <c r="I19" i="10"/>
  <c r="I20" i="7"/>
  <c r="I80" i="6"/>
  <c r="I61" i="6"/>
  <c r="I37" i="6"/>
  <c r="I17" i="6"/>
  <c r="I90" i="5"/>
  <c r="I82" i="5"/>
  <c r="I65" i="5"/>
  <c r="G56" i="11" l="1"/>
  <c r="G67" i="12"/>
  <c r="I88" i="6"/>
  <c r="I39" i="6"/>
  <c r="I22" i="7"/>
  <c r="I21" i="10"/>
  <c r="I75" i="10"/>
  <c r="I19" i="17"/>
  <c r="I30" i="17" s="1"/>
  <c r="I21" i="14"/>
  <c r="I33" i="14" s="1"/>
  <c r="I29" i="5"/>
  <c r="I84" i="5"/>
  <c r="I90" i="6" l="1"/>
  <c r="I92" i="5"/>
  <c r="I86" i="10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49" i="2"/>
  <c r="M753" i="18" l="1"/>
  <c r="O753" i="18" s="1"/>
  <c r="E753" i="18"/>
  <c r="H309" i="2"/>
  <c r="H76" i="2" s="1"/>
  <c r="H78" i="2" s="1"/>
  <c r="N221" i="2"/>
  <c r="N219" i="2"/>
  <c r="N218" i="2"/>
  <c r="N217" i="2"/>
  <c r="N216" i="2"/>
  <c r="N215" i="2"/>
  <c r="N214" i="2"/>
  <c r="N213" i="2"/>
  <c r="B40" i="12" s="1"/>
  <c r="N212" i="2"/>
  <c r="H28" i="17"/>
  <c r="H17" i="17"/>
  <c r="H12" i="17"/>
  <c r="H31" i="14"/>
  <c r="H19" i="14"/>
  <c r="H21" i="14" s="1"/>
  <c r="H84" i="10"/>
  <c r="H73" i="10"/>
  <c r="H58" i="10"/>
  <c r="H34" i="10"/>
  <c r="H19" i="10"/>
  <c r="H20" i="7"/>
  <c r="H22" i="7" s="1"/>
  <c r="H80" i="6"/>
  <c r="H61" i="6"/>
  <c r="H37" i="6"/>
  <c r="H17" i="6"/>
  <c r="H90" i="5"/>
  <c r="H82" i="5"/>
  <c r="H65" i="5"/>
  <c r="E449" i="12"/>
  <c r="I310" i="12"/>
  <c r="E446" i="12" s="1"/>
  <c r="I309" i="12"/>
  <c r="E445" i="12" s="1"/>
  <c r="I308" i="12"/>
  <c r="H88" i="6" l="1"/>
  <c r="B44" i="12"/>
  <c r="C39" i="18" s="1"/>
  <c r="H84" i="5"/>
  <c r="H21" i="10"/>
  <c r="H29" i="5"/>
  <c r="H39" i="6"/>
  <c r="H208" i="2"/>
  <c r="H75" i="10"/>
  <c r="H19" i="17"/>
  <c r="H30" i="17" s="1"/>
  <c r="H49" i="2"/>
  <c r="H33" i="14"/>
  <c r="H90" i="6" l="1"/>
  <c r="E39" i="18"/>
  <c r="M39" i="18"/>
  <c r="O39" i="18" s="1"/>
  <c r="H92" i="5"/>
  <c r="H86" i="10"/>
  <c r="H79" i="2"/>
  <c r="H311" i="2"/>
  <c r="E309" i="2"/>
  <c r="F309" i="2"/>
  <c r="F76" i="2" s="1"/>
  <c r="F78" i="2" s="1"/>
  <c r="G309" i="2"/>
  <c r="G76" i="2" s="1"/>
  <c r="G78" i="2" s="1"/>
  <c r="G79" i="2" s="1"/>
  <c r="E76" i="2" l="1"/>
  <c r="E78" i="2" s="1"/>
  <c r="H36" i="2"/>
  <c r="H83" i="2"/>
  <c r="E311" i="2"/>
  <c r="H50" i="2"/>
  <c r="H313" i="2" l="1"/>
  <c r="B124" i="12"/>
  <c r="C107" i="18" s="1"/>
  <c r="G90" i="5"/>
  <c r="G82" i="5"/>
  <c r="G65" i="5"/>
  <c r="C847" i="18" l="1"/>
  <c r="E107" i="18"/>
  <c r="B111" i="11"/>
  <c r="I111" i="11" s="1"/>
  <c r="G29" i="5"/>
  <c r="G84" i="5"/>
  <c r="I124" i="12"/>
  <c r="G449" i="12" l="1"/>
  <c r="C449" i="12"/>
  <c r="M847" i="18"/>
  <c r="O847" i="18" s="1"/>
  <c r="E847" i="18"/>
  <c r="M107" i="18"/>
  <c r="O107" i="18" s="1"/>
  <c r="C23" i="11"/>
  <c r="G92" i="5"/>
  <c r="C129" i="18"/>
  <c r="E129" i="18" l="1"/>
  <c r="M129" i="18"/>
  <c r="O129" i="18" s="1"/>
  <c r="C763" i="18"/>
  <c r="N291" i="2"/>
  <c r="N309" i="2" s="1"/>
  <c r="M763" i="18" l="1"/>
  <c r="O763" i="18" s="1"/>
  <c r="E763" i="18"/>
  <c r="I11" i="2"/>
  <c r="I34" i="2"/>
  <c r="G58" i="10"/>
  <c r="G84" i="10"/>
  <c r="G73" i="10"/>
  <c r="G34" i="10"/>
  <c r="G19" i="10"/>
  <c r="G21" i="10" l="1"/>
  <c r="I35" i="2"/>
  <c r="I79" i="2" s="1"/>
  <c r="G75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2" i="5"/>
  <c r="D89" i="12" s="1"/>
  <c r="C290" i="18" s="1"/>
  <c r="N26" i="5"/>
  <c r="N17" i="5"/>
  <c r="N16" i="5"/>
  <c r="B29" i="5"/>
  <c r="M20" i="7"/>
  <c r="N12" i="7"/>
  <c r="N13" i="7"/>
  <c r="F28" i="17"/>
  <c r="F17" i="17"/>
  <c r="F12" i="17"/>
  <c r="F31" i="14"/>
  <c r="F19" i="14"/>
  <c r="F84" i="10"/>
  <c r="F73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9" i="5"/>
  <c r="N70" i="5"/>
  <c r="D96" i="12" s="1"/>
  <c r="C296" i="18" s="1"/>
  <c r="N71" i="5"/>
  <c r="D93" i="12" s="1"/>
  <c r="C293" i="18" s="1"/>
  <c r="D87" i="12"/>
  <c r="C288" i="18" s="1"/>
  <c r="N74" i="5"/>
  <c r="N80" i="5"/>
  <c r="D56" i="11" s="1"/>
  <c r="D27" i="16" s="1"/>
  <c r="N81" i="5"/>
  <c r="N68" i="5"/>
  <c r="N49" i="5"/>
  <c r="N50" i="5"/>
  <c r="D50" i="11" s="1"/>
  <c r="N51" i="5"/>
  <c r="N52" i="5"/>
  <c r="N54" i="5"/>
  <c r="N55" i="5"/>
  <c r="N56" i="5"/>
  <c r="N58" i="5"/>
  <c r="N59" i="5"/>
  <c r="N60" i="5"/>
  <c r="D61" i="11" s="1"/>
  <c r="D30" i="16" s="1"/>
  <c r="N62" i="5"/>
  <c r="N63" i="5"/>
  <c r="N64" i="5"/>
  <c r="N36" i="5"/>
  <c r="N37" i="5"/>
  <c r="N38" i="5"/>
  <c r="D42" i="12" s="1"/>
  <c r="C249" i="18" s="1"/>
  <c r="N39" i="5"/>
  <c r="N24" i="5"/>
  <c r="N9" i="5"/>
  <c r="N10" i="5"/>
  <c r="N15" i="5"/>
  <c r="N11" i="5"/>
  <c r="N13" i="5"/>
  <c r="N8" i="5"/>
  <c r="M82" i="5"/>
  <c r="M65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5" i="5"/>
  <c r="N47" i="5"/>
  <c r="E90" i="5"/>
  <c r="E82" i="5"/>
  <c r="E65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4" i="10"/>
  <c r="D84" i="10"/>
  <c r="C84" i="10"/>
  <c r="B84" i="10"/>
  <c r="E73" i="10"/>
  <c r="E58" i="10"/>
  <c r="E34" i="10"/>
  <c r="D34" i="10"/>
  <c r="C34" i="10"/>
  <c r="E19" i="10"/>
  <c r="E21" i="10" s="1"/>
  <c r="D19" i="10"/>
  <c r="C19" i="10"/>
  <c r="C21" i="10" s="1"/>
  <c r="B19" i="10"/>
  <c r="N17" i="7"/>
  <c r="D22" i="7"/>
  <c r="N11" i="7"/>
  <c r="E56" i="11" s="1"/>
  <c r="E27" i="16" s="1"/>
  <c r="C27" i="16"/>
  <c r="C83" i="11"/>
  <c r="N83" i="6"/>
  <c r="D61" i="6"/>
  <c r="C61" i="6"/>
  <c r="C88" i="6" s="1"/>
  <c r="B61" i="6"/>
  <c r="B88" i="6" s="1"/>
  <c r="D37" i="6"/>
  <c r="B37" i="6"/>
  <c r="N19" i="6"/>
  <c r="D17" i="6"/>
  <c r="C17" i="6"/>
  <c r="B17" i="6"/>
  <c r="D65" i="5"/>
  <c r="C65" i="5"/>
  <c r="C82" i="5"/>
  <c r="D82" i="5"/>
  <c r="B82" i="5"/>
  <c r="C90" i="5"/>
  <c r="D90" i="5"/>
  <c r="F90" i="5"/>
  <c r="B90" i="5"/>
  <c r="N18" i="2"/>
  <c r="B208" i="2"/>
  <c r="AF312" i="2"/>
  <c r="AG312" i="2" s="1"/>
  <c r="AF310" i="2"/>
  <c r="AG310" i="2" s="1"/>
  <c r="AF302" i="2"/>
  <c r="AG302" i="2" s="1"/>
  <c r="AF298" i="2"/>
  <c r="AG298" i="2" s="1"/>
  <c r="B112" i="12"/>
  <c r="C99" i="18" s="1"/>
  <c r="AF290" i="2"/>
  <c r="AG290" i="2" s="1"/>
  <c r="AF289" i="2"/>
  <c r="AG289" i="2" s="1"/>
  <c r="AF272" i="2"/>
  <c r="AG272" i="2" s="1"/>
  <c r="C87" i="18"/>
  <c r="AF268" i="2"/>
  <c r="AG268" i="2" s="1"/>
  <c r="AF267" i="2"/>
  <c r="AG267" i="2" s="1"/>
  <c r="I66" i="12"/>
  <c r="N264" i="2"/>
  <c r="B97" i="12"/>
  <c r="C85" i="18" s="1"/>
  <c r="AF261" i="2"/>
  <c r="AG261" i="2" s="1"/>
  <c r="AF260" i="2"/>
  <c r="AG260" i="2" s="1"/>
  <c r="AF259" i="2"/>
  <c r="AG259" i="2" s="1"/>
  <c r="B86" i="12"/>
  <c r="C75" i="18" s="1"/>
  <c r="AF257" i="2"/>
  <c r="AG257" i="2" s="1"/>
  <c r="AF256" i="2"/>
  <c r="AG256" i="2" s="1"/>
  <c r="B81" i="12"/>
  <c r="C70" i="18" s="1"/>
  <c r="N253" i="2"/>
  <c r="AF252" i="2"/>
  <c r="AG252" i="2" s="1"/>
  <c r="AF247" i="2"/>
  <c r="AG247" i="2" s="1"/>
  <c r="AF246" i="2"/>
  <c r="AG246" i="2" s="1"/>
  <c r="B31" i="16"/>
  <c r="AF239" i="2"/>
  <c r="AG239" i="2" s="1"/>
  <c r="AF237" i="2"/>
  <c r="AG237" i="2" s="1"/>
  <c r="AF235" i="2"/>
  <c r="AG235" i="2" s="1"/>
  <c r="AF234" i="2"/>
  <c r="AG234" i="2" s="1"/>
  <c r="AF230" i="2"/>
  <c r="AG230" i="2" s="1"/>
  <c r="N227" i="2"/>
  <c r="N251" i="2" s="1"/>
  <c r="AF226" i="2"/>
  <c r="AG226" i="2" s="1"/>
  <c r="AF219" i="2"/>
  <c r="AG219" i="2" s="1"/>
  <c r="AF218" i="2"/>
  <c r="AG218" i="2" s="1"/>
  <c r="AF217" i="2"/>
  <c r="AG217" i="2" s="1"/>
  <c r="AF211" i="2"/>
  <c r="AG211" i="2" s="1"/>
  <c r="N210" i="2"/>
  <c r="N225" i="2" s="1"/>
  <c r="AF209" i="2"/>
  <c r="AG209" i="2" s="1"/>
  <c r="AF193" i="2"/>
  <c r="AG193" i="2" s="1"/>
  <c r="AF192" i="2"/>
  <c r="AG192" i="2" s="1"/>
  <c r="AF191" i="2"/>
  <c r="AG191" i="2" s="1"/>
  <c r="AF189" i="2"/>
  <c r="AG189" i="2" s="1"/>
  <c r="AF187" i="2"/>
  <c r="AG187" i="2" s="1"/>
  <c r="AF186" i="2"/>
  <c r="AG186" i="2" s="1"/>
  <c r="N185" i="2"/>
  <c r="AF185" i="2" s="1"/>
  <c r="AG185" i="2" s="1"/>
  <c r="N184" i="2"/>
  <c r="AF183" i="2"/>
  <c r="AG183" i="2" s="1"/>
  <c r="AF182" i="2"/>
  <c r="AG182" i="2" s="1"/>
  <c r="AF181" i="2"/>
  <c r="AG181" i="2" s="1"/>
  <c r="AF180" i="2"/>
  <c r="AG180" i="2" s="1"/>
  <c r="AF179" i="2"/>
  <c r="AG179" i="2" s="1"/>
  <c r="N178" i="2"/>
  <c r="B25" i="12" s="1"/>
  <c r="AF177" i="2"/>
  <c r="AG177" i="2" s="1"/>
  <c r="AF176" i="2"/>
  <c r="AG176" i="2" s="1"/>
  <c r="AF175" i="2"/>
  <c r="AG175" i="2" s="1"/>
  <c r="AF173" i="2"/>
  <c r="AG173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1" i="2"/>
  <c r="AG161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51" i="2"/>
  <c r="AG151" i="2" s="1"/>
  <c r="AF146" i="2"/>
  <c r="AG146" i="2" s="1"/>
  <c r="AF145" i="2"/>
  <c r="AG145" i="2" s="1"/>
  <c r="N134" i="2"/>
  <c r="AF133" i="2"/>
  <c r="AG133" i="2" s="1"/>
  <c r="J208" i="2"/>
  <c r="G208" i="2"/>
  <c r="AF126" i="2"/>
  <c r="AG126" i="2" s="1"/>
  <c r="AF125" i="2"/>
  <c r="AG125" i="2" s="1"/>
  <c r="AF124" i="2"/>
  <c r="AG124" i="2" s="1"/>
  <c r="AF123" i="2"/>
  <c r="AG123" i="2" s="1"/>
  <c r="AF122" i="2"/>
  <c r="AG122" i="2" s="1"/>
  <c r="AF118" i="2"/>
  <c r="AG118" i="2" s="1"/>
  <c r="AF117" i="2"/>
  <c r="AG117" i="2" s="1"/>
  <c r="AF116" i="2"/>
  <c r="AG116" i="2" s="1"/>
  <c r="AF114" i="2"/>
  <c r="AG114" i="2" s="1"/>
  <c r="AF113" i="2"/>
  <c r="AG113" i="2" s="1"/>
  <c r="AF112" i="2"/>
  <c r="AG112" i="2" s="1"/>
  <c r="AF109" i="2"/>
  <c r="AG109" i="2" s="1"/>
  <c r="AF108" i="2"/>
  <c r="AG108" i="2" s="1"/>
  <c r="AF106" i="2"/>
  <c r="AG106" i="2" s="1"/>
  <c r="AF105" i="2"/>
  <c r="AG105" i="2" s="1"/>
  <c r="AF104" i="2"/>
  <c r="AG104" i="2" s="1"/>
  <c r="AF103" i="2"/>
  <c r="AG103" i="2" s="1"/>
  <c r="AF102" i="2"/>
  <c r="AG102" i="2" s="1"/>
  <c r="N101" i="2"/>
  <c r="AF101" i="2" s="1"/>
  <c r="AG101" i="2" s="1"/>
  <c r="AF100" i="2"/>
  <c r="AG100" i="2" s="1"/>
  <c r="AF99" i="2"/>
  <c r="AG99" i="2" s="1"/>
  <c r="AF98" i="2"/>
  <c r="AG98" i="2" s="1"/>
  <c r="AF90" i="2"/>
  <c r="AG90" i="2" s="1"/>
  <c r="AF89" i="2"/>
  <c r="AG89" i="2" s="1"/>
  <c r="AF85" i="2"/>
  <c r="AG85" i="2" s="1"/>
  <c r="AF84" i="2"/>
  <c r="AG84" i="2" s="1"/>
  <c r="AF83" i="2"/>
  <c r="AG83" i="2" s="1"/>
  <c r="AF81" i="2"/>
  <c r="AG81" i="2" s="1"/>
  <c r="AF80" i="2"/>
  <c r="AG80" i="2" s="1"/>
  <c r="AF72" i="2"/>
  <c r="AG72" i="2" s="1"/>
  <c r="AF68" i="2"/>
  <c r="AG68" i="2" s="1"/>
  <c r="N62" i="2"/>
  <c r="AF60" i="2"/>
  <c r="AG60" i="2" s="1"/>
  <c r="AF54" i="2"/>
  <c r="AG54" i="2" s="1"/>
  <c r="AF53" i="2"/>
  <c r="AG53" i="2" s="1"/>
  <c r="AF52" i="2"/>
  <c r="AG52" i="2" s="1"/>
  <c r="AF51" i="2"/>
  <c r="AG51" i="2" s="1"/>
  <c r="M49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8" i="2"/>
  <c r="AF291" i="2"/>
  <c r="AG291" i="2" s="1"/>
  <c r="B108" i="12"/>
  <c r="I34" i="12"/>
  <c r="N21" i="5" l="1"/>
  <c r="E336" i="12"/>
  <c r="E364" i="12"/>
  <c r="R30" i="15"/>
  <c r="R33" i="15" s="1"/>
  <c r="H289" i="12"/>
  <c r="N288" i="2"/>
  <c r="AF288" i="2" s="1"/>
  <c r="AG288" i="2" s="1"/>
  <c r="H58" i="16"/>
  <c r="H102" i="11"/>
  <c r="N28" i="17"/>
  <c r="H116" i="12"/>
  <c r="G27" i="11"/>
  <c r="C95" i="18"/>
  <c r="E95" i="18" s="1"/>
  <c r="E433" i="12"/>
  <c r="G86" i="10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7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G21" i="14"/>
  <c r="G33" i="14" s="1"/>
  <c r="G116" i="12"/>
  <c r="F19" i="17"/>
  <c r="F30" i="17" s="1"/>
  <c r="E84" i="12"/>
  <c r="C496" i="18" s="1"/>
  <c r="N14" i="7"/>
  <c r="C28" i="12"/>
  <c r="C130" i="18" s="1"/>
  <c r="N82" i="5"/>
  <c r="B75" i="11"/>
  <c r="I180" i="12"/>
  <c r="B65" i="5"/>
  <c r="B84" i="5" s="1"/>
  <c r="B92" i="5" s="1"/>
  <c r="N46" i="5"/>
  <c r="N65" i="5" s="1"/>
  <c r="D55" i="11"/>
  <c r="D26" i="16" s="1"/>
  <c r="L30" i="15"/>
  <c r="L33" i="15" s="1"/>
  <c r="B289" i="12"/>
  <c r="B50" i="12"/>
  <c r="C45" i="18" s="1"/>
  <c r="AF251" i="2"/>
  <c r="AG251" i="2" s="1"/>
  <c r="AF178" i="2"/>
  <c r="AG178" i="2" s="1"/>
  <c r="N23" i="2"/>
  <c r="AF23" i="2" s="1"/>
  <c r="AG23" i="2" s="1"/>
  <c r="B21" i="11"/>
  <c r="AF184" i="2"/>
  <c r="AG184" i="2" s="1"/>
  <c r="M24" i="15"/>
  <c r="M25" i="15" s="1"/>
  <c r="M27" i="15" s="1"/>
  <c r="C217" i="12"/>
  <c r="D29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57" i="2"/>
  <c r="AF57" i="2" s="1"/>
  <c r="AG57" i="2" s="1"/>
  <c r="N76" i="2"/>
  <c r="AF76" i="2" s="1"/>
  <c r="AG76" i="2" s="1"/>
  <c r="N17" i="2"/>
  <c r="AF17" i="2" s="1"/>
  <c r="AG17" i="2" s="1"/>
  <c r="N67" i="2"/>
  <c r="AF67" i="2" s="1"/>
  <c r="AG67" i="2" s="1"/>
  <c r="N7" i="2"/>
  <c r="N9" i="2"/>
  <c r="AF9" i="2" s="1"/>
  <c r="AG9" i="2" s="1"/>
  <c r="N24" i="2"/>
  <c r="AF24" i="2" s="1"/>
  <c r="AG24" i="2" s="1"/>
  <c r="N64" i="2"/>
  <c r="AF64" i="2" s="1"/>
  <c r="AG64" i="2" s="1"/>
  <c r="N77" i="2"/>
  <c r="AF77" i="2" s="1"/>
  <c r="AG77" i="2" s="1"/>
  <c r="AF75" i="2"/>
  <c r="AG75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58" i="2"/>
  <c r="AF58" i="2" s="1"/>
  <c r="AG58" i="2" s="1"/>
  <c r="N74" i="2"/>
  <c r="E27" i="11"/>
  <c r="E39" i="6"/>
  <c r="D67" i="12"/>
  <c r="C274" i="18" s="1"/>
  <c r="I31" i="16"/>
  <c r="E18" i="16"/>
  <c r="N56" i="2"/>
  <c r="AF56" i="2" s="1"/>
  <c r="AG56" i="2" s="1"/>
  <c r="N94" i="2"/>
  <c r="AF94" i="2" s="1"/>
  <c r="AG94" i="2" s="1"/>
  <c r="N148" i="2"/>
  <c r="B28" i="12" s="1"/>
  <c r="B19" i="17"/>
  <c r="B30" i="17" s="1"/>
  <c r="C19" i="17"/>
  <c r="C30" i="17" s="1"/>
  <c r="N93" i="2"/>
  <c r="AF93" i="2" s="1"/>
  <c r="AG93" i="2" s="1"/>
  <c r="N39" i="2"/>
  <c r="E21" i="14"/>
  <c r="E33" i="14" s="1"/>
  <c r="E19" i="17"/>
  <c r="E30" i="17" s="1"/>
  <c r="F21" i="14"/>
  <c r="F33" i="14" s="1"/>
  <c r="N55" i="2"/>
  <c r="AF55" i="2" s="1"/>
  <c r="AG55" i="2" s="1"/>
  <c r="N66" i="2"/>
  <c r="AF66" i="2" s="1"/>
  <c r="AG66" i="2" s="1"/>
  <c r="N194" i="2"/>
  <c r="AF194" i="2" s="1"/>
  <c r="AG194" i="2" s="1"/>
  <c r="N43" i="2"/>
  <c r="AF43" i="2" s="1"/>
  <c r="AG43" i="2" s="1"/>
  <c r="B58" i="10"/>
  <c r="B75" i="10" s="1"/>
  <c r="H67" i="12"/>
  <c r="C585" i="18" s="1"/>
  <c r="D19" i="17"/>
  <c r="D30" i="17" s="1"/>
  <c r="H103" i="11"/>
  <c r="H59" i="16" s="1"/>
  <c r="H114" i="12"/>
  <c r="C630" i="18" s="1"/>
  <c r="F21" i="10"/>
  <c r="N61" i="2"/>
  <c r="N69" i="2"/>
  <c r="AF69" i="2" s="1"/>
  <c r="AG69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9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2" i="5"/>
  <c r="D65" i="11"/>
  <c r="I65" i="11" s="1"/>
  <c r="D69" i="12"/>
  <c r="C276" i="18" s="1"/>
  <c r="D53" i="11"/>
  <c r="D24" i="16" s="1"/>
  <c r="D97" i="11"/>
  <c r="D84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0" i="2"/>
  <c r="AG270" i="2" s="1"/>
  <c r="AF269" i="2"/>
  <c r="AG269" i="2" s="1"/>
  <c r="AF264" i="2"/>
  <c r="AG264" i="2" s="1"/>
  <c r="B68" i="12"/>
  <c r="C63" i="18" s="1"/>
  <c r="AF254" i="2"/>
  <c r="AG254" i="2" s="1"/>
  <c r="AF238" i="2"/>
  <c r="AG238" i="2" s="1"/>
  <c r="C55" i="18"/>
  <c r="AF216" i="2"/>
  <c r="AG216" i="2" s="1"/>
  <c r="B41" i="12"/>
  <c r="C36" i="18" s="1"/>
  <c r="C35" i="18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5" i="2"/>
  <c r="AG135" i="2" s="1"/>
  <c r="AF150" i="2"/>
  <c r="AG150" i="2" s="1"/>
  <c r="AF141" i="2"/>
  <c r="AG141" i="2" s="1"/>
  <c r="AF188" i="2"/>
  <c r="AG188" i="2" s="1"/>
  <c r="AF142" i="2"/>
  <c r="AG142" i="2" s="1"/>
  <c r="AF160" i="2"/>
  <c r="AG160" i="2" s="1"/>
  <c r="C100" i="18"/>
  <c r="B109" i="12"/>
  <c r="C96" i="18" s="1"/>
  <c r="AF273" i="2"/>
  <c r="AG273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8" i="2"/>
  <c r="AG258" i="2" s="1"/>
  <c r="D49" i="2"/>
  <c r="B82" i="12"/>
  <c r="C71" i="18" s="1"/>
  <c r="B103" i="11"/>
  <c r="B59" i="16" s="1"/>
  <c r="B46" i="12"/>
  <c r="C41" i="18" s="1"/>
  <c r="E11" i="2"/>
  <c r="AF134" i="2"/>
  <c r="AG134" i="2" s="1"/>
  <c r="AF18" i="2"/>
  <c r="AG18" i="2" s="1"/>
  <c r="F208" i="2"/>
  <c r="F311" i="2" s="1"/>
  <c r="C208" i="2"/>
  <c r="C311" i="2" s="1"/>
  <c r="J311" i="2"/>
  <c r="B30" i="16"/>
  <c r="AF213" i="2"/>
  <c r="AG213" i="2" s="1"/>
  <c r="D51" i="12"/>
  <c r="C258" i="18" s="1"/>
  <c r="D46" i="11"/>
  <c r="D22" i="16" s="1"/>
  <c r="K311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5" i="5"/>
  <c r="B21" i="14"/>
  <c r="B33" i="14" s="1"/>
  <c r="G39" i="6"/>
  <c r="AF274" i="2"/>
  <c r="AG274" i="2" s="1"/>
  <c r="C22" i="7"/>
  <c r="F58" i="11"/>
  <c r="I41" i="16"/>
  <c r="F75" i="10"/>
  <c r="L20" i="15"/>
  <c r="L21" i="15" s="1"/>
  <c r="I206" i="12"/>
  <c r="N27" i="15"/>
  <c r="D217" i="12"/>
  <c r="B94" i="12"/>
  <c r="C82" i="18" s="1"/>
  <c r="B98" i="12"/>
  <c r="C86" i="18" s="1"/>
  <c r="AF271" i="2"/>
  <c r="AG271" i="2" s="1"/>
  <c r="AF262" i="2"/>
  <c r="AG262" i="2" s="1"/>
  <c r="C89" i="18"/>
  <c r="AF253" i="2"/>
  <c r="AG253" i="2" s="1"/>
  <c r="I64" i="12"/>
  <c r="G388" i="12" s="1"/>
  <c r="B39" i="12"/>
  <c r="C34" i="18" s="1"/>
  <c r="AF295" i="2"/>
  <c r="AG295" i="2" s="1"/>
  <c r="B43" i="12"/>
  <c r="C38" i="18" s="1"/>
  <c r="N32" i="2"/>
  <c r="AF32" i="2" s="1"/>
  <c r="AG32" i="2" s="1"/>
  <c r="L208" i="2"/>
  <c r="L311" i="2" s="1"/>
  <c r="D208" i="2"/>
  <c r="D311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5" i="10"/>
  <c r="C86" i="10" s="1"/>
  <c r="E75" i="10"/>
  <c r="E86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9" i="5"/>
  <c r="I96" i="12"/>
  <c r="E29" i="5"/>
  <c r="I215" i="12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79" i="2" s="1"/>
  <c r="I23" i="11"/>
  <c r="B120" i="12"/>
  <c r="C104" i="18" s="1"/>
  <c r="H18" i="16"/>
  <c r="E35" i="16"/>
  <c r="O33" i="15"/>
  <c r="R27" i="15"/>
  <c r="AF242" i="2"/>
  <c r="AG242" i="2" s="1"/>
  <c r="B95" i="12"/>
  <c r="C83" i="18" s="1"/>
  <c r="AF212" i="2"/>
  <c r="AG212" i="2" s="1"/>
  <c r="AF292" i="2"/>
  <c r="AG292" i="2" s="1"/>
  <c r="AF263" i="2"/>
  <c r="AG263" i="2" s="1"/>
  <c r="C105" i="18"/>
  <c r="B101" i="12"/>
  <c r="C88" i="18" s="1"/>
  <c r="B116" i="12"/>
  <c r="AF231" i="2"/>
  <c r="AG231" i="2" s="1"/>
  <c r="AF215" i="2"/>
  <c r="AG215" i="2" s="1"/>
  <c r="I60" i="11"/>
  <c r="I22" i="11"/>
  <c r="C34" i="2"/>
  <c r="N14" i="2"/>
  <c r="B42" i="12"/>
  <c r="C37" i="18" s="1"/>
  <c r="AF121" i="2"/>
  <c r="AG121" i="2" s="1"/>
  <c r="G49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9" i="5"/>
  <c r="C84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6" i="2"/>
  <c r="AG266" i="2" s="1"/>
  <c r="AF233" i="2"/>
  <c r="AG233" i="2" s="1"/>
  <c r="AF228" i="2"/>
  <c r="AG228" i="2" s="1"/>
  <c r="AF243" i="2"/>
  <c r="AG243" i="2" s="1"/>
  <c r="B24" i="16"/>
  <c r="AF240" i="2"/>
  <c r="AG240" i="2" s="1"/>
  <c r="B29" i="16"/>
  <c r="B39" i="11"/>
  <c r="AF214" i="2"/>
  <c r="AG214" i="2" s="1"/>
  <c r="G311" i="2"/>
  <c r="J34" i="2"/>
  <c r="K34" i="2"/>
  <c r="C11" i="2"/>
  <c r="AF147" i="2"/>
  <c r="AG147" i="2" s="1"/>
  <c r="C390" i="12"/>
  <c r="I390" i="12"/>
  <c r="K390" i="12" s="1"/>
  <c r="L11" i="2"/>
  <c r="AF110" i="2"/>
  <c r="AG110" i="2" s="1"/>
  <c r="AF144" i="2"/>
  <c r="AG144" i="2" s="1"/>
  <c r="C49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1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0" i="2"/>
  <c r="AG210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7" i="2"/>
  <c r="AG107" i="2" s="1"/>
  <c r="AF132" i="2"/>
  <c r="AG132" i="2" s="1"/>
  <c r="AF111" i="2"/>
  <c r="AG111" i="2" s="1"/>
  <c r="AF62" i="2"/>
  <c r="AG62" i="2" s="1"/>
  <c r="B49" i="2"/>
  <c r="B34" i="2"/>
  <c r="B11" i="2"/>
  <c r="E34" i="2"/>
  <c r="AF120" i="2"/>
  <c r="AG120" i="2" s="1"/>
  <c r="AF143" i="2"/>
  <c r="AG143" i="2" s="1"/>
  <c r="AF115" i="2"/>
  <c r="AG115" i="2" s="1"/>
  <c r="I12" i="11"/>
  <c r="I16" i="12"/>
  <c r="I13" i="11"/>
  <c r="I17" i="12"/>
  <c r="I334" i="12" s="1"/>
  <c r="K334" i="12" s="1"/>
  <c r="AF174" i="2"/>
  <c r="AG174" i="2" s="1"/>
  <c r="AF255" i="2"/>
  <c r="AG255" i="2" s="1"/>
  <c r="D11" i="2"/>
  <c r="E49" i="2"/>
  <c r="AF221" i="2"/>
  <c r="AG221" i="2" s="1"/>
  <c r="B45" i="12"/>
  <c r="C40" i="18" s="1"/>
  <c r="AF229" i="2"/>
  <c r="AG229" i="2" s="1"/>
  <c r="D58" i="10"/>
  <c r="D75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5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4" i="5"/>
  <c r="N41" i="5"/>
  <c r="D41" i="11" s="1"/>
  <c r="E84" i="5"/>
  <c r="C77" i="18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B125" i="12" l="1"/>
  <c r="I101" i="11"/>
  <c r="E450" i="12"/>
  <c r="H316" i="12"/>
  <c r="H318" i="12" s="1"/>
  <c r="C102" i="18"/>
  <c r="E102" i="18" s="1"/>
  <c r="B105" i="11"/>
  <c r="G437" i="12"/>
  <c r="C437" i="12"/>
  <c r="J223" i="12"/>
  <c r="F21" i="19"/>
  <c r="I218" i="12"/>
  <c r="B316" i="12"/>
  <c r="M79" i="2"/>
  <c r="M313" i="2" s="1"/>
  <c r="J284" i="12"/>
  <c r="J276" i="12"/>
  <c r="C24" i="18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49" i="2"/>
  <c r="AF49" i="2" s="1"/>
  <c r="AG49" i="2" s="1"/>
  <c r="G90" i="6"/>
  <c r="E523" i="18"/>
  <c r="N207" i="2"/>
  <c r="AF207" i="2" s="1"/>
  <c r="AG207" i="2" s="1"/>
  <c r="N33" i="14"/>
  <c r="E90" i="6"/>
  <c r="C590" i="18"/>
  <c r="E590" i="18" s="1"/>
  <c r="N88" i="6"/>
  <c r="E206" i="18"/>
  <c r="N43" i="5"/>
  <c r="N84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2" i="5"/>
  <c r="B86" i="10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59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2" i="5"/>
  <c r="F57" i="11"/>
  <c r="I57" i="11" s="1"/>
  <c r="N19" i="17"/>
  <c r="N30" i="17" s="1"/>
  <c r="AF7" i="2"/>
  <c r="AG7" i="2" s="1"/>
  <c r="N86" i="2"/>
  <c r="AF74" i="2"/>
  <c r="AG74" i="2" s="1"/>
  <c r="H125" i="12"/>
  <c r="H35" i="15" s="1"/>
  <c r="F86" i="10"/>
  <c r="I69" i="12"/>
  <c r="I393" i="12" s="1"/>
  <c r="K393" i="12" s="1"/>
  <c r="C417" i="12"/>
  <c r="N63" i="2"/>
  <c r="N70" i="2" s="1"/>
  <c r="N91" i="2"/>
  <c r="N95" i="2"/>
  <c r="AF95" i="2" s="1"/>
  <c r="AG95" i="2" s="1"/>
  <c r="I90" i="12"/>
  <c r="I60" i="12"/>
  <c r="C384" i="12" s="1"/>
  <c r="N92" i="2"/>
  <c r="AF92" i="2" s="1"/>
  <c r="AG92" i="2" s="1"/>
  <c r="AF14" i="2"/>
  <c r="AG14" i="2" s="1"/>
  <c r="N34" i="2"/>
  <c r="AF34" i="2" s="1"/>
  <c r="AG34" i="2" s="1"/>
  <c r="N87" i="2"/>
  <c r="AF87" i="2" s="1"/>
  <c r="AG87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4" i="5"/>
  <c r="F92" i="5" s="1"/>
  <c r="D62" i="16"/>
  <c r="D34" i="16"/>
  <c r="I89" i="12"/>
  <c r="B64" i="11"/>
  <c r="B33" i="16" s="1"/>
  <c r="I33" i="16" s="1"/>
  <c r="B63" i="11"/>
  <c r="I63" i="11" s="1"/>
  <c r="B55" i="11"/>
  <c r="B26" i="16" s="1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6" i="10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79" i="2" s="1"/>
  <c r="D313" i="2" s="1"/>
  <c r="I86" i="11"/>
  <c r="B25" i="16"/>
  <c r="I25" i="16" s="1"/>
  <c r="I76" i="11"/>
  <c r="AF148" i="2"/>
  <c r="AG148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6" i="10"/>
  <c r="N22" i="7"/>
  <c r="E58" i="16"/>
  <c r="E62" i="16" s="1"/>
  <c r="E112" i="11"/>
  <c r="C67" i="11"/>
  <c r="C23" i="16"/>
  <c r="C35" i="16" s="1"/>
  <c r="D125" i="12"/>
  <c r="D35" i="15" s="1"/>
  <c r="E92" i="5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9" i="2"/>
  <c r="AG309" i="2" s="1"/>
  <c r="I120" i="12"/>
  <c r="I21" i="11"/>
  <c r="I113" i="12"/>
  <c r="C438" i="12" s="1"/>
  <c r="I24" i="16"/>
  <c r="J35" i="2"/>
  <c r="J79" i="2" s="1"/>
  <c r="I25" i="12"/>
  <c r="C342" i="12" s="1"/>
  <c r="AF225" i="2"/>
  <c r="AG225" i="2" s="1"/>
  <c r="C35" i="2"/>
  <c r="I26" i="12"/>
  <c r="G343" i="12" s="1"/>
  <c r="I27" i="12"/>
  <c r="I344" i="12" s="1"/>
  <c r="K344" i="12" s="1"/>
  <c r="I58" i="12"/>
  <c r="G382" i="12" s="1"/>
  <c r="I29" i="16"/>
  <c r="I49" i="11"/>
  <c r="M92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08" i="2"/>
  <c r="N311" i="2" s="1"/>
  <c r="L35" i="2"/>
  <c r="K35" i="2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G334" i="12"/>
  <c r="C334" i="12"/>
  <c r="I12" i="12"/>
  <c r="B20" i="15"/>
  <c r="B47" i="12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1" i="2"/>
  <c r="AG61" i="2" s="1"/>
  <c r="B38" i="16"/>
  <c r="I70" i="11"/>
  <c r="I24" i="12"/>
  <c r="P31" i="15"/>
  <c r="I262" i="12"/>
  <c r="F22" i="19" s="1"/>
  <c r="D18" i="12"/>
  <c r="C226" i="18" s="1"/>
  <c r="D14" i="11"/>
  <c r="N29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79" i="2" s="1"/>
  <c r="M102" i="18" l="1"/>
  <c r="O102" i="18" s="1"/>
  <c r="L50" i="2"/>
  <c r="L79" i="2"/>
  <c r="L313" i="2" s="1"/>
  <c r="K79" i="2"/>
  <c r="K50" i="2"/>
  <c r="B57" i="16"/>
  <c r="I105" i="11"/>
  <c r="G446" i="12"/>
  <c r="C446" i="12"/>
  <c r="B62" i="16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3" i="2"/>
  <c r="F50" i="2"/>
  <c r="F83" i="2"/>
  <c r="J36" i="2"/>
  <c r="E36" i="2"/>
  <c r="E79" i="2"/>
  <c r="E83" i="2" s="1"/>
  <c r="C50" i="2"/>
  <c r="C79" i="2"/>
  <c r="C83" i="2" s="1"/>
  <c r="M50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I404" i="12"/>
  <c r="K404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2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0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3" i="2"/>
  <c r="AG63" i="2" s="1"/>
  <c r="N96" i="2"/>
  <c r="AF96" i="2" s="1"/>
  <c r="AG96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0" i="2"/>
  <c r="D50" i="2"/>
  <c r="G395" i="12"/>
  <c r="J83" i="2"/>
  <c r="I360" i="12"/>
  <c r="K360" i="12" s="1"/>
  <c r="G360" i="12"/>
  <c r="J50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08" i="2"/>
  <c r="AG208" i="2" s="1"/>
  <c r="I83" i="2"/>
  <c r="I313" i="2"/>
  <c r="K36" i="2"/>
  <c r="L36" i="2"/>
  <c r="I36" i="2"/>
  <c r="I50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0" i="2"/>
  <c r="AG70" i="2" s="1"/>
  <c r="B32" i="15"/>
  <c r="I103" i="12"/>
  <c r="B31" i="15"/>
  <c r="C436" i="12"/>
  <c r="G436" i="12"/>
  <c r="AF59" i="2"/>
  <c r="AG59" i="2" s="1"/>
  <c r="G391" i="12"/>
  <c r="C391" i="12"/>
  <c r="I391" i="12"/>
  <c r="K391" i="12" s="1"/>
  <c r="AF11" i="2"/>
  <c r="AG11" i="2" s="1"/>
  <c r="N35" i="2"/>
  <c r="N50" i="2" s="1"/>
  <c r="H31" i="15"/>
  <c r="H33" i="15" s="1"/>
  <c r="H37" i="15" s="1"/>
  <c r="H40" i="15" s="1"/>
  <c r="H127" i="12"/>
  <c r="H129" i="12" s="1"/>
  <c r="N88" i="2"/>
  <c r="AF86" i="2"/>
  <c r="AG86" i="2" s="1"/>
  <c r="B50" i="2"/>
  <c r="B36" i="2"/>
  <c r="AF91" i="2"/>
  <c r="AG91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I318" i="12" l="1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B178" i="12" s="1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3" i="2"/>
  <c r="F313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1" i="2"/>
  <c r="AG311" i="2" s="1"/>
  <c r="B65" i="16"/>
  <c r="C114" i="11"/>
  <c r="I57" i="16"/>
  <c r="B51" i="16"/>
  <c r="G83" i="2"/>
  <c r="C313" i="2"/>
  <c r="J313" i="2"/>
  <c r="C27" i="15"/>
  <c r="C37" i="15" s="1"/>
  <c r="C40" i="15" s="1"/>
  <c r="C11" i="16"/>
  <c r="C64" i="16" s="1"/>
  <c r="D83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3" i="2"/>
  <c r="K83" i="2"/>
  <c r="N71" i="2"/>
  <c r="AF71" i="2" s="1"/>
  <c r="AG71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0" i="2"/>
  <c r="AG50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97" i="2"/>
  <c r="AF97" i="2" s="1"/>
  <c r="AG97" i="2" s="1"/>
  <c r="AF88" i="2"/>
  <c r="AG88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2" i="2"/>
  <c r="AG82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1" i="2"/>
  <c r="B313" i="2" s="1"/>
  <c r="N73" i="2"/>
  <c r="AF73" i="2" s="1"/>
  <c r="AG73" i="2" s="1"/>
  <c r="N78" i="2" l="1"/>
  <c r="N79" i="2" s="1"/>
  <c r="N313" i="2" s="1"/>
  <c r="B83" i="2" l="1"/>
  <c r="AF78" i="2"/>
  <c r="AG78" i="2" s="1"/>
  <c r="AF313" i="2" l="1"/>
  <c r="AG313" i="2" s="1"/>
  <c r="AF79" i="2"/>
  <c r="AG79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2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<sst xmlns="http://schemas.openxmlformats.org/spreadsheetml/2006/main" count="3045" uniqueCount="685">
  <si>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</si>
  <si>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</si>
  <si>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</si>
  <si>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</si>
  <si>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</si>
  <si>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</si>
  <si>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</si>
  <si>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</si>
  <si>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</si>
  <si>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</si>
  <si>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</si>
  <si>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</si>
  <si>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</si>
  <si>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</si>
  <si>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</si>
  <si>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</si>
  <si>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</si>
  <si>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</si>
  <si>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</si>
  <si>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</si>
  <si>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</si>
  <si>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</si>
  <si>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</si>
  <si>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</si>
  <si>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</si>
  <si>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</si>
  <si>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</si>
  <si>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</si>
  <si>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</si>
  <si>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</si>
  <si>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</si>
  <si>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</si>
  <si>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</si>
  <si>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</si>
  <si>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</si>
  <si>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</si>
  <si>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</si>
  <si>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</si>
  <si>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</si>
  <si>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</si>
  <si>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</si>
  <si>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</si>
  <si>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</si>
  <si>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</si>
  <si>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</si>
  <si>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</si>
  <si>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</si>
  <si>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</si>
  <si>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</si>
  <si>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</si>
  <si>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</si>
  <si>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</si>
  <si>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</si>
  <si>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</si>
  <si>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</si>
  <si>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</si>
  <si>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</si>
  <si>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</si>
  <si>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</si>
  <si>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</si>
  <si>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</si>
  <si>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</si>
  <si>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</si>
  <si>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</si>
  <si>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</si>
  <si>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</si>
  <si>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</si>
  <si>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</si>
  <si>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</si>
  <si>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</si>
  <si>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</si>
  <si>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</si>
  <si>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</si>
  <si>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</si>
  <si>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</si>
  <si>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</si>
  <si>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</si>
  <si>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</si>
  <si>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</si>
  <si>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</si>
  <si>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</si>
  <si>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</si>
  <si>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</si>
  <si>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</si>
  <si>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</si>
  <si>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</si>
  <si>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</si>
  <si>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</si>
  <si>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</si>
  <si>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</si>
  <si>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</si>
  <si>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</si>
  <si>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</si>
  <si>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</si>
  <si>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</si>
  <si>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</si>
  <si>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</si>
  <si>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</si>
  <si>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</si>
  <si>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</si>
  <si>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</si>
  <si>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</si>
  <si>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</si>
  <si>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</si>
  <si>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</si>
  <si>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</si>
  <si>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</si>
  <si>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</si>
  <si>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</si>
  <si>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</si>
  <si>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</si>
  <si>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</si>
  <si>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</si>
  <si>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</si>
  <si>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</si>
  <si>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</si>
  <si>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</si>
  <si>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</si>
  <si>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</si>
  <si>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</si>
  <si>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</si>
  <si>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</si>
  <si>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</si>
  <si>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</si>
  <si>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</si>
  <si>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</si>
  <si>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</si>
  <si>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</si>
  <si>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</si>
  <si>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</si>
  <si>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</si>
  <si>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</si>
  <si>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</si>
  <si>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</si>
  <si>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</si>
  <si>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</si>
  <si>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</si>
  <si>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</si>
  <si>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</si>
  <si>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</si>
  <si>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</si>
  <si>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</si>
  <si>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</si>
  <si>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</si>
  <si>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</si>
  <si>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</si>
  <si>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</si>
  <si>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</si>
  <si>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</si>
  <si>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</si>
  <si>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</si>
  <si>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</si>
  <si>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</si>
  <si>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</si>
  <si>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</si>
  <si>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</si>
  <si>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</si>
  <si>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</si>
  <si>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</si>
  <si>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</si>
  <si>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</si>
  <si>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</si>
  <si>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</si>
  <si>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</si>
  <si>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</si>
  <si>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</si>
  <si>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</si>
  <si>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</si>
  <si>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</si>
  <si>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</si>
  <si>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</si>
  <si>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</si>
  <si>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</si>
  <si>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</si>
  <si>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</si>
  <si>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</si>
  <si>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</si>
  <si>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</si>
  <si>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</si>
  <si>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</si>
  <si>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</si>
  <si>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</si>
  <si>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</si>
  <si>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</si>
  <si>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</si>
  <si>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</si>
  <si>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</si>
  <si>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</si>
  <si>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</si>
  <si>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</si>
  <si>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</si>
  <si>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</si>
  <si>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</si>
  <si>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</si>
  <si>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</si>
  <si>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</si>
  <si>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</si>
  <si>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</si>
  <si>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</si>
  <si>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</si>
  <si>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</si>
  <si>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</si>
  <si>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</si>
  <si>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</si>
  <si>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</si>
  <si>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</si>
  <si>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</si>
  <si>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</si>
  <si>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</si>
  <si>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</si>
  <si>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</si>
  <si>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</si>
  <si>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</si>
  <si>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</si>
  <si>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</si>
  <si>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</si>
  <si>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</si>
  <si>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</si>
  <si>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</si>
  <si>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</si>
  <si>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</si>
  <si>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</si>
  <si>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</si>
  <si>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</si>
  <si>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</si>
  <si>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</si>
  <si>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</si>
  <si>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</si>
  <si>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</si>
  <si>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</si>
  <si>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</si>
  <si>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</si>
  <si>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</si>
  <si>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</si>
  <si>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</si>
  <si>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</si>
  <si>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</si>
  <si>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</si>
  <si>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</si>
  <si>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</si>
  <si>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</si>
  <si>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</si>
  <si>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</si>
  <si>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</si>
  <si>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</si>
  <si>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</si>
  <si>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</si>
  <si>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</si>
  <si>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</si>
  <si>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</si>
  <si>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</si>
  <si>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</si>
  <si>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</si>
  <si>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</si>
  <si>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</si>
  <si>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</si>
  <si>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</si>
  <si>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</si>
  <si>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</si>
  <si>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</si>
  <si>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</si>
  <si>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</si>
  <si>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</si>
  <si>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</si>
  <si>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</si>
  <si>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</si>
  <si>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</si>
  <si>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</si>
  <si>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</si>
  <si>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</si>
  <si>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</si>
  <si>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</si>
  <si>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</si>
  <si>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</si>
  <si>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</si>
  <si>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</si>
  <si>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</si>
  <si>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</si>
  <si>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</si>
  <si>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</si>
  <si>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</si>
  <si>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</si>
  <si>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</si>
  <si>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</si>
  <si>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</si>
  <si>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</si>
  <si>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</si>
  <si>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</si>
  <si>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</si>
  <si>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</si>
  <si>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</si>
  <si>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</si>
  <si>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</si>
  <si>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</si>
  <si>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</si>
  <si>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</si>
  <si>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</si>
  <si>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</si>
  <si>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</si>
  <si>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</si>
  <si>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</si>
  <si>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</si>
  <si>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</si>
  <si>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</si>
  <si>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</si>
  <si>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</si>
  <si>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</si>
  <si>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</si>
  <si>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</si>
  <si>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</si>
  <si>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</si>
  <si>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</si>
  <si>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</si>
  <si>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</si>
  <si>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</si>
  <si>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</si>
  <si>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</si>
  <si>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</si>
  <si>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</si>
  <si>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</si>
  <si>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</si>
  <si>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</si>
  <si>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</si>
  <si>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</si>
  <si>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</si>
  <si>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</si>
  <si>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</si>
  <si>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</si>
  <si>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</si>
  <si>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</si>
  <si>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</si>
  <si>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</si>
  <si>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</si>
  <si>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</si>
  <si>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</si>
  <si>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</si>
  <si>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</si>
  <si>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</si>
  <si>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</si>
  <si>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</si>
  <si>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</si>
  <si>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</si>
  <si>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</si>
  <si>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</si>
  <si>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</si>
  <si>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</si>
  <si>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</si>
  <si>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</si>
  <si>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</si>
  <si>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</si>
  <si>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</si>
  <si>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</si>
  <si>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</si>
  <si>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</si>
  <si>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</si>
  <si>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</si>
  <si>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</si>
  <si>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</si>
  <si>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</si>
  <si>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</si>
  <si>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</si>
  <si>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</si>
  <si>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</si>
  <si>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</si>
  <si>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</si>
  <si>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</si>
  <si>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</si>
  <si>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</si>
  <si>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</si>
  <si>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</si>
  <si>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</si>
  <si>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</si>
  <si>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</si>
  <si>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</si>
  <si>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</si>
  <si>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</si>
  <si>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</si>
  <si>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</si>
  <si>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</si>
  <si>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</si>
  <si>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</si>
  <si>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</si>
  <si>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</si>
  <si>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</si>
  <si>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</si>
  <si>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</si>
  <si>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</si>
  <si>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</si>
  <si>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</si>
  <si>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</si>
  <si>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</si>
  <si>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</si>
  <si>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</si>
  <si>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</si>
  <si>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</si>
  <si>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</si>
  <si>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</si>
  <si>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</si>
  <si>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</si>
  <si>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</si>
  <si>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</si>
  <si>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</si>
  <si>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</si>
  <si>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</si>
  <si>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</si>
  <si>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</si>
  <si>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</si>
  <si>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</si>
  <si>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</si>
  <si>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</si>
  <si>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</si>
  <si>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</si>
  <si>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</si>
  <si>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</si>
  <si>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</si>
  <si>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</si>
  <si>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</si>
  <si>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</si>
  <si>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</si>
  <si>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</si>
  <si>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</si>
  <si>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</si>
  <si>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</si>
  <si>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</si>
  <si>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</si>
  <si>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</si>
  <si>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</si>
  <si>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</si>
  <si>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</si>
  <si>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</si>
  <si>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</si>
  <si>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</si>
  <si>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</si>
  <si>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</si>
  <si>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</si>
  <si>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</si>
  <si>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</si>
  <si>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</si>
  <si>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</si>
  <si>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</si>
  <si>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</si>
  <si>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</si>
  <si>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</si>
  <si>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</si>
  <si>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</si>
  <si>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</si>
  <si>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</si>
  <si>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</si>
  <si>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</si>
  <si>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</si>
  <si>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</si>
  <si>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</si>
  <si>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</si>
  <si>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</si>
  <si>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</si>
  <si>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</si>
  <si>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</si>
  <si>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</si>
  <si>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</si>
  <si>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</si>
  <si>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</si>
  <si>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</si>
  <si>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</si>
  <si>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</si>
  <si>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</si>
  <si>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</si>
  <si>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</si>
  <si>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</si>
  <si>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</si>
  <si>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</si>
  <si>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</si>
  <si>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</si>
  <si>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</si>
  <si>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</si>
  <si>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</si>
  <si>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</si>
  <si>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</si>
  <si>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</si>
  <si>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</si>
  <si>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</si>
  <si>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</si>
  <si>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</si>
  <si>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</si>
  <si>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</si>
  <si>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</si>
  <si>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</si>
  <si>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</si>
  <si>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</si>
  <si>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</si>
  <si>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</si>
  <si>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</si>
  <si>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</si>
  <si>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</si>
  <si>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</si>
  <si>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</si>
  <si>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</si>
  <si>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</si>
  <si>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</si>
  <si>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</si>
  <si>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</si>
  <si>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</si>
  <si>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</si>
  <si>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</si>
  <si>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</si>
  <si>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</si>
  <si>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</si>
  <si>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</si>
  <si>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</si>
  <si>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</si>
  <si>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</si>
  <si>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</si>
  <si>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</si>
  <si>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</si>
  <si>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</si>
  <si>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</si>
  <si>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</si>
  <si>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</si>
  <si>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</si>
  <si>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</si>
  <si>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</si>
  <si>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</si>
  <si>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</si>
  <si>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</si>
  <si>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</si>
  <si>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</si>
  <si>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</si>
  <si>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</si>
  <si>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</si>
  <si>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</si>
  <si>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</si>
  <si>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</si>
  <si>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</si>
  <si>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</si>
  <si>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</si>
  <si>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</si>
  <si>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</si>
  <si>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</si>
  <si>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</si>
  <si>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</si>
  <si>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</si>
  <si>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</si>
  <si>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</si>
  <si>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</si>
  <si>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</si>
  <si>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</si>
  <si>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</si>
  <si>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</si>
  <si>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</si>
  <si>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</si>
  <si>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</si>
  <si>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</si>
  <si>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</si>
  <si>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</si>
  <si>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</si>
  <si>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</si>
  <si>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</si>
  <si>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</si>
  <si>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</si>
  <si>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</si>
  <si>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</si>
  <si>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</si>
  <si>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</si>
  <si>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</si>
  <si>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</si>
  <si>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</si>
  <si>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</si>
  <si>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</si>
  <si>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</si>
  <si>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</si>
  <si>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</si>
  <si>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</si>
  <si>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</si>
  <si>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</si>
  <si>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</si>
  <si>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</si>
  <si>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</si>
  <si>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</si>
  <si>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</si>
  <si>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</si>
  <si>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</si>
  <si>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</si>
  <si>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</si>
  <si>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</si>
  <si>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</si>
  <si>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</si>
  <si>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</si>
  <si>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</si>
  <si>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</si>
  <si>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</si>
  <si>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</si>
  <si>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</si>
  <si>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</si>
  <si>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</si>
  <si>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</si>
  <si>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</si>
  <si>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</si>
  <si>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</si>
  <si>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</si>
  <si>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</si>
  <si>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</si>
  <si>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</si>
  <si>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</si>
  <si>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</si>
  <si>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YTD</t>
  </si>
  <si>
    <t>Combined P &amp; L Change from 2019 to 2020</t>
  </si>
  <si>
    <t>Minting - Bonuses</t>
  </si>
  <si>
    <t xml:space="preserve">      Gifts for Customers</t>
  </si>
  <si>
    <t>Minting - Shipping</t>
  </si>
  <si>
    <t xml:space="preserve">      Utilities</t>
  </si>
  <si>
    <t>Suspense Account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</si>
  <si>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</si>
  <si>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</si>
  <si>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</si>
  <si>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</si>
  <si>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</si>
  <si>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</si>
  <si>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</si>
  <si>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</si>
  <si>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</si>
  <si>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</si>
  <si>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</si>
  <si>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</si>
  <si>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</si>
  <si>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</si>
  <si>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</si>
  <si>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</si>
  <si>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</si>
  <si>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</si>
  <si>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</si>
  <si>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</si>
  <si>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</si>
  <si>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</si>
  <si>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</si>
  <si>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</si>
  <si>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</si>
  <si>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</si>
  <si>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</si>
  <si>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</si>
  <si>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</si>
  <si>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</si>
  <si>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</si>
  <si>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</si>
  <si>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</si>
  <si>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</si>
  <si>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</si>
  <si>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</si>
  <si>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</si>
  <si>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</si>
  <si>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</si>
  <si>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</si>
  <si>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</si>
  <si>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</si>
  <si>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</si>
  <si>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</si>
  <si>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</si>
  <si>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</si>
  <si>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</si>
  <si>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</si>
  <si>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</si>
  <si>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</si>
  <si>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</si>
  <si>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</si>
  <si>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</si>
  <si>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</si>
  <si>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</si>
  <si>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</si>
  <si>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</si>
  <si>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</si>
  <si>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</si>
  <si>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 xml:space="preserve">      Misc. Revenue</t>
  </si>
  <si>
    <t>10/31/2020 to 10/31/2019</t>
  </si>
  <si>
    <t xml:space="preserve">      NYMEX Storage Fees</t>
  </si>
  <si>
    <t>2021 and 2020</t>
  </si>
  <si>
    <t>2021 YTD</t>
  </si>
  <si>
    <t>Minting - Payroll Taxes</t>
  </si>
  <si>
    <t>January 2021 Premium Adj</t>
  </si>
  <si>
    <t>Minting Contingencies (.04 per 1oz round)</t>
  </si>
  <si>
    <t>Year to Date 2021</t>
  </si>
  <si>
    <t>Comparison of Year-End Profit and Loss Statements to Hedge Reports 2021</t>
  </si>
  <si>
    <t xml:space="preserve">      Storage Fees - Monthly</t>
  </si>
  <si>
    <t xml:space="preserve">      Professional Fees</t>
  </si>
  <si>
    <t xml:space="preserve">      Taxes</t>
  </si>
  <si>
    <t>WITHDRAWAL FEES</t>
  </si>
  <si>
    <t>INV ADJUST-PLATINUM SALES</t>
  </si>
  <si>
    <t xml:space="preserve">  Withdrawal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</si>
</sst>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3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0" fontId="12" fillId="0" borderId="16" xfId="0" applyFont="1" applyFill="1" applyBorder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2359097648.7000008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208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621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300">
        <v>44012</v>
      </c>
      <c r="D11" s="300"/>
      <c r="E11" s="300"/>
      <c r="F11" s="301"/>
      <c r="G11" s="301"/>
      <c r="H11" s="301"/>
      <c r="I11" s="301"/>
      <c r="J11" s="301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2" t="s">
        <v>622</v>
      </c>
      <c r="D14" s="302"/>
      <c r="E14" s="302"/>
      <c r="F14" s="302"/>
      <c r="G14" s="302"/>
      <c r="H14" s="302"/>
      <c r="I14" s="302"/>
      <c r="J14" s="302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630</v>
      </c>
      <c r="E16" s="226"/>
      <c r="F16" s="226" t="s">
        <v>630</v>
      </c>
      <c r="G16" s="226"/>
      <c r="H16" s="266" t="s">
        <v>630</v>
      </c>
      <c r="I16" s="227" t="s">
        <v>623</v>
      </c>
      <c r="J16" s="224" t="s">
        <v>639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638</v>
      </c>
      <c r="J17" s="232" t="s">
        <v>624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625</v>
      </c>
      <c r="D20" s="259">
        <f>'Comp YTD 2021-2020 '!I32</f>
        <v>28100431.100000285</v>
      </c>
      <c r="E20" s="240"/>
      <c r="F20" s="259">
        <f>'Comp YTD 2021-2020 '!I217</f>
        <v>24848905.959998418</v>
      </c>
      <c r="G20" s="241"/>
      <c r="H20" s="269">
        <f>'[3]Comparative YTD 2018-2017 June'!$I$35</f>
        <v>5534276.2299987553</v>
      </c>
      <c r="I20" s="259">
        <f t="shared" ref="I20:I25" si="0">D20-F20</f>
        <v>3251525.140001867</v>
      </c>
      <c r="J20" s="264">
        <f t="shared" ref="J20:J25" si="1">I20/F20</f>
        <v>0.13085184294375565</v>
      </c>
      <c r="K20" s="242"/>
      <c r="M20" s="243"/>
    </row>
    <row r="21" spans="1:21" s="210" customFormat="1" ht="11.25" x14ac:dyDescent="0.15">
      <c r="B21" s="219"/>
      <c r="C21" s="240" t="s">
        <v>626</v>
      </c>
      <c r="D21" s="259">
        <f>-'Comp YTD 2021-2020 '!I47</f>
        <v>-4955187.8600000003</v>
      </c>
      <c r="E21" s="240"/>
      <c r="F21" s="259">
        <f>-'Comp YTD 2021-2020 '!I232</f>
        <v>-5214690.6700000009</v>
      </c>
      <c r="G21" s="241"/>
      <c r="H21" s="269">
        <f>-'[3]Comparative YTD 2018-2017 June'!$I$49</f>
        <v>-2606154.83</v>
      </c>
      <c r="I21" s="259">
        <f t="shared" si="0"/>
        <v>259502.81000000052</v>
      </c>
      <c r="J21" s="264">
        <f t="shared" si="1"/>
        <v>-4.9763797398935744E-2</v>
      </c>
      <c r="K21" s="242"/>
    </row>
    <row r="22" spans="1:21" s="210" customFormat="1" ht="11.25" x14ac:dyDescent="0.15">
      <c r="B22" s="219"/>
      <c r="C22" s="240" t="s">
        <v>475</v>
      </c>
      <c r="D22" s="259">
        <f>-'Comp YTD 2021-2020 '!I72</f>
        <v>-1489672.15</v>
      </c>
      <c r="E22" s="240"/>
      <c r="F22" s="259">
        <f>-'Comp YTD 2021-2020 '!I262</f>
        <v>-1462914.4</v>
      </c>
      <c r="G22" s="241"/>
      <c r="H22" s="269">
        <f>-'[3]Comparative YTD 2018-2017 June'!$I$74</f>
        <v>-2161539.1800000002</v>
      </c>
      <c r="I22" s="259">
        <f t="shared" si="0"/>
        <v>-26757.75</v>
      </c>
      <c r="J22" s="264">
        <f t="shared" si="1"/>
        <v>1.8290714754055332E-2</v>
      </c>
      <c r="K22" s="242"/>
    </row>
    <row r="23" spans="1:21" s="210" customFormat="1" ht="12" customHeight="1" x14ac:dyDescent="0.15">
      <c r="B23" s="219"/>
      <c r="C23" s="240" t="s">
        <v>627</v>
      </c>
      <c r="D23" s="259">
        <f>-'Comp YTD 2021-2020 '!I103</f>
        <v>-218700.41000000003</v>
      </c>
      <c r="E23" s="240"/>
      <c r="F23" s="259">
        <f>-'Comp YTD 2021-2020 '!I287</f>
        <v>-311735.64</v>
      </c>
      <c r="G23" s="241"/>
      <c r="H23" s="269">
        <f>-'[3]Comparative YTD 2018-2017 June'!$I$96</f>
        <v>-567633.36</v>
      </c>
      <c r="I23" s="259">
        <f t="shared" si="0"/>
        <v>93035.229999999981</v>
      </c>
      <c r="J23" s="264">
        <f t="shared" si="1"/>
        <v>-0.29844271254964616</v>
      </c>
      <c r="K23" s="239"/>
    </row>
    <row r="24" spans="1:21" s="210" customFormat="1" ht="11.25" x14ac:dyDescent="0.15">
      <c r="B24" s="219"/>
      <c r="C24" s="240" t="s">
        <v>628</v>
      </c>
      <c r="D24" s="261">
        <f>'Comp YTD 2021-2020 '!I125</f>
        <v>481841.6700000001</v>
      </c>
      <c r="E24" s="240"/>
      <c r="F24" s="261">
        <f>'Comp YTD 2021-2020 '!I314</f>
        <v>592521.84000000008</v>
      </c>
      <c r="G24" s="241"/>
      <c r="H24" s="270">
        <f>'[3]Comparative YTD 2018-2017 June'!$I$113</f>
        <v>447757.85</v>
      </c>
      <c r="I24" s="261">
        <f t="shared" si="0"/>
        <v>-110680.16999999998</v>
      </c>
      <c r="J24" s="265">
        <f t="shared" si="1"/>
        <v>-0.18679508927468388</v>
      </c>
      <c r="K24" s="242"/>
    </row>
    <row r="25" spans="1:21" s="210" customFormat="1" ht="11.25" x14ac:dyDescent="0.15">
      <c r="B25" s="219"/>
      <c r="C25" s="240" t="s">
        <v>629</v>
      </c>
      <c r="D25" s="262">
        <f>SUM(D20:D24)</f>
        <v>21918712.350000288</v>
      </c>
      <c r="E25" s="262"/>
      <c r="F25" s="262">
        <f>SUM(F20:F24)</f>
        <v>18452087.089998417</v>
      </c>
      <c r="G25" s="263"/>
      <c r="H25" s="271">
        <f>SUM(H20:H24)</f>
        <v>646706.70999875502</v>
      </c>
      <c r="I25" s="262">
        <f t="shared" si="0"/>
        <v>3466625.2600018717</v>
      </c>
      <c r="J25" s="264">
        <f t="shared" si="1"/>
        <v>0.18787171570856537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659</v>
      </c>
      <c r="N27" s="210" t="s">
        <v>660</v>
      </c>
      <c r="O27" s="210" t="s">
        <v>661</v>
      </c>
      <c r="P27" s="210" t="s">
        <v>663</v>
      </c>
      <c r="Q27" s="210" t="s">
        <v>662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3" t="s">
        <v>643</v>
      </c>
      <c r="D29" s="303"/>
      <c r="E29" s="303"/>
      <c r="F29" s="303"/>
      <c r="G29" s="303"/>
      <c r="H29" s="303"/>
      <c r="I29" s="303"/>
      <c r="J29" s="303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649</v>
      </c>
      <c r="D31" s="293" t="s">
        <v>644</v>
      </c>
      <c r="E31" s="293"/>
      <c r="F31" s="293" t="s">
        <v>645</v>
      </c>
      <c r="G31" s="293"/>
      <c r="H31" s="294" t="s">
        <v>646</v>
      </c>
      <c r="I31" s="295" t="s">
        <v>647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640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641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642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2021-2020 '!I19</f>
        <v>2359097648.7000008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-480504638.34999895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3" t="s">
        <v>648</v>
      </c>
      <c r="D36" s="303"/>
      <c r="E36" s="303"/>
      <c r="F36" s="303"/>
      <c r="G36" s="303"/>
      <c r="H36" s="303"/>
      <c r="I36" s="303"/>
      <c r="J36" s="303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3" t="s">
        <v>655</v>
      </c>
      <c r="D38" s="303"/>
      <c r="E38" s="286"/>
      <c r="F38" s="303" t="s">
        <v>648</v>
      </c>
      <c r="G38" s="303"/>
      <c r="H38" s="303"/>
      <c r="I38" s="286"/>
      <c r="J38" s="286"/>
      <c r="K38" s="220"/>
    </row>
    <row r="39" spans="2:17" s="210" customFormat="1" ht="11.25" x14ac:dyDescent="0.15">
      <c r="B39" s="219"/>
      <c r="C39" s="276" t="s">
        <v>651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653</v>
      </c>
      <c r="H39" s="281">
        <f>'[13]Consolidated Balance Sheet'!$E$38+'Comp YTD 2021-2020 '!I19</f>
        <v>2359097648.7000008</v>
      </c>
      <c r="I39" s="288"/>
      <c r="J39" s="288" t="s">
        <v>656</v>
      </c>
      <c r="K39" s="256"/>
    </row>
    <row r="40" spans="2:17" s="210" customFormat="1" ht="11.25" x14ac:dyDescent="0.15">
      <c r="B40" s="219"/>
      <c r="C40" s="276" t="s">
        <v>650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654</v>
      </c>
      <c r="H40" s="281">
        <f>D41</f>
        <v>151204759.16000003</v>
      </c>
      <c r="I40" s="288"/>
      <c r="J40" s="288" t="s">
        <v>657</v>
      </c>
      <c r="K40" s="220"/>
    </row>
    <row r="41" spans="2:17" s="210" customFormat="1" ht="11.25" x14ac:dyDescent="0.15">
      <c r="B41" s="219"/>
      <c r="C41" s="276" t="s">
        <v>652</v>
      </c>
      <c r="D41" s="278">
        <f>(D39+D40)/2</f>
        <v>151204759.16000003</v>
      </c>
      <c r="E41" s="276"/>
      <c r="F41" s="282"/>
      <c r="G41" s="283" t="s">
        <v>648</v>
      </c>
      <c r="H41" s="284">
        <f>H39/H40</f>
        <v>15.602006588983613</v>
      </c>
      <c r="I41" s="289"/>
      <c r="J41" s="290" t="s">
        <v>658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631</v>
      </c>
      <c r="H45" s="210" t="s">
        <v>632</v>
      </c>
    </row>
    <row r="46" spans="2:17" s="210" customFormat="1" ht="11.25" hidden="1" x14ac:dyDescent="0.15">
      <c r="C46" s="229" t="s">
        <v>633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t="11.25" hidden="1" x14ac:dyDescent="0.15">
      <c r="C47" s="229" t="s">
        <v>634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t="11.25" hidden="1" x14ac:dyDescent="0.15">
      <c r="C48" s="229" t="s">
        <v>635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t="11.25" hidden="1" x14ac:dyDescent="0.15">
      <c r="C49" s="229" t="s">
        <v>636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t="11.25" hidden="1" x14ac:dyDescent="0.15">
      <c r="C50" s="229" t="s">
        <v>370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411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430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637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454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472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474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522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8"/>
  <sheetViews>
    <sheetView view="pageBreakPreview" zoomScale="60" zoomScaleNormal="100" workbookViewId="0">
      <pane ySplit="6" topLeftCell="A7" activePane="bottomLeft" state="frozen"/>
      <selection activeCell="B67" sqref="B67"/>
      <selection pane="bottomLeft" activeCell="B67" sqref="B67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2" t="s">
        <v>340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x14ac:dyDescent="0.25">
      <c r="A7" s="128" t="s">
        <v>58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477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hidden="1" x14ac:dyDescent="0.25">
      <c r="A9" s="127" t="s">
        <v>341</v>
      </c>
      <c r="N9" s="161">
        <f t="shared" si="0"/>
        <v>0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3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364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hidden="1" x14ac:dyDescent="0.25">
      <c r="A11" s="127" t="s">
        <v>343</v>
      </c>
      <c r="N11" s="161">
        <f t="shared" si="0"/>
        <v>0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342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hidden="1" x14ac:dyDescent="0.25">
      <c r="A13" s="127" t="s">
        <v>344</v>
      </c>
      <c r="N13" s="161">
        <f t="shared" si="0"/>
        <v>0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613</v>
      </c>
      <c r="B14" s="161">
        <v>0</v>
      </c>
      <c r="C14" s="161">
        <v>-1159</v>
      </c>
      <c r="D14" s="161">
        <v>0</v>
      </c>
      <c r="N14" s="161">
        <f t="shared" si="0"/>
        <v>-1159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219</v>
      </c>
      <c r="B15" s="191">
        <f t="shared" ref="B15:G15" si="5">SUM(B8:B14)</f>
        <v>0</v>
      </c>
      <c r="C15" s="191">
        <f t="shared" si="5"/>
        <v>-1159</v>
      </c>
      <c r="D15" s="191">
        <f t="shared" si="5"/>
        <v>0</v>
      </c>
      <c r="E15" s="191">
        <f t="shared" si="5"/>
        <v>0</v>
      </c>
      <c r="F15" s="191">
        <f t="shared" si="5"/>
        <v>0</v>
      </c>
      <c r="G15" s="191">
        <f t="shared" si="5"/>
        <v>0</v>
      </c>
      <c r="H15" s="191">
        <f t="shared" ref="H15:M15" si="6">SUM(H8:H13)</f>
        <v>0</v>
      </c>
      <c r="I15" s="191">
        <f t="shared" si="6"/>
        <v>0</v>
      </c>
      <c r="J15" s="191">
        <f t="shared" si="6"/>
        <v>0</v>
      </c>
      <c r="K15" s="191">
        <f>SUM(K8:M14)</f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-1159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345</v>
      </c>
      <c r="B18" s="161">
        <v>0</v>
      </c>
      <c r="C18" s="161">
        <v>0</v>
      </c>
      <c r="N18" s="161">
        <f>SUM(B18:M18)</f>
        <v>0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278</v>
      </c>
      <c r="B19" s="191">
        <f t="shared" ref="B19:M19" si="10">SUM(B18:B18)</f>
        <v>0</v>
      </c>
      <c r="C19" s="191">
        <f t="shared" si="10"/>
        <v>0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0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0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207</v>
      </c>
      <c r="B21" s="192">
        <f t="shared" ref="B21:M21" si="14">B15-B19</f>
        <v>0</v>
      </c>
      <c r="C21" s="192">
        <f t="shared" si="14"/>
        <v>-1159</v>
      </c>
      <c r="D21" s="192">
        <f t="shared" si="14"/>
        <v>0</v>
      </c>
      <c r="E21" s="192">
        <f t="shared" si="14"/>
        <v>0</v>
      </c>
      <c r="F21" s="192">
        <f>F15-F19</f>
        <v>0</v>
      </c>
      <c r="G21" s="192">
        <f t="shared" ref="G21:L21" si="15">G15-G19</f>
        <v>0</v>
      </c>
      <c r="H21" s="192">
        <f t="shared" si="15"/>
        <v>0</v>
      </c>
      <c r="I21" s="192">
        <f t="shared" si="15"/>
        <v>0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-1159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205</v>
      </c>
      <c r="S23" s="190"/>
    </row>
    <row r="24" spans="1:32" s="161" customFormat="1" x14ac:dyDescent="0.25">
      <c r="A24" s="128" t="s">
        <v>221</v>
      </c>
      <c r="S24" s="190"/>
      <c r="AF24" s="161">
        <f>SUM(T24:W24)</f>
        <v>0</v>
      </c>
    </row>
    <row r="25" spans="1:32" s="161" customFormat="1" x14ac:dyDescent="0.25">
      <c r="A25" s="127" t="s">
        <v>279</v>
      </c>
      <c r="B25" s="161">
        <v>3533.43</v>
      </c>
      <c r="C25" s="161">
        <v>2028</v>
      </c>
      <c r="D25" s="161">
        <v>3943.86</v>
      </c>
      <c r="E25" s="161">
        <v>4821.45</v>
      </c>
      <c r="N25" s="161">
        <f t="shared" ref="N25:N33" si="18">SUM(B25:M25)</f>
        <v>14326.740000000002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hidden="1" x14ac:dyDescent="0.25">
      <c r="A26" s="127" t="s">
        <v>531</v>
      </c>
      <c r="N26" s="161">
        <f t="shared" si="18"/>
        <v>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280</v>
      </c>
      <c r="B27" s="161">
        <v>581.15</v>
      </c>
      <c r="C27" s="161">
        <v>163.34</v>
      </c>
      <c r="D27" s="161">
        <v>570.09</v>
      </c>
      <c r="E27" s="161">
        <v>386.19</v>
      </c>
      <c r="N27" s="161">
        <f t="shared" si="18"/>
        <v>1700.77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281</v>
      </c>
      <c r="B28" s="161">
        <v>-373.4</v>
      </c>
      <c r="C28" s="161">
        <v>-168</v>
      </c>
      <c r="D28" s="161">
        <v>-168</v>
      </c>
      <c r="E28" s="161">
        <v>-1234.8</v>
      </c>
      <c r="N28" s="161">
        <f t="shared" si="18"/>
        <v>-1944.1999999999998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hidden="1" x14ac:dyDescent="0.25">
      <c r="A29" s="127" t="s">
        <v>282</v>
      </c>
      <c r="N29" s="161">
        <f t="shared" si="18"/>
        <v>0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hidden="1" x14ac:dyDescent="0.25">
      <c r="A30" s="127" t="s">
        <v>347</v>
      </c>
      <c r="N30" s="161">
        <f t="shared" si="18"/>
        <v>0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326</v>
      </c>
      <c r="B31" s="161">
        <v>96.75</v>
      </c>
      <c r="C31" s="161">
        <v>96.75</v>
      </c>
      <c r="D31" s="161">
        <v>96.75</v>
      </c>
      <c r="E31" s="161">
        <v>96.75</v>
      </c>
      <c r="N31" s="161">
        <f t="shared" si="18"/>
        <v>387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283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hidden="1" x14ac:dyDescent="0.25">
      <c r="A33" s="127" t="s">
        <v>346</v>
      </c>
      <c r="N33" s="161">
        <f t="shared" si="18"/>
        <v>0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229</v>
      </c>
      <c r="B34" s="191">
        <f>SUM(B25:B33)</f>
        <v>3837.93</v>
      </c>
      <c r="C34" s="191">
        <f t="shared" ref="C34:E34" si="22">SUM(C25:C33)</f>
        <v>2120.09</v>
      </c>
      <c r="D34" s="191">
        <f t="shared" si="22"/>
        <v>4442.7</v>
      </c>
      <c r="E34" s="191">
        <f t="shared" si="22"/>
        <v>4069.5899999999992</v>
      </c>
      <c r="F34" s="191">
        <f t="shared" ref="F34:M34" si="23">SUM(F25:F33)</f>
        <v>0</v>
      </c>
      <c r="G34" s="191">
        <f t="shared" si="23"/>
        <v>0</v>
      </c>
      <c r="H34" s="191">
        <f t="shared" si="23"/>
        <v>0</v>
      </c>
      <c r="I34" s="191">
        <f t="shared" si="23"/>
        <v>0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14470.310000000001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57</v>
      </c>
      <c r="S35" s="190"/>
    </row>
    <row r="36" spans="1:32" s="161" customFormat="1" x14ac:dyDescent="0.25">
      <c r="A36" s="128" t="s">
        <v>284</v>
      </c>
      <c r="S36" s="190"/>
    </row>
    <row r="37" spans="1:32" s="161" customFormat="1" x14ac:dyDescent="0.25">
      <c r="A37" s="127" t="s">
        <v>230</v>
      </c>
      <c r="B37" s="161">
        <v>1000</v>
      </c>
      <c r="C37" s="161">
        <v>1000</v>
      </c>
      <c r="D37" s="161">
        <v>1000</v>
      </c>
      <c r="E37" s="161">
        <v>1000</v>
      </c>
      <c r="N37" s="161">
        <f t="shared" ref="N37:N57" si="26">SUM(B37:M37)</f>
        <v>4000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232</v>
      </c>
      <c r="B38" s="161">
        <v>5686.73</v>
      </c>
      <c r="C38" s="161">
        <v>5748.88</v>
      </c>
      <c r="D38" s="161">
        <v>8717.7199999999993</v>
      </c>
      <c r="E38" s="161">
        <v>1768.78</v>
      </c>
      <c r="N38" s="161">
        <f t="shared" si="26"/>
        <v>21922.11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231</v>
      </c>
      <c r="B39" s="161">
        <v>883.5</v>
      </c>
      <c r="C39" s="161">
        <v>864.5</v>
      </c>
      <c r="D39" s="161">
        <v>800</v>
      </c>
      <c r="E39" s="161">
        <v>739.5</v>
      </c>
      <c r="N39" s="161">
        <f t="shared" si="26"/>
        <v>3287.5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331</v>
      </c>
      <c r="B40" s="161">
        <v>81.44</v>
      </c>
      <c r="C40" s="161">
        <v>0</v>
      </c>
      <c r="E40" s="161">
        <v>70.959999999999994</v>
      </c>
      <c r="N40" s="161">
        <f t="shared" si="26"/>
        <v>152.39999999999998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hidden="1" x14ac:dyDescent="0.25">
      <c r="A41" s="127" t="s">
        <v>286</v>
      </c>
      <c r="N41" s="161">
        <f t="shared" si="26"/>
        <v>0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435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349</v>
      </c>
      <c r="B43" s="161">
        <v>0</v>
      </c>
      <c r="C43" s="161">
        <v>500</v>
      </c>
      <c r="N43" s="161">
        <f t="shared" si="26"/>
        <v>500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hidden="1" x14ac:dyDescent="0.25">
      <c r="A44" s="127" t="s">
        <v>350</v>
      </c>
      <c r="N44" s="161">
        <f t="shared" si="26"/>
        <v>0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351</v>
      </c>
      <c r="D45" s="161">
        <v>607.46</v>
      </c>
      <c r="N45" s="161">
        <f t="shared" si="26"/>
        <v>607.46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235</v>
      </c>
      <c r="B46" s="161">
        <v>225.25</v>
      </c>
      <c r="C46" s="161">
        <v>0</v>
      </c>
      <c r="D46" s="161">
        <v>0</v>
      </c>
      <c r="E46" s="161">
        <v>225.25</v>
      </c>
      <c r="N46" s="161">
        <f t="shared" si="26"/>
        <v>450.5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236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234</v>
      </c>
      <c r="B48" s="161">
        <v>1676.94</v>
      </c>
      <c r="C48" s="161">
        <v>1198.92</v>
      </c>
      <c r="D48" s="161">
        <v>1198.9100000000001</v>
      </c>
      <c r="E48" s="161">
        <v>1198.92</v>
      </c>
      <c r="N48" s="161">
        <f t="shared" si="26"/>
        <v>5273.6900000000005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348</v>
      </c>
      <c r="B49" s="161">
        <v>0</v>
      </c>
      <c r="C49" s="161">
        <v>110</v>
      </c>
      <c r="N49" s="161">
        <f t="shared" si="26"/>
        <v>110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hidden="1" x14ac:dyDescent="0.25">
      <c r="A50" s="127" t="s">
        <v>363</v>
      </c>
      <c r="N50" s="161">
        <f t="shared" si="26"/>
        <v>0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237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244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238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288</v>
      </c>
      <c r="B54" s="161">
        <v>9092.25</v>
      </c>
      <c r="C54" s="161">
        <v>9010.8799999999992</v>
      </c>
      <c r="D54" s="161">
        <v>9061.7900000000009</v>
      </c>
      <c r="E54" s="161">
        <v>9061.7900000000009</v>
      </c>
      <c r="N54" s="161">
        <f t="shared" si="26"/>
        <v>36226.71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291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360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361</v>
      </c>
      <c r="B57" s="161">
        <v>673.61</v>
      </c>
      <c r="C57" s="161">
        <v>373.61</v>
      </c>
      <c r="D57" s="161">
        <v>373.61</v>
      </c>
      <c r="E57" s="161">
        <v>673.61</v>
      </c>
      <c r="N57" s="161">
        <f t="shared" si="26"/>
        <v>2094.44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328</v>
      </c>
      <c r="B58" s="191">
        <f t="shared" ref="B58:N58" si="30">SUM(B37:B57)</f>
        <v>19319.72</v>
      </c>
      <c r="C58" s="191">
        <f t="shared" si="30"/>
        <v>18806.79</v>
      </c>
      <c r="D58" s="191">
        <f t="shared" si="30"/>
        <v>21759.49</v>
      </c>
      <c r="E58" s="191">
        <f t="shared" si="30"/>
        <v>14738.810000000001</v>
      </c>
      <c r="F58" s="191">
        <f t="shared" si="30"/>
        <v>0</v>
      </c>
      <c r="G58" s="191">
        <f t="shared" si="30"/>
        <v>0</v>
      </c>
      <c r="H58" s="191">
        <f t="shared" si="30"/>
        <v>0</v>
      </c>
      <c r="I58" s="191">
        <f t="shared" si="30"/>
        <v>0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74624.81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289</v>
      </c>
      <c r="S60" s="190"/>
    </row>
    <row r="61" spans="1:32" s="161" customFormat="1" x14ac:dyDescent="0.25">
      <c r="A61" s="127" t="s">
        <v>247</v>
      </c>
      <c r="B61" s="161">
        <v>0</v>
      </c>
      <c r="C61" s="161">
        <v>313.75</v>
      </c>
      <c r="D61" s="161">
        <v>15</v>
      </c>
      <c r="N61" s="161">
        <f t="shared" ref="N61:N72" si="32">SUM(B61:M61)</f>
        <v>328.75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customHeight="1" x14ac:dyDescent="0.25">
      <c r="A62" s="127" t="s">
        <v>248</v>
      </c>
      <c r="B62" s="161">
        <v>25</v>
      </c>
      <c r="C62" s="161">
        <v>-135.65</v>
      </c>
      <c r="N62" s="161">
        <f t="shared" si="32"/>
        <v>-110.65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355</v>
      </c>
      <c r="B63" s="161">
        <v>196.93</v>
      </c>
      <c r="C63" s="161">
        <v>0</v>
      </c>
      <c r="D63" s="161">
        <v>202.35</v>
      </c>
      <c r="E63" s="161">
        <v>132.35</v>
      </c>
      <c r="N63" s="161">
        <f t="shared" si="32"/>
        <v>531.63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290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302</v>
      </c>
      <c r="B65" s="161">
        <v>132.81</v>
      </c>
      <c r="C65" s="161">
        <v>132.81</v>
      </c>
      <c r="D65" s="161">
        <v>132.81</v>
      </c>
      <c r="E65" s="161">
        <v>132.81</v>
      </c>
      <c r="N65" s="161">
        <f t="shared" si="32"/>
        <v>531.24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hidden="1" x14ac:dyDescent="0.25">
      <c r="A66" s="127" t="s">
        <v>362</v>
      </c>
      <c r="N66" s="161">
        <f t="shared" si="32"/>
        <v>0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249</v>
      </c>
      <c r="B67" s="161">
        <v>189.84</v>
      </c>
      <c r="C67" s="161">
        <v>0</v>
      </c>
      <c r="N67" s="161">
        <f t="shared" si="32"/>
        <v>189.84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352</v>
      </c>
      <c r="B68" s="161">
        <v>250</v>
      </c>
      <c r="C68" s="161">
        <v>250</v>
      </c>
      <c r="D68" s="161">
        <v>250</v>
      </c>
      <c r="E68" s="161">
        <v>272.92</v>
      </c>
      <c r="N68" s="161">
        <f t="shared" si="32"/>
        <v>1022.9200000000001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hidden="1" x14ac:dyDescent="0.25">
      <c r="A69" s="127" t="s">
        <v>353</v>
      </c>
      <c r="N69" s="161">
        <f t="shared" si="32"/>
        <v>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354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252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7" t="s">
        <v>681</v>
      </c>
      <c r="D72" s="161">
        <v>456</v>
      </c>
      <c r="N72" s="161">
        <f t="shared" si="32"/>
        <v>456</v>
      </c>
      <c r="S72" s="190"/>
    </row>
    <row r="73" spans="1:32" s="161" customFormat="1" x14ac:dyDescent="0.25">
      <c r="A73" s="128" t="s">
        <v>292</v>
      </c>
      <c r="B73" s="191">
        <f>SUM(B61:B72)</f>
        <v>794.58</v>
      </c>
      <c r="C73" s="191">
        <f>SUM(C61:C72)</f>
        <v>560.91</v>
      </c>
      <c r="D73" s="191">
        <f>SUM(D61:D72)</f>
        <v>1056.1599999999999</v>
      </c>
      <c r="E73" s="191">
        <f t="shared" ref="E73" si="36">SUM(E61:E71)</f>
        <v>538.07999999999993</v>
      </c>
      <c r="F73" s="191">
        <f t="shared" ref="F73:M73" si="37">SUM(F61:F71)</f>
        <v>0</v>
      </c>
      <c r="G73" s="191">
        <f t="shared" si="37"/>
        <v>0</v>
      </c>
      <c r="H73" s="191">
        <f t="shared" si="37"/>
        <v>0</v>
      </c>
      <c r="I73" s="191">
        <f t="shared" si="37"/>
        <v>0</v>
      </c>
      <c r="J73" s="191">
        <f t="shared" si="37"/>
        <v>0</v>
      </c>
      <c r="K73" s="191">
        <f t="shared" ref="K73:L73" si="38">SUM(K61:K71)</f>
        <v>0</v>
      </c>
      <c r="L73" s="191">
        <f t="shared" si="38"/>
        <v>0</v>
      </c>
      <c r="M73" s="191">
        <f t="shared" si="37"/>
        <v>0</v>
      </c>
      <c r="N73" s="191">
        <f>SUM(N61:N72)</f>
        <v>2949.73</v>
      </c>
      <c r="P73" s="191">
        <f>SUM(P61:P71)</f>
        <v>39314.2575</v>
      </c>
      <c r="Q73" s="191">
        <f>SUM(Q61:Q71)</f>
        <v>52419.009999999995</v>
      </c>
      <c r="R73" s="191">
        <v>55394.009999999995</v>
      </c>
      <c r="S73" s="190">
        <f t="shared" si="3"/>
        <v>0</v>
      </c>
      <c r="T73" s="191">
        <f>SUM(P73:Q73)</f>
        <v>91733.267499999987</v>
      </c>
      <c r="U73" s="191">
        <f t="shared" ref="U73:AE73" si="39">SUM(U61:U71)</f>
        <v>11588.320000000002</v>
      </c>
      <c r="V73" s="191">
        <f t="shared" si="39"/>
        <v>3552.63</v>
      </c>
      <c r="W73" s="191">
        <f t="shared" si="39"/>
        <v>7049.9199999999992</v>
      </c>
      <c r="X73" s="191">
        <f t="shared" si="39"/>
        <v>3620.46</v>
      </c>
      <c r="Y73" s="191">
        <f t="shared" si="39"/>
        <v>3606.5</v>
      </c>
      <c r="Z73" s="191">
        <f t="shared" si="39"/>
        <v>2794.74</v>
      </c>
      <c r="AA73" s="191">
        <f t="shared" si="39"/>
        <v>2949.4700000000003</v>
      </c>
      <c r="AB73" s="191">
        <f t="shared" si="39"/>
        <v>2705.38</v>
      </c>
      <c r="AC73" s="191">
        <f t="shared" si="39"/>
        <v>2814.5</v>
      </c>
      <c r="AD73" s="191">
        <f t="shared" si="39"/>
        <v>2884.02</v>
      </c>
      <c r="AE73" s="191">
        <f t="shared" si="39"/>
        <v>7226.91</v>
      </c>
      <c r="AF73" s="191">
        <f>SUM(AF61:AF71)</f>
        <v>55394.009999999995</v>
      </c>
    </row>
    <row r="74" spans="1:32" s="161" customFormat="1" x14ac:dyDescent="0.25">
      <c r="A74" s="127" t="s">
        <v>241</v>
      </c>
      <c r="S74" s="190"/>
    </row>
    <row r="75" spans="1:32" s="161" customFormat="1" ht="15.75" thickBot="1" x14ac:dyDescent="0.3">
      <c r="A75" s="128" t="s">
        <v>206</v>
      </c>
      <c r="B75" s="192">
        <f t="shared" ref="B75:N75" si="40">B34+B58+B73</f>
        <v>23952.230000000003</v>
      </c>
      <c r="C75" s="192">
        <f t="shared" si="40"/>
        <v>21487.79</v>
      </c>
      <c r="D75" s="192">
        <f t="shared" si="40"/>
        <v>27258.350000000002</v>
      </c>
      <c r="E75" s="192">
        <f t="shared" si="40"/>
        <v>19346.480000000003</v>
      </c>
      <c r="F75" s="192">
        <f t="shared" si="40"/>
        <v>0</v>
      </c>
      <c r="G75" s="192">
        <f t="shared" si="40"/>
        <v>0</v>
      </c>
      <c r="H75" s="192">
        <f t="shared" si="40"/>
        <v>0</v>
      </c>
      <c r="I75" s="192">
        <f t="shared" si="40"/>
        <v>0</v>
      </c>
      <c r="J75" s="192">
        <f t="shared" si="40"/>
        <v>0</v>
      </c>
      <c r="K75" s="192">
        <f t="shared" si="40"/>
        <v>0</v>
      </c>
      <c r="L75" s="192">
        <f t="shared" si="40"/>
        <v>0</v>
      </c>
      <c r="M75" s="192">
        <f t="shared" si="40"/>
        <v>0</v>
      </c>
      <c r="N75" s="192">
        <f t="shared" si="40"/>
        <v>92044.849999999991</v>
      </c>
      <c r="P75" s="192">
        <f>P73+P58+P34</f>
        <v>576696.22499999998</v>
      </c>
      <c r="Q75" s="192">
        <f>Q73+Q58+Q34</f>
        <v>768928.3</v>
      </c>
      <c r="R75" s="192">
        <v>771903.3</v>
      </c>
      <c r="S75" s="190">
        <f t="shared" ref="S75:S86" si="41">R75-AF75</f>
        <v>0</v>
      </c>
      <c r="T75" s="192">
        <f t="shared" ref="T75:AF75" si="42">T34+T58+T73</f>
        <v>164450.8175</v>
      </c>
      <c r="U75" s="192">
        <f t="shared" si="42"/>
        <v>77611.460000000006</v>
      </c>
      <c r="V75" s="192">
        <f t="shared" si="42"/>
        <v>107646.59000000001</v>
      </c>
      <c r="W75" s="192">
        <f t="shared" si="42"/>
        <v>68995.680000000008</v>
      </c>
      <c r="X75" s="192">
        <f t="shared" si="42"/>
        <v>54383.74</v>
      </c>
      <c r="Y75" s="192">
        <f t="shared" si="42"/>
        <v>48908.31</v>
      </c>
      <c r="Z75" s="192">
        <f t="shared" si="42"/>
        <v>44815.32</v>
      </c>
      <c r="AA75" s="192">
        <f t="shared" si="42"/>
        <v>42978.26</v>
      </c>
      <c r="AB75" s="192">
        <f t="shared" si="42"/>
        <v>44015.97</v>
      </c>
      <c r="AC75" s="192">
        <f t="shared" si="42"/>
        <v>48200.81</v>
      </c>
      <c r="AD75" s="192">
        <f t="shared" si="42"/>
        <v>67176.570000000007</v>
      </c>
      <c r="AE75" s="192">
        <f t="shared" si="42"/>
        <v>89851.88</v>
      </c>
      <c r="AF75" s="192">
        <f t="shared" si="42"/>
        <v>771903.3</v>
      </c>
    </row>
    <row r="76" spans="1:32" x14ac:dyDescent="0.25">
      <c r="P76" s="161"/>
      <c r="Q76" s="161"/>
      <c r="R76" s="161"/>
      <c r="S76" s="190">
        <f t="shared" si="41"/>
        <v>0</v>
      </c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</row>
    <row r="77" spans="1:32" s="161" customFormat="1" x14ac:dyDescent="0.25">
      <c r="A77" s="128" t="s">
        <v>293</v>
      </c>
      <c r="S77" s="190"/>
    </row>
    <row r="78" spans="1:32" s="161" customFormat="1" x14ac:dyDescent="0.25">
      <c r="A78" s="127" t="s">
        <v>357</v>
      </c>
      <c r="B78" s="161">
        <v>5000</v>
      </c>
      <c r="C78" s="161">
        <v>5000</v>
      </c>
      <c r="D78" s="161">
        <v>5000</v>
      </c>
      <c r="E78" s="161">
        <v>5000</v>
      </c>
      <c r="N78" s="161">
        <f t="shared" ref="N78:N83" si="43">SUM(B78:M78)</f>
        <v>20000</v>
      </c>
      <c r="P78" s="161">
        <f>Q78/12*$P$6</f>
        <v>45000</v>
      </c>
      <c r="Q78" s="161">
        <f>R78</f>
        <v>60000</v>
      </c>
      <c r="R78" s="161">
        <v>60000</v>
      </c>
      <c r="S78" s="190">
        <f t="shared" si="41"/>
        <v>0</v>
      </c>
      <c r="T78" s="161">
        <v>5000</v>
      </c>
      <c r="U78" s="161">
        <v>5000</v>
      </c>
      <c r="V78" s="161">
        <v>5000</v>
      </c>
      <c r="W78" s="161">
        <v>5000</v>
      </c>
      <c r="X78" s="161">
        <v>5000</v>
      </c>
      <c r="Y78" s="161">
        <v>5000</v>
      </c>
      <c r="Z78" s="161">
        <v>5000</v>
      </c>
      <c r="AA78" s="161">
        <v>5000</v>
      </c>
      <c r="AB78" s="161">
        <v>5000</v>
      </c>
      <c r="AC78" s="161">
        <v>5000</v>
      </c>
      <c r="AD78" s="161">
        <v>5000</v>
      </c>
      <c r="AE78" s="161">
        <v>5000</v>
      </c>
      <c r="AF78" s="161">
        <f>SUM(T78:AE78)</f>
        <v>60000</v>
      </c>
    </row>
    <row r="79" spans="1:32" s="161" customFormat="1" hidden="1" x14ac:dyDescent="0.25">
      <c r="A79" s="127" t="s">
        <v>356</v>
      </c>
      <c r="N79" s="161">
        <f t="shared" si="43"/>
        <v>0</v>
      </c>
      <c r="P79" s="161">
        <f t="shared" ref="P79:P83" si="44">Q79/12*$P$6</f>
        <v>3750</v>
      </c>
      <c r="Q79" s="161">
        <f t="shared" ref="Q79:Q83" si="45">R79</f>
        <v>5000</v>
      </c>
      <c r="R79" s="161">
        <v>5000</v>
      </c>
      <c r="S79" s="190">
        <f t="shared" si="41"/>
        <v>0</v>
      </c>
      <c r="T79" s="161">
        <v>1000</v>
      </c>
      <c r="U79" s="161">
        <v>1000</v>
      </c>
      <c r="V79" s="161">
        <v>1000</v>
      </c>
      <c r="W79" s="161">
        <v>1000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0</v>
      </c>
      <c r="AE79" s="161">
        <v>1000</v>
      </c>
      <c r="AF79" s="161">
        <f>SUM(T79:AE79)</f>
        <v>5000</v>
      </c>
    </row>
    <row r="80" spans="1:32" s="161" customFormat="1" hidden="1" x14ac:dyDescent="0.25">
      <c r="A80" s="127" t="s">
        <v>266</v>
      </c>
      <c r="N80" s="161">
        <f t="shared" si="43"/>
        <v>0</v>
      </c>
      <c r="S80" s="190"/>
    </row>
    <row r="81" spans="1:32" s="161" customFormat="1" hidden="1" x14ac:dyDescent="0.25">
      <c r="A81" s="127" t="s">
        <v>478</v>
      </c>
      <c r="N81" s="161">
        <f t="shared" si="43"/>
        <v>0</v>
      </c>
      <c r="P81" s="161">
        <f t="shared" si="44"/>
        <v>1434.7349999999999</v>
      </c>
      <c r="Q81" s="161">
        <f t="shared" si="45"/>
        <v>1912.98</v>
      </c>
      <c r="R81" s="161">
        <v>1912.98</v>
      </c>
      <c r="S81" s="190">
        <f t="shared" si="41"/>
        <v>0</v>
      </c>
      <c r="T81" s="161">
        <v>1833.08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79.900000000000006</v>
      </c>
      <c r="AC81" s="161">
        <v>0</v>
      </c>
      <c r="AD81" s="161">
        <v>0</v>
      </c>
      <c r="AE81" s="161">
        <v>0</v>
      </c>
      <c r="AF81" s="161">
        <f>SUM(T81:AE81)</f>
        <v>1912.98</v>
      </c>
    </row>
    <row r="82" spans="1:32" s="161" customFormat="1" x14ac:dyDescent="0.25">
      <c r="A82" s="127" t="s">
        <v>358</v>
      </c>
      <c r="B82" s="161">
        <v>-3022.77</v>
      </c>
      <c r="C82" s="161">
        <v>-3003.24</v>
      </c>
      <c r="D82" s="161">
        <v>-2983.65</v>
      </c>
      <c r="E82" s="161">
        <v>-2964</v>
      </c>
      <c r="N82" s="161">
        <f t="shared" si="43"/>
        <v>-11973.66</v>
      </c>
      <c r="P82" s="161">
        <f t="shared" si="44"/>
        <v>-32336.234999999997</v>
      </c>
      <c r="Q82" s="161">
        <f t="shared" si="45"/>
        <v>-43114.979999999996</v>
      </c>
      <c r="R82" s="161">
        <v>-43114.979999999996</v>
      </c>
      <c r="S82" s="190">
        <f t="shared" si="41"/>
        <v>0</v>
      </c>
      <c r="T82" s="161">
        <v>-3691.03</v>
      </c>
      <c r="U82" s="161">
        <v>-3673.36</v>
      </c>
      <c r="V82" s="161">
        <v>-3655.63</v>
      </c>
      <c r="W82" s="161">
        <v>-3637.86</v>
      </c>
      <c r="X82" s="161">
        <v>-3620.04</v>
      </c>
      <c r="Y82" s="161">
        <v>-3602.17</v>
      </c>
      <c r="Z82" s="161">
        <v>-3584.24</v>
      </c>
      <c r="AA82" s="161">
        <v>-3566.27</v>
      </c>
      <c r="AB82" s="161">
        <v>-3548.25</v>
      </c>
      <c r="AC82" s="161">
        <v>-3530.18</v>
      </c>
      <c r="AD82" s="161">
        <v>-3512.06</v>
      </c>
      <c r="AE82" s="161">
        <v>-3493.89</v>
      </c>
      <c r="AF82" s="161">
        <f>SUM(T82:AE82)</f>
        <v>-43114.979999999996</v>
      </c>
    </row>
    <row r="83" spans="1:32" s="161" customFormat="1" x14ac:dyDescent="0.25">
      <c r="A83" s="127" t="s">
        <v>359</v>
      </c>
      <c r="B83" s="161">
        <v>-6058.71</v>
      </c>
      <c r="C83" s="161">
        <v>-6058.71</v>
      </c>
      <c r="D83" s="161">
        <v>-6058.71</v>
      </c>
      <c r="E83" s="161">
        <v>-6058.71</v>
      </c>
      <c r="N83" s="161">
        <f t="shared" si="43"/>
        <v>-24234.84</v>
      </c>
      <c r="P83" s="161">
        <f t="shared" si="44"/>
        <v>-54528.39</v>
      </c>
      <c r="Q83" s="161">
        <f t="shared" si="45"/>
        <v>-72704.52</v>
      </c>
      <c r="R83" s="161">
        <v>-72704.52</v>
      </c>
      <c r="S83" s="190">
        <f t="shared" si="41"/>
        <v>0</v>
      </c>
      <c r="T83" s="161">
        <v>-6058.71</v>
      </c>
      <c r="U83" s="161">
        <v>-6058.71</v>
      </c>
      <c r="V83" s="161">
        <v>-6058.71</v>
      </c>
      <c r="W83" s="161">
        <v>-6058.71</v>
      </c>
      <c r="X83" s="161">
        <v>-6058.71</v>
      </c>
      <c r="Y83" s="161">
        <v>-6058.71</v>
      </c>
      <c r="Z83" s="161">
        <v>-6058.71</v>
      </c>
      <c r="AA83" s="161">
        <v>-6058.71</v>
      </c>
      <c r="AB83" s="161">
        <v>-6058.71</v>
      </c>
      <c r="AC83" s="161">
        <v>-6058.71</v>
      </c>
      <c r="AD83" s="161">
        <v>-6058.71</v>
      </c>
      <c r="AE83" s="161">
        <v>-6058.71</v>
      </c>
      <c r="AF83" s="161">
        <f>SUM(T83:AE83)</f>
        <v>-72704.52</v>
      </c>
    </row>
    <row r="84" spans="1:32" x14ac:dyDescent="0.25">
      <c r="A84" s="128" t="s">
        <v>295</v>
      </c>
      <c r="B84" s="191">
        <f t="shared" ref="B84:M84" si="46">SUM(B78:B83)</f>
        <v>-4081.48</v>
      </c>
      <c r="C84" s="191">
        <f t="shared" si="46"/>
        <v>-4061.95</v>
      </c>
      <c r="D84" s="191">
        <f t="shared" si="46"/>
        <v>-4042.36</v>
      </c>
      <c r="E84" s="191">
        <f t="shared" si="46"/>
        <v>-4022.71</v>
      </c>
      <c r="F84" s="191">
        <f>SUM(F78:F83)</f>
        <v>0</v>
      </c>
      <c r="G84" s="191">
        <f t="shared" ref="G84:L84" si="47">SUM(G78:G83)</f>
        <v>0</v>
      </c>
      <c r="H84" s="191">
        <f t="shared" si="47"/>
        <v>0</v>
      </c>
      <c r="I84" s="191">
        <f t="shared" si="47"/>
        <v>0</v>
      </c>
      <c r="J84" s="191">
        <f t="shared" si="47"/>
        <v>0</v>
      </c>
      <c r="K84" s="191">
        <f t="shared" si="47"/>
        <v>0</v>
      </c>
      <c r="L84" s="191">
        <f t="shared" si="47"/>
        <v>0</v>
      </c>
      <c r="M84" s="191">
        <f t="shared" si="46"/>
        <v>0</v>
      </c>
      <c r="N84" s="191">
        <f>SUM(N78:N83)</f>
        <v>-16208.5</v>
      </c>
      <c r="P84" s="191">
        <f>SUM(P78:P83)</f>
        <v>-36679.89</v>
      </c>
      <c r="Q84" s="191">
        <f>SUM(Q78:Q83)</f>
        <v>-48906.520000000004</v>
      </c>
      <c r="R84" s="191">
        <f>SUM(R78:R83)</f>
        <v>-48906.520000000004</v>
      </c>
      <c r="S84" s="190">
        <f t="shared" si="41"/>
        <v>0</v>
      </c>
      <c r="T84" s="191">
        <f t="shared" ref="T84:AE84" si="48">SUM(T78:T83)</f>
        <v>-1916.6600000000008</v>
      </c>
      <c r="U84" s="191">
        <f t="shared" si="48"/>
        <v>-3732.07</v>
      </c>
      <c r="V84" s="191">
        <f t="shared" si="48"/>
        <v>-3714.34</v>
      </c>
      <c r="W84" s="191">
        <f t="shared" si="48"/>
        <v>-3696.57</v>
      </c>
      <c r="X84" s="191">
        <f>SUM(X78:X83)</f>
        <v>-4678.75</v>
      </c>
      <c r="Y84" s="191">
        <f t="shared" ref="Y84:AD84" si="49">SUM(Y78:Y83)</f>
        <v>-4660.88</v>
      </c>
      <c r="Z84" s="191">
        <f t="shared" si="49"/>
        <v>-4642.95</v>
      </c>
      <c r="AA84" s="191">
        <f t="shared" si="49"/>
        <v>-4624.9799999999996</v>
      </c>
      <c r="AB84" s="191">
        <f t="shared" si="49"/>
        <v>-4527.0600000000004</v>
      </c>
      <c r="AC84" s="191">
        <f t="shared" si="49"/>
        <v>-4588.8899999999994</v>
      </c>
      <c r="AD84" s="191">
        <f t="shared" si="49"/>
        <v>-4570.7700000000004</v>
      </c>
      <c r="AE84" s="191">
        <f t="shared" si="48"/>
        <v>-3552.6</v>
      </c>
      <c r="AF84" s="191">
        <f>SUM(AF78:AF83)</f>
        <v>-48906.520000000004</v>
      </c>
    </row>
    <row r="85" spans="1:32" x14ac:dyDescent="0.25">
      <c r="P85" s="161"/>
      <c r="Q85" s="161"/>
      <c r="R85" s="161"/>
      <c r="S85" s="190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</row>
    <row r="86" spans="1:32" ht="15.75" thickBot="1" x14ac:dyDescent="0.3">
      <c r="A86" s="128" t="s">
        <v>296</v>
      </c>
      <c r="B86" s="194">
        <f t="shared" ref="B86:N86" si="50">B21-B75+B84</f>
        <v>-28033.710000000003</v>
      </c>
      <c r="C86" s="194">
        <f t="shared" si="50"/>
        <v>-26708.74</v>
      </c>
      <c r="D86" s="194">
        <f t="shared" si="50"/>
        <v>-31300.710000000003</v>
      </c>
      <c r="E86" s="194">
        <f t="shared" si="50"/>
        <v>-23369.190000000002</v>
      </c>
      <c r="F86" s="194">
        <f t="shared" si="50"/>
        <v>0</v>
      </c>
      <c r="G86" s="194">
        <f t="shared" si="50"/>
        <v>0</v>
      </c>
      <c r="H86" s="194">
        <f t="shared" si="50"/>
        <v>0</v>
      </c>
      <c r="I86" s="194">
        <f t="shared" si="50"/>
        <v>0</v>
      </c>
      <c r="J86" s="194">
        <f t="shared" si="50"/>
        <v>0</v>
      </c>
      <c r="K86" s="194">
        <f t="shared" si="50"/>
        <v>0</v>
      </c>
      <c r="L86" s="194">
        <f t="shared" si="50"/>
        <v>0</v>
      </c>
      <c r="M86" s="194">
        <f t="shared" si="50"/>
        <v>0</v>
      </c>
      <c r="N86" s="194">
        <f t="shared" si="50"/>
        <v>-109412.34999999999</v>
      </c>
      <c r="O86" s="127"/>
      <c r="P86" s="194">
        <f>P21-P75+P84</f>
        <v>-20170.267499999944</v>
      </c>
      <c r="Q86" s="194">
        <f>Q21-Q75+Q84</f>
        <v>-26893.68999999993</v>
      </c>
      <c r="R86" s="194">
        <v>-29868.68999999993</v>
      </c>
      <c r="S86" s="190">
        <f t="shared" si="41"/>
        <v>0</v>
      </c>
      <c r="T86" s="194">
        <f t="shared" ref="T86:AF86" si="51">T21-T75+T84</f>
        <v>-24086.027500000022</v>
      </c>
      <c r="U86" s="194">
        <f t="shared" si="51"/>
        <v>50012.599999999969</v>
      </c>
      <c r="V86" s="194">
        <f t="shared" si="51"/>
        <v>13220.929999999989</v>
      </c>
      <c r="W86" s="194">
        <f t="shared" si="51"/>
        <v>4942.919999999991</v>
      </c>
      <c r="X86" s="194">
        <f t="shared" si="51"/>
        <v>-30308.14</v>
      </c>
      <c r="Y86" s="194">
        <f t="shared" si="51"/>
        <v>-40141.129999999997</v>
      </c>
      <c r="Z86" s="194">
        <f t="shared" si="51"/>
        <v>-42423.27</v>
      </c>
      <c r="AA86" s="194">
        <f t="shared" si="51"/>
        <v>-35256.51</v>
      </c>
      <c r="AB86" s="194">
        <f t="shared" si="51"/>
        <v>-40246.03</v>
      </c>
      <c r="AC86" s="194">
        <f t="shared" si="51"/>
        <v>-37502.379999999997</v>
      </c>
      <c r="AD86" s="194">
        <f t="shared" si="51"/>
        <v>57770.799999999988</v>
      </c>
      <c r="AE86" s="194">
        <f t="shared" si="51"/>
        <v>7015.4399999999932</v>
      </c>
      <c r="AF86" s="194">
        <f t="shared" si="51"/>
        <v>-29868.68999999993</v>
      </c>
    </row>
    <row r="87" spans="1:32" ht="15.75" thickTop="1" x14ac:dyDescent="0.25">
      <c r="P87" s="161"/>
      <c r="Q87" s="161"/>
      <c r="R87" s="127"/>
      <c r="S87" s="190"/>
    </row>
    <row r="88" spans="1:32" x14ac:dyDescent="0.25"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27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  <c r="S184" s="190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61"/>
      <c r="Q295" s="161"/>
      <c r="R295" s="161"/>
    </row>
    <row r="296" spans="16:18" x14ac:dyDescent="0.25">
      <c r="P296" s="188"/>
      <c r="Q296" s="188"/>
      <c r="R296" s="188"/>
    </row>
    <row r="297" spans="16:18" x14ac:dyDescent="0.25">
      <c r="P297" s="161"/>
      <c r="Q297" s="161"/>
      <c r="R297" s="161"/>
    </row>
    <row r="298" spans="16:18" x14ac:dyDescent="0.25">
      <c r="P298" s="161"/>
      <c r="Q298" s="161"/>
      <c r="R29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1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B67" sqref="B67"/>
      <selection pane="bottomLeft" activeCell="B67" sqref="B67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2" t="s">
        <v>407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207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207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O6" s="188"/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205</v>
      </c>
      <c r="S8" s="190"/>
    </row>
    <row r="9" spans="1:32" s="161" customFormat="1" x14ac:dyDescent="0.25">
      <c r="A9" s="128" t="s">
        <v>579</v>
      </c>
      <c r="S9" s="190"/>
    </row>
    <row r="10" spans="1:32" s="161" customFormat="1" hidden="1" x14ac:dyDescent="0.25">
      <c r="A10" s="127" t="s">
        <v>583</v>
      </c>
      <c r="N10" s="161">
        <f>SUM(B10:M10)</f>
        <v>0</v>
      </c>
      <c r="S10" s="190"/>
    </row>
    <row r="11" spans="1:32" s="161" customFormat="1" hidden="1" x14ac:dyDescent="0.25">
      <c r="A11" s="127" t="s">
        <v>608</v>
      </c>
      <c r="N11" s="161">
        <f>SUM(B11:M11)</f>
        <v>0</v>
      </c>
      <c r="S11" s="190"/>
    </row>
    <row r="12" spans="1:32" s="161" customFormat="1" x14ac:dyDescent="0.25">
      <c r="A12" s="127" t="s">
        <v>580</v>
      </c>
      <c r="B12" s="161">
        <v>860.93</v>
      </c>
      <c r="C12" s="161">
        <v>860.93</v>
      </c>
      <c r="D12" s="161">
        <v>860.93</v>
      </c>
      <c r="E12" s="161">
        <v>860.93</v>
      </c>
      <c r="N12" s="161">
        <f>SUM(B12:M12)</f>
        <v>3443.72</v>
      </c>
      <c r="S12" s="190"/>
    </row>
    <row r="13" spans="1:32" s="161" customFormat="1" hidden="1" x14ac:dyDescent="0.25">
      <c r="A13" s="127" t="s">
        <v>348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288</v>
      </c>
      <c r="B14" s="161">
        <v>9251.27</v>
      </c>
      <c r="C14" s="161">
        <v>9251.27</v>
      </c>
      <c r="D14" s="161">
        <v>9251.27</v>
      </c>
      <c r="E14" s="161">
        <v>9251.26</v>
      </c>
      <c r="N14" s="161">
        <f>SUM(B14:M14)</f>
        <v>37005.07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206</v>
      </c>
      <c r="B15" s="191">
        <f t="shared" ref="B15:G15" si="3">SUM(B10:B14)</f>
        <v>10112.200000000001</v>
      </c>
      <c r="C15" s="191">
        <f t="shared" si="3"/>
        <v>10112.200000000001</v>
      </c>
      <c r="D15" s="191">
        <f t="shared" si="3"/>
        <v>10112.200000000001</v>
      </c>
      <c r="E15" s="191">
        <f t="shared" si="3"/>
        <v>10112.19</v>
      </c>
      <c r="F15" s="191">
        <f t="shared" si="3"/>
        <v>0</v>
      </c>
      <c r="G15" s="191">
        <f t="shared" si="3"/>
        <v>0</v>
      </c>
      <c r="H15" s="191">
        <f t="shared" ref="H15:M15" si="4">SUM(H10:H14)</f>
        <v>0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40448.79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289</v>
      </c>
      <c r="P17" s="161">
        <f t="shared" si="0"/>
        <v>0</v>
      </c>
      <c r="S17" s="190"/>
    </row>
    <row r="18" spans="1:32" s="161" customFormat="1" x14ac:dyDescent="0.25">
      <c r="A18" s="127" t="s">
        <v>352</v>
      </c>
      <c r="B18" s="161">
        <v>250</v>
      </c>
      <c r="C18" s="161">
        <v>250</v>
      </c>
      <c r="D18" s="161">
        <v>250</v>
      </c>
      <c r="E18" s="161">
        <v>250</v>
      </c>
      <c r="N18" s="161">
        <f>SUM(B18:M18)</f>
        <v>1000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0</v>
      </c>
      <c r="G19" s="191">
        <f>SUM(G18:G18)</f>
        <v>0</v>
      </c>
      <c r="H19" s="191">
        <f t="shared" ref="H19:L19" si="8">SUM(H18:H18)</f>
        <v>0</v>
      </c>
      <c r="I19" s="191">
        <f t="shared" si="8"/>
        <v>0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1000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241</v>
      </c>
      <c r="S20" s="190"/>
    </row>
    <row r="21" spans="1:32" s="161" customFormat="1" ht="15.75" thickBot="1" x14ac:dyDescent="0.3">
      <c r="A21" s="128" t="s">
        <v>206</v>
      </c>
      <c r="B21" s="192">
        <f t="shared" ref="B21:N21" si="11">B15+B19</f>
        <v>10362.200000000001</v>
      </c>
      <c r="C21" s="192">
        <f t="shared" si="11"/>
        <v>10362.200000000001</v>
      </c>
      <c r="D21" s="192">
        <f t="shared" si="11"/>
        <v>10362.200000000001</v>
      </c>
      <c r="E21" s="192">
        <f t="shared" si="11"/>
        <v>10362.19</v>
      </c>
      <c r="F21" s="192">
        <f>F15+F19</f>
        <v>0</v>
      </c>
      <c r="G21" s="192">
        <f>G15+G19</f>
        <v>0</v>
      </c>
      <c r="H21" s="192">
        <f t="shared" ref="H21:L21" si="12">H15+H19</f>
        <v>0</v>
      </c>
      <c r="I21" s="192">
        <f t="shared" si="12"/>
        <v>0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41448.79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293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357</v>
      </c>
      <c r="B24" s="161">
        <v>16700</v>
      </c>
      <c r="C24" s="161">
        <v>16700</v>
      </c>
      <c r="D24" s="161">
        <v>16700</v>
      </c>
      <c r="E24" s="161">
        <v>16700</v>
      </c>
      <c r="N24" s="161">
        <f t="shared" ref="N24:N30" si="17">SUM(B24:M24)</f>
        <v>66800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398</v>
      </c>
      <c r="B25" s="161">
        <v>1000</v>
      </c>
      <c r="C25" s="161">
        <v>1000</v>
      </c>
      <c r="D25" s="161">
        <v>1000</v>
      </c>
      <c r="E25" s="161">
        <v>1000</v>
      </c>
      <c r="N25" s="161">
        <f t="shared" si="17"/>
        <v>4000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hidden="1" x14ac:dyDescent="0.25">
      <c r="A26" s="127" t="s">
        <v>471</v>
      </c>
      <c r="N26" s="161">
        <f t="shared" si="17"/>
        <v>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x14ac:dyDescent="0.25">
      <c r="A27" s="127" t="s">
        <v>572</v>
      </c>
      <c r="E27" s="161">
        <v>-18</v>
      </c>
      <c r="N27" s="161">
        <f t="shared" si="17"/>
        <v>-18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478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266</v>
      </c>
      <c r="B29" s="161">
        <v>5735.27</v>
      </c>
      <c r="C29" s="161">
        <v>5453.24</v>
      </c>
      <c r="D29" s="161">
        <v>5696.15</v>
      </c>
      <c r="E29" s="161">
        <v>8255.67</v>
      </c>
      <c r="N29" s="161">
        <f t="shared" si="17"/>
        <v>25140.33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x14ac:dyDescent="0.25">
      <c r="A30" s="127" t="s">
        <v>267</v>
      </c>
      <c r="E30" s="161">
        <v>-3000.06</v>
      </c>
      <c r="N30" s="161">
        <f t="shared" si="17"/>
        <v>-3000.06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295</v>
      </c>
      <c r="B31" s="191">
        <f t="shared" ref="B31:M31" si="21">SUM(B24:B30)</f>
        <v>23435.27</v>
      </c>
      <c r="C31" s="191">
        <f>SUM(C24:C30)</f>
        <v>23153.239999999998</v>
      </c>
      <c r="D31" s="191">
        <f t="shared" si="21"/>
        <v>23396.15</v>
      </c>
      <c r="E31" s="191">
        <f t="shared" si="21"/>
        <v>22937.609999999997</v>
      </c>
      <c r="F31" s="191">
        <f>SUM(F24:F30)</f>
        <v>0</v>
      </c>
      <c r="G31" s="191">
        <f>SUM(G24:G30)</f>
        <v>0</v>
      </c>
      <c r="H31" s="191">
        <f t="shared" ref="H31:L31" si="22">SUM(H24:H30)</f>
        <v>0</v>
      </c>
      <c r="I31" s="191">
        <f t="shared" si="22"/>
        <v>0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92922.27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296</v>
      </c>
      <c r="B33" s="194">
        <f>B31-B21</f>
        <v>13073.07</v>
      </c>
      <c r="C33" s="194">
        <f t="shared" ref="C33:M33" si="26">C31-C21</f>
        <v>12791.039999999997</v>
      </c>
      <c r="D33" s="194">
        <f t="shared" si="26"/>
        <v>13033.95</v>
      </c>
      <c r="E33" s="194">
        <f t="shared" si="26"/>
        <v>12575.419999999996</v>
      </c>
      <c r="F33" s="194">
        <f>F31-F21</f>
        <v>0</v>
      </c>
      <c r="G33" s="194">
        <f>G31-G21</f>
        <v>0</v>
      </c>
      <c r="H33" s="194">
        <f t="shared" ref="H33:L33" si="27">H31-H21</f>
        <v>0</v>
      </c>
      <c r="I33" s="194">
        <f t="shared" si="27"/>
        <v>0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51473.48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B67" sqref="B67"/>
      <selection pane="bottomLeft" activeCell="B67" sqref="B67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5" width="13" style="161" customWidth="1"/>
    <col min="6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2" t="s">
        <v>408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205</v>
      </c>
      <c r="S8" s="190"/>
    </row>
    <row r="9" spans="1:33" s="161" customFormat="1" x14ac:dyDescent="0.25">
      <c r="A9" s="128" t="s">
        <v>284</v>
      </c>
      <c r="S9" s="190"/>
    </row>
    <row r="10" spans="1:33" s="161" customFormat="1" hidden="1" x14ac:dyDescent="0.25">
      <c r="A10" s="127" t="s">
        <v>348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288</v>
      </c>
      <c r="B11" s="161">
        <v>20153.919999999998</v>
      </c>
      <c r="C11" s="161">
        <v>20153.919999999998</v>
      </c>
      <c r="D11" s="161">
        <v>21677.22</v>
      </c>
      <c r="E11" s="161">
        <v>21677.22</v>
      </c>
      <c r="N11" s="161">
        <f>SUM(B11:M11)</f>
        <v>83662.28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328</v>
      </c>
      <c r="B12" s="191">
        <f t="shared" ref="B12:N12" si="4">SUM(B10:B11)</f>
        <v>20153.919999999998</v>
      </c>
      <c r="C12" s="191">
        <f t="shared" si="4"/>
        <v>20153.919999999998</v>
      </c>
      <c r="D12" s="191">
        <f t="shared" si="4"/>
        <v>21677.22</v>
      </c>
      <c r="E12" s="191">
        <f t="shared" si="4"/>
        <v>21677.22</v>
      </c>
      <c r="F12" s="191">
        <f>SUM(F10:F11)</f>
        <v>0</v>
      </c>
      <c r="G12" s="191">
        <f>SUM(G10:G11)</f>
        <v>0</v>
      </c>
      <c r="H12" s="191">
        <f t="shared" ref="H12:K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>SUM(L10:L11)</f>
        <v>0</v>
      </c>
      <c r="M12" s="191">
        <f t="shared" si="4"/>
        <v>0</v>
      </c>
      <c r="N12" s="191">
        <f t="shared" si="4"/>
        <v>83662.28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289</v>
      </c>
      <c r="S14" s="190"/>
    </row>
    <row r="15" spans="1:33" s="161" customFormat="1" x14ac:dyDescent="0.25">
      <c r="A15" s="127" t="s">
        <v>352</v>
      </c>
      <c r="B15" s="161">
        <v>333.33</v>
      </c>
      <c r="C15" s="161">
        <v>333.33</v>
      </c>
      <c r="D15" s="161">
        <v>333.33</v>
      </c>
      <c r="E15" s="161">
        <v>213.89</v>
      </c>
      <c r="N15" s="161">
        <f>SUM(B15:M15)</f>
        <v>1213.8800000000001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431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292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213.89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>SUM(L15:L16)</f>
        <v>0</v>
      </c>
      <c r="M17" s="191">
        <f t="shared" si="9"/>
        <v>0</v>
      </c>
      <c r="N17" s="191">
        <f t="shared" si="9"/>
        <v>1213.8800000000001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241</v>
      </c>
      <c r="S18" s="190">
        <f t="shared" si="3"/>
        <v>0</v>
      </c>
    </row>
    <row r="19" spans="1:33" s="161" customFormat="1" ht="15.75" thickBot="1" x14ac:dyDescent="0.3">
      <c r="A19" s="128" t="s">
        <v>206</v>
      </c>
      <c r="B19" s="192">
        <f t="shared" ref="B19:N19" si="13">B12+B17</f>
        <v>20487.25</v>
      </c>
      <c r="C19" s="192">
        <f t="shared" si="13"/>
        <v>20487.25</v>
      </c>
      <c r="D19" s="192">
        <f t="shared" si="13"/>
        <v>22010.550000000003</v>
      </c>
      <c r="E19" s="192">
        <f t="shared" si="13"/>
        <v>21891.11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84876.160000000003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293</v>
      </c>
      <c r="S21" s="190"/>
    </row>
    <row r="22" spans="1:33" s="161" customFormat="1" x14ac:dyDescent="0.25">
      <c r="A22" s="127" t="s">
        <v>432</v>
      </c>
      <c r="B22" s="161">
        <v>25000</v>
      </c>
      <c r="C22" s="161">
        <v>25000</v>
      </c>
      <c r="D22" s="161">
        <v>25000</v>
      </c>
      <c r="E22" s="161">
        <v>25000</v>
      </c>
      <c r="N22" s="161">
        <f t="shared" ref="N22:N27" si="17">SUM(B22:M22)</f>
        <v>100000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455</v>
      </c>
      <c r="B23" s="161">
        <v>7500</v>
      </c>
      <c r="C23" s="161">
        <v>7500</v>
      </c>
      <c r="D23" s="161">
        <v>7500</v>
      </c>
      <c r="E23" s="161">
        <v>7500</v>
      </c>
      <c r="N23" s="161">
        <f t="shared" si="17"/>
        <v>30000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478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586</v>
      </c>
      <c r="N25" s="161">
        <f t="shared" si="17"/>
        <v>0</v>
      </c>
      <c r="S25" s="190"/>
    </row>
    <row r="26" spans="1:33" s="161" customFormat="1" x14ac:dyDescent="0.25">
      <c r="A26" s="127" t="s">
        <v>266</v>
      </c>
      <c r="B26" s="161">
        <v>4908.33</v>
      </c>
      <c r="C26" s="161">
        <v>4433.33</v>
      </c>
      <c r="D26" s="161">
        <v>4908.33</v>
      </c>
      <c r="E26" s="161">
        <v>4750</v>
      </c>
      <c r="N26" s="161">
        <f t="shared" si="17"/>
        <v>18999.989999999998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267</v>
      </c>
      <c r="B27" s="161">
        <v>-7438.33</v>
      </c>
      <c r="C27" s="161">
        <v>-6735.85</v>
      </c>
      <c r="D27" s="161">
        <v>-7474.95</v>
      </c>
      <c r="E27" s="161">
        <v>-7252.51</v>
      </c>
      <c r="N27" s="206">
        <f t="shared" si="17"/>
        <v>-28901.64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295</v>
      </c>
      <c r="B28" s="191">
        <f t="shared" ref="B28:M28" si="21">SUM(B22:B27)</f>
        <v>29970</v>
      </c>
      <c r="C28" s="191">
        <f t="shared" si="21"/>
        <v>30197.480000000003</v>
      </c>
      <c r="D28" s="191">
        <f t="shared" si="21"/>
        <v>29933.38</v>
      </c>
      <c r="E28" s="191">
        <f t="shared" si="21"/>
        <v>29997.489999999998</v>
      </c>
      <c r="F28" s="191">
        <f>SUM(F22:F27)</f>
        <v>0</v>
      </c>
      <c r="G28" s="191">
        <f>SUM(G22:G27)</f>
        <v>0</v>
      </c>
      <c r="H28" s="191">
        <f t="shared" ref="H28:K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>SUM(L22:L27)</f>
        <v>0</v>
      </c>
      <c r="M28" s="191">
        <f t="shared" si="21"/>
        <v>0</v>
      </c>
      <c r="N28" s="191">
        <f>SUM(N22:N27)</f>
        <v>120098.34999999999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296</v>
      </c>
      <c r="B30" s="194">
        <f>B28-B19</f>
        <v>9482.75</v>
      </c>
      <c r="C30" s="194">
        <f t="shared" ref="C30:N30" si="25">C28-C19</f>
        <v>9710.2300000000032</v>
      </c>
      <c r="D30" s="194">
        <f t="shared" si="25"/>
        <v>7922.8299999999981</v>
      </c>
      <c r="E30" s="194">
        <f t="shared" si="25"/>
        <v>8106.3799999999974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35222.189999999988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G316"/>
  <sheetViews>
    <sheetView tabSelected="1" view="pageBreakPreview" zoomScale="60" zoomScaleNormal="90" workbookViewId="0">
      <pane xSplit="1" ySplit="4" topLeftCell="B266" activePane="bottomRight" state="frozen"/>
      <selection activeCell="R86" sqref="R86"/>
      <selection pane="topRight" activeCell="R86" sqref="R86"/>
      <selection pane="bottomLeft" activeCell="R86" sqref="R86"/>
      <selection pane="bottomRight" activeCell="P321" sqref="P321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customWidth="1"/>
    <col min="4" max="4" width="24.28515625" style="130" customWidth="1"/>
    <col min="5" max="5" width="25.140625" style="130" customWidth="1"/>
    <col min="6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678</v>
      </c>
      <c r="P1" s="340" t="s">
        <v>541</v>
      </c>
      <c r="Q1" s="340" t="s">
        <v>542</v>
      </c>
    </row>
    <row r="2" spans="1:33" ht="19.5" thickBot="1" x14ac:dyDescent="0.35">
      <c r="A2" s="129"/>
      <c r="I2" s="130">
        <v>0</v>
      </c>
      <c r="P2" s="341"/>
      <c r="Q2" s="341"/>
      <c r="AA2" s="127">
        <v>0</v>
      </c>
    </row>
    <row r="3" spans="1:33" ht="15.75" thickBot="1" x14ac:dyDescent="0.3">
      <c r="B3" s="140">
        <v>44227</v>
      </c>
      <c r="C3" s="140">
        <v>44255</v>
      </c>
      <c r="D3" s="140">
        <v>44286</v>
      </c>
      <c r="E3" s="140">
        <v>44316</v>
      </c>
      <c r="F3" s="140">
        <v>44347</v>
      </c>
      <c r="G3" s="140">
        <v>44377</v>
      </c>
      <c r="H3" s="140">
        <v>44408</v>
      </c>
      <c r="I3" s="140">
        <v>44439</v>
      </c>
      <c r="J3" s="140">
        <v>44469</v>
      </c>
      <c r="K3" s="140">
        <v>44500</v>
      </c>
      <c r="L3" s="140">
        <v>44530</v>
      </c>
      <c r="M3" s="140">
        <v>44561</v>
      </c>
      <c r="N3" s="141" t="s">
        <v>677</v>
      </c>
      <c r="O3" s="141"/>
      <c r="P3" s="141">
        <v>9</v>
      </c>
      <c r="Q3" s="141"/>
      <c r="R3" s="141" t="s">
        <v>540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B108+B120</f>
        <v>389989114.04000002</v>
      </c>
      <c r="C5" s="139">
        <f t="shared" si="0"/>
        <v>525312062.54999995</v>
      </c>
      <c r="D5" s="139">
        <f t="shared" ref="D5:E5" si="1">D108+D120</f>
        <v>420086764.48000002</v>
      </c>
      <c r="E5" s="139">
        <f t="shared" si="1"/>
        <v>333665547.42000002</v>
      </c>
      <c r="F5" s="139">
        <f t="shared" ref="F5:G5" si="2">F108+F120</f>
        <v>0</v>
      </c>
      <c r="G5" s="139">
        <f t="shared" si="2"/>
        <v>0</v>
      </c>
      <c r="H5" s="139">
        <f t="shared" ref="H5" si="3">H108+H120</f>
        <v>0</v>
      </c>
      <c r="I5" s="139">
        <f t="shared" ref="I5:M5" si="4">I108+I120</f>
        <v>0</v>
      </c>
      <c r="J5" s="139">
        <f t="shared" si="4"/>
        <v>0</v>
      </c>
      <c r="K5" s="139">
        <f t="shared" ref="K5:L5" si="5">K108+K120</f>
        <v>0</v>
      </c>
      <c r="L5" s="139">
        <f t="shared" si="5"/>
        <v>0</v>
      </c>
      <c r="M5" s="139">
        <f t="shared" si="4"/>
        <v>0</v>
      </c>
      <c r="N5" s="139">
        <f>SUM(B5:M5)</f>
        <v>1669053488.49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6">+T108+T120</f>
        <v>154563428.67000002</v>
      </c>
      <c r="U5" s="168">
        <f t="shared" si="6"/>
        <v>109601727.78999999</v>
      </c>
      <c r="V5" s="168">
        <f t="shared" si="6"/>
        <v>101069868.19</v>
      </c>
      <c r="W5" s="168">
        <f t="shared" si="6"/>
        <v>92671539.059999987</v>
      </c>
      <c r="X5" s="168">
        <f t="shared" si="6"/>
        <v>94258757.019999996</v>
      </c>
      <c r="Y5" s="168">
        <f t="shared" ref="Y5:AE8" si="7">Y108+Y120</f>
        <v>92781088.61999999</v>
      </c>
      <c r="Z5" s="168">
        <f t="shared" si="7"/>
        <v>122616849.06</v>
      </c>
      <c r="AA5" s="168">
        <f t="shared" si="7"/>
        <v>126398264.86999999</v>
      </c>
      <c r="AB5" s="168">
        <f t="shared" si="7"/>
        <v>93678610.930000007</v>
      </c>
      <c r="AC5" s="168">
        <f t="shared" si="7"/>
        <v>83905128.570000008</v>
      </c>
      <c r="AD5" s="168">
        <f t="shared" si="7"/>
        <v>78681236.390000001</v>
      </c>
      <c r="AE5" s="168">
        <f t="shared" si="7"/>
        <v>58555297.399999999</v>
      </c>
      <c r="AF5" s="139">
        <f t="shared" ref="AF5:AF74" si="8">(N5-M5)/11</f>
        <v>151732135.31727272</v>
      </c>
      <c r="AG5" s="139">
        <f t="shared" ref="AG5:AG74" si="9">M5-AF5</f>
        <v>-151732135.31727272</v>
      </c>
    </row>
    <row r="6" spans="1:33" x14ac:dyDescent="0.25">
      <c r="A6" s="130" t="s">
        <v>6</v>
      </c>
      <c r="B6" s="139">
        <f t="shared" si="0"/>
        <v>140764902.55000001</v>
      </c>
      <c r="C6" s="139">
        <f t="shared" si="0"/>
        <v>150722982.03</v>
      </c>
      <c r="D6" s="139">
        <f t="shared" ref="D6:E6" si="10">D109+D121</f>
        <v>137384940.35000002</v>
      </c>
      <c r="E6" s="139">
        <f t="shared" si="10"/>
        <v>121617578.22</v>
      </c>
      <c r="F6" s="139">
        <f t="shared" ref="F6:G6" si="11">F109+F121</f>
        <v>0</v>
      </c>
      <c r="G6" s="139">
        <f t="shared" si="11"/>
        <v>0</v>
      </c>
      <c r="H6" s="139">
        <f t="shared" ref="H6" si="12">H109+H121</f>
        <v>0</v>
      </c>
      <c r="I6" s="139">
        <f t="shared" ref="I6:J8" si="13">I109+I121</f>
        <v>0</v>
      </c>
      <c r="J6" s="139">
        <f t="shared" si="13"/>
        <v>0</v>
      </c>
      <c r="K6" s="139">
        <f t="shared" ref="K6:L6" si="14">K109+K121</f>
        <v>0</v>
      </c>
      <c r="L6" s="139">
        <f t="shared" si="14"/>
        <v>0</v>
      </c>
      <c r="M6" s="139">
        <f t="shared" ref="M6" si="15">M109+M121</f>
        <v>0</v>
      </c>
      <c r="N6" s="139">
        <f t="shared" ref="N6:N10" si="16">SUM(B6:M6)</f>
        <v>550490403.1500001</v>
      </c>
      <c r="O6" s="139"/>
      <c r="P6" s="139">
        <f t="shared" ref="P6:P10" si="17">Q6/12*$P$3</f>
        <v>2565549627.4800005</v>
      </c>
      <c r="Q6" s="139">
        <f t="shared" ref="Q6:Q10" si="18">R6</f>
        <v>3420732836.6400003</v>
      </c>
      <c r="R6" s="139">
        <v>3420732836.6400003</v>
      </c>
      <c r="S6" s="170">
        <f t="shared" ref="S6:S70" si="19">R6-SUM(T6:AE6)</f>
        <v>0</v>
      </c>
      <c r="T6" s="168">
        <f t="shared" si="6"/>
        <v>424529753.21999997</v>
      </c>
      <c r="U6" s="168">
        <f t="shared" si="6"/>
        <v>1212317398.3500001</v>
      </c>
      <c r="V6" s="168">
        <f t="shared" si="6"/>
        <v>305312522.13</v>
      </c>
      <c r="W6" s="168">
        <f t="shared" si="6"/>
        <v>46941731.32</v>
      </c>
      <c r="X6" s="168">
        <f t="shared" si="6"/>
        <v>115060805.22</v>
      </c>
      <c r="Y6" s="168">
        <f t="shared" si="7"/>
        <v>260963733.31999999</v>
      </c>
      <c r="Z6" s="168">
        <f t="shared" si="7"/>
        <v>166703405.97</v>
      </c>
      <c r="AA6" s="168">
        <f t="shared" si="7"/>
        <v>324765702.82999998</v>
      </c>
      <c r="AB6" s="168">
        <f t="shared" si="7"/>
        <v>239385553.34999999</v>
      </c>
      <c r="AC6" s="168">
        <f t="shared" si="7"/>
        <v>61006487.299999997</v>
      </c>
      <c r="AD6" s="168">
        <f t="shared" si="7"/>
        <v>139341371.03999999</v>
      </c>
      <c r="AE6" s="168">
        <f t="shared" si="7"/>
        <v>124404372.59</v>
      </c>
      <c r="AF6" s="139">
        <f t="shared" si="8"/>
        <v>50044582.104545467</v>
      </c>
      <c r="AG6" s="139">
        <f t="shared" si="9"/>
        <v>-50044582.104545467</v>
      </c>
    </row>
    <row r="7" spans="1:33" x14ac:dyDescent="0.25">
      <c r="A7" s="130" t="s">
        <v>7</v>
      </c>
      <c r="B7" s="139">
        <f t="shared" si="0"/>
        <v>1109173.3</v>
      </c>
      <c r="C7" s="139">
        <f t="shared" si="0"/>
        <v>3777109</v>
      </c>
      <c r="D7" s="139">
        <f t="shared" ref="D7:E7" si="20">D110+D122</f>
        <v>6261380.2300000004</v>
      </c>
      <c r="E7" s="139">
        <f t="shared" si="20"/>
        <v>1018427</v>
      </c>
      <c r="F7" s="139">
        <f t="shared" ref="F7:G7" si="21">F110+F122</f>
        <v>0</v>
      </c>
      <c r="G7" s="139">
        <f t="shared" si="21"/>
        <v>0</v>
      </c>
      <c r="H7" s="139">
        <f t="shared" ref="H7" si="22">H110+H122</f>
        <v>0</v>
      </c>
      <c r="I7" s="139">
        <f t="shared" si="13"/>
        <v>0</v>
      </c>
      <c r="J7" s="139">
        <f t="shared" si="13"/>
        <v>0</v>
      </c>
      <c r="K7" s="139">
        <f t="shared" ref="K7:L7" si="23">K110+K122</f>
        <v>0</v>
      </c>
      <c r="L7" s="139">
        <f t="shared" si="23"/>
        <v>0</v>
      </c>
      <c r="M7" s="139">
        <f t="shared" ref="M7" si="24">M110+M122</f>
        <v>0</v>
      </c>
      <c r="N7" s="139">
        <f t="shared" si="16"/>
        <v>12166089.530000001</v>
      </c>
      <c r="O7" s="139"/>
      <c r="P7" s="139">
        <f t="shared" si="17"/>
        <v>12572393.025</v>
      </c>
      <c r="Q7" s="139">
        <f t="shared" si="18"/>
        <v>16763190.700000001</v>
      </c>
      <c r="R7" s="139">
        <v>16763190.700000001</v>
      </c>
      <c r="S7" s="170">
        <f t="shared" si="19"/>
        <v>0</v>
      </c>
      <c r="T7" s="168">
        <f>T110+T122</f>
        <v>2884704.37</v>
      </c>
      <c r="U7" s="168">
        <f>U110+U122</f>
        <v>2596535.7200000002</v>
      </c>
      <c r="V7" s="168">
        <f>V110+V122</f>
        <v>622399.88</v>
      </c>
      <c r="W7" s="168">
        <f>W110+W122</f>
        <v>1945746.84</v>
      </c>
      <c r="X7" s="168">
        <f>X110+X122</f>
        <v>1927944.8</v>
      </c>
      <c r="Y7" s="168">
        <f t="shared" si="7"/>
        <v>474866.98</v>
      </c>
      <c r="Z7" s="168">
        <f t="shared" si="7"/>
        <v>1059505.05</v>
      </c>
      <c r="AA7" s="168">
        <f t="shared" si="7"/>
        <v>1450642.34</v>
      </c>
      <c r="AB7" s="168">
        <f t="shared" si="7"/>
        <v>319490.71999999997</v>
      </c>
      <c r="AC7" s="168">
        <f t="shared" si="7"/>
        <v>210539.64</v>
      </c>
      <c r="AD7" s="168">
        <f t="shared" si="7"/>
        <v>2119802.66</v>
      </c>
      <c r="AE7" s="168">
        <f t="shared" si="7"/>
        <v>1151011.7</v>
      </c>
      <c r="AF7" s="139">
        <f t="shared" si="8"/>
        <v>1106008.1390909092</v>
      </c>
      <c r="AG7" s="139">
        <f t="shared" si="9"/>
        <v>-1106008.1390909092</v>
      </c>
    </row>
    <row r="8" spans="1:33" x14ac:dyDescent="0.25">
      <c r="A8" s="130" t="s">
        <v>8</v>
      </c>
      <c r="B8" s="139">
        <f t="shared" si="0"/>
        <v>3240659.06</v>
      </c>
      <c r="C8" s="139">
        <f t="shared" si="0"/>
        <v>904530.28</v>
      </c>
      <c r="D8" s="139">
        <f t="shared" ref="D8:E8" si="25">D111+D123</f>
        <v>5061430.34</v>
      </c>
      <c r="E8" s="139">
        <f t="shared" si="25"/>
        <v>3232811.25</v>
      </c>
      <c r="F8" s="139">
        <f t="shared" ref="F8:G8" si="26">F111+F123</f>
        <v>0</v>
      </c>
      <c r="G8" s="139">
        <f t="shared" si="26"/>
        <v>0</v>
      </c>
      <c r="H8" s="139">
        <f t="shared" ref="H8" si="27">H111+H123</f>
        <v>0</v>
      </c>
      <c r="I8" s="139">
        <f t="shared" si="13"/>
        <v>0</v>
      </c>
      <c r="J8" s="139">
        <f t="shared" si="13"/>
        <v>0</v>
      </c>
      <c r="K8" s="139">
        <f t="shared" ref="K8:L8" si="28">K111+K123</f>
        <v>0</v>
      </c>
      <c r="L8" s="139">
        <f t="shared" si="28"/>
        <v>0</v>
      </c>
      <c r="M8" s="139">
        <f t="shared" ref="M8" si="29">M111+M123</f>
        <v>0</v>
      </c>
      <c r="N8" s="139">
        <f t="shared" si="16"/>
        <v>12439430.93</v>
      </c>
      <c r="O8" s="139"/>
      <c r="P8" s="139">
        <f t="shared" si="17"/>
        <v>16263463.7925</v>
      </c>
      <c r="Q8" s="139">
        <f t="shared" si="18"/>
        <v>21684618.390000001</v>
      </c>
      <c r="R8" s="139">
        <v>21684618.390000001</v>
      </c>
      <c r="S8" s="170">
        <f t="shared" si="19"/>
        <v>0</v>
      </c>
      <c r="T8" s="168">
        <f>+T111</f>
        <v>3238349</v>
      </c>
      <c r="U8" s="168">
        <f>+U111</f>
        <v>1478660.42</v>
      </c>
      <c r="V8" s="168">
        <f>+V111+V123</f>
        <v>1427673</v>
      </c>
      <c r="W8" s="168">
        <f>+W111</f>
        <v>2167697.4500000002</v>
      </c>
      <c r="X8" s="168">
        <f>+X111</f>
        <v>847867.6</v>
      </c>
      <c r="Y8" s="168">
        <f t="shared" si="7"/>
        <v>784960.5</v>
      </c>
      <c r="Z8" s="168">
        <f t="shared" si="7"/>
        <v>518684.94</v>
      </c>
      <c r="AA8" s="168">
        <f t="shared" si="7"/>
        <v>749745</v>
      </c>
      <c r="AB8" s="168">
        <f t="shared" si="7"/>
        <v>593767</v>
      </c>
      <c r="AC8" s="168">
        <f t="shared" si="7"/>
        <v>2838661.13</v>
      </c>
      <c r="AD8" s="168">
        <f t="shared" si="7"/>
        <v>1687433.35</v>
      </c>
      <c r="AE8" s="168">
        <f t="shared" si="7"/>
        <v>5351119</v>
      </c>
      <c r="AF8" s="139">
        <f t="shared" si="8"/>
        <v>1130857.3572727272</v>
      </c>
      <c r="AG8" s="139">
        <f t="shared" si="9"/>
        <v>-1130857.3572727272</v>
      </c>
    </row>
    <row r="9" spans="1:33" x14ac:dyDescent="0.25">
      <c r="A9" s="130" t="s">
        <v>9</v>
      </c>
      <c r="B9" s="139">
        <f>+B115+B126</f>
        <v>1530905</v>
      </c>
      <c r="C9" s="139">
        <f>+C115+C126</f>
        <v>318905</v>
      </c>
      <c r="D9" s="139">
        <f t="shared" ref="D9:E9" si="30">+D115+D126</f>
        <v>3027655</v>
      </c>
      <c r="E9" s="139">
        <f t="shared" si="30"/>
        <v>291750</v>
      </c>
      <c r="F9" s="139">
        <f t="shared" ref="F9:G9" si="31">+F115+F126</f>
        <v>0</v>
      </c>
      <c r="G9" s="139">
        <f t="shared" si="31"/>
        <v>0</v>
      </c>
      <c r="H9" s="139">
        <f t="shared" ref="H9" si="32">+H115+H126</f>
        <v>0</v>
      </c>
      <c r="I9" s="139">
        <f t="shared" ref="I9:J9" si="33">+I115+I126</f>
        <v>0</v>
      </c>
      <c r="J9" s="139">
        <f t="shared" si="33"/>
        <v>0</v>
      </c>
      <c r="K9" s="139">
        <f>+K115+K126</f>
        <v>0</v>
      </c>
      <c r="L9" s="139">
        <f>+L115+L126</f>
        <v>0</v>
      </c>
      <c r="M9" s="139">
        <f t="shared" ref="M9" si="34">+M115+M126</f>
        <v>0</v>
      </c>
      <c r="N9" s="139">
        <f t="shared" si="16"/>
        <v>5169215</v>
      </c>
      <c r="O9" s="139"/>
      <c r="P9" s="139">
        <f t="shared" si="17"/>
        <v>5044185.727500001</v>
      </c>
      <c r="Q9" s="139">
        <f t="shared" si="18"/>
        <v>6725580.9700000007</v>
      </c>
      <c r="R9" s="139">
        <v>6725580.9700000007</v>
      </c>
      <c r="S9" s="170">
        <f t="shared" si="19"/>
        <v>0</v>
      </c>
      <c r="T9" s="168">
        <f t="shared" ref="T9:AE9" si="35">+T115+T126</f>
        <v>85825</v>
      </c>
      <c r="U9" s="168">
        <f t="shared" si="35"/>
        <v>579872.5</v>
      </c>
      <c r="V9" s="168">
        <f t="shared" si="35"/>
        <v>108078.75</v>
      </c>
      <c r="W9" s="168">
        <f t="shared" si="35"/>
        <v>903549.14</v>
      </c>
      <c r="X9" s="168">
        <f t="shared" si="35"/>
        <v>310999.59999999998</v>
      </c>
      <c r="Y9" s="168">
        <f t="shared" si="35"/>
        <v>1246220.98</v>
      </c>
      <c r="Z9" s="168">
        <f t="shared" si="35"/>
        <v>454175</v>
      </c>
      <c r="AA9" s="168">
        <f t="shared" si="35"/>
        <v>875445</v>
      </c>
      <c r="AB9" s="168">
        <f t="shared" si="35"/>
        <v>458565</v>
      </c>
      <c r="AC9" s="168">
        <f t="shared" si="35"/>
        <v>664960</v>
      </c>
      <c r="AD9" s="168">
        <f t="shared" si="35"/>
        <v>620675</v>
      </c>
      <c r="AE9" s="168">
        <f t="shared" si="35"/>
        <v>417215</v>
      </c>
      <c r="AF9" s="139">
        <f t="shared" si="8"/>
        <v>469928.63636363635</v>
      </c>
      <c r="AG9" s="139">
        <f t="shared" si="9"/>
        <v>-469928.63636363635</v>
      </c>
    </row>
    <row r="10" spans="1:33" x14ac:dyDescent="0.25">
      <c r="A10" s="130" t="s">
        <v>10</v>
      </c>
      <c r="B10" s="139">
        <f>B127+B129+B131+B128+B130</f>
        <v>23372780.25</v>
      </c>
      <c r="C10" s="139">
        <f>C127+C129+C131+C128+C130</f>
        <v>26311248.82</v>
      </c>
      <c r="D10" s="139">
        <f t="shared" ref="D10:E10" si="36">D127+D129+D131+D128+D130</f>
        <v>28574594.289999999</v>
      </c>
      <c r="E10" s="139">
        <f t="shared" si="36"/>
        <v>28928136.649999999</v>
      </c>
      <c r="F10" s="139">
        <f t="shared" ref="F10:G10" si="37">F127+F129+F131+F128+F130</f>
        <v>0</v>
      </c>
      <c r="G10" s="139">
        <f t="shared" si="37"/>
        <v>0</v>
      </c>
      <c r="H10" s="139">
        <f t="shared" ref="H10" si="38">H127+H129+H131+H128+H130</f>
        <v>0</v>
      </c>
      <c r="I10" s="139">
        <f t="shared" ref="I10:M10" si="39">I127+I129+I131+I128+I130</f>
        <v>0</v>
      </c>
      <c r="J10" s="139">
        <f t="shared" si="39"/>
        <v>0</v>
      </c>
      <c r="K10" s="139">
        <f t="shared" ref="K10:L10" si="40">K127+K129+K131+K128+K130</f>
        <v>0</v>
      </c>
      <c r="L10" s="139">
        <f t="shared" si="40"/>
        <v>0</v>
      </c>
      <c r="M10" s="139">
        <f t="shared" si="39"/>
        <v>0</v>
      </c>
      <c r="N10" s="139">
        <f t="shared" si="16"/>
        <v>107186760.00999999</v>
      </c>
      <c r="O10" s="139"/>
      <c r="P10" s="139">
        <f t="shared" si="17"/>
        <v>7799893.919999999</v>
      </c>
      <c r="Q10" s="139">
        <f t="shared" si="18"/>
        <v>10399858.559999999</v>
      </c>
      <c r="R10" s="139">
        <v>10399858.559999999</v>
      </c>
      <c r="S10" s="170">
        <f t="shared" si="19"/>
        <v>0</v>
      </c>
      <c r="U10" s="168"/>
      <c r="V10" s="168"/>
      <c r="W10" s="168">
        <f>W127+W129</f>
        <v>292312.5</v>
      </c>
      <c r="X10" s="168">
        <f>X127+X129</f>
        <v>0</v>
      </c>
      <c r="Y10" s="168">
        <f>Y127+Y129</f>
        <v>1845</v>
      </c>
      <c r="Z10" s="168">
        <f>Z127+Z129</f>
        <v>161476.78</v>
      </c>
      <c r="AA10" s="168">
        <f>AA127+AA129+AA131+AA128</f>
        <v>138951.82999999999</v>
      </c>
      <c r="AB10" s="168">
        <f>AB127+AB129+AB131+AB128</f>
        <v>2028039.81</v>
      </c>
      <c r="AC10" s="168">
        <f>AC127+AC129+AC131+AC128</f>
        <v>1609511.6</v>
      </c>
      <c r="AD10" s="168">
        <f>AD127+AD129+AD131+AD128</f>
        <v>3133630.18</v>
      </c>
      <c r="AE10" s="168">
        <f>AE127+AE129+AE131+AE128</f>
        <v>3034090.86</v>
      </c>
      <c r="AF10" s="139"/>
      <c r="AG10" s="139"/>
    </row>
    <row r="11" spans="1:33" x14ac:dyDescent="0.25">
      <c r="B11" s="142">
        <f>SUM(B5:B10)</f>
        <v>560007534.20000005</v>
      </c>
      <c r="C11" s="142">
        <f>SUM(C5:C10)</f>
        <v>707346837.67999995</v>
      </c>
      <c r="D11" s="142">
        <f>SUM(D5:D10)</f>
        <v>600396764.69000006</v>
      </c>
      <c r="E11" s="142">
        <f>SUM(E5:E10)</f>
        <v>488754250.53999996</v>
      </c>
      <c r="F11" s="142">
        <f t="shared" ref="F11:M11" si="41">SUM(F5:F10)</f>
        <v>0</v>
      </c>
      <c r="G11" s="142">
        <f t="shared" ref="G11:H11" si="42">SUM(G5:G10)</f>
        <v>0</v>
      </c>
      <c r="H11" s="142">
        <f t="shared" si="42"/>
        <v>0</v>
      </c>
      <c r="I11" s="142">
        <f>SUM(I5:I10)</f>
        <v>0</v>
      </c>
      <c r="J11" s="142">
        <f t="shared" si="41"/>
        <v>0</v>
      </c>
      <c r="K11" s="142">
        <f t="shared" si="41"/>
        <v>0</v>
      </c>
      <c r="L11" s="142">
        <f t="shared" si="41"/>
        <v>0</v>
      </c>
      <c r="M11" s="142">
        <f t="shared" si="41"/>
        <v>0</v>
      </c>
      <c r="N11" s="142">
        <f>SUM(N5:N10)</f>
        <v>2356505387.1100006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43">SUM(X5:X10)</f>
        <v>212406374.24000001</v>
      </c>
      <c r="Y11" s="171">
        <f t="shared" si="4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43"/>
        <v>336464026.81</v>
      </c>
      <c r="AC11" s="171">
        <f t="shared" si="43"/>
        <v>150235288.23999998</v>
      </c>
      <c r="AD11" s="171">
        <f t="shared" si="43"/>
        <v>225584148.62</v>
      </c>
      <c r="AE11" s="171">
        <f t="shared" si="43"/>
        <v>192913106.55000001</v>
      </c>
      <c r="AF11" s="142">
        <f t="shared" si="8"/>
        <v>214227762.46454552</v>
      </c>
      <c r="AG11" s="142">
        <f t="shared" si="9"/>
        <v>-214227762.46454552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8"/>
        <v>0</v>
      </c>
      <c r="AG12" s="130">
        <f t="shared" si="9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8"/>
        <v>0</v>
      </c>
      <c r="AG13" s="130">
        <f t="shared" si="9"/>
        <v>0</v>
      </c>
    </row>
    <row r="14" spans="1:33" x14ac:dyDescent="0.25">
      <c r="A14" s="130" t="s">
        <v>12</v>
      </c>
      <c r="B14" s="139">
        <f t="shared" ref="B14:C17" si="44">B141+B167+B174</f>
        <v>385066544.82999998</v>
      </c>
      <c r="C14" s="139">
        <f t="shared" si="44"/>
        <v>521586640.45999998</v>
      </c>
      <c r="D14" s="139">
        <f t="shared" ref="D14:E14" si="45">D141+D167+D174</f>
        <v>418240239.25999999</v>
      </c>
      <c r="E14" s="139">
        <f t="shared" si="45"/>
        <v>327277417.52999997</v>
      </c>
      <c r="F14" s="139">
        <f t="shared" ref="F14:G14" si="46">F141+F167+F174</f>
        <v>0</v>
      </c>
      <c r="G14" s="139">
        <f t="shared" si="46"/>
        <v>0</v>
      </c>
      <c r="H14" s="139">
        <f t="shared" ref="H14" si="47">H141+H167+H174</f>
        <v>0</v>
      </c>
      <c r="I14" s="139">
        <f t="shared" ref="I14:J17" si="48">I141+I167+I174</f>
        <v>0</v>
      </c>
      <c r="J14" s="139">
        <f t="shared" si="48"/>
        <v>0</v>
      </c>
      <c r="K14" s="139">
        <f t="shared" ref="K14:M14" si="49">K141+K167+K174</f>
        <v>0</v>
      </c>
      <c r="L14" s="139">
        <f t="shared" si="49"/>
        <v>0</v>
      </c>
      <c r="M14" s="139">
        <f t="shared" si="49"/>
        <v>0</v>
      </c>
      <c r="N14" s="139">
        <f t="shared" ref="N14:N20" si="50">SUM(B14:M14)</f>
        <v>1652170842.0799999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9"/>
        <v>0</v>
      </c>
      <c r="T14" s="168">
        <f t="shared" ref="T14:X17" si="51">+T141+T167+T174</f>
        <v>157842383.69</v>
      </c>
      <c r="U14" s="168">
        <f t="shared" si="51"/>
        <v>108846154.46000001</v>
      </c>
      <c r="V14" s="168">
        <f t="shared" si="51"/>
        <v>100906197.60999998</v>
      </c>
      <c r="W14" s="168">
        <f t="shared" si="51"/>
        <v>92373678.780000001</v>
      </c>
      <c r="X14" s="168">
        <f t="shared" si="51"/>
        <v>94255718.569999993</v>
      </c>
      <c r="Y14" s="168">
        <f t="shared" ref="Y14:AE17" si="52">Y141+Y167+Y174</f>
        <v>92265888.5</v>
      </c>
      <c r="Z14" s="168">
        <f t="shared" si="52"/>
        <v>124048206.41999999</v>
      </c>
      <c r="AA14" s="168">
        <f t="shared" si="52"/>
        <v>127634931.13</v>
      </c>
      <c r="AB14" s="168">
        <f t="shared" si="52"/>
        <v>93996436.060000002</v>
      </c>
      <c r="AC14" s="168">
        <f t="shared" si="52"/>
        <v>83008415.149999991</v>
      </c>
      <c r="AD14" s="168">
        <f t="shared" si="52"/>
        <v>78594642.269999996</v>
      </c>
      <c r="AE14" s="168">
        <f t="shared" si="52"/>
        <v>58236235.720000006</v>
      </c>
      <c r="AF14" s="139">
        <f t="shared" si="8"/>
        <v>150197349.28</v>
      </c>
      <c r="AG14" s="139">
        <f t="shared" si="9"/>
        <v>-150197349.28</v>
      </c>
    </row>
    <row r="15" spans="1:33" x14ac:dyDescent="0.25">
      <c r="A15" s="130" t="s">
        <v>13</v>
      </c>
      <c r="B15" s="139">
        <f t="shared" si="44"/>
        <v>138220748.66</v>
      </c>
      <c r="C15" s="139">
        <f t="shared" si="44"/>
        <v>141625892.78</v>
      </c>
      <c r="D15" s="139">
        <f t="shared" ref="D15:E15" si="53">D142+D168+D175</f>
        <v>131097255.2</v>
      </c>
      <c r="E15" s="139">
        <f t="shared" si="53"/>
        <v>120507536.86000001</v>
      </c>
      <c r="F15" s="139">
        <f t="shared" ref="F15:G15" si="54">F142+F168+F175</f>
        <v>0</v>
      </c>
      <c r="G15" s="139">
        <f t="shared" si="54"/>
        <v>0</v>
      </c>
      <c r="H15" s="139">
        <f t="shared" ref="H15" si="55">H142+H168+H175</f>
        <v>0</v>
      </c>
      <c r="I15" s="139">
        <f t="shared" si="48"/>
        <v>0</v>
      </c>
      <c r="J15" s="139">
        <f t="shared" si="48"/>
        <v>0</v>
      </c>
      <c r="K15" s="139">
        <f t="shared" ref="K15:M15" si="56">K142+K168+K175</f>
        <v>0</v>
      </c>
      <c r="L15" s="139">
        <f t="shared" si="56"/>
        <v>0</v>
      </c>
      <c r="M15" s="139">
        <f t="shared" si="56"/>
        <v>0</v>
      </c>
      <c r="N15" s="139">
        <f t="shared" si="50"/>
        <v>531451433.5</v>
      </c>
      <c r="O15" s="139"/>
      <c r="P15" s="139">
        <f t="shared" ref="P15:P33" si="57">Q15/12*$P$3</f>
        <v>2577540542.8274999</v>
      </c>
      <c r="Q15" s="139">
        <f t="shared" ref="Q15:Q33" si="58">R15</f>
        <v>3436720723.77</v>
      </c>
      <c r="R15" s="139">
        <v>3436720723.77</v>
      </c>
      <c r="S15" s="170">
        <f t="shared" si="19"/>
        <v>0</v>
      </c>
      <c r="T15" s="168">
        <f t="shared" si="51"/>
        <v>422465521.94999993</v>
      </c>
      <c r="U15" s="168">
        <f t="shared" si="51"/>
        <v>1215546261.6300001</v>
      </c>
      <c r="V15" s="168">
        <f t="shared" si="51"/>
        <v>305678068.99000001</v>
      </c>
      <c r="W15" s="168">
        <f t="shared" si="51"/>
        <v>48482029.219999999</v>
      </c>
      <c r="X15" s="168">
        <f t="shared" si="51"/>
        <v>116507251.69</v>
      </c>
      <c r="Y15" s="168">
        <f t="shared" si="52"/>
        <v>262380283.97</v>
      </c>
      <c r="Z15" s="168">
        <f t="shared" si="52"/>
        <v>169287706.25999999</v>
      </c>
      <c r="AA15" s="168">
        <f t="shared" si="52"/>
        <v>327625512.15999997</v>
      </c>
      <c r="AB15" s="168">
        <f t="shared" si="52"/>
        <v>243891316.29999998</v>
      </c>
      <c r="AC15" s="168">
        <f t="shared" si="52"/>
        <v>60177181.419999994</v>
      </c>
      <c r="AD15" s="168">
        <f t="shared" si="52"/>
        <v>141374227.26999998</v>
      </c>
      <c r="AE15" s="168">
        <f t="shared" si="52"/>
        <v>123305362.91</v>
      </c>
      <c r="AF15" s="139">
        <f t="shared" si="8"/>
        <v>48313766.68181818</v>
      </c>
      <c r="AG15" s="139">
        <f t="shared" si="9"/>
        <v>-48313766.68181818</v>
      </c>
    </row>
    <row r="16" spans="1:33" x14ac:dyDescent="0.25">
      <c r="A16" s="130" t="s">
        <v>464</v>
      </c>
      <c r="B16" s="139">
        <f t="shared" si="44"/>
        <v>1082826.75</v>
      </c>
      <c r="C16" s="139">
        <f t="shared" si="44"/>
        <v>4046571.1</v>
      </c>
      <c r="D16" s="139">
        <f>D143+D169+D176+D190</f>
        <v>6060221.4899999993</v>
      </c>
      <c r="E16" s="139">
        <f t="shared" ref="E16" si="59">E143+E169+E176</f>
        <v>1035330.99</v>
      </c>
      <c r="F16" s="139">
        <f t="shared" ref="F16:G16" si="60">F143+F169+F176</f>
        <v>0</v>
      </c>
      <c r="G16" s="139">
        <f t="shared" si="60"/>
        <v>0</v>
      </c>
      <c r="H16" s="139">
        <f t="shared" ref="H16" si="61">H143+H169+H176</f>
        <v>0</v>
      </c>
      <c r="I16" s="139">
        <f t="shared" si="48"/>
        <v>0</v>
      </c>
      <c r="J16" s="139">
        <f t="shared" si="48"/>
        <v>0</v>
      </c>
      <c r="K16" s="139">
        <f t="shared" ref="K16:M16" si="62">K143+K169+K176</f>
        <v>0</v>
      </c>
      <c r="L16" s="139">
        <f t="shared" si="62"/>
        <v>0</v>
      </c>
      <c r="M16" s="139">
        <f t="shared" si="62"/>
        <v>0</v>
      </c>
      <c r="N16" s="139">
        <f t="shared" si="50"/>
        <v>12224950.33</v>
      </c>
      <c r="O16" s="139"/>
      <c r="P16" s="139">
        <f t="shared" si="57"/>
        <v>12564562.035</v>
      </c>
      <c r="Q16" s="139">
        <f t="shared" si="58"/>
        <v>16752749.379999999</v>
      </c>
      <c r="R16" s="139">
        <v>16752749.379999999</v>
      </c>
      <c r="S16" s="170">
        <f t="shared" si="19"/>
        <v>0</v>
      </c>
      <c r="T16" s="168">
        <f t="shared" si="51"/>
        <v>2842624.1900000004</v>
      </c>
      <c r="U16" s="168">
        <f t="shared" si="51"/>
        <v>2535222.7399999998</v>
      </c>
      <c r="V16" s="168">
        <f t="shared" si="51"/>
        <v>618326.57000000007</v>
      </c>
      <c r="W16" s="168">
        <f t="shared" si="51"/>
        <v>1945380.79</v>
      </c>
      <c r="X16" s="168">
        <f t="shared" si="51"/>
        <v>2008835.22</v>
      </c>
      <c r="Y16" s="168">
        <f t="shared" si="52"/>
        <v>484708.1</v>
      </c>
      <c r="Z16" s="168">
        <f t="shared" si="52"/>
        <v>1046932.3900000002</v>
      </c>
      <c r="AA16" s="168">
        <f t="shared" si="52"/>
        <v>1505536.0799999998</v>
      </c>
      <c r="AB16" s="168">
        <f t="shared" si="52"/>
        <v>401564.48</v>
      </c>
      <c r="AC16" s="168">
        <f t="shared" si="52"/>
        <v>210096.02</v>
      </c>
      <c r="AD16" s="168">
        <f t="shared" si="52"/>
        <v>1952009.67</v>
      </c>
      <c r="AE16" s="168">
        <f t="shared" si="52"/>
        <v>1201513.1299999999</v>
      </c>
      <c r="AF16" s="139">
        <f t="shared" si="8"/>
        <v>1111359.1209090909</v>
      </c>
      <c r="AG16" s="139">
        <f t="shared" si="9"/>
        <v>-1111359.1209090909</v>
      </c>
    </row>
    <row r="17" spans="1:33" x14ac:dyDescent="0.25">
      <c r="A17" s="130" t="s">
        <v>14</v>
      </c>
      <c r="B17" s="139">
        <f t="shared" si="44"/>
        <v>3222170.9099999997</v>
      </c>
      <c r="C17" s="139">
        <f t="shared" si="44"/>
        <v>888764.53999999992</v>
      </c>
      <c r="D17" s="139">
        <f t="shared" ref="D17:E17" si="63">D144+D170+D177</f>
        <v>5068305.9799999995</v>
      </c>
      <c r="E17" s="139">
        <f t="shared" si="63"/>
        <v>3244021.4399999995</v>
      </c>
      <c r="F17" s="139">
        <f t="shared" ref="F17:G17" si="64">F144+F170+F177</f>
        <v>0</v>
      </c>
      <c r="G17" s="139">
        <f t="shared" si="64"/>
        <v>0</v>
      </c>
      <c r="H17" s="139">
        <f t="shared" ref="H17" si="65">H144+H170+H177</f>
        <v>0</v>
      </c>
      <c r="I17" s="139">
        <f t="shared" si="48"/>
        <v>0</v>
      </c>
      <c r="J17" s="139">
        <f t="shared" si="48"/>
        <v>0</v>
      </c>
      <c r="K17" s="139">
        <f t="shared" ref="K17:M17" si="66">K144+K170+K177</f>
        <v>0</v>
      </c>
      <c r="L17" s="139">
        <f t="shared" si="66"/>
        <v>0</v>
      </c>
      <c r="M17" s="139">
        <f t="shared" si="66"/>
        <v>0</v>
      </c>
      <c r="N17" s="139">
        <f t="shared" si="50"/>
        <v>12423262.869999999</v>
      </c>
      <c r="O17" s="139"/>
      <c r="P17" s="139">
        <f t="shared" si="57"/>
        <v>16769375.9475</v>
      </c>
      <c r="Q17" s="139">
        <f t="shared" si="58"/>
        <v>22359167.93</v>
      </c>
      <c r="R17" s="139">
        <v>22359167.93</v>
      </c>
      <c r="S17" s="170">
        <f t="shared" si="19"/>
        <v>0</v>
      </c>
      <c r="T17" s="168">
        <f t="shared" si="51"/>
        <v>3972878.5</v>
      </c>
      <c r="U17" s="168">
        <f t="shared" si="51"/>
        <v>1516251.86</v>
      </c>
      <c r="V17" s="168">
        <f t="shared" si="51"/>
        <v>1446310.3</v>
      </c>
      <c r="W17" s="168">
        <f t="shared" si="51"/>
        <v>2111524.9700000002</v>
      </c>
      <c r="X17" s="168">
        <f t="shared" si="51"/>
        <v>836505.07000000007</v>
      </c>
      <c r="Y17" s="168">
        <f t="shared" si="52"/>
        <v>759607.35</v>
      </c>
      <c r="Z17" s="168">
        <f t="shared" si="52"/>
        <v>470878.57</v>
      </c>
      <c r="AA17" s="168">
        <f t="shared" si="52"/>
        <v>769499.35</v>
      </c>
      <c r="AB17" s="168">
        <f t="shared" si="52"/>
        <v>632199.65</v>
      </c>
      <c r="AC17" s="168">
        <f t="shared" si="52"/>
        <v>2817866.3699999996</v>
      </c>
      <c r="AD17" s="168">
        <f t="shared" si="52"/>
        <v>1676602.18</v>
      </c>
      <c r="AE17" s="168">
        <f t="shared" si="52"/>
        <v>5349043.76</v>
      </c>
      <c r="AF17" s="139">
        <f t="shared" si="8"/>
        <v>1129387.5336363635</v>
      </c>
      <c r="AG17" s="139">
        <f t="shared" si="9"/>
        <v>-1129387.5336363635</v>
      </c>
    </row>
    <row r="18" spans="1:33" x14ac:dyDescent="0.25">
      <c r="A18" s="130" t="s">
        <v>15</v>
      </c>
      <c r="B18" s="139">
        <f>B147+B183+B172</f>
        <v>1396011.25</v>
      </c>
      <c r="C18" s="139">
        <f>C147+C183+C172</f>
        <v>297503.53999999998</v>
      </c>
      <c r="D18" s="139">
        <f t="shared" ref="D18:E18" si="67">D147+D183+D172</f>
        <v>2797261.04</v>
      </c>
      <c r="E18" s="139">
        <f t="shared" si="67"/>
        <v>273684.24</v>
      </c>
      <c r="F18" s="139">
        <f t="shared" ref="F18:G18" si="68">F147+F183+F172</f>
        <v>0</v>
      </c>
      <c r="G18" s="139">
        <f t="shared" si="68"/>
        <v>0</v>
      </c>
      <c r="H18" s="139">
        <f t="shared" ref="H18" si="69">H147+H183+H172</f>
        <v>0</v>
      </c>
      <c r="I18" s="139">
        <f t="shared" ref="I18:J18" si="70">I147+I183+I172</f>
        <v>0</v>
      </c>
      <c r="J18" s="139">
        <f t="shared" si="70"/>
        <v>0</v>
      </c>
      <c r="K18" s="139">
        <f t="shared" ref="K18:M18" si="71">K147+K183+K172</f>
        <v>0</v>
      </c>
      <c r="L18" s="139">
        <f t="shared" si="71"/>
        <v>0</v>
      </c>
      <c r="M18" s="139">
        <f t="shared" si="71"/>
        <v>0</v>
      </c>
      <c r="N18" s="139">
        <f t="shared" si="50"/>
        <v>4764460.07</v>
      </c>
      <c r="O18" s="139"/>
      <c r="P18" s="139">
        <f t="shared" si="57"/>
        <v>4929171.0749999993</v>
      </c>
      <c r="Q18" s="139">
        <f t="shared" si="58"/>
        <v>6572228.0999999996</v>
      </c>
      <c r="R18" s="139">
        <v>6572228.0999999996</v>
      </c>
      <c r="S18" s="170">
        <f t="shared" si="19"/>
        <v>0</v>
      </c>
      <c r="T18" s="168">
        <f>+T147+T183</f>
        <v>103200.43</v>
      </c>
      <c r="U18" s="168">
        <f>+U147+U183</f>
        <v>557565.63</v>
      </c>
      <c r="V18" s="168">
        <f>+V147+V183</f>
        <v>104546.19</v>
      </c>
      <c r="W18" s="168">
        <f>+W147+W183</f>
        <v>891459.31</v>
      </c>
      <c r="X18" s="168">
        <f>+X147+X183</f>
        <v>468362.63</v>
      </c>
      <c r="Y18" s="168">
        <f t="shared" ref="Y18:AE18" si="72">Y147+Y183+Y172</f>
        <v>1064241.21</v>
      </c>
      <c r="Z18" s="168">
        <f t="shared" si="72"/>
        <v>433922.20999999996</v>
      </c>
      <c r="AA18" s="168">
        <f t="shared" si="72"/>
        <v>851173.99</v>
      </c>
      <c r="AB18" s="168">
        <f t="shared" si="72"/>
        <v>441104</v>
      </c>
      <c r="AC18" s="168">
        <f t="shared" si="72"/>
        <v>654934.12</v>
      </c>
      <c r="AD18" s="168">
        <f t="shared" si="72"/>
        <v>610280.34000000008</v>
      </c>
      <c r="AE18" s="168">
        <f t="shared" si="72"/>
        <v>391438.04</v>
      </c>
      <c r="AF18" s="139">
        <f t="shared" si="8"/>
        <v>433132.73363636364</v>
      </c>
      <c r="AG18" s="139">
        <f t="shared" si="9"/>
        <v>-433132.73363636364</v>
      </c>
    </row>
    <row r="19" spans="1:33" x14ac:dyDescent="0.25">
      <c r="A19" s="130" t="s">
        <v>391</v>
      </c>
      <c r="B19" s="139">
        <f>B145+B191</f>
        <v>0</v>
      </c>
      <c r="C19" s="139">
        <f>C145+C191</f>
        <v>0</v>
      </c>
      <c r="D19" s="139">
        <f t="shared" ref="D19:E19" si="73">D145+D191</f>
        <v>1810</v>
      </c>
      <c r="E19" s="139">
        <f t="shared" si="73"/>
        <v>5500</v>
      </c>
      <c r="F19" s="139">
        <f t="shared" ref="F19:G19" si="74">F145+F191</f>
        <v>0</v>
      </c>
      <c r="G19" s="139">
        <f t="shared" si="74"/>
        <v>0</v>
      </c>
      <c r="H19" s="139">
        <f t="shared" ref="H19" si="75">H145+H191</f>
        <v>0</v>
      </c>
      <c r="I19" s="139">
        <f t="shared" ref="I19:J19" si="76">I145+I191</f>
        <v>0</v>
      </c>
      <c r="J19" s="139">
        <f t="shared" si="76"/>
        <v>0</v>
      </c>
      <c r="K19" s="139">
        <f t="shared" ref="K19:M19" si="77">K145+K191</f>
        <v>0</v>
      </c>
      <c r="L19" s="139">
        <f t="shared" si="77"/>
        <v>0</v>
      </c>
      <c r="M19" s="139">
        <f t="shared" si="77"/>
        <v>0</v>
      </c>
      <c r="N19" s="139">
        <f t="shared" si="50"/>
        <v>7310</v>
      </c>
      <c r="O19" s="139"/>
      <c r="P19" s="139">
        <f t="shared" si="57"/>
        <v>6708.1425000000008</v>
      </c>
      <c r="Q19" s="139">
        <f t="shared" si="58"/>
        <v>8944.19</v>
      </c>
      <c r="R19" s="139">
        <v>8944.19</v>
      </c>
      <c r="S19" s="170">
        <f t="shared" si="19"/>
        <v>0</v>
      </c>
      <c r="U19" s="168"/>
      <c r="V19" s="168"/>
      <c r="W19" s="168"/>
      <c r="X19" s="168">
        <f>X145</f>
        <v>72</v>
      </c>
      <c r="Y19" s="168"/>
      <c r="Z19" s="168">
        <f t="shared" ref="Z19:AE19" si="78">Z145+Z191</f>
        <v>0</v>
      </c>
      <c r="AA19" s="168">
        <f t="shared" si="78"/>
        <v>0</v>
      </c>
      <c r="AB19" s="168">
        <f t="shared" si="78"/>
        <v>86.04000000000002</v>
      </c>
      <c r="AC19" s="168">
        <f t="shared" si="78"/>
        <v>-142.80000000000001</v>
      </c>
      <c r="AD19" s="168">
        <f t="shared" si="78"/>
        <v>-492</v>
      </c>
      <c r="AE19" s="168">
        <f t="shared" si="78"/>
        <v>9420.9500000000007</v>
      </c>
      <c r="AF19" s="139"/>
      <c r="AG19" s="139"/>
    </row>
    <row r="20" spans="1:33" x14ac:dyDescent="0.25">
      <c r="A20" s="130" t="s">
        <v>10</v>
      </c>
      <c r="B20" s="139">
        <f>B195+B197+B204+B203+B205+B196+B202+B206+B199+B201</f>
        <v>21897756.52</v>
      </c>
      <c r="C20" s="139">
        <f>C195+C197+C204+C203+C205+C196+C202+C206+C199+C201</f>
        <v>24957155.300000001</v>
      </c>
      <c r="D20" s="139">
        <f t="shared" ref="D20:E20" si="79">D195+D197+D204+D203+D205+D196+D202+D206+D199+D201</f>
        <v>26594156.559999999</v>
      </c>
      <c r="E20" s="139">
        <f t="shared" si="79"/>
        <v>26990993.449999999</v>
      </c>
      <c r="F20" s="139">
        <f t="shared" ref="F20:G20" si="80">F195+F197+F204+F203+F205+F196+F202+F206+F199+F201</f>
        <v>0</v>
      </c>
      <c r="G20" s="139">
        <f t="shared" si="80"/>
        <v>0</v>
      </c>
      <c r="H20" s="139">
        <f t="shared" ref="H20" si="81">H195+H197+H204+H203+H205+H196+H202+H206+H199+H201</f>
        <v>0</v>
      </c>
      <c r="I20" s="139">
        <f t="shared" ref="I20:J20" si="82">I195+I197+I204+I203+I205+I196+I202+I206+I199+I201</f>
        <v>0</v>
      </c>
      <c r="J20" s="139">
        <f t="shared" si="82"/>
        <v>0</v>
      </c>
      <c r="K20" s="139">
        <f t="shared" ref="K20:M20" si="83">K195+K197+K204+K203+K205+K196+K202+K206+K199+K201</f>
        <v>0</v>
      </c>
      <c r="L20" s="139">
        <f t="shared" si="83"/>
        <v>0</v>
      </c>
      <c r="M20" s="139">
        <f t="shared" si="83"/>
        <v>0</v>
      </c>
      <c r="N20" s="139">
        <f t="shared" si="50"/>
        <v>100440061.83</v>
      </c>
      <c r="O20" s="139"/>
      <c r="P20" s="139">
        <f t="shared" si="57"/>
        <v>7675840.3650000002</v>
      </c>
      <c r="Q20" s="139">
        <f t="shared" si="58"/>
        <v>10234453.82</v>
      </c>
      <c r="R20" s="139">
        <v>10234453.82</v>
      </c>
      <c r="S20" s="170">
        <f t="shared" si="19"/>
        <v>0</v>
      </c>
      <c r="U20" s="168"/>
      <c r="V20" s="168"/>
      <c r="W20" s="168">
        <f>W195+W197</f>
        <v>180989.71000000002</v>
      </c>
      <c r="X20" s="168">
        <f>X195+X197</f>
        <v>-0.02</v>
      </c>
      <c r="Y20" s="168">
        <f>Y195+Y197+Y204+Y203</f>
        <v>1208.02</v>
      </c>
      <c r="Z20" s="168">
        <f>Z195+Z197+Z204+Z203+Z205</f>
        <v>165633.65</v>
      </c>
      <c r="AA20" s="168">
        <f>AA195+AA197+AA204+AA203+AA205+AA196+AA202</f>
        <v>148231.46</v>
      </c>
      <c r="AB20" s="168">
        <f>AB195+AB197+AB204+AB203+AB205+AB196+AB202</f>
        <v>2225227.27</v>
      </c>
      <c r="AC20" s="168">
        <f>AC195+AC197+AC204+AC203+AC205+AC196+AC202</f>
        <v>1271518.28</v>
      </c>
      <c r="AD20" s="168">
        <f>AD195+AD197+AD204+AD203+AD205+AD196+AD202+AD206</f>
        <v>3248265.2199999997</v>
      </c>
      <c r="AE20" s="168">
        <f>AE195+AE197+AE204+AE203+AE205+AE196+AE202+AE206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7"/>
        <v>0</v>
      </c>
      <c r="Q21" s="139">
        <f t="shared" si="58"/>
        <v>0</v>
      </c>
      <c r="R21" s="143"/>
      <c r="S21" s="170">
        <f t="shared" si="1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8"/>
        <v>0</v>
      </c>
      <c r="AG21" s="143">
        <f t="shared" si="9"/>
        <v>0</v>
      </c>
    </row>
    <row r="22" spans="1:33" x14ac:dyDescent="0.25">
      <c r="A22" s="130" t="s">
        <v>16</v>
      </c>
      <c r="B22" s="139">
        <f>B158+B163</f>
        <v>-713960.23000001907</v>
      </c>
      <c r="C22" s="139">
        <f>C158+C163</f>
        <v>4251144.0900001526</v>
      </c>
      <c r="D22" s="139">
        <f t="shared" ref="D22:E22" si="84">D158+D163</f>
        <v>5552051.5800000429</v>
      </c>
      <c r="E22" s="139">
        <f t="shared" si="84"/>
        <v>2915829.4200000167</v>
      </c>
      <c r="F22" s="139">
        <f t="shared" ref="F22:G22" si="85">F158+F163</f>
        <v>0</v>
      </c>
      <c r="G22" s="139">
        <f t="shared" si="85"/>
        <v>0</v>
      </c>
      <c r="H22" s="139">
        <f t="shared" ref="H22" si="86">H158+H163</f>
        <v>0</v>
      </c>
      <c r="I22" s="139">
        <f t="shared" ref="I22:J22" si="87">I158+I163</f>
        <v>0</v>
      </c>
      <c r="J22" s="139">
        <f t="shared" si="87"/>
        <v>0</v>
      </c>
      <c r="K22" s="139">
        <f t="shared" ref="K22:M22" si="88">K158+K163</f>
        <v>0</v>
      </c>
      <c r="L22" s="139">
        <f t="shared" si="88"/>
        <v>0</v>
      </c>
      <c r="M22" s="139">
        <f t="shared" si="88"/>
        <v>0</v>
      </c>
      <c r="N22" s="139">
        <f>SUM(B22:M22)</f>
        <v>12005064.860000193</v>
      </c>
      <c r="O22" s="139"/>
      <c r="P22" s="139">
        <f t="shared" si="57"/>
        <v>-4379077.7325000186</v>
      </c>
      <c r="Q22" s="139">
        <f t="shared" si="58"/>
        <v>-5838770.3100000247</v>
      </c>
      <c r="R22" s="139">
        <v>-5838770.3100000247</v>
      </c>
      <c r="S22" s="170">
        <f t="shared" si="19"/>
        <v>0</v>
      </c>
      <c r="T22" s="168">
        <f>T163+T158</f>
        <v>-4303584.0399999917</v>
      </c>
      <c r="U22" s="168">
        <f>U163+U158</f>
        <v>-230168.78000000119</v>
      </c>
      <c r="V22" s="168">
        <f>V163+V158</f>
        <v>-102046.03999999166</v>
      </c>
      <c r="W22" s="139">
        <f>W163+W158</f>
        <v>14781.879999995232</v>
      </c>
      <c r="X22" s="139">
        <f>X163+X158</f>
        <v>98279.520000003278</v>
      </c>
      <c r="Y22" s="139">
        <f>Y158+Y163</f>
        <v>426672.62000000477</v>
      </c>
      <c r="Z22" s="139">
        <f t="shared" ref="Z22:AE22" si="89">Z158+Z163</f>
        <v>293118.11000001431</v>
      </c>
      <c r="AA22" s="139">
        <f t="shared" si="89"/>
        <v>327964.43000000715</v>
      </c>
      <c r="AB22" s="139">
        <f t="shared" si="89"/>
        <v>277404.03999996185</v>
      </c>
      <c r="AC22" s="139">
        <f t="shared" si="89"/>
        <v>-370818.23000000417</v>
      </c>
      <c r="AD22" s="139">
        <f t="shared" si="89"/>
        <v>-263637.1099999845</v>
      </c>
      <c r="AE22" s="139">
        <f t="shared" si="89"/>
        <v>-2006736.7100000381</v>
      </c>
      <c r="AF22" s="139">
        <f t="shared" si="8"/>
        <v>1091369.5327272902</v>
      </c>
      <c r="AG22" s="139">
        <f t="shared" si="9"/>
        <v>-1091369.5327272902</v>
      </c>
    </row>
    <row r="23" spans="1:33" x14ac:dyDescent="0.25">
      <c r="A23" s="130" t="s">
        <v>17</v>
      </c>
      <c r="B23" s="139">
        <f>B164+B171</f>
        <v>-965329.49000000954</v>
      </c>
      <c r="C23" s="139">
        <f>C164+C171</f>
        <v>-4588559.0299999714</v>
      </c>
      <c r="D23" s="139">
        <f t="shared" ref="D23:E23" si="90">D164+D171</f>
        <v>698380.20000001788</v>
      </c>
      <c r="E23" s="139">
        <f t="shared" si="90"/>
        <v>2991968.4499999881</v>
      </c>
      <c r="F23" s="139">
        <f t="shared" ref="F23:G23" si="91">F164+F171</f>
        <v>0</v>
      </c>
      <c r="G23" s="139">
        <f t="shared" si="91"/>
        <v>0</v>
      </c>
      <c r="H23" s="139">
        <f t="shared" ref="H23" si="92">H164+H171</f>
        <v>0</v>
      </c>
      <c r="I23" s="139">
        <f t="shared" ref="I23:J23" si="93">I164+I171</f>
        <v>0</v>
      </c>
      <c r="J23" s="139">
        <f t="shared" si="93"/>
        <v>0</v>
      </c>
      <c r="K23" s="139">
        <f t="shared" ref="K23:M23" si="94">K164+K171</f>
        <v>0</v>
      </c>
      <c r="L23" s="139">
        <f t="shared" si="94"/>
        <v>0</v>
      </c>
      <c r="M23" s="139">
        <f t="shared" si="94"/>
        <v>0</v>
      </c>
      <c r="N23" s="139">
        <f t="shared" ref="N23:N25" si="95">SUM(B23:M23)</f>
        <v>-1863539.869999975</v>
      </c>
      <c r="O23" s="139"/>
      <c r="P23" s="139">
        <f t="shared" si="57"/>
        <v>6105608.7674999544</v>
      </c>
      <c r="Q23" s="139">
        <f t="shared" si="58"/>
        <v>8140811.6899999399</v>
      </c>
      <c r="R23" s="139">
        <v>8140811.6899999399</v>
      </c>
      <c r="S23" s="170">
        <f t="shared" si="19"/>
        <v>0</v>
      </c>
      <c r="T23" s="168">
        <f t="shared" ref="T23:AE23" si="96">T164+T171</f>
        <v>-198311.54999999702</v>
      </c>
      <c r="U23" s="168">
        <f t="shared" si="96"/>
        <v>-141071.81000000052</v>
      </c>
      <c r="V23" s="168">
        <f t="shared" si="96"/>
        <v>73914.890000000596</v>
      </c>
      <c r="W23" s="168">
        <f t="shared" si="96"/>
        <v>442679.44999998808</v>
      </c>
      <c r="X23" s="168">
        <f t="shared" si="96"/>
        <v>682167.71000003815</v>
      </c>
      <c r="Y23" s="168">
        <f t="shared" si="96"/>
        <v>1346835.4100000858</v>
      </c>
      <c r="Z23" s="168">
        <f t="shared" si="96"/>
        <v>4496541.1600000262</v>
      </c>
      <c r="AA23" s="168">
        <f t="shared" si="96"/>
        <v>161672.65999996662</v>
      </c>
      <c r="AB23" s="168">
        <f t="shared" si="96"/>
        <v>664706.21999999881</v>
      </c>
      <c r="AC23" s="168">
        <f t="shared" si="96"/>
        <v>1736952.3999998569</v>
      </c>
      <c r="AD23" s="168">
        <f t="shared" si="96"/>
        <v>1886622.8299999237</v>
      </c>
      <c r="AE23" s="168">
        <f t="shared" si="96"/>
        <v>-3011897.6799999475</v>
      </c>
      <c r="AF23" s="139">
        <f t="shared" si="8"/>
        <v>-169412.71545454318</v>
      </c>
      <c r="AG23" s="139">
        <f t="shared" si="9"/>
        <v>169412.71545454318</v>
      </c>
    </row>
    <row r="24" spans="1:33" x14ac:dyDescent="0.25">
      <c r="A24" s="130" t="s">
        <v>18</v>
      </c>
      <c r="B24" s="139">
        <f>B165+B173</f>
        <v>-48834.910000000149</v>
      </c>
      <c r="C24" s="139">
        <f>C165+C173</f>
        <v>-393400.25999999978</v>
      </c>
      <c r="D24" s="139">
        <f t="shared" ref="D24:E24" si="97">D165+D173</f>
        <v>-35029.219999999739</v>
      </c>
      <c r="E24" s="139">
        <f t="shared" si="97"/>
        <v>-6171.2800000000279</v>
      </c>
      <c r="F24" s="139">
        <f t="shared" ref="F24:G24" si="98">F165+F173</f>
        <v>0</v>
      </c>
      <c r="G24" s="139">
        <f t="shared" si="98"/>
        <v>0</v>
      </c>
      <c r="H24" s="139">
        <f t="shared" ref="H24" si="99">H165+H173</f>
        <v>0</v>
      </c>
      <c r="I24" s="139">
        <f t="shared" ref="I24:J24" si="100">I165+I173</f>
        <v>0</v>
      </c>
      <c r="J24" s="139">
        <f t="shared" si="100"/>
        <v>0</v>
      </c>
      <c r="K24" s="139">
        <f t="shared" ref="K24:M24" si="101">K165+K173</f>
        <v>0</v>
      </c>
      <c r="L24" s="139">
        <f t="shared" si="101"/>
        <v>0</v>
      </c>
      <c r="M24" s="139">
        <f t="shared" si="101"/>
        <v>0</v>
      </c>
      <c r="N24" s="139">
        <f t="shared" si="95"/>
        <v>-483435.66999999969</v>
      </c>
      <c r="O24" s="139"/>
      <c r="P24" s="139">
        <f t="shared" si="57"/>
        <v>62527.755000000063</v>
      </c>
      <c r="Q24" s="139">
        <f t="shared" si="58"/>
        <v>83370.340000000084</v>
      </c>
      <c r="R24" s="139">
        <v>83370.340000000084</v>
      </c>
      <c r="S24" s="170">
        <f t="shared" si="19"/>
        <v>0</v>
      </c>
      <c r="T24" s="168">
        <f t="shared" ref="T24:AE24" si="102">T165+T173</f>
        <v>-28077.910000000033</v>
      </c>
      <c r="U24" s="168">
        <f t="shared" si="102"/>
        <v>-41342.620000000112</v>
      </c>
      <c r="V24" s="168">
        <f t="shared" si="102"/>
        <v>-28127.939999999944</v>
      </c>
      <c r="W24" s="173">
        <f t="shared" si="102"/>
        <v>1048.5499999999884</v>
      </c>
      <c r="X24" s="173">
        <f t="shared" si="102"/>
        <v>13526.869999999995</v>
      </c>
      <c r="Y24" s="173">
        <f t="shared" si="102"/>
        <v>28752.459999999963</v>
      </c>
      <c r="Z24" s="173">
        <f t="shared" si="102"/>
        <v>-16145.679999999993</v>
      </c>
      <c r="AA24" s="173">
        <f t="shared" si="102"/>
        <v>-6336.4200000000419</v>
      </c>
      <c r="AB24" s="173">
        <f t="shared" si="102"/>
        <v>-36760.469999999972</v>
      </c>
      <c r="AC24" s="173">
        <f t="shared" si="102"/>
        <v>-12813.290000000037</v>
      </c>
      <c r="AD24" s="173">
        <f t="shared" si="102"/>
        <v>-4549.9899999999907</v>
      </c>
      <c r="AE24" s="173">
        <f t="shared" si="102"/>
        <v>214196.78000000026</v>
      </c>
      <c r="AF24" s="139">
        <f t="shared" si="8"/>
        <v>-43948.697272727244</v>
      </c>
      <c r="AG24" s="139">
        <f t="shared" si="9"/>
        <v>43948.697272727244</v>
      </c>
    </row>
    <row r="25" spans="1:33" x14ac:dyDescent="0.25">
      <c r="A25" s="130" t="s">
        <v>19</v>
      </c>
      <c r="B25" s="139">
        <f>B166+B178</f>
        <v>-66098.699999999953</v>
      </c>
      <c r="C25" s="139">
        <f>C166+C178</f>
        <v>9483.0599999999977</v>
      </c>
      <c r="D25" s="139">
        <f t="shared" ref="D25:E25" si="103">D166+D178</f>
        <v>-54035.719999999972</v>
      </c>
      <c r="E25" s="139">
        <f t="shared" si="103"/>
        <v>-23520.619999999995</v>
      </c>
      <c r="F25" s="139">
        <f t="shared" ref="F25:G25" si="104">F166+F178</f>
        <v>0</v>
      </c>
      <c r="G25" s="139">
        <f t="shared" si="104"/>
        <v>0</v>
      </c>
      <c r="H25" s="139">
        <f t="shared" ref="H25" si="105">H166+H178</f>
        <v>0</v>
      </c>
      <c r="I25" s="139">
        <f t="shared" ref="I25:J25" si="106">I166+I178</f>
        <v>0</v>
      </c>
      <c r="J25" s="139">
        <f t="shared" si="106"/>
        <v>0</v>
      </c>
      <c r="K25" s="139">
        <f t="shared" ref="K25:M25" si="107">K166+K178</f>
        <v>0</v>
      </c>
      <c r="L25" s="139">
        <f t="shared" si="107"/>
        <v>0</v>
      </c>
      <c r="M25" s="139">
        <f t="shared" si="107"/>
        <v>0</v>
      </c>
      <c r="N25" s="139">
        <f t="shared" si="95"/>
        <v>-134171.97999999992</v>
      </c>
      <c r="O25" s="139"/>
      <c r="P25" s="139">
        <f t="shared" si="57"/>
        <v>-247710.27</v>
      </c>
      <c r="Q25" s="139">
        <f t="shared" si="58"/>
        <v>-330280.36</v>
      </c>
      <c r="R25" s="139">
        <v>-330280.36</v>
      </c>
      <c r="S25" s="170">
        <f t="shared" si="19"/>
        <v>0</v>
      </c>
      <c r="T25" s="168">
        <f t="shared" ref="T25:AE25" si="108">T166+T178</f>
        <v>-17915.510000000009</v>
      </c>
      <c r="U25" s="168">
        <f t="shared" si="108"/>
        <v>0</v>
      </c>
      <c r="V25" s="168">
        <f t="shared" si="108"/>
        <v>-35497.39</v>
      </c>
      <c r="W25" s="173">
        <f t="shared" si="108"/>
        <v>2061.8000000000466</v>
      </c>
      <c r="X25" s="173">
        <f t="shared" si="108"/>
        <v>0</v>
      </c>
      <c r="Y25" s="173">
        <f t="shared" si="108"/>
        <v>0</v>
      </c>
      <c r="Z25" s="173">
        <f t="shared" si="108"/>
        <v>-19969.050000000003</v>
      </c>
      <c r="AA25" s="173">
        <f t="shared" si="108"/>
        <v>18581.950000000012</v>
      </c>
      <c r="AB25" s="173">
        <f t="shared" si="108"/>
        <v>-29775.839999999967</v>
      </c>
      <c r="AC25" s="173">
        <f t="shared" si="108"/>
        <v>-57997.5</v>
      </c>
      <c r="AD25" s="173">
        <f t="shared" si="108"/>
        <v>0</v>
      </c>
      <c r="AE25" s="173">
        <f t="shared" si="108"/>
        <v>-189768.82000000007</v>
      </c>
      <c r="AF25" s="139">
        <f t="shared" si="8"/>
        <v>-12197.452727272721</v>
      </c>
      <c r="AG25" s="139">
        <f t="shared" si="9"/>
        <v>12197.452727272721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7"/>
        <v>0</v>
      </c>
      <c r="Q26" s="139">
        <f t="shared" si="58"/>
        <v>0</v>
      </c>
      <c r="R26" s="143"/>
      <c r="S26" s="170">
        <f t="shared" si="1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8"/>
        <v>0</v>
      </c>
      <c r="AG26" s="143">
        <f t="shared" si="9"/>
        <v>0</v>
      </c>
    </row>
    <row r="27" spans="1:33" x14ac:dyDescent="0.25">
      <c r="A27" s="130" t="s">
        <v>20</v>
      </c>
      <c r="B27" s="139">
        <f>B154+B159</f>
        <v>1177295</v>
      </c>
      <c r="C27" s="139">
        <f>C154+C159</f>
        <v>1184435</v>
      </c>
      <c r="D27" s="139">
        <f t="shared" ref="D27:E27" si="109">D154+D159</f>
        <v>129325</v>
      </c>
      <c r="E27" s="139">
        <f t="shared" si="109"/>
        <v>-514265</v>
      </c>
      <c r="F27" s="139">
        <f t="shared" ref="F27:G27" si="110">F154+F159</f>
        <v>0</v>
      </c>
      <c r="G27" s="139">
        <f t="shared" si="110"/>
        <v>0</v>
      </c>
      <c r="H27" s="139">
        <f t="shared" ref="H27" si="111">H154+H159</f>
        <v>0</v>
      </c>
      <c r="I27" s="139">
        <f t="shared" ref="I27:J28" si="112">I154+I159</f>
        <v>0</v>
      </c>
      <c r="J27" s="139">
        <f t="shared" si="112"/>
        <v>0</v>
      </c>
      <c r="K27" s="139">
        <f t="shared" ref="K27:M27" si="113">K154+K159</f>
        <v>0</v>
      </c>
      <c r="L27" s="139">
        <f t="shared" si="113"/>
        <v>0</v>
      </c>
      <c r="M27" s="139">
        <f t="shared" si="113"/>
        <v>0</v>
      </c>
      <c r="N27" s="139">
        <f>SUM(B27:M27)</f>
        <v>1976790</v>
      </c>
      <c r="O27" s="139"/>
      <c r="P27" s="139">
        <f t="shared" si="57"/>
        <v>-305405.67750000581</v>
      </c>
      <c r="Q27" s="139">
        <f t="shared" si="58"/>
        <v>-407207.57000000775</v>
      </c>
      <c r="R27" s="139">
        <v>-407207.57000000775</v>
      </c>
      <c r="S27" s="170">
        <f t="shared" si="19"/>
        <v>0</v>
      </c>
      <c r="T27" s="168">
        <f t="shared" ref="T27:AE28" si="114">T154+T159</f>
        <v>-1451390.0700000077</v>
      </c>
      <c r="U27" s="168">
        <f t="shared" si="114"/>
        <v>-14017.5</v>
      </c>
      <c r="V27" s="168">
        <f t="shared" si="114"/>
        <v>-649600</v>
      </c>
      <c r="W27" s="168">
        <f t="shared" si="114"/>
        <v>339010</v>
      </c>
      <c r="X27" s="168">
        <f t="shared" si="114"/>
        <v>92680</v>
      </c>
      <c r="Y27" s="168">
        <f t="shared" si="114"/>
        <v>525780</v>
      </c>
      <c r="Z27" s="168">
        <f t="shared" si="114"/>
        <v>464420</v>
      </c>
      <c r="AA27" s="168">
        <f t="shared" si="114"/>
        <v>390490</v>
      </c>
      <c r="AB27" s="168">
        <f t="shared" si="114"/>
        <v>142640</v>
      </c>
      <c r="AC27" s="168">
        <f t="shared" si="114"/>
        <v>-503440</v>
      </c>
      <c r="AD27" s="168">
        <f t="shared" si="114"/>
        <v>-6050</v>
      </c>
      <c r="AE27" s="168">
        <f t="shared" si="114"/>
        <v>262270</v>
      </c>
      <c r="AF27" s="139">
        <f t="shared" si="8"/>
        <v>179708.18181818182</v>
      </c>
      <c r="AG27" s="139">
        <f t="shared" si="9"/>
        <v>-179708.18181818182</v>
      </c>
    </row>
    <row r="28" spans="1:33" x14ac:dyDescent="0.25">
      <c r="A28" s="130" t="s">
        <v>21</v>
      </c>
      <c r="B28" s="139">
        <f>B155+B160</f>
        <v>2053228</v>
      </c>
      <c r="C28" s="139">
        <f>C155+C160</f>
        <v>-1566043</v>
      </c>
      <c r="D28" s="139">
        <f t="shared" ref="D28:E28" si="115">D155+D160</f>
        <v>-11897883</v>
      </c>
      <c r="E28" s="139">
        <f t="shared" si="115"/>
        <v>7753986</v>
      </c>
      <c r="F28" s="139">
        <f t="shared" ref="F28:G28" si="116">F155+F160</f>
        <v>0</v>
      </c>
      <c r="G28" s="139">
        <f t="shared" si="116"/>
        <v>0</v>
      </c>
      <c r="H28" s="139">
        <f t="shared" ref="H28" si="117">H155+H160</f>
        <v>0</v>
      </c>
      <c r="I28" s="139">
        <f t="shared" si="112"/>
        <v>0</v>
      </c>
      <c r="J28" s="139">
        <f t="shared" si="112"/>
        <v>0</v>
      </c>
      <c r="K28" s="139">
        <f t="shared" ref="K28:M28" si="118">K155+K160</f>
        <v>0</v>
      </c>
      <c r="L28" s="139">
        <f t="shared" si="118"/>
        <v>0</v>
      </c>
      <c r="M28" s="139">
        <f t="shared" si="118"/>
        <v>0</v>
      </c>
      <c r="N28" s="139">
        <f t="shared" ref="N28:N30" si="119">SUM(B28:M28)</f>
        <v>-3656712</v>
      </c>
      <c r="O28" s="139"/>
      <c r="P28" s="139">
        <f t="shared" si="57"/>
        <v>-15201500.879999997</v>
      </c>
      <c r="Q28" s="139">
        <f t="shared" si="58"/>
        <v>-20268667.839999996</v>
      </c>
      <c r="R28" s="139">
        <v>-20268667.839999996</v>
      </c>
      <c r="S28" s="170">
        <f t="shared" si="19"/>
        <v>0</v>
      </c>
      <c r="T28" s="168">
        <f t="shared" si="114"/>
        <v>287951.64999999851</v>
      </c>
      <c r="U28" s="168">
        <f t="shared" si="114"/>
        <v>-4461877.3100000024</v>
      </c>
      <c r="V28" s="168">
        <f t="shared" si="114"/>
        <v>67555.530000001192</v>
      </c>
      <c r="W28" s="173">
        <f t="shared" si="114"/>
        <v>-3414426</v>
      </c>
      <c r="X28" s="173">
        <f t="shared" si="114"/>
        <v>-28165.459999993443</v>
      </c>
      <c r="Y28" s="173">
        <f t="shared" si="114"/>
        <v>-6775542</v>
      </c>
      <c r="Z28" s="173">
        <f t="shared" si="114"/>
        <v>-2610952</v>
      </c>
      <c r="AA28" s="173">
        <f>AA155+AA160</f>
        <v>-4106876</v>
      </c>
      <c r="AB28" s="173">
        <f>AB155+AB160</f>
        <v>-875180</v>
      </c>
      <c r="AC28" s="173">
        <f>AC155+AC160</f>
        <v>-5978691.5</v>
      </c>
      <c r="AD28" s="173">
        <f>AD155+AD160</f>
        <v>-1077231</v>
      </c>
      <c r="AE28" s="173">
        <f>AE155+AE160</f>
        <v>8704766.25</v>
      </c>
      <c r="AF28" s="139">
        <f t="shared" si="8"/>
        <v>-332428.36363636365</v>
      </c>
      <c r="AG28" s="139">
        <f t="shared" si="9"/>
        <v>332428.36363636365</v>
      </c>
    </row>
    <row r="29" spans="1:33" x14ac:dyDescent="0.25">
      <c r="A29" s="130" t="s">
        <v>22</v>
      </c>
      <c r="B29" s="139">
        <f>B161+B156</f>
        <v>0</v>
      </c>
      <c r="C29" s="139">
        <f>C161+C156</f>
        <v>0</v>
      </c>
      <c r="D29" s="139">
        <f t="shared" ref="D29:E29" si="120">D161+D156</f>
        <v>0</v>
      </c>
      <c r="E29" s="139">
        <f t="shared" si="120"/>
        <v>0</v>
      </c>
      <c r="F29" s="139">
        <f t="shared" ref="F29:G29" si="121">F161+F156</f>
        <v>0</v>
      </c>
      <c r="G29" s="139">
        <f t="shared" si="121"/>
        <v>0</v>
      </c>
      <c r="H29" s="139">
        <f t="shared" ref="H29" si="122">H161+H156</f>
        <v>0</v>
      </c>
      <c r="I29" s="139">
        <f t="shared" ref="I29:J29" si="123">I161+I156</f>
        <v>0</v>
      </c>
      <c r="J29" s="139">
        <f t="shared" si="123"/>
        <v>0</v>
      </c>
      <c r="K29" s="139">
        <f t="shared" ref="K29:M29" si="124">K161+K156</f>
        <v>0</v>
      </c>
      <c r="L29" s="139">
        <f t="shared" si="124"/>
        <v>0</v>
      </c>
      <c r="M29" s="139">
        <f t="shared" si="124"/>
        <v>0</v>
      </c>
      <c r="N29" s="139">
        <f t="shared" si="119"/>
        <v>0</v>
      </c>
      <c r="O29" s="139"/>
      <c r="P29" s="139">
        <f t="shared" si="57"/>
        <v>-198.75</v>
      </c>
      <c r="Q29" s="139">
        <f t="shared" si="58"/>
        <v>-265</v>
      </c>
      <c r="R29" s="139">
        <v>-265</v>
      </c>
      <c r="S29" s="170">
        <f t="shared" si="19"/>
        <v>0</v>
      </c>
      <c r="T29" s="168">
        <f>T156+T161</f>
        <v>0</v>
      </c>
      <c r="U29" s="168">
        <f>U156+U161</f>
        <v>4535</v>
      </c>
      <c r="V29" s="168">
        <f>V156+V161</f>
        <v>-3890</v>
      </c>
      <c r="W29" s="173">
        <f>W156+W161</f>
        <v>-555</v>
      </c>
      <c r="X29" s="173">
        <f>X156+X161</f>
        <v>0</v>
      </c>
      <c r="Y29" s="173">
        <f>Y161+Y156</f>
        <v>1775</v>
      </c>
      <c r="Z29" s="173">
        <f t="shared" ref="Z29:AE29" si="125">Z161+Z156</f>
        <v>0</v>
      </c>
      <c r="AA29" s="173">
        <f t="shared" si="125"/>
        <v>0</v>
      </c>
      <c r="AB29" s="173">
        <f t="shared" si="125"/>
        <v>0</v>
      </c>
      <c r="AC29" s="173">
        <f t="shared" si="125"/>
        <v>-450</v>
      </c>
      <c r="AD29" s="173">
        <f t="shared" si="125"/>
        <v>-1680</v>
      </c>
      <c r="AE29" s="173">
        <f t="shared" si="125"/>
        <v>0</v>
      </c>
      <c r="AF29" s="139">
        <f t="shared" si="8"/>
        <v>0</v>
      </c>
      <c r="AG29" s="139">
        <f t="shared" si="9"/>
        <v>0</v>
      </c>
    </row>
    <row r="30" spans="1:33" x14ac:dyDescent="0.25">
      <c r="A30" s="130" t="s">
        <v>23</v>
      </c>
      <c r="B30" s="139">
        <f>B157+B162</f>
        <v>0</v>
      </c>
      <c r="C30" s="139">
        <f>C157+C162</f>
        <v>0</v>
      </c>
      <c r="D30" s="139">
        <f t="shared" ref="D30:E30" si="126">D157+D162</f>
        <v>0</v>
      </c>
      <c r="E30" s="139">
        <f t="shared" si="126"/>
        <v>0</v>
      </c>
      <c r="F30" s="139">
        <f t="shared" ref="F30:G30" si="127">F157+F162</f>
        <v>0</v>
      </c>
      <c r="G30" s="139">
        <f t="shared" si="127"/>
        <v>0</v>
      </c>
      <c r="H30" s="139">
        <f t="shared" ref="H30" si="128">H157+H162</f>
        <v>0</v>
      </c>
      <c r="I30" s="139">
        <f t="shared" ref="I30:J30" si="129">I157+I162</f>
        <v>0</v>
      </c>
      <c r="J30" s="139">
        <f t="shared" si="129"/>
        <v>0</v>
      </c>
      <c r="K30" s="139">
        <f t="shared" ref="K30:M30" si="130">K157+K162</f>
        <v>0</v>
      </c>
      <c r="L30" s="139">
        <f t="shared" si="130"/>
        <v>0</v>
      </c>
      <c r="M30" s="139">
        <f t="shared" si="130"/>
        <v>0</v>
      </c>
      <c r="N30" s="139">
        <f t="shared" si="119"/>
        <v>0</v>
      </c>
      <c r="O30" s="139"/>
      <c r="P30" s="139">
        <f t="shared" si="57"/>
        <v>-660</v>
      </c>
      <c r="Q30" s="139">
        <f t="shared" si="58"/>
        <v>-880</v>
      </c>
      <c r="R30" s="139">
        <v>-880</v>
      </c>
      <c r="S30" s="170">
        <f t="shared" si="1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X157+X162</f>
        <v>0</v>
      </c>
      <c r="Y30" s="173">
        <v>0</v>
      </c>
      <c r="Z30" s="173">
        <f t="shared" ref="Z30:AE30" si="131">Z157+Z162</f>
        <v>-880</v>
      </c>
      <c r="AA30" s="173">
        <f t="shared" si="131"/>
        <v>0</v>
      </c>
      <c r="AB30" s="173">
        <f t="shared" si="131"/>
        <v>0</v>
      </c>
      <c r="AC30" s="173">
        <f t="shared" si="131"/>
        <v>0</v>
      </c>
      <c r="AD30" s="173">
        <f t="shared" si="131"/>
        <v>0</v>
      </c>
      <c r="AE30" s="173">
        <f t="shared" si="131"/>
        <v>0</v>
      </c>
      <c r="AF30" s="139">
        <f t="shared" si="8"/>
        <v>0</v>
      </c>
      <c r="AG30" s="139">
        <f t="shared" si="9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7"/>
        <v>0</v>
      </c>
      <c r="Q31" s="139">
        <f t="shared" si="58"/>
        <v>0</v>
      </c>
      <c r="R31" s="143"/>
      <c r="S31" s="170">
        <f t="shared" si="1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8"/>
        <v>0</v>
      </c>
      <c r="AG31" s="143">
        <f t="shared" si="9"/>
        <v>0</v>
      </c>
    </row>
    <row r="32" spans="1:33" x14ac:dyDescent="0.25">
      <c r="A32" s="130" t="s">
        <v>24</v>
      </c>
      <c r="B32" s="139">
        <f>+B184+B200+B136+B137+B138+B139+B140</f>
        <v>3741109.54</v>
      </c>
      <c r="C32" s="139">
        <f>+C184+C200+C136+C137+C138+C139+C140</f>
        <v>7406162.2299999995</v>
      </c>
      <c r="D32" s="139">
        <f t="shared" ref="D32:E32" si="132">+D184+D200+D136+D137+D138+D139+D140</f>
        <v>7058519.5799999991</v>
      </c>
      <c r="E32" s="139">
        <f t="shared" si="132"/>
        <v>-10395894.42</v>
      </c>
      <c r="F32" s="139">
        <f t="shared" ref="F32:G32" si="133">+F184+F200+F136+F137+F138+F139+F140</f>
        <v>0</v>
      </c>
      <c r="G32" s="139">
        <f t="shared" si="133"/>
        <v>0</v>
      </c>
      <c r="H32" s="139">
        <f t="shared" ref="H32" si="134">+H184+H200+H136+H137+H138+H139+H140</f>
        <v>0</v>
      </c>
      <c r="I32" s="139">
        <f t="shared" ref="I32:J32" si="135">+I184+I200+I136+I137+I138+I139+I140</f>
        <v>0</v>
      </c>
      <c r="J32" s="139">
        <f t="shared" si="135"/>
        <v>0</v>
      </c>
      <c r="K32" s="139">
        <f t="shared" ref="K32:M32" si="136">+K184+K200+K136+K137+K138+K139+K140</f>
        <v>0</v>
      </c>
      <c r="L32" s="139">
        <f t="shared" si="136"/>
        <v>0</v>
      </c>
      <c r="M32" s="139">
        <f t="shared" si="136"/>
        <v>0</v>
      </c>
      <c r="N32" s="139">
        <f>SUM(B32:M32)</f>
        <v>7809896.9299999978</v>
      </c>
      <c r="O32" s="139"/>
      <c r="P32" s="139">
        <f t="shared" si="57"/>
        <v>-6086748.3000000007</v>
      </c>
      <c r="Q32" s="139">
        <f t="shared" si="58"/>
        <v>-8115664.4000000004</v>
      </c>
      <c r="R32" s="139">
        <v>-8115664.4000000004</v>
      </c>
      <c r="S32" s="170">
        <f t="shared" si="19"/>
        <v>0</v>
      </c>
      <c r="T32" s="168">
        <f t="shared" ref="T32:Y32" si="137">+T184</f>
        <v>2910296.13</v>
      </c>
      <c r="U32" s="168">
        <f t="shared" si="137"/>
        <v>1651163.39</v>
      </c>
      <c r="V32" s="168">
        <f t="shared" si="137"/>
        <v>-414097.59</v>
      </c>
      <c r="W32" s="173">
        <f t="shared" si="137"/>
        <v>959937.83</v>
      </c>
      <c r="X32" s="173">
        <f t="shared" si="137"/>
        <v>-3014399.59</v>
      </c>
      <c r="Y32" s="173">
        <f t="shared" si="137"/>
        <v>3160990.11</v>
      </c>
      <c r="Z32" s="173">
        <f>+Z184+Z200</f>
        <v>-6978241.0899999999</v>
      </c>
      <c r="AA32" s="173">
        <f>+AA184+AA200</f>
        <v>-1664169.4700000002</v>
      </c>
      <c r="AB32" s="173">
        <f>+AB184+AB200+AB136+AB137+AB138+AB139+AB140</f>
        <v>-5710025.96</v>
      </c>
      <c r="AC32" s="173">
        <f>+AC184+AC200+AC136+AC137+AC138+AC139+AC140</f>
        <v>6617453.9100000001</v>
      </c>
      <c r="AD32" s="173">
        <f>+AD184+AD200+AD136+AD137+AD138+AD139+AD140</f>
        <v>-2691846.74</v>
      </c>
      <c r="AE32" s="173">
        <f>+AE184+AE200+AE136+AE137+AE138+AE139+AE140</f>
        <v>-2942725.3299999996</v>
      </c>
      <c r="AF32" s="139">
        <f t="shared" si="8"/>
        <v>709990.62999999977</v>
      </c>
      <c r="AG32" s="139">
        <f t="shared" si="9"/>
        <v>-709990.62999999977</v>
      </c>
    </row>
    <row r="33" spans="1:33" x14ac:dyDescent="0.25">
      <c r="A33" s="130" t="s">
        <v>25</v>
      </c>
      <c r="B33" s="139">
        <f>B180</f>
        <v>3823.17</v>
      </c>
      <c r="C33" s="139">
        <f>C180</f>
        <v>18142.32</v>
      </c>
      <c r="D33" s="139">
        <f t="shared" ref="D33:E33" si="138">D180</f>
        <v>14969.95</v>
      </c>
      <c r="E33" s="139">
        <f t="shared" si="138"/>
        <v>9027.73</v>
      </c>
      <c r="F33" s="139">
        <f t="shared" ref="F33:G33" si="139">F180</f>
        <v>0</v>
      </c>
      <c r="G33" s="139">
        <f t="shared" si="139"/>
        <v>0</v>
      </c>
      <c r="H33" s="139">
        <f t="shared" ref="H33" si="140">H180</f>
        <v>0</v>
      </c>
      <c r="I33" s="139">
        <f t="shared" ref="I33:J33" si="141">I180</f>
        <v>0</v>
      </c>
      <c r="J33" s="139">
        <f t="shared" si="141"/>
        <v>0</v>
      </c>
      <c r="K33" s="139">
        <f t="shared" ref="K33:M33" si="142">K180</f>
        <v>0</v>
      </c>
      <c r="L33" s="139">
        <f t="shared" si="142"/>
        <v>0</v>
      </c>
      <c r="M33" s="139">
        <f t="shared" si="142"/>
        <v>0</v>
      </c>
      <c r="N33" s="139">
        <f>SUM(B33:M33)</f>
        <v>45963.17</v>
      </c>
      <c r="O33" s="139"/>
      <c r="P33" s="139">
        <f t="shared" si="57"/>
        <v>57288.352499999986</v>
      </c>
      <c r="Q33" s="139">
        <f t="shared" si="58"/>
        <v>76384.469999999987</v>
      </c>
      <c r="R33" s="139">
        <v>76384.469999999987</v>
      </c>
      <c r="S33" s="170">
        <f t="shared" si="19"/>
        <v>0</v>
      </c>
      <c r="T33" s="168">
        <f t="shared" ref="T33:AE33" si="143">T180</f>
        <v>2682.05</v>
      </c>
      <c r="U33" s="168">
        <f t="shared" si="143"/>
        <v>-1617.38</v>
      </c>
      <c r="V33" s="168">
        <f t="shared" si="143"/>
        <v>5756.07</v>
      </c>
      <c r="W33" s="168">
        <f t="shared" si="143"/>
        <v>9048.32</v>
      </c>
      <c r="X33" s="168">
        <f t="shared" si="143"/>
        <v>11168.19</v>
      </c>
      <c r="Y33" s="168">
        <f t="shared" si="143"/>
        <v>3721.59</v>
      </c>
      <c r="Z33" s="168">
        <f t="shared" si="143"/>
        <v>6172.25</v>
      </c>
      <c r="AA33" s="168">
        <f t="shared" si="143"/>
        <v>7102.98</v>
      </c>
      <c r="AB33" s="168">
        <f t="shared" si="143"/>
        <v>7169.65</v>
      </c>
      <c r="AC33" s="168">
        <f t="shared" si="143"/>
        <v>9614.02</v>
      </c>
      <c r="AD33" s="168">
        <f t="shared" si="143"/>
        <v>6881.28</v>
      </c>
      <c r="AE33" s="168">
        <f t="shared" si="143"/>
        <v>8685.4500000000007</v>
      </c>
      <c r="AF33" s="139">
        <f t="shared" si="8"/>
        <v>4178.47</v>
      </c>
      <c r="AG33" s="139">
        <f t="shared" si="9"/>
        <v>-4178.47</v>
      </c>
    </row>
    <row r="34" spans="1:33" x14ac:dyDescent="0.25">
      <c r="A34" s="130" t="s">
        <v>26</v>
      </c>
      <c r="B34" s="142">
        <f t="shared" ref="B34:L34" si="144">SUM(B14:B33)</f>
        <v>556067291.29999995</v>
      </c>
      <c r="C34" s="142">
        <f t="shared" si="144"/>
        <v>699723892.13000011</v>
      </c>
      <c r="D34" s="142">
        <f t="shared" si="144"/>
        <v>591325547.9000001</v>
      </c>
      <c r="E34" s="142">
        <f t="shared" si="144"/>
        <v>482065444.79000002</v>
      </c>
      <c r="F34" s="142">
        <f t="shared" ref="F34:G34" si="145">SUM(F14:F33)</f>
        <v>0</v>
      </c>
      <c r="G34" s="142">
        <f t="shared" si="145"/>
        <v>0</v>
      </c>
      <c r="H34" s="142">
        <f t="shared" ref="H34" si="146">SUM(H14:H33)</f>
        <v>0</v>
      </c>
      <c r="I34" s="142">
        <f>SUM(I14:I33)</f>
        <v>0</v>
      </c>
      <c r="J34" s="142">
        <f t="shared" si="144"/>
        <v>0</v>
      </c>
      <c r="K34" s="142">
        <f t="shared" si="144"/>
        <v>0</v>
      </c>
      <c r="L34" s="142">
        <f t="shared" si="144"/>
        <v>0</v>
      </c>
      <c r="M34" s="142">
        <f>SUM(M14:M33)</f>
        <v>0</v>
      </c>
      <c r="N34" s="142">
        <f>SUM(N14:N33)</f>
        <v>2329182176.1199999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9"/>
        <v>0</v>
      </c>
      <c r="T34" s="171">
        <f t="shared" ref="T34:AE34" si="147">SUM(T14:T33)</f>
        <v>584428259.50999987</v>
      </c>
      <c r="U34" s="171">
        <f t="shared" si="147"/>
        <v>1325767059.3100004</v>
      </c>
      <c r="V34" s="171">
        <f t="shared" si="147"/>
        <v>407667417.19000006</v>
      </c>
      <c r="W34" s="171">
        <f t="shared" si="147"/>
        <v>144338649.61000001</v>
      </c>
      <c r="X34" s="171">
        <f t="shared" si="147"/>
        <v>211932002.40000001</v>
      </c>
      <c r="Y34" s="171">
        <f t="shared" si="14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7"/>
        <v>336028111.43999994</v>
      </c>
      <c r="AC34" s="171">
        <f t="shared" si="147"/>
        <v>149579678.36999986</v>
      </c>
      <c r="AD34" s="171">
        <f t="shared" si="147"/>
        <v>225304044.21999988</v>
      </c>
      <c r="AE34" s="171">
        <f t="shared" si="147"/>
        <v>192525184.67999995</v>
      </c>
      <c r="AF34" s="142">
        <f t="shared" si="8"/>
        <v>211743834.19272727</v>
      </c>
      <c r="AG34" s="142">
        <f t="shared" si="9"/>
        <v>-211743834.19272727</v>
      </c>
    </row>
    <row r="35" spans="1:33" ht="24" customHeight="1" thickBot="1" x14ac:dyDescent="0.3">
      <c r="A35" s="130" t="s">
        <v>27</v>
      </c>
      <c r="B35" s="145">
        <f t="shared" ref="B35:P35" si="148">+B11-B34</f>
        <v>3940242.9000000954</v>
      </c>
      <c r="C35" s="145">
        <f t="shared" si="148"/>
        <v>7622945.5499998331</v>
      </c>
      <c r="D35" s="145">
        <f t="shared" si="148"/>
        <v>9071216.7899999619</v>
      </c>
      <c r="E35" s="145">
        <f t="shared" si="148"/>
        <v>6688805.7499999404</v>
      </c>
      <c r="F35" s="145">
        <f t="shared" ref="F35:G35" si="149">+F11-F34</f>
        <v>0</v>
      </c>
      <c r="G35" s="145">
        <f t="shared" si="149"/>
        <v>0</v>
      </c>
      <c r="H35" s="145">
        <f t="shared" ref="H35" si="150">+H11-H34</f>
        <v>0</v>
      </c>
      <c r="I35" s="145">
        <f>+I11-I34</f>
        <v>0</v>
      </c>
      <c r="J35" s="145">
        <f t="shared" si="148"/>
        <v>0</v>
      </c>
      <c r="K35" s="145">
        <f t="shared" si="148"/>
        <v>0</v>
      </c>
      <c r="L35" s="145">
        <f t="shared" si="148"/>
        <v>0</v>
      </c>
      <c r="M35" s="145">
        <f>+M11-M34</f>
        <v>0</v>
      </c>
      <c r="N35" s="145">
        <f t="shared" si="148"/>
        <v>27323210.990000725</v>
      </c>
      <c r="O35" s="145"/>
      <c r="P35" s="145">
        <f t="shared" si="148"/>
        <v>5318921.4450016022</v>
      </c>
      <c r="Q35" s="145">
        <f t="shared" ref="Q35" si="151">+Q11-Q34</f>
        <v>7091895.2600011826</v>
      </c>
      <c r="R35" s="145">
        <v>7091895.2600011826</v>
      </c>
      <c r="S35" s="170">
        <f t="shared" si="19"/>
        <v>9.8347663879394531E-7</v>
      </c>
      <c r="T35" s="174">
        <f t="shared" ref="T35:AE35" si="152">+T11-T34</f>
        <v>873800.75000011921</v>
      </c>
      <c r="U35" s="174">
        <f t="shared" si="152"/>
        <v>807135.46999979019</v>
      </c>
      <c r="V35" s="174">
        <f t="shared" si="152"/>
        <v>873124.75999993086</v>
      </c>
      <c r="W35" s="174">
        <f t="shared" si="152"/>
        <v>583926.69999995828</v>
      </c>
      <c r="X35" s="174">
        <f t="shared" si="152"/>
        <v>474371.84000000358</v>
      </c>
      <c r="Y35" s="174">
        <f t="shared" si="152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52"/>
        <v>435915.37000006437</v>
      </c>
      <c r="AC35" s="174">
        <f t="shared" si="152"/>
        <v>655609.87000012398</v>
      </c>
      <c r="AD35" s="174">
        <f t="shared" si="152"/>
        <v>280104.40000012517</v>
      </c>
      <c r="AE35" s="174">
        <f t="shared" si="152"/>
        <v>387921.87000006437</v>
      </c>
      <c r="AF35" s="145">
        <f t="shared" si="8"/>
        <v>2483928.2718182476</v>
      </c>
      <c r="AG35" s="145">
        <f t="shared" si="9"/>
        <v>-2483928.2718182476</v>
      </c>
    </row>
    <row r="36" spans="1:33" ht="24" customHeight="1" thickTop="1" x14ac:dyDescent="0.25">
      <c r="B36" s="146">
        <f>+B35/B11</f>
        <v>7.0360533731549484E-3</v>
      </c>
      <c r="C36" s="146">
        <f t="shared" ref="C36:Q36" si="153">+C35/C11</f>
        <v>1.0776814348957921E-2</v>
      </c>
      <c r="D36" s="146">
        <f t="shared" si="153"/>
        <v>1.5108703649800078E-2</v>
      </c>
      <c r="E36" s="146">
        <f t="shared" si="153"/>
        <v>1.3685417042634035E-2</v>
      </c>
      <c r="F36" s="146" t="e">
        <f t="shared" si="153"/>
        <v>#DIV/0!</v>
      </c>
      <c r="G36" s="146" t="e">
        <f t="shared" si="153"/>
        <v>#DIV/0!</v>
      </c>
      <c r="H36" s="146" t="e">
        <f t="shared" ref="H36" si="154">+H35/H11</f>
        <v>#DIV/0!</v>
      </c>
      <c r="I36" s="146" t="e">
        <f t="shared" si="153"/>
        <v>#DIV/0!</v>
      </c>
      <c r="J36" s="146" t="e">
        <f t="shared" si="153"/>
        <v>#DIV/0!</v>
      </c>
      <c r="K36" s="146" t="e">
        <f t="shared" si="153"/>
        <v>#DIV/0!</v>
      </c>
      <c r="L36" s="146" t="e">
        <f t="shared" si="153"/>
        <v>#DIV/0!</v>
      </c>
      <c r="M36" s="146" t="e">
        <f>+M35/M11</f>
        <v>#DIV/0!</v>
      </c>
      <c r="N36" s="146">
        <f t="shared" si="153"/>
        <v>1.1594800987707349E-2</v>
      </c>
      <c r="O36" s="146"/>
      <c r="P36" s="146">
        <f>+P35/P11</f>
        <v>1.5137165916367043E-3</v>
      </c>
      <c r="Q36" s="146">
        <f t="shared" si="153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5">+U35/U11</f>
        <v>6.0843597981615036E-4</v>
      </c>
      <c r="V36" s="175">
        <f t="shared" si="155"/>
        <v>2.137180206969006E-3</v>
      </c>
      <c r="W36" s="175">
        <f t="shared" si="155"/>
        <v>4.029232124268178E-3</v>
      </c>
      <c r="X36" s="175">
        <f t="shared" si="155"/>
        <v>2.233322053998277E-3</v>
      </c>
      <c r="Y36" s="175">
        <f t="shared" si="155"/>
        <v>1.6218628940166744E-3</v>
      </c>
      <c r="Z36" s="175">
        <f t="shared" si="155"/>
        <v>1.4639209722087921E-3</v>
      </c>
      <c r="AA36" s="175">
        <f t="shared" si="155"/>
        <v>1.5745401101078397E-3</v>
      </c>
      <c r="AB36" s="175">
        <f t="shared" si="155"/>
        <v>1.2955779378049951E-3</v>
      </c>
      <c r="AC36" s="175">
        <f t="shared" si="155"/>
        <v>4.3638873242136771E-3</v>
      </c>
      <c r="AD36" s="175">
        <f t="shared" si="155"/>
        <v>1.241684762487303E-3</v>
      </c>
      <c r="AE36" s="175">
        <f>+AE35/AE11</f>
        <v>2.0108632168002604E-3</v>
      </c>
      <c r="AF36" s="146" t="e">
        <f t="shared" si="8"/>
        <v>#DIV/0!</v>
      </c>
      <c r="AG36" s="146" t="e">
        <f t="shared" si="9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8"/>
        <v>0</v>
      </c>
      <c r="AG37" s="139">
        <f t="shared" si="9"/>
        <v>0</v>
      </c>
    </row>
    <row r="38" spans="1:33" x14ac:dyDescent="0.25">
      <c r="A38" s="130" t="s">
        <v>28</v>
      </c>
      <c r="B38" s="139">
        <v>4475175.74</v>
      </c>
      <c r="C38" s="139">
        <v>8858657.3200000003</v>
      </c>
      <c r="D38" s="139">
        <v>10331248.710000001</v>
      </c>
      <c r="E38" s="139">
        <v>5772926.1699999999</v>
      </c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29438007.940000005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9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8"/>
        <v>2676182.5400000005</v>
      </c>
      <c r="AG38" s="139">
        <f t="shared" si="9"/>
        <v>-2676182.5400000005</v>
      </c>
    </row>
    <row r="39" spans="1:33" x14ac:dyDescent="0.25">
      <c r="A39" s="130" t="s">
        <v>29</v>
      </c>
      <c r="B39" s="139">
        <v>76610.179999999993</v>
      </c>
      <c r="C39" s="139">
        <v>20666.830000000002</v>
      </c>
      <c r="D39" s="139">
        <v>38046.22</v>
      </c>
      <c r="E39" s="139">
        <v>75174.13</v>
      </c>
      <c r="F39" s="139"/>
      <c r="G39" s="139"/>
      <c r="H39" s="139"/>
      <c r="I39" s="139"/>
      <c r="J39" s="139"/>
      <c r="K39" s="139"/>
      <c r="L39" s="139"/>
      <c r="M39" s="139"/>
      <c r="N39" s="139">
        <f t="shared" ref="N39:N48" si="156">SUM(B39:M39)</f>
        <v>210497.36</v>
      </c>
      <c r="O39" s="139"/>
      <c r="P39" s="139">
        <f t="shared" ref="P39:P47" si="157">Q39/12*$P$3</f>
        <v>47708.805</v>
      </c>
      <c r="Q39" s="139">
        <f t="shared" ref="Q39:Q47" si="158">R39</f>
        <v>63611.74</v>
      </c>
      <c r="R39" s="139">
        <v>63611.74</v>
      </c>
      <c r="S39" s="170">
        <f t="shared" si="1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8"/>
        <v>19136.123636363634</v>
      </c>
      <c r="AG39" s="139">
        <f t="shared" si="9"/>
        <v>-19136.123636363634</v>
      </c>
    </row>
    <row r="40" spans="1:33" x14ac:dyDescent="0.25">
      <c r="A40" s="130" t="s">
        <v>30</v>
      </c>
      <c r="B40" s="139">
        <v>-43585.05</v>
      </c>
      <c r="C40" s="139">
        <v>-111822.35</v>
      </c>
      <c r="D40" s="139">
        <v>-106023.35</v>
      </c>
      <c r="E40" s="139">
        <v>-93019.7</v>
      </c>
      <c r="F40" s="139"/>
      <c r="G40" s="139"/>
      <c r="H40" s="139"/>
      <c r="I40" s="139"/>
      <c r="J40" s="144"/>
      <c r="K40" s="139"/>
      <c r="L40" s="144"/>
      <c r="M40" s="144"/>
      <c r="N40" s="139">
        <f t="shared" si="156"/>
        <v>-354450.45</v>
      </c>
      <c r="O40" s="139"/>
      <c r="P40" s="139">
        <f t="shared" si="157"/>
        <v>392372.76</v>
      </c>
      <c r="Q40" s="139">
        <f t="shared" si="158"/>
        <v>523163.68</v>
      </c>
      <c r="R40" s="139">
        <v>523163.68</v>
      </c>
      <c r="S40" s="170">
        <f t="shared" si="19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8"/>
        <v>-32222.768181818185</v>
      </c>
      <c r="AG40" s="139">
        <f t="shared" si="9"/>
        <v>32222.768181818185</v>
      </c>
    </row>
    <row r="41" spans="1:33" x14ac:dyDescent="0.25">
      <c r="A41" s="130" t="s">
        <v>446</v>
      </c>
      <c r="B41" s="139">
        <v>12581</v>
      </c>
      <c r="C41" s="139">
        <v>4187</v>
      </c>
      <c r="D41" s="139">
        <v>6526</v>
      </c>
      <c r="E41" s="139">
        <v>809</v>
      </c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24103</v>
      </c>
      <c r="O41" s="139"/>
      <c r="P41" s="139">
        <f t="shared" si="157"/>
        <v>-979272.42749999999</v>
      </c>
      <c r="Q41" s="139">
        <f t="shared" si="158"/>
        <v>-1305696.57</v>
      </c>
      <c r="R41" s="139">
        <v>-1305696.57</v>
      </c>
      <c r="S41" s="170">
        <f t="shared" si="1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8"/>
        <v>2191.181818181818</v>
      </c>
      <c r="AG41" s="139">
        <f t="shared" si="9"/>
        <v>-2191.181818181818</v>
      </c>
    </row>
    <row r="42" spans="1:33" x14ac:dyDescent="0.25">
      <c r="A42" s="130" t="s">
        <v>31</v>
      </c>
      <c r="B42" s="139">
        <v>-200989.7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44"/>
      <c r="M42" s="144"/>
      <c r="N42" s="139">
        <f t="shared" si="156"/>
        <v>-200989.7</v>
      </c>
      <c r="O42" s="139"/>
      <c r="P42" s="139">
        <f t="shared" si="157"/>
        <v>133361.25</v>
      </c>
      <c r="Q42" s="139">
        <f t="shared" si="158"/>
        <v>177815</v>
      </c>
      <c r="R42" s="139">
        <v>177815</v>
      </c>
      <c r="S42" s="170">
        <f t="shared" si="1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8"/>
        <v>-18271.790909090909</v>
      </c>
      <c r="AG42" s="139">
        <f t="shared" si="9"/>
        <v>18271.790909090909</v>
      </c>
    </row>
    <row r="43" spans="1:33" x14ac:dyDescent="0.25">
      <c r="A43" s="299" t="s">
        <v>675</v>
      </c>
      <c r="B43" s="139">
        <v>350234.15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44"/>
      <c r="M43" s="139"/>
      <c r="N43" s="139">
        <f t="shared" si="156"/>
        <v>350234.15</v>
      </c>
      <c r="O43" s="139"/>
      <c r="P43" s="139">
        <f t="shared" si="157"/>
        <v>-64362.997500000005</v>
      </c>
      <c r="Q43" s="139">
        <f t="shared" si="158"/>
        <v>-85817.33</v>
      </c>
      <c r="R43" s="139">
        <v>-85817.33</v>
      </c>
      <c r="S43" s="170">
        <f t="shared" si="1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8"/>
        <v>31839.468181818185</v>
      </c>
      <c r="AG43" s="139">
        <f t="shared" si="9"/>
        <v>-31839.468181818185</v>
      </c>
    </row>
    <row r="44" spans="1:33" x14ac:dyDescent="0.25">
      <c r="A44" s="130" t="s">
        <v>668</v>
      </c>
      <c r="B44" s="139">
        <v>2669.32</v>
      </c>
      <c r="C44" s="139">
        <v>3275</v>
      </c>
      <c r="D44" s="139">
        <v>3199.55</v>
      </c>
      <c r="E44" s="139">
        <v>3548.9</v>
      </c>
      <c r="F44" s="139"/>
      <c r="G44" s="139"/>
      <c r="H44" s="139"/>
      <c r="I44" s="139"/>
      <c r="J44" s="139"/>
      <c r="K44" s="139"/>
      <c r="L44" s="144"/>
      <c r="M44" s="144"/>
      <c r="N44" s="139">
        <f t="shared" si="156"/>
        <v>12692.769999999999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>
        <f t="shared" si="8"/>
        <v>1153.8881818181817</v>
      </c>
      <c r="AG44" s="139">
        <f t="shared" si="9"/>
        <v>-1153.8881818181817</v>
      </c>
    </row>
    <row r="45" spans="1:33" x14ac:dyDescent="0.25">
      <c r="A45" s="130" t="s">
        <v>676</v>
      </c>
      <c r="B45" s="139">
        <v>-19653.72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6"/>
        <v>-19653.72</v>
      </c>
      <c r="O45" s="139"/>
      <c r="P45" s="139">
        <f t="shared" si="157"/>
        <v>97186.5</v>
      </c>
      <c r="Q45" s="139">
        <f t="shared" si="158"/>
        <v>129582</v>
      </c>
      <c r="R45" s="139">
        <v>129582</v>
      </c>
      <c r="S45" s="170">
        <f t="shared" si="1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8"/>
        <v>-1786.7018181818182</v>
      </c>
      <c r="AG45" s="139">
        <f t="shared" si="9"/>
        <v>1786.7018181818182</v>
      </c>
    </row>
    <row r="46" spans="1:33" x14ac:dyDescent="0.25">
      <c r="A46" s="299" t="s">
        <v>610</v>
      </c>
      <c r="B46" s="139">
        <v>410642.41000000003</v>
      </c>
      <c r="C46" s="139">
        <v>984107.63</v>
      </c>
      <c r="D46" s="139">
        <v>2351224.7799999998</v>
      </c>
      <c r="E46" s="139">
        <v>3387392.5</v>
      </c>
      <c r="F46" s="139"/>
      <c r="G46" s="139"/>
      <c r="H46" s="139"/>
      <c r="I46" s="139"/>
      <c r="J46" s="139"/>
      <c r="K46" s="139"/>
      <c r="L46" s="144"/>
      <c r="M46" s="144"/>
      <c r="N46" s="139">
        <f t="shared" si="156"/>
        <v>7133367.3200000003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299" t="s">
        <v>611</v>
      </c>
      <c r="B47" s="139">
        <v>-984107.63</v>
      </c>
      <c r="C47" s="139">
        <v>-2351224.7799999998</v>
      </c>
      <c r="D47" s="139">
        <v>-3387392.5</v>
      </c>
      <c r="E47" s="139">
        <v>-2623277.8199999998</v>
      </c>
      <c r="F47" s="139"/>
      <c r="G47" s="139"/>
      <c r="H47" s="139"/>
      <c r="I47" s="139"/>
      <c r="J47" s="139"/>
      <c r="K47" s="139"/>
      <c r="L47" s="144"/>
      <c r="M47" s="144"/>
      <c r="N47" s="139">
        <f t="shared" si="156"/>
        <v>-9346002.7300000004</v>
      </c>
      <c r="O47" s="139"/>
      <c r="P47" s="139">
        <f t="shared" si="157"/>
        <v>14733.397499999999</v>
      </c>
      <c r="Q47" s="139">
        <f t="shared" si="158"/>
        <v>19644.53</v>
      </c>
      <c r="R47" s="139">
        <v>19644.53</v>
      </c>
      <c r="S47" s="170">
        <f t="shared" si="19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8"/>
        <v>-849636.61181818182</v>
      </c>
      <c r="AG47" s="139">
        <f t="shared" si="9"/>
        <v>849636.61181818182</v>
      </c>
    </row>
    <row r="48" spans="1:33" x14ac:dyDescent="0.25">
      <c r="A48" s="130" t="s">
        <v>32</v>
      </c>
      <c r="B48" s="139">
        <v>-23369.8</v>
      </c>
      <c r="C48" s="139">
        <v>-23369.8</v>
      </c>
      <c r="D48" s="139">
        <v>-23369.8</v>
      </c>
      <c r="E48" s="139">
        <v>-23369.8</v>
      </c>
      <c r="F48" s="139"/>
      <c r="G48" s="139"/>
      <c r="H48" s="139"/>
      <c r="I48" s="139"/>
      <c r="J48" s="139"/>
      <c r="K48" s="139"/>
      <c r="L48" s="144"/>
      <c r="M48" s="144"/>
      <c r="N48" s="139">
        <f t="shared" si="156"/>
        <v>-93479.2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B49" s="142">
        <f t="shared" ref="B49:N49" si="159">SUM(B38:B48)</f>
        <v>4056206.9000000013</v>
      </c>
      <c r="C49" s="142">
        <f t="shared" si="159"/>
        <v>7384476.8500000024</v>
      </c>
      <c r="D49" s="142">
        <f t="shared" si="159"/>
        <v>9213459.6100000013</v>
      </c>
      <c r="E49" s="142">
        <f t="shared" si="159"/>
        <v>6500183.3799999999</v>
      </c>
      <c r="F49" s="142">
        <f t="shared" si="159"/>
        <v>0</v>
      </c>
      <c r="G49" s="142">
        <f t="shared" si="159"/>
        <v>0</v>
      </c>
      <c r="H49" s="142">
        <f t="shared" si="159"/>
        <v>0</v>
      </c>
      <c r="I49" s="142">
        <f t="shared" si="159"/>
        <v>0</v>
      </c>
      <c r="J49" s="142">
        <f t="shared" si="159"/>
        <v>0</v>
      </c>
      <c r="K49" s="142">
        <f t="shared" si="159"/>
        <v>0</v>
      </c>
      <c r="L49" s="142">
        <f t="shared" si="159"/>
        <v>0</v>
      </c>
      <c r="M49" s="142">
        <f t="shared" si="159"/>
        <v>0</v>
      </c>
      <c r="N49" s="142">
        <f t="shared" si="159"/>
        <v>27154326.740000002</v>
      </c>
      <c r="O49" s="142"/>
      <c r="P49" s="142">
        <f>SUM(P38:P48)</f>
        <v>5658839.5768621545</v>
      </c>
      <c r="Q49" s="142">
        <f>SUM(Q38:Q48)</f>
        <v>7545119.435816207</v>
      </c>
      <c r="R49" s="142">
        <v>6994827.935816207</v>
      </c>
      <c r="S49" s="170">
        <f t="shared" si="19"/>
        <v>-550291.49999999814</v>
      </c>
      <c r="T49" s="171">
        <f t="shared" ref="T49:AE49" si="160">SUM(T38:T48)</f>
        <v>909523.04408513964</v>
      </c>
      <c r="U49" s="171">
        <f t="shared" si="160"/>
        <v>663087.73401690566</v>
      </c>
      <c r="V49" s="171">
        <f t="shared" si="160"/>
        <v>798721.3041869998</v>
      </c>
      <c r="W49" s="171">
        <f t="shared" si="160"/>
        <v>729818.68502510397</v>
      </c>
      <c r="X49" s="171">
        <f t="shared" si="160"/>
        <v>523128.84000000008</v>
      </c>
      <c r="Y49" s="171">
        <f t="shared" si="160"/>
        <v>566029.93690028624</v>
      </c>
      <c r="Z49" s="171">
        <f t="shared" si="160"/>
        <v>577176.07188355306</v>
      </c>
      <c r="AA49" s="171">
        <f t="shared" si="160"/>
        <v>661554.65379218815</v>
      </c>
      <c r="AB49" s="171">
        <f t="shared" si="160"/>
        <v>615975.34297928843</v>
      </c>
      <c r="AC49" s="171">
        <f t="shared" si="160"/>
        <v>654997.68000000005</v>
      </c>
      <c r="AD49" s="171">
        <f t="shared" si="160"/>
        <v>521909.43000000005</v>
      </c>
      <c r="AE49" s="171">
        <f t="shared" si="160"/>
        <v>323196.71294674079</v>
      </c>
      <c r="AF49" s="142">
        <f t="shared" si="8"/>
        <v>2468575.1581818182</v>
      </c>
      <c r="AG49" s="142">
        <f t="shared" si="9"/>
        <v>-2468575.1581818182</v>
      </c>
    </row>
    <row r="50" spans="1:33" ht="25.5" customHeight="1" thickBot="1" x14ac:dyDescent="0.3">
      <c r="A50" s="130" t="s">
        <v>33</v>
      </c>
      <c r="B50" s="147">
        <f t="shared" ref="B50:N50" si="161">+B35-B49</f>
        <v>-115963.99999990594</v>
      </c>
      <c r="C50" s="147">
        <f t="shared" si="161"/>
        <v>238468.69999983069</v>
      </c>
      <c r="D50" s="147">
        <f t="shared" si="161"/>
        <v>-142242.82000003941</v>
      </c>
      <c r="E50" s="147">
        <f t="shared" si="161"/>
        <v>188622.36999994051</v>
      </c>
      <c r="F50" s="147">
        <f t="shared" si="161"/>
        <v>0</v>
      </c>
      <c r="G50" s="147">
        <f t="shared" si="161"/>
        <v>0</v>
      </c>
      <c r="H50" s="147">
        <f t="shared" si="161"/>
        <v>0</v>
      </c>
      <c r="I50" s="147">
        <f t="shared" si="161"/>
        <v>0</v>
      </c>
      <c r="J50" s="147">
        <f t="shared" si="161"/>
        <v>0</v>
      </c>
      <c r="K50" s="147">
        <f t="shared" si="161"/>
        <v>0</v>
      </c>
      <c r="L50" s="147">
        <f t="shared" si="161"/>
        <v>0</v>
      </c>
      <c r="M50" s="147">
        <f t="shared" si="161"/>
        <v>0</v>
      </c>
      <c r="N50" s="147">
        <f t="shared" si="161"/>
        <v>168884.25000072271</v>
      </c>
      <c r="O50" s="147"/>
      <c r="P50" s="147">
        <f>+P35-P49</f>
        <v>-339918.13186055236</v>
      </c>
      <c r="Q50" s="147">
        <f>+Q35-Q49</f>
        <v>-453224.17581502441</v>
      </c>
      <c r="R50" s="147">
        <v>97067.324184975587</v>
      </c>
      <c r="S50" s="170">
        <f t="shared" si="19"/>
        <v>550291.50000098243</v>
      </c>
      <c r="T50" s="176">
        <f t="shared" ref="T50:AE50" si="162">+T35-T49</f>
        <v>-35722.294085020432</v>
      </c>
      <c r="U50" s="176">
        <f t="shared" si="162"/>
        <v>144047.73598288454</v>
      </c>
      <c r="V50" s="176">
        <f t="shared" si="162"/>
        <v>74403.455812931061</v>
      </c>
      <c r="W50" s="176">
        <f t="shared" si="162"/>
        <v>-145891.9850251457</v>
      </c>
      <c r="X50" s="176">
        <f t="shared" si="162"/>
        <v>-48756.999999996508</v>
      </c>
      <c r="Y50" s="176">
        <f t="shared" si="162"/>
        <v>11763.123099656543</v>
      </c>
      <c r="Z50" s="176">
        <f t="shared" si="162"/>
        <v>-150422.47188352922</v>
      </c>
      <c r="AA50" s="176">
        <f t="shared" si="162"/>
        <v>53882.916207864298</v>
      </c>
      <c r="AB50" s="176">
        <f t="shared" si="162"/>
        <v>-180059.97297922405</v>
      </c>
      <c r="AC50" s="176">
        <f t="shared" si="162"/>
        <v>612.19000012392644</v>
      </c>
      <c r="AD50" s="176">
        <f t="shared" si="162"/>
        <v>-241805.02999987488</v>
      </c>
      <c r="AE50" s="176">
        <f t="shared" si="162"/>
        <v>64725.157053323579</v>
      </c>
      <c r="AF50" s="147">
        <f t="shared" si="8"/>
        <v>15353.113636429336</v>
      </c>
      <c r="AG50" s="147">
        <f t="shared" si="9"/>
        <v>-15353.113636429336</v>
      </c>
    </row>
    <row r="51" spans="1:33" ht="15.75" thickTop="1" x14ac:dyDescent="0.2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S51" s="170">
        <f t="shared" si="19"/>
        <v>0</v>
      </c>
      <c r="U51" s="168"/>
      <c r="V51" s="168"/>
      <c r="W51" s="168"/>
      <c r="X51" s="168"/>
      <c r="Y51" s="168"/>
      <c r="Z51" s="177"/>
      <c r="AA51" s="177"/>
      <c r="AB51" s="177"/>
      <c r="AC51" s="177"/>
      <c r="AD51" s="168"/>
      <c r="AE51" s="168"/>
      <c r="AF51" s="130">
        <f t="shared" si="8"/>
        <v>0</v>
      </c>
      <c r="AG51" s="130">
        <f t="shared" si="9"/>
        <v>0</v>
      </c>
    </row>
    <row r="52" spans="1:33" x14ac:dyDescent="0.25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S52" s="170">
        <f t="shared" si="19"/>
        <v>0</v>
      </c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30">
        <f t="shared" si="8"/>
        <v>0</v>
      </c>
      <c r="AG52" s="130">
        <f t="shared" si="9"/>
        <v>0</v>
      </c>
    </row>
    <row r="53" spans="1:33" ht="30" x14ac:dyDescent="0.25">
      <c r="A53" s="132" t="s">
        <v>34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S53" s="170">
        <f t="shared" si="19"/>
        <v>0</v>
      </c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30">
        <f t="shared" si="8"/>
        <v>0</v>
      </c>
      <c r="AG53" s="130">
        <f t="shared" si="9"/>
        <v>0</v>
      </c>
    </row>
    <row r="54" spans="1:33" x14ac:dyDescent="0.25">
      <c r="A54" s="130" t="s">
        <v>2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9"/>
        <v>0</v>
      </c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30">
        <f t="shared" si="8"/>
        <v>0</v>
      </c>
      <c r="AG54" s="130">
        <f t="shared" si="9"/>
        <v>0</v>
      </c>
    </row>
    <row r="55" spans="1:33" x14ac:dyDescent="0.25">
      <c r="A55" s="130" t="s">
        <v>35</v>
      </c>
      <c r="B55" s="139">
        <f t="shared" ref="B55:C55" si="163">B107</f>
        <v>0</v>
      </c>
      <c r="C55" s="139">
        <f t="shared" si="163"/>
        <v>0</v>
      </c>
      <c r="D55" s="139">
        <f t="shared" ref="D55:E55" si="164">D107</f>
        <v>0</v>
      </c>
      <c r="E55" s="139">
        <f t="shared" si="164"/>
        <v>0</v>
      </c>
      <c r="F55" s="139">
        <f t="shared" ref="F55:M55" si="165">F107</f>
        <v>0</v>
      </c>
      <c r="G55" s="139">
        <f t="shared" si="165"/>
        <v>0</v>
      </c>
      <c r="H55" s="139">
        <f t="shared" si="165"/>
        <v>0</v>
      </c>
      <c r="I55" s="139">
        <f t="shared" si="165"/>
        <v>0</v>
      </c>
      <c r="J55" s="139">
        <f t="shared" si="165"/>
        <v>0</v>
      </c>
      <c r="K55" s="139">
        <f t="shared" si="165"/>
        <v>0</v>
      </c>
      <c r="L55" s="139">
        <f t="shared" ref="L55" si="166">L107</f>
        <v>0</v>
      </c>
      <c r="M55" s="139">
        <f t="shared" si="165"/>
        <v>0</v>
      </c>
      <c r="N55" s="139">
        <f>SUM(B55:M55)</f>
        <v>0</v>
      </c>
      <c r="O55" s="139"/>
      <c r="P55" s="139">
        <f>Q55/12*$P$3</f>
        <v>0</v>
      </c>
      <c r="Q55" s="139">
        <f>R55</f>
        <v>0</v>
      </c>
      <c r="R55" s="139">
        <v>0</v>
      </c>
      <c r="S55" s="170">
        <f t="shared" si="19"/>
        <v>0</v>
      </c>
      <c r="T55" s="168">
        <f>T107</f>
        <v>0</v>
      </c>
      <c r="U55" s="168">
        <f>U107</f>
        <v>0</v>
      </c>
      <c r="V55" s="168">
        <f>V107</f>
        <v>0</v>
      </c>
      <c r="W55" s="168">
        <f t="shared" ref="W55:AE55" si="167">W107</f>
        <v>0</v>
      </c>
      <c r="X55" s="168">
        <f t="shared" si="167"/>
        <v>0</v>
      </c>
      <c r="Y55" s="168">
        <f t="shared" si="167"/>
        <v>0</v>
      </c>
      <c r="Z55" s="168">
        <f t="shared" si="167"/>
        <v>0</v>
      </c>
      <c r="AA55" s="168">
        <f t="shared" si="167"/>
        <v>0</v>
      </c>
      <c r="AB55" s="168">
        <f t="shared" si="167"/>
        <v>0</v>
      </c>
      <c r="AC55" s="168">
        <f t="shared" si="167"/>
        <v>0</v>
      </c>
      <c r="AD55" s="168">
        <f t="shared" si="167"/>
        <v>0</v>
      </c>
      <c r="AE55" s="168">
        <f t="shared" si="167"/>
        <v>0</v>
      </c>
      <c r="AF55" s="139">
        <f t="shared" si="8"/>
        <v>0</v>
      </c>
      <c r="AG55" s="139">
        <f t="shared" si="9"/>
        <v>0</v>
      </c>
    </row>
    <row r="56" spans="1:33" x14ac:dyDescent="0.25">
      <c r="A56" s="130" t="s">
        <v>36</v>
      </c>
      <c r="B56" s="139">
        <f t="shared" ref="B56:C56" si="168">B113+B125</f>
        <v>0</v>
      </c>
      <c r="C56" s="139">
        <f t="shared" si="168"/>
        <v>0</v>
      </c>
      <c r="D56" s="139">
        <f t="shared" ref="D56:E56" si="169">D113+D125</f>
        <v>0</v>
      </c>
      <c r="E56" s="139">
        <f t="shared" si="169"/>
        <v>0</v>
      </c>
      <c r="F56" s="139">
        <f t="shared" ref="F56:M56" si="170">F113+F125</f>
        <v>0</v>
      </c>
      <c r="G56" s="139">
        <f t="shared" si="170"/>
        <v>0</v>
      </c>
      <c r="H56" s="139">
        <f t="shared" si="170"/>
        <v>0</v>
      </c>
      <c r="I56" s="139">
        <f t="shared" si="170"/>
        <v>0</v>
      </c>
      <c r="J56" s="139">
        <f t="shared" si="170"/>
        <v>0</v>
      </c>
      <c r="K56" s="139">
        <f t="shared" si="170"/>
        <v>0</v>
      </c>
      <c r="L56" s="139">
        <f t="shared" ref="L56" si="171">L113+L125</f>
        <v>0</v>
      </c>
      <c r="M56" s="139">
        <f t="shared" si="170"/>
        <v>0</v>
      </c>
      <c r="N56" s="139">
        <f t="shared" ref="N56:N58" si="172">SUM(B56:M56)</f>
        <v>0</v>
      </c>
      <c r="O56" s="139"/>
      <c r="P56" s="139">
        <f t="shared" ref="P56:P58" si="173">Q56/12*$P$3</f>
        <v>323715.04499999998</v>
      </c>
      <c r="Q56" s="139">
        <f t="shared" ref="Q56:Q77" si="174">R56</f>
        <v>431620.06</v>
      </c>
      <c r="R56" s="139">
        <v>431620.06</v>
      </c>
      <c r="S56" s="170">
        <f t="shared" si="19"/>
        <v>0</v>
      </c>
      <c r="T56" s="168">
        <f>T113+T125</f>
        <v>44174.48</v>
      </c>
      <c r="U56" s="168">
        <f>U113+U125</f>
        <v>37026.959999999999</v>
      </c>
      <c r="V56" s="168">
        <f>V113+V125</f>
        <v>50952.97</v>
      </c>
      <c r="W56" s="168">
        <f>W113+W125</f>
        <v>17383</v>
      </c>
      <c r="X56" s="168">
        <f t="shared" ref="X56:AE56" si="175">X113+X125</f>
        <v>6537.5</v>
      </c>
      <c r="Y56" s="168">
        <f t="shared" si="175"/>
        <v>12690.5</v>
      </c>
      <c r="Z56" s="168">
        <f t="shared" si="175"/>
        <v>14136.99</v>
      </c>
      <c r="AA56" s="168">
        <f t="shared" si="175"/>
        <v>3546</v>
      </c>
      <c r="AB56" s="168">
        <f t="shared" si="175"/>
        <v>6577.55</v>
      </c>
      <c r="AC56" s="168">
        <f t="shared" si="175"/>
        <v>18560.79</v>
      </c>
      <c r="AD56" s="168">
        <f t="shared" si="175"/>
        <v>30425.09</v>
      </c>
      <c r="AE56" s="168">
        <f t="shared" si="175"/>
        <v>189608.23</v>
      </c>
      <c r="AF56" s="139">
        <f t="shared" si="8"/>
        <v>0</v>
      </c>
      <c r="AG56" s="139">
        <f t="shared" si="9"/>
        <v>0</v>
      </c>
    </row>
    <row r="57" spans="1:33" x14ac:dyDescent="0.25">
      <c r="A57" s="130" t="s">
        <v>37</v>
      </c>
      <c r="B57" s="139">
        <f t="shared" ref="B57:C57" si="176">B112+B124</f>
        <v>0</v>
      </c>
      <c r="C57" s="139">
        <f t="shared" si="176"/>
        <v>0</v>
      </c>
      <c r="D57" s="139">
        <f t="shared" ref="D57:E57" si="177">D112+D124</f>
        <v>1655</v>
      </c>
      <c r="E57" s="139">
        <f t="shared" si="177"/>
        <v>5975</v>
      </c>
      <c r="F57" s="139">
        <f t="shared" ref="F57:M57" si="178">F112+F124</f>
        <v>0</v>
      </c>
      <c r="G57" s="139">
        <f t="shared" si="178"/>
        <v>0</v>
      </c>
      <c r="H57" s="139">
        <f t="shared" si="178"/>
        <v>0</v>
      </c>
      <c r="I57" s="139">
        <f t="shared" si="178"/>
        <v>0</v>
      </c>
      <c r="J57" s="139">
        <f t="shared" si="178"/>
        <v>0</v>
      </c>
      <c r="K57" s="139">
        <f t="shared" si="178"/>
        <v>0</v>
      </c>
      <c r="L57" s="139">
        <f t="shared" ref="L57" si="179">L112+L124</f>
        <v>0</v>
      </c>
      <c r="M57" s="139">
        <f t="shared" si="178"/>
        <v>0</v>
      </c>
      <c r="N57" s="139">
        <f t="shared" si="172"/>
        <v>7630</v>
      </c>
      <c r="O57" s="139"/>
      <c r="P57" s="139">
        <f t="shared" si="173"/>
        <v>8893.83</v>
      </c>
      <c r="Q57" s="139">
        <f t="shared" si="174"/>
        <v>11858.44</v>
      </c>
      <c r="R57" s="139">
        <v>11858.44</v>
      </c>
      <c r="S57" s="170">
        <f t="shared" si="19"/>
        <v>0</v>
      </c>
      <c r="T57" s="168">
        <f>T112+T124</f>
        <v>0</v>
      </c>
      <c r="U57" s="168">
        <f>U112+U124</f>
        <v>0</v>
      </c>
      <c r="V57" s="168">
        <f>V112+V124</f>
        <v>0</v>
      </c>
      <c r="W57" s="168">
        <f>W112+W124</f>
        <v>0</v>
      </c>
      <c r="X57" s="168">
        <f t="shared" ref="X57:AE57" si="180">X112+X124</f>
        <v>100</v>
      </c>
      <c r="Y57" s="168">
        <f t="shared" si="180"/>
        <v>0</v>
      </c>
      <c r="Z57" s="168">
        <f t="shared" si="180"/>
        <v>100</v>
      </c>
      <c r="AA57" s="168">
        <f t="shared" si="180"/>
        <v>275</v>
      </c>
      <c r="AB57" s="168">
        <f t="shared" si="180"/>
        <v>780</v>
      </c>
      <c r="AC57" s="168">
        <f t="shared" si="180"/>
        <v>145</v>
      </c>
      <c r="AD57" s="168">
        <f t="shared" si="180"/>
        <v>800</v>
      </c>
      <c r="AE57" s="168">
        <f t="shared" si="180"/>
        <v>9658.44</v>
      </c>
      <c r="AF57" s="139">
        <f t="shared" si="8"/>
        <v>693.63636363636363</v>
      </c>
      <c r="AG57" s="139">
        <f t="shared" si="9"/>
        <v>-693.63636363636363</v>
      </c>
    </row>
    <row r="58" spans="1:33" x14ac:dyDescent="0.25">
      <c r="A58" s="130" t="s">
        <v>38</v>
      </c>
      <c r="B58" s="139">
        <f t="shared" ref="B58:C58" si="181">B114+B116+B117+B118+B119</f>
        <v>102598.45</v>
      </c>
      <c r="C58" s="139">
        <f t="shared" si="181"/>
        <v>135463.75</v>
      </c>
      <c r="D58" s="139">
        <f t="shared" ref="D58:E58" si="182">D114+D116+D117+D118+D119</f>
        <v>130572.65</v>
      </c>
      <c r="E58" s="139">
        <f t="shared" si="182"/>
        <v>117857.05</v>
      </c>
      <c r="F58" s="139">
        <f t="shared" ref="F58:M58" si="183">F114+F116+F117+F118+F119</f>
        <v>0</v>
      </c>
      <c r="G58" s="139">
        <f t="shared" si="183"/>
        <v>0</v>
      </c>
      <c r="H58" s="139">
        <f t="shared" si="183"/>
        <v>0</v>
      </c>
      <c r="I58" s="139">
        <f t="shared" si="183"/>
        <v>0</v>
      </c>
      <c r="J58" s="139">
        <f t="shared" si="183"/>
        <v>0</v>
      </c>
      <c r="K58" s="139">
        <f t="shared" si="183"/>
        <v>0</v>
      </c>
      <c r="L58" s="139">
        <f t="shared" ref="L58" si="184">L114+L116+L117+L118+L119</f>
        <v>0</v>
      </c>
      <c r="M58" s="139">
        <f t="shared" si="183"/>
        <v>0</v>
      </c>
      <c r="N58" s="139">
        <f t="shared" si="172"/>
        <v>486491.89999999997</v>
      </c>
      <c r="O58" s="139"/>
      <c r="P58" s="139">
        <f t="shared" si="173"/>
        <v>571586.66250000009</v>
      </c>
      <c r="Q58" s="139">
        <f t="shared" si="174"/>
        <v>762115.55</v>
      </c>
      <c r="R58" s="139">
        <v>762115.55</v>
      </c>
      <c r="S58" s="170">
        <f t="shared" si="19"/>
        <v>0</v>
      </c>
      <c r="T58" s="168">
        <f>T114+T116+T117+T118</f>
        <v>44096.53</v>
      </c>
      <c r="U58" s="168">
        <f>U114+U116+U117+U118</f>
        <v>78044.399999999994</v>
      </c>
      <c r="V58" s="168">
        <f>V114+V116+V117+V118</f>
        <v>64584.18</v>
      </c>
      <c r="W58" s="168">
        <f>W114+W116+W117+W118</f>
        <v>30224.629999999997</v>
      </c>
      <c r="X58" s="168">
        <f t="shared" ref="X58:AE58" si="185">X114+X116+X117+X118</f>
        <v>73319.850000000006</v>
      </c>
      <c r="Y58" s="168">
        <f t="shared" si="185"/>
        <v>39472.699999999997</v>
      </c>
      <c r="Z58" s="168">
        <f t="shared" si="185"/>
        <v>105316.34</v>
      </c>
      <c r="AA58" s="168">
        <f t="shared" si="185"/>
        <v>42109.01</v>
      </c>
      <c r="AB58" s="168">
        <f t="shared" si="185"/>
        <v>80331.100000000006</v>
      </c>
      <c r="AC58" s="168">
        <f t="shared" si="185"/>
        <v>48035.92</v>
      </c>
      <c r="AD58" s="168">
        <f t="shared" si="185"/>
        <v>68725.38</v>
      </c>
      <c r="AE58" s="168">
        <f t="shared" si="185"/>
        <v>87855.510000000009</v>
      </c>
      <c r="AF58" s="139">
        <f t="shared" si="8"/>
        <v>44226.536363636362</v>
      </c>
      <c r="AG58" s="139">
        <f t="shared" si="9"/>
        <v>-44226.536363636362</v>
      </c>
    </row>
    <row r="59" spans="1:33" x14ac:dyDescent="0.25">
      <c r="A59" s="130" t="s">
        <v>39</v>
      </c>
      <c r="B59" s="148">
        <f t="shared" ref="B59:E59" si="186">SUM(B55:B58)</f>
        <v>102598.45</v>
      </c>
      <c r="C59" s="148">
        <f t="shared" si="186"/>
        <v>135463.75</v>
      </c>
      <c r="D59" s="148">
        <f t="shared" ref="D59" si="187">SUM(D55:D58)</f>
        <v>132227.65</v>
      </c>
      <c r="E59" s="148">
        <f t="shared" si="186"/>
        <v>123832.05</v>
      </c>
      <c r="F59" s="148">
        <f t="shared" ref="F59:M59" si="188">SUM(F55:F58)</f>
        <v>0</v>
      </c>
      <c r="G59" s="148">
        <f t="shared" si="188"/>
        <v>0</v>
      </c>
      <c r="H59" s="148">
        <f t="shared" si="188"/>
        <v>0</v>
      </c>
      <c r="I59" s="148">
        <f t="shared" si="188"/>
        <v>0</v>
      </c>
      <c r="J59" s="148">
        <f t="shared" si="188"/>
        <v>0</v>
      </c>
      <c r="K59" s="148">
        <f t="shared" si="188"/>
        <v>0</v>
      </c>
      <c r="L59" s="148">
        <f t="shared" ref="L59" si="189">SUM(L55:L58)</f>
        <v>0</v>
      </c>
      <c r="M59" s="148">
        <f t="shared" si="188"/>
        <v>0</v>
      </c>
      <c r="N59" s="148">
        <f>SUM(N55:N58)</f>
        <v>494121.89999999997</v>
      </c>
      <c r="O59" s="148"/>
      <c r="P59" s="148">
        <f>SUM(P55:P58)</f>
        <v>904195.53750000009</v>
      </c>
      <c r="Q59" s="148">
        <f t="shared" si="174"/>
        <v>1205594.05</v>
      </c>
      <c r="R59" s="148">
        <v>1205594.05</v>
      </c>
      <c r="S59" s="170">
        <f t="shared" si="19"/>
        <v>0</v>
      </c>
      <c r="T59" s="178">
        <f>SUM(T55:T58)</f>
        <v>88271.010000000009</v>
      </c>
      <c r="U59" s="178">
        <f t="shared" ref="U59:AE59" si="190">SUM(U55:U58)</f>
        <v>115071.35999999999</v>
      </c>
      <c r="V59" s="178">
        <f t="shared" si="190"/>
        <v>115537.15</v>
      </c>
      <c r="W59" s="178">
        <f t="shared" si="190"/>
        <v>47607.63</v>
      </c>
      <c r="X59" s="178">
        <f t="shared" si="190"/>
        <v>79957.350000000006</v>
      </c>
      <c r="Y59" s="178">
        <f t="shared" si="190"/>
        <v>52163.199999999997</v>
      </c>
      <c r="Z59" s="178">
        <f t="shared" si="190"/>
        <v>119553.33</v>
      </c>
      <c r="AA59" s="178">
        <f t="shared" si="190"/>
        <v>45930.01</v>
      </c>
      <c r="AB59" s="178">
        <f t="shared" si="190"/>
        <v>87688.650000000009</v>
      </c>
      <c r="AC59" s="178">
        <f t="shared" si="190"/>
        <v>66741.709999999992</v>
      </c>
      <c r="AD59" s="178">
        <f t="shared" si="190"/>
        <v>99950.47</v>
      </c>
      <c r="AE59" s="178">
        <f t="shared" si="190"/>
        <v>287122.18000000005</v>
      </c>
      <c r="AF59" s="148">
        <f t="shared" si="8"/>
        <v>44920.172727272722</v>
      </c>
      <c r="AG59" s="148">
        <f t="shared" si="9"/>
        <v>-44920.172727272722</v>
      </c>
    </row>
    <row r="60" spans="1:33" x14ac:dyDescent="0.25">
      <c r="A60" s="130" t="s">
        <v>40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43"/>
      <c r="O60" s="143"/>
      <c r="P60" s="143"/>
      <c r="Q60" s="139"/>
      <c r="R60" s="143"/>
      <c r="S60" s="170">
        <f t="shared" si="19"/>
        <v>0</v>
      </c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43">
        <f t="shared" si="8"/>
        <v>0</v>
      </c>
      <c r="AG60" s="143">
        <f t="shared" si="9"/>
        <v>0</v>
      </c>
    </row>
    <row r="61" spans="1:33" x14ac:dyDescent="0.25">
      <c r="A61" s="130" t="s">
        <v>35</v>
      </c>
      <c r="B61" s="139">
        <f t="shared" ref="B61:C61" si="191">B135</f>
        <v>0</v>
      </c>
      <c r="C61" s="139">
        <f t="shared" si="191"/>
        <v>0</v>
      </c>
      <c r="D61" s="139">
        <f t="shared" ref="D61:E61" si="192">D135</f>
        <v>0</v>
      </c>
      <c r="E61" s="139">
        <f t="shared" si="192"/>
        <v>0</v>
      </c>
      <c r="F61" s="139">
        <f t="shared" ref="F61:M61" si="193">F135</f>
        <v>0</v>
      </c>
      <c r="G61" s="139">
        <f t="shared" si="193"/>
        <v>0</v>
      </c>
      <c r="H61" s="139">
        <f t="shared" si="193"/>
        <v>0</v>
      </c>
      <c r="I61" s="139">
        <f t="shared" si="193"/>
        <v>0</v>
      </c>
      <c r="J61" s="139">
        <f t="shared" si="193"/>
        <v>0</v>
      </c>
      <c r="K61" s="139">
        <f t="shared" si="193"/>
        <v>0</v>
      </c>
      <c r="L61" s="139">
        <f t="shared" ref="L61" si="194">L135</f>
        <v>0</v>
      </c>
      <c r="M61" s="139">
        <f t="shared" si="193"/>
        <v>0</v>
      </c>
      <c r="N61" s="139">
        <f>SUM(B61:M61)</f>
        <v>0</v>
      </c>
      <c r="O61" s="139"/>
      <c r="P61" s="139">
        <f>Q61/12*$P$3</f>
        <v>0</v>
      </c>
      <c r="Q61" s="139">
        <f t="shared" si="174"/>
        <v>0</v>
      </c>
      <c r="R61" s="139">
        <v>0</v>
      </c>
      <c r="S61" s="170">
        <f t="shared" si="19"/>
        <v>0</v>
      </c>
      <c r="T61" s="168">
        <f>T135</f>
        <v>0</v>
      </c>
      <c r="U61" s="168">
        <f>U135</f>
        <v>0</v>
      </c>
      <c r="V61" s="168">
        <f>V135</f>
        <v>0</v>
      </c>
      <c r="W61" s="168">
        <f t="shared" ref="W61:AE61" si="195">W135</f>
        <v>0</v>
      </c>
      <c r="X61" s="168">
        <f>X135</f>
        <v>0</v>
      </c>
      <c r="Y61" s="168">
        <f t="shared" si="195"/>
        <v>0</v>
      </c>
      <c r="Z61" s="168">
        <f t="shared" si="195"/>
        <v>0</v>
      </c>
      <c r="AA61" s="168">
        <f t="shared" si="195"/>
        <v>0</v>
      </c>
      <c r="AB61" s="168">
        <f t="shared" si="195"/>
        <v>0</v>
      </c>
      <c r="AC61" s="168">
        <f t="shared" si="195"/>
        <v>0</v>
      </c>
      <c r="AD61" s="168">
        <f t="shared" si="195"/>
        <v>0</v>
      </c>
      <c r="AE61" s="168">
        <f t="shared" si="195"/>
        <v>0</v>
      </c>
      <c r="AF61" s="139">
        <f t="shared" si="8"/>
        <v>0</v>
      </c>
      <c r="AG61" s="139">
        <f t="shared" si="9"/>
        <v>0</v>
      </c>
    </row>
    <row r="62" spans="1:33" x14ac:dyDescent="0.25">
      <c r="A62" s="130" t="s">
        <v>41</v>
      </c>
      <c r="B62" s="139">
        <f t="shared" ref="B62:C62" si="196">B146+B179+B152+B153+B192+B182</f>
        <v>5773.3</v>
      </c>
      <c r="C62" s="139">
        <f t="shared" si="196"/>
        <v>2965.38</v>
      </c>
      <c r="D62" s="139">
        <f t="shared" ref="D62:E62" si="197">D146+D179+D152+D153+D192+D182</f>
        <v>5968.37</v>
      </c>
      <c r="E62" s="139">
        <f t="shared" si="197"/>
        <v>14785.189999999999</v>
      </c>
      <c r="F62" s="139">
        <f t="shared" ref="F62:M62" si="198">F146+F179+F152+F153+F192+F182</f>
        <v>0</v>
      </c>
      <c r="G62" s="139">
        <f t="shared" si="198"/>
        <v>0</v>
      </c>
      <c r="H62" s="139">
        <f t="shared" si="198"/>
        <v>0</v>
      </c>
      <c r="I62" s="139">
        <f t="shared" si="198"/>
        <v>0</v>
      </c>
      <c r="J62" s="139">
        <f t="shared" si="198"/>
        <v>0</v>
      </c>
      <c r="K62" s="139">
        <f t="shared" si="198"/>
        <v>0</v>
      </c>
      <c r="L62" s="139">
        <f t="shared" ref="L62" si="199">L146+L179+L152+L153+L192+L182</f>
        <v>0</v>
      </c>
      <c r="M62" s="139">
        <f t="shared" si="198"/>
        <v>0</v>
      </c>
      <c r="N62" s="139">
        <f t="shared" ref="N62:N69" si="200">SUM(B62:M62)</f>
        <v>29492.239999999998</v>
      </c>
      <c r="O62" s="139"/>
      <c r="P62" s="139">
        <f t="shared" ref="P62:P69" si="201">Q62/12*$P$3</f>
        <v>365446.88249999995</v>
      </c>
      <c r="Q62" s="139">
        <f t="shared" si="174"/>
        <v>487262.50999999995</v>
      </c>
      <c r="R62" s="139">
        <v>487262.50999999995</v>
      </c>
      <c r="S62" s="170">
        <f t="shared" si="19"/>
        <v>0</v>
      </c>
      <c r="T62" s="168">
        <f>T146+T152+T153+T192+T179+T182+T191</f>
        <v>57082.080000000009</v>
      </c>
      <c r="U62" s="168">
        <f>U146+U152+U153+U192+U179+U182+U191</f>
        <v>43072.58</v>
      </c>
      <c r="V62" s="168">
        <f>V146+V152+V153+V192+V179+V182+V191</f>
        <v>59675.47</v>
      </c>
      <c r="W62" s="168">
        <f>W146+W152+W153+W192+W179+W182+W191</f>
        <v>4134.2700000000004</v>
      </c>
      <c r="X62" s="168">
        <f>X146+X152+X153+X192+X179+X182+X191</f>
        <v>5289.5499999999993</v>
      </c>
      <c r="Y62" s="168">
        <f t="shared" ref="Y62:AA62" si="202">Y146+Y179+Y152+Y153+Y145+Y191+Y192+Y182</f>
        <v>13894.16</v>
      </c>
      <c r="Z62" s="168">
        <f t="shared" si="202"/>
        <v>20530.47</v>
      </c>
      <c r="AA62" s="168">
        <f t="shared" si="202"/>
        <v>5400.13</v>
      </c>
      <c r="AB62" s="168">
        <f>AB146+AB179+AB152+AB153+AB192+AB182</f>
        <v>10087.08</v>
      </c>
      <c r="AC62" s="168">
        <f>AC146+AC179+AC152+AC153+AC192+AC182</f>
        <v>20598.52</v>
      </c>
      <c r="AD62" s="168">
        <f>AD146+AD179+AD152+AD153+AD192+AD182</f>
        <v>28536.52</v>
      </c>
      <c r="AE62" s="168">
        <f>AE146+AE179+AE152+AE153+AE192+AE182</f>
        <v>218961.68</v>
      </c>
      <c r="AF62" s="139">
        <f t="shared" si="8"/>
        <v>2681.1127272727272</v>
      </c>
      <c r="AG62" s="139">
        <f t="shared" si="9"/>
        <v>-2681.1127272727272</v>
      </c>
    </row>
    <row r="63" spans="1:33" x14ac:dyDescent="0.25">
      <c r="A63" s="130" t="s">
        <v>42</v>
      </c>
      <c r="B63" s="139">
        <f>B148+B151+B198</f>
        <v>345266.16</v>
      </c>
      <c r="C63" s="139">
        <f>C148+C151+C198</f>
        <v>375547.05000000005</v>
      </c>
      <c r="D63" s="139">
        <f>D148+D151+D198</f>
        <v>443477.03</v>
      </c>
      <c r="E63" s="139">
        <f>E148+E151+E198</f>
        <v>381631.29</v>
      </c>
      <c r="F63" s="139">
        <f>F148+F151+F198</f>
        <v>0</v>
      </c>
      <c r="G63" s="139">
        <f t="shared" ref="G63:M63" si="203">G148+G151+G198</f>
        <v>0</v>
      </c>
      <c r="H63" s="139">
        <f t="shared" si="203"/>
        <v>0</v>
      </c>
      <c r="I63" s="139">
        <f t="shared" si="203"/>
        <v>0</v>
      </c>
      <c r="J63" s="139">
        <f t="shared" si="203"/>
        <v>0</v>
      </c>
      <c r="K63" s="139">
        <f t="shared" si="203"/>
        <v>0</v>
      </c>
      <c r="L63" s="139">
        <f t="shared" ref="L63" si="204">L148+L151+L198</f>
        <v>0</v>
      </c>
      <c r="M63" s="139">
        <f t="shared" si="203"/>
        <v>0</v>
      </c>
      <c r="N63" s="139">
        <f t="shared" si="200"/>
        <v>1545921.53</v>
      </c>
      <c r="O63" s="139"/>
      <c r="P63" s="139">
        <f t="shared" si="201"/>
        <v>1276499.22</v>
      </c>
      <c r="Q63" s="139">
        <f t="shared" si="174"/>
        <v>1701998.96</v>
      </c>
      <c r="R63" s="139">
        <v>1701998.96</v>
      </c>
      <c r="S63" s="170">
        <f t="shared" si="19"/>
        <v>0</v>
      </c>
      <c r="T63" s="168">
        <f>T148+T151</f>
        <v>162526.82</v>
      </c>
      <c r="U63" s="168">
        <f>U148+U151</f>
        <v>186551.2</v>
      </c>
      <c r="V63" s="168">
        <f>V148+V151+V150</f>
        <v>121471.26</v>
      </c>
      <c r="W63" s="168">
        <f t="shared" ref="W63:AE63" si="205">W148+W151</f>
        <v>104538.95</v>
      </c>
      <c r="X63" s="168">
        <f>X148+X151+X150</f>
        <v>112337.33</v>
      </c>
      <c r="Y63" s="168">
        <f t="shared" si="205"/>
        <v>58522.59</v>
      </c>
      <c r="Z63" s="168">
        <f t="shared" si="205"/>
        <v>142640.88</v>
      </c>
      <c r="AA63" s="168">
        <f t="shared" si="205"/>
        <v>302010.69</v>
      </c>
      <c r="AB63" s="168">
        <f t="shared" si="205"/>
        <v>148375.73000000001</v>
      </c>
      <c r="AC63" s="168">
        <f t="shared" si="205"/>
        <v>124519.01</v>
      </c>
      <c r="AD63" s="168">
        <f t="shared" si="205"/>
        <v>101255.08</v>
      </c>
      <c r="AE63" s="168">
        <f t="shared" si="205"/>
        <v>137249.42000000001</v>
      </c>
      <c r="AF63" s="139">
        <f t="shared" si="8"/>
        <v>140538.32090909092</v>
      </c>
      <c r="AG63" s="139">
        <f t="shared" si="9"/>
        <v>-140538.32090909092</v>
      </c>
    </row>
    <row r="64" spans="1:33" x14ac:dyDescent="0.25">
      <c r="A64" s="130" t="s">
        <v>43</v>
      </c>
      <c r="B64" s="139">
        <f t="shared" ref="B64:C64" si="206">B181</f>
        <v>6166.06</v>
      </c>
      <c r="C64" s="139">
        <f t="shared" si="206"/>
        <v>5000</v>
      </c>
      <c r="D64" s="139">
        <f t="shared" ref="D64:E64" si="207">D181</f>
        <v>5000</v>
      </c>
      <c r="E64" s="139">
        <f t="shared" si="207"/>
        <v>7211.1</v>
      </c>
      <c r="F64" s="139">
        <f t="shared" ref="F64:M64" si="208">F181</f>
        <v>0</v>
      </c>
      <c r="G64" s="139">
        <f t="shared" si="208"/>
        <v>0</v>
      </c>
      <c r="H64" s="139">
        <f t="shared" si="208"/>
        <v>0</v>
      </c>
      <c r="I64" s="139">
        <f t="shared" si="208"/>
        <v>0</v>
      </c>
      <c r="J64" s="139">
        <f t="shared" si="208"/>
        <v>0</v>
      </c>
      <c r="K64" s="139">
        <f t="shared" si="208"/>
        <v>0</v>
      </c>
      <c r="L64" s="139">
        <f t="shared" ref="L64" si="209">L181</f>
        <v>0</v>
      </c>
      <c r="M64" s="139">
        <f t="shared" si="208"/>
        <v>0</v>
      </c>
      <c r="N64" s="139">
        <f t="shared" si="200"/>
        <v>23377.160000000003</v>
      </c>
      <c r="O64" s="139"/>
      <c r="P64" s="139">
        <f t="shared" si="201"/>
        <v>45000</v>
      </c>
      <c r="Q64" s="139">
        <f t="shared" si="174"/>
        <v>60000</v>
      </c>
      <c r="R64" s="139">
        <v>60000</v>
      </c>
      <c r="S64" s="170">
        <f t="shared" si="19"/>
        <v>0</v>
      </c>
      <c r="T64" s="168">
        <f t="shared" ref="T64:AE64" si="210">T181</f>
        <v>5000</v>
      </c>
      <c r="U64" s="168">
        <f t="shared" si="210"/>
        <v>16772.5</v>
      </c>
      <c r="V64" s="168">
        <f t="shared" si="210"/>
        <v>-6772.5</v>
      </c>
      <c r="W64" s="168">
        <f t="shared" si="210"/>
        <v>5000</v>
      </c>
      <c r="X64" s="168">
        <f t="shared" si="210"/>
        <v>5000</v>
      </c>
      <c r="Y64" s="168">
        <f t="shared" si="210"/>
        <v>5000</v>
      </c>
      <c r="Z64" s="168">
        <f t="shared" si="210"/>
        <v>5000</v>
      </c>
      <c r="AA64" s="168">
        <f t="shared" si="210"/>
        <v>5000</v>
      </c>
      <c r="AB64" s="168">
        <f t="shared" si="210"/>
        <v>5000</v>
      </c>
      <c r="AC64" s="168">
        <f t="shared" si="210"/>
        <v>5000</v>
      </c>
      <c r="AD64" s="168">
        <f t="shared" si="210"/>
        <v>5000</v>
      </c>
      <c r="AE64" s="168">
        <f t="shared" si="210"/>
        <v>5000</v>
      </c>
      <c r="AF64" s="139">
        <f t="shared" si="8"/>
        <v>2125.1963636363639</v>
      </c>
      <c r="AG64" s="139">
        <f t="shared" si="9"/>
        <v>-2125.1963636363639</v>
      </c>
    </row>
    <row r="65" spans="1:33" x14ac:dyDescent="0.25">
      <c r="A65" s="130" t="s">
        <v>684</v>
      </c>
      <c r="C65" s="139"/>
      <c r="D65" s="139">
        <f>D149</f>
        <v>25275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>
        <f t="shared" si="200"/>
        <v>25275</v>
      </c>
      <c r="O65" s="139"/>
      <c r="P65" s="139"/>
      <c r="Q65" s="139"/>
      <c r="R65" s="139"/>
      <c r="S65" s="170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39"/>
      <c r="AG65" s="139"/>
    </row>
    <row r="66" spans="1:33" x14ac:dyDescent="0.25">
      <c r="A66" s="130" t="s">
        <v>44</v>
      </c>
      <c r="B66" s="139">
        <f t="shared" ref="B66:C66" si="211">B188+B193+B194+B187+B189</f>
        <v>22274.239999999998</v>
      </c>
      <c r="C66" s="139">
        <f t="shared" si="211"/>
        <v>27057.68</v>
      </c>
      <c r="D66" s="139">
        <f t="shared" ref="D66:E66" si="212">D188+D193+D194+D187+D189</f>
        <v>46065.18</v>
      </c>
      <c r="E66" s="139">
        <f t="shared" si="212"/>
        <v>23966.55</v>
      </c>
      <c r="F66" s="139">
        <f t="shared" ref="F66:M66" si="213">F188+F193+F194+F187+F189</f>
        <v>0</v>
      </c>
      <c r="G66" s="139">
        <f t="shared" si="213"/>
        <v>0</v>
      </c>
      <c r="H66" s="139">
        <f t="shared" si="213"/>
        <v>0</v>
      </c>
      <c r="I66" s="139">
        <f t="shared" si="213"/>
        <v>0</v>
      </c>
      <c r="J66" s="139">
        <f t="shared" si="213"/>
        <v>0</v>
      </c>
      <c r="K66" s="139">
        <f t="shared" si="213"/>
        <v>0</v>
      </c>
      <c r="L66" s="139">
        <f t="shared" ref="L66" si="214">L188+L193+L194+L187+L189</f>
        <v>0</v>
      </c>
      <c r="M66" s="139">
        <f t="shared" si="213"/>
        <v>0</v>
      </c>
      <c r="N66" s="139">
        <f t="shared" si="200"/>
        <v>119363.65000000001</v>
      </c>
      <c r="O66" s="139"/>
      <c r="P66" s="139">
        <f t="shared" si="201"/>
        <v>154624.76999999999</v>
      </c>
      <c r="Q66" s="139">
        <f t="shared" si="174"/>
        <v>206166.36</v>
      </c>
      <c r="R66" s="139">
        <v>206166.36</v>
      </c>
      <c r="S66" s="170">
        <f t="shared" si="19"/>
        <v>0</v>
      </c>
      <c r="T66" s="168">
        <f>T188+T193+T194+T187+T189</f>
        <v>15314.77</v>
      </c>
      <c r="U66" s="168">
        <f>U188+U193+U194+U187+U189</f>
        <v>24623.15</v>
      </c>
      <c r="V66" s="168">
        <f t="shared" ref="V66:AE66" si="215">V188+V193+V194+V187+V189</f>
        <v>20393.25</v>
      </c>
      <c r="W66" s="168">
        <f t="shared" si="215"/>
        <v>17847.68</v>
      </c>
      <c r="X66" s="168">
        <f t="shared" si="215"/>
        <v>17603.449999999997</v>
      </c>
      <c r="Y66" s="168">
        <f t="shared" si="215"/>
        <v>14073.55</v>
      </c>
      <c r="Z66" s="168">
        <f t="shared" si="215"/>
        <v>12245.060000000001</v>
      </c>
      <c r="AA66" s="168">
        <f t="shared" si="215"/>
        <v>18464.39</v>
      </c>
      <c r="AB66" s="168">
        <f t="shared" si="215"/>
        <v>6687.04</v>
      </c>
      <c r="AC66" s="168">
        <f t="shared" si="215"/>
        <v>29655.07</v>
      </c>
      <c r="AD66" s="168">
        <f t="shared" si="215"/>
        <v>19372.400000000001</v>
      </c>
      <c r="AE66" s="168">
        <f t="shared" si="215"/>
        <v>9886.5500000000011</v>
      </c>
      <c r="AF66" s="139">
        <f t="shared" si="8"/>
        <v>10851.24090909091</v>
      </c>
      <c r="AG66" s="139">
        <f t="shared" si="9"/>
        <v>-10851.24090909091</v>
      </c>
    </row>
    <row r="67" spans="1:33" x14ac:dyDescent="0.25">
      <c r="A67" s="130" t="s">
        <v>45</v>
      </c>
      <c r="B67" s="139">
        <f t="shared" ref="B67:C67" si="216">B185</f>
        <v>18962.5</v>
      </c>
      <c r="C67" s="139">
        <f t="shared" si="216"/>
        <v>18962.5</v>
      </c>
      <c r="D67" s="139">
        <f t="shared" ref="D67:E67" si="217">D185</f>
        <v>19325</v>
      </c>
      <c r="E67" s="139">
        <f t="shared" si="217"/>
        <v>18962.5</v>
      </c>
      <c r="F67" s="139">
        <f t="shared" ref="F67:M67" si="218">F185</f>
        <v>0</v>
      </c>
      <c r="G67" s="139">
        <f t="shared" si="218"/>
        <v>0</v>
      </c>
      <c r="H67" s="139">
        <f t="shared" si="218"/>
        <v>0</v>
      </c>
      <c r="I67" s="139">
        <f t="shared" si="218"/>
        <v>0</v>
      </c>
      <c r="J67" s="139">
        <f t="shared" si="218"/>
        <v>0</v>
      </c>
      <c r="K67" s="139">
        <f t="shared" si="218"/>
        <v>0</v>
      </c>
      <c r="L67" s="139">
        <f t="shared" ref="L67" si="219">L185</f>
        <v>0</v>
      </c>
      <c r="M67" s="139">
        <f t="shared" si="218"/>
        <v>0</v>
      </c>
      <c r="N67" s="139">
        <f t="shared" si="200"/>
        <v>76212.5</v>
      </c>
      <c r="O67" s="139"/>
      <c r="P67" s="139">
        <f t="shared" si="201"/>
        <v>233311.41000000003</v>
      </c>
      <c r="Q67" s="139">
        <f t="shared" si="174"/>
        <v>311081.88000000006</v>
      </c>
      <c r="R67" s="139">
        <v>311081.88000000006</v>
      </c>
      <c r="S67" s="170">
        <f t="shared" si="19"/>
        <v>0</v>
      </c>
      <c r="T67" s="168">
        <f>T185</f>
        <v>28233.33</v>
      </c>
      <c r="U67" s="168">
        <f>U185</f>
        <v>28233.33</v>
      </c>
      <c r="V67" s="168">
        <f>V185</f>
        <v>28595.83</v>
      </c>
      <c r="W67" s="168">
        <f t="shared" ref="W67:AE67" si="220">W185</f>
        <v>28233.33</v>
      </c>
      <c r="X67" s="168">
        <f>X185</f>
        <v>28233.33</v>
      </c>
      <c r="Y67" s="168">
        <f t="shared" si="220"/>
        <v>7627.91</v>
      </c>
      <c r="Z67" s="168">
        <f t="shared" si="220"/>
        <v>28233.33</v>
      </c>
      <c r="AA67" s="168">
        <f t="shared" si="220"/>
        <v>28233.33</v>
      </c>
      <c r="AB67" s="168">
        <f t="shared" si="220"/>
        <v>28233.33</v>
      </c>
      <c r="AC67" s="168">
        <f t="shared" si="220"/>
        <v>28233.33</v>
      </c>
      <c r="AD67" s="168">
        <f t="shared" si="220"/>
        <v>24925.040000000001</v>
      </c>
      <c r="AE67" s="168">
        <f t="shared" si="220"/>
        <v>24066.46</v>
      </c>
      <c r="AF67" s="139">
        <f t="shared" si="8"/>
        <v>6928.409090909091</v>
      </c>
      <c r="AG67" s="139">
        <f t="shared" si="9"/>
        <v>-6928.409090909091</v>
      </c>
    </row>
    <row r="68" spans="1:33" x14ac:dyDescent="0.25">
      <c r="A68" s="130" t="s">
        <v>46</v>
      </c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>
        <f t="shared" si="200"/>
        <v>0</v>
      </c>
      <c r="O68" s="139"/>
      <c r="P68" s="139">
        <f t="shared" si="201"/>
        <v>0</v>
      </c>
      <c r="Q68" s="139">
        <f t="shared" si="174"/>
        <v>0</v>
      </c>
      <c r="R68" s="139">
        <v>0</v>
      </c>
      <c r="S68" s="170">
        <f t="shared" si="19"/>
        <v>0</v>
      </c>
      <c r="T68" s="168">
        <v>0</v>
      </c>
      <c r="U68" s="168">
        <v>0</v>
      </c>
      <c r="V68" s="168">
        <v>0</v>
      </c>
      <c r="W68" s="168">
        <v>0</v>
      </c>
      <c r="X68" s="168">
        <v>0</v>
      </c>
      <c r="Y68" s="168">
        <v>0</v>
      </c>
      <c r="Z68" s="168">
        <v>0</v>
      </c>
      <c r="AA68" s="168">
        <v>0</v>
      </c>
      <c r="AB68" s="168"/>
      <c r="AC68" s="168"/>
      <c r="AD68" s="168"/>
      <c r="AE68" s="168"/>
      <c r="AF68" s="139">
        <f t="shared" si="8"/>
        <v>0</v>
      </c>
      <c r="AG68" s="139">
        <f t="shared" si="9"/>
        <v>0</v>
      </c>
    </row>
    <row r="69" spans="1:33" x14ac:dyDescent="0.25">
      <c r="A69" s="130" t="s">
        <v>47</v>
      </c>
      <c r="B69" s="139">
        <f t="shared" ref="B69:C69" si="221">B186</f>
        <v>0</v>
      </c>
      <c r="C69" s="139">
        <f t="shared" si="221"/>
        <v>745.35</v>
      </c>
      <c r="D69" s="139">
        <f t="shared" ref="D69:E69" si="222">D186</f>
        <v>1244.7</v>
      </c>
      <c r="E69" s="139">
        <f t="shared" si="222"/>
        <v>0</v>
      </c>
      <c r="F69" s="139">
        <f t="shared" ref="F69:M69" si="223">F186</f>
        <v>0</v>
      </c>
      <c r="G69" s="139">
        <f t="shared" si="223"/>
        <v>0</v>
      </c>
      <c r="H69" s="139">
        <f t="shared" si="223"/>
        <v>0</v>
      </c>
      <c r="I69" s="139">
        <f t="shared" si="223"/>
        <v>0</v>
      </c>
      <c r="J69" s="139">
        <f t="shared" si="223"/>
        <v>0</v>
      </c>
      <c r="K69" s="139">
        <f t="shared" si="223"/>
        <v>0</v>
      </c>
      <c r="L69" s="139">
        <f t="shared" ref="L69" si="224">L186</f>
        <v>0</v>
      </c>
      <c r="M69" s="139">
        <f t="shared" si="223"/>
        <v>0</v>
      </c>
      <c r="N69" s="139">
        <f t="shared" si="200"/>
        <v>1990.0500000000002</v>
      </c>
      <c r="O69" s="139"/>
      <c r="P69" s="139">
        <f t="shared" si="201"/>
        <v>1360.4549999999999</v>
      </c>
      <c r="Q69" s="139">
        <f t="shared" si="174"/>
        <v>1813.94</v>
      </c>
      <c r="R69" s="139">
        <v>1813.94</v>
      </c>
      <c r="S69" s="170">
        <f t="shared" si="19"/>
        <v>0</v>
      </c>
      <c r="T69" s="139">
        <f>T186</f>
        <v>0</v>
      </c>
      <c r="U69" s="139">
        <f>U186</f>
        <v>878</v>
      </c>
      <c r="V69" s="179">
        <f>V186</f>
        <v>0</v>
      </c>
      <c r="W69" s="168">
        <f t="shared" ref="W69:AE69" si="225">W186</f>
        <v>0</v>
      </c>
      <c r="X69" s="168">
        <f>X186</f>
        <v>620</v>
      </c>
      <c r="Y69" s="168">
        <f t="shared" si="225"/>
        <v>0</v>
      </c>
      <c r="Z69" s="168">
        <f t="shared" si="225"/>
        <v>12</v>
      </c>
      <c r="AA69" s="168">
        <f t="shared" si="225"/>
        <v>0</v>
      </c>
      <c r="AB69" s="168">
        <f t="shared" si="225"/>
        <v>0</v>
      </c>
      <c r="AC69" s="168">
        <f t="shared" si="225"/>
        <v>0</v>
      </c>
      <c r="AD69" s="168">
        <f t="shared" si="225"/>
        <v>0</v>
      </c>
      <c r="AE69" s="168">
        <f t="shared" si="225"/>
        <v>303.94</v>
      </c>
      <c r="AF69" s="139">
        <f t="shared" si="8"/>
        <v>180.91363636363639</v>
      </c>
      <c r="AG69" s="139">
        <f t="shared" si="9"/>
        <v>-180.91363636363639</v>
      </c>
    </row>
    <row r="70" spans="1:33" x14ac:dyDescent="0.25">
      <c r="A70" s="130" t="s">
        <v>48</v>
      </c>
      <c r="B70" s="142">
        <f t="shared" ref="B70:E70" si="226">SUM(B61:B69)</f>
        <v>398442.25999999995</v>
      </c>
      <c r="C70" s="142">
        <f t="shared" si="226"/>
        <v>430277.96</v>
      </c>
      <c r="D70" s="142">
        <f t="shared" ref="D70" si="227">SUM(D61:D69)</f>
        <v>546355.28</v>
      </c>
      <c r="E70" s="142">
        <f t="shared" si="226"/>
        <v>446556.62999999995</v>
      </c>
      <c r="F70" s="142">
        <f t="shared" ref="F70:M70" si="228">SUM(F61:F69)</f>
        <v>0</v>
      </c>
      <c r="G70" s="142">
        <f t="shared" si="228"/>
        <v>0</v>
      </c>
      <c r="H70" s="142">
        <f t="shared" si="228"/>
        <v>0</v>
      </c>
      <c r="I70" s="142">
        <f t="shared" si="228"/>
        <v>0</v>
      </c>
      <c r="J70" s="142">
        <f t="shared" si="228"/>
        <v>0</v>
      </c>
      <c r="K70" s="142">
        <f t="shared" si="228"/>
        <v>0</v>
      </c>
      <c r="L70" s="142">
        <f t="shared" ref="L70" si="229">SUM(L61:L69)</f>
        <v>0</v>
      </c>
      <c r="M70" s="142">
        <f t="shared" si="228"/>
        <v>0</v>
      </c>
      <c r="N70" s="142">
        <f>SUM(N61:N69)</f>
        <v>1821632.13</v>
      </c>
      <c r="O70" s="142"/>
      <c r="P70" s="142">
        <f>SUM(P61:P69)</f>
        <v>2076242.7375000003</v>
      </c>
      <c r="Q70" s="142">
        <f>SUM(Q61:Q69)</f>
        <v>2768323.6499999994</v>
      </c>
      <c r="R70" s="142">
        <v>2768323.6499999994</v>
      </c>
      <c r="S70" s="170">
        <f t="shared" si="19"/>
        <v>0</v>
      </c>
      <c r="T70" s="142">
        <f>SUM(T61:T69)</f>
        <v>268157</v>
      </c>
      <c r="U70" s="142">
        <f t="shared" ref="U70:AE70" si="230">SUM(U61:U69)</f>
        <v>300130.76000000007</v>
      </c>
      <c r="V70" s="139">
        <f t="shared" si="230"/>
        <v>223363.31</v>
      </c>
      <c r="W70" s="142">
        <f t="shared" si="230"/>
        <v>159754.22999999998</v>
      </c>
      <c r="X70" s="142">
        <f t="shared" si="230"/>
        <v>169083.66000000003</v>
      </c>
      <c r="Y70" s="142">
        <f t="shared" si="230"/>
        <v>99118.21</v>
      </c>
      <c r="Z70" s="142">
        <f t="shared" si="230"/>
        <v>208661.74</v>
      </c>
      <c r="AA70" s="142">
        <f t="shared" si="230"/>
        <v>359108.54000000004</v>
      </c>
      <c r="AB70" s="142">
        <f t="shared" si="230"/>
        <v>198383.18</v>
      </c>
      <c r="AC70" s="142">
        <f t="shared" si="230"/>
        <v>208005.93</v>
      </c>
      <c r="AD70" s="142">
        <f t="shared" si="230"/>
        <v>179089.04</v>
      </c>
      <c r="AE70" s="142">
        <f t="shared" si="230"/>
        <v>395468.05</v>
      </c>
      <c r="AF70" s="142">
        <f t="shared" si="8"/>
        <v>165602.9209090909</v>
      </c>
      <c r="AG70" s="142">
        <f t="shared" si="9"/>
        <v>-165602.9209090909</v>
      </c>
    </row>
    <row r="71" spans="1:33" x14ac:dyDescent="0.25">
      <c r="A71" s="130" t="s">
        <v>49</v>
      </c>
      <c r="B71" s="148">
        <f t="shared" ref="B71:E71" si="231">+B59-B70</f>
        <v>-295843.80999999994</v>
      </c>
      <c r="C71" s="148">
        <f t="shared" si="231"/>
        <v>-294814.21000000002</v>
      </c>
      <c r="D71" s="148">
        <f t="shared" ref="D71" si="232">+D59-D70</f>
        <v>-414127.63</v>
      </c>
      <c r="E71" s="148">
        <f t="shared" si="231"/>
        <v>-322724.57999999996</v>
      </c>
      <c r="F71" s="148">
        <f t="shared" ref="F71:M71" si="233">+F59-F70</f>
        <v>0</v>
      </c>
      <c r="G71" s="148">
        <f t="shared" si="233"/>
        <v>0</v>
      </c>
      <c r="H71" s="148">
        <f t="shared" si="233"/>
        <v>0</v>
      </c>
      <c r="I71" s="148">
        <f t="shared" si="233"/>
        <v>0</v>
      </c>
      <c r="J71" s="148">
        <f t="shared" si="233"/>
        <v>0</v>
      </c>
      <c r="K71" s="148">
        <f t="shared" si="233"/>
        <v>0</v>
      </c>
      <c r="L71" s="148">
        <f t="shared" ref="L71" si="234">+L59-L70</f>
        <v>0</v>
      </c>
      <c r="M71" s="148">
        <f t="shared" si="233"/>
        <v>0</v>
      </c>
      <c r="N71" s="148">
        <f t="shared" ref="N71:P71" si="235">+N59-N70</f>
        <v>-1327510.23</v>
      </c>
      <c r="O71" s="148"/>
      <c r="P71" s="148">
        <f t="shared" si="235"/>
        <v>-1172047.2000000002</v>
      </c>
      <c r="Q71" s="148">
        <f t="shared" ref="Q71" si="236">+Q59-Q70</f>
        <v>-1562729.5999999994</v>
      </c>
      <c r="R71" s="148">
        <v>-1562729.5999999994</v>
      </c>
      <c r="S71" s="170">
        <f t="shared" ref="S71:S136" si="237">R71-SUM(T71:AE71)</f>
        <v>0</v>
      </c>
      <c r="T71" s="148">
        <f>+T59-T70</f>
        <v>-179885.99</v>
      </c>
      <c r="U71" s="148">
        <f t="shared" ref="U71:AE71" si="238">+U59-U70</f>
        <v>-185059.40000000008</v>
      </c>
      <c r="V71" s="148">
        <f t="shared" si="238"/>
        <v>-107826.16</v>
      </c>
      <c r="W71" s="148">
        <f t="shared" si="238"/>
        <v>-112146.59999999998</v>
      </c>
      <c r="X71" s="148">
        <f t="shared" si="238"/>
        <v>-89126.310000000027</v>
      </c>
      <c r="Y71" s="148">
        <f t="shared" si="238"/>
        <v>-46955.010000000009</v>
      </c>
      <c r="Z71" s="148">
        <f t="shared" si="238"/>
        <v>-89108.409999999989</v>
      </c>
      <c r="AA71" s="148">
        <f t="shared" si="238"/>
        <v>-313178.53000000003</v>
      </c>
      <c r="AB71" s="148">
        <f t="shared" si="238"/>
        <v>-110694.52999999998</v>
      </c>
      <c r="AC71" s="148">
        <f t="shared" si="238"/>
        <v>-141264.22</v>
      </c>
      <c r="AD71" s="148">
        <f t="shared" si="238"/>
        <v>-79138.570000000007</v>
      </c>
      <c r="AE71" s="148">
        <f t="shared" si="238"/>
        <v>-108345.86999999994</v>
      </c>
      <c r="AF71" s="148">
        <f t="shared" si="8"/>
        <v>-120682.74818181818</v>
      </c>
      <c r="AG71" s="148">
        <f t="shared" si="9"/>
        <v>120682.74818181818</v>
      </c>
    </row>
    <row r="72" spans="1:33" x14ac:dyDescent="0.25"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43"/>
      <c r="O72" s="143"/>
      <c r="P72" s="143"/>
      <c r="Q72" s="139"/>
      <c r="R72" s="143"/>
      <c r="S72" s="170">
        <f t="shared" si="237"/>
        <v>0</v>
      </c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43">
        <f t="shared" si="8"/>
        <v>0</v>
      </c>
      <c r="AG72" s="143">
        <f t="shared" si="9"/>
        <v>0</v>
      </c>
    </row>
    <row r="73" spans="1:33" x14ac:dyDescent="0.25">
      <c r="A73" s="130" t="s">
        <v>50</v>
      </c>
      <c r="B73" s="139">
        <f t="shared" ref="B73:C73" si="239">B225</f>
        <v>937285.82</v>
      </c>
      <c r="C73" s="139">
        <f t="shared" si="239"/>
        <v>421887.87000000005</v>
      </c>
      <c r="D73" s="139">
        <f t="shared" ref="D73:E73" si="240">D225</f>
        <v>2512427.3899999997</v>
      </c>
      <c r="E73" s="139">
        <f t="shared" si="240"/>
        <v>452988.75</v>
      </c>
      <c r="F73" s="139">
        <f t="shared" ref="F73:M73" si="241">F225</f>
        <v>0</v>
      </c>
      <c r="G73" s="139">
        <f t="shared" si="241"/>
        <v>0</v>
      </c>
      <c r="H73" s="139">
        <f t="shared" si="241"/>
        <v>0</v>
      </c>
      <c r="I73" s="139">
        <f t="shared" si="241"/>
        <v>0</v>
      </c>
      <c r="J73" s="139">
        <f t="shared" si="241"/>
        <v>0</v>
      </c>
      <c r="K73" s="139">
        <f t="shared" si="241"/>
        <v>0</v>
      </c>
      <c r="L73" s="139">
        <f t="shared" ref="L73" si="242">L225</f>
        <v>0</v>
      </c>
      <c r="M73" s="139">
        <f t="shared" si="241"/>
        <v>0</v>
      </c>
      <c r="N73" s="139">
        <f>SUM(B73:M73)</f>
        <v>4324589.83</v>
      </c>
      <c r="O73" s="139"/>
      <c r="P73" s="139">
        <f>Q73/12*$P$3</f>
        <v>2409135.8625000003</v>
      </c>
      <c r="Q73" s="139">
        <f t="shared" si="174"/>
        <v>3212181.1500000004</v>
      </c>
      <c r="R73" s="139">
        <v>3212181.1500000004</v>
      </c>
      <c r="S73" s="170">
        <f t="shared" si="237"/>
        <v>0</v>
      </c>
      <c r="T73" s="168">
        <f t="shared" ref="T73:AA73" si="243">T225</f>
        <v>405193.11</v>
      </c>
      <c r="U73" s="168">
        <f t="shared" si="243"/>
        <v>341937.99000000005</v>
      </c>
      <c r="V73" s="168">
        <f t="shared" si="243"/>
        <v>343625.55</v>
      </c>
      <c r="W73" s="168">
        <f t="shared" si="243"/>
        <v>353871.56</v>
      </c>
      <c r="X73" s="168">
        <f t="shared" si="243"/>
        <v>420339.36000000004</v>
      </c>
      <c r="Y73" s="168">
        <f t="shared" si="243"/>
        <v>403802.07</v>
      </c>
      <c r="Z73" s="168">
        <f t="shared" si="243"/>
        <v>404965.73</v>
      </c>
      <c r="AA73" s="168">
        <f t="shared" si="243"/>
        <v>398996.33</v>
      </c>
      <c r="AB73" s="168">
        <f>AB225</f>
        <v>-774085.3</v>
      </c>
      <c r="AC73" s="168">
        <f>AC225</f>
        <v>288817.17</v>
      </c>
      <c r="AD73" s="168">
        <f>AD225</f>
        <v>212558.63</v>
      </c>
      <c r="AE73" s="168">
        <f>AE225</f>
        <v>412158.95</v>
      </c>
      <c r="AF73" s="139">
        <f t="shared" si="8"/>
        <v>393144.53</v>
      </c>
      <c r="AG73" s="139">
        <f t="shared" si="9"/>
        <v>-393144.53</v>
      </c>
    </row>
    <row r="74" spans="1:33" x14ac:dyDescent="0.25">
      <c r="A74" s="130" t="s">
        <v>51</v>
      </c>
      <c r="B74" s="139">
        <f t="shared" ref="B74:C74" si="244">B251</f>
        <v>204544.11</v>
      </c>
      <c r="C74" s="139">
        <f t="shared" si="244"/>
        <v>219279.44</v>
      </c>
      <c r="D74" s="139">
        <f t="shared" ref="D74:E74" si="245">D251</f>
        <v>212003.18</v>
      </c>
      <c r="E74" s="139">
        <f t="shared" si="245"/>
        <v>217968.49</v>
      </c>
      <c r="F74" s="139">
        <f t="shared" ref="F74:M74" si="246">F251</f>
        <v>0</v>
      </c>
      <c r="G74" s="139">
        <f t="shared" si="246"/>
        <v>0</v>
      </c>
      <c r="H74" s="139">
        <f t="shared" si="246"/>
        <v>0</v>
      </c>
      <c r="I74" s="139">
        <f t="shared" si="246"/>
        <v>0</v>
      </c>
      <c r="J74" s="139">
        <f t="shared" si="246"/>
        <v>0</v>
      </c>
      <c r="K74" s="139">
        <f t="shared" si="246"/>
        <v>0</v>
      </c>
      <c r="L74" s="139">
        <f t="shared" ref="L74" si="247">L251</f>
        <v>0</v>
      </c>
      <c r="M74" s="139">
        <f t="shared" si="246"/>
        <v>0</v>
      </c>
      <c r="N74" s="139">
        <f t="shared" ref="N74:N77" si="248">SUM(B74:M74)</f>
        <v>853795.22</v>
      </c>
      <c r="O74" s="139"/>
      <c r="P74" s="139">
        <f>Q74/12*$P$3</f>
        <v>1993590.2700000003</v>
      </c>
      <c r="Q74" s="139">
        <f t="shared" si="174"/>
        <v>2658120.3600000003</v>
      </c>
      <c r="R74" s="139">
        <v>2658120.3600000003</v>
      </c>
      <c r="S74" s="170">
        <f t="shared" si="237"/>
        <v>0</v>
      </c>
      <c r="T74" s="168">
        <f t="shared" ref="T74:Y74" si="249">T251</f>
        <v>217438.18</v>
      </c>
      <c r="U74" s="168">
        <f t="shared" si="249"/>
        <v>209198.51</v>
      </c>
      <c r="V74" s="168">
        <f t="shared" si="249"/>
        <v>217237.15000000002</v>
      </c>
      <c r="W74" s="168">
        <f t="shared" si="249"/>
        <v>198728.25999999998</v>
      </c>
      <c r="X74" s="168">
        <f t="shared" si="249"/>
        <v>199475.94999999998</v>
      </c>
      <c r="Y74" s="168">
        <f t="shared" si="249"/>
        <v>222170.33999999997</v>
      </c>
      <c r="Z74" s="168">
        <f>Z251</f>
        <v>232432.36999999997</v>
      </c>
      <c r="AA74" s="168">
        <f t="shared" ref="AA74" si="250">AA251</f>
        <v>206199.65</v>
      </c>
      <c r="AB74" s="168">
        <f>AB251</f>
        <v>262615.36</v>
      </c>
      <c r="AC74" s="168">
        <f>AC251</f>
        <v>237014.89</v>
      </c>
      <c r="AD74" s="168">
        <f>AD251</f>
        <v>216333.72999999995</v>
      </c>
      <c r="AE74" s="168">
        <f>AE251</f>
        <v>239275.96999999997</v>
      </c>
      <c r="AF74" s="139">
        <f t="shared" si="8"/>
        <v>77617.747272727269</v>
      </c>
      <c r="AG74" s="139">
        <f t="shared" si="9"/>
        <v>-77617.747272727269</v>
      </c>
    </row>
    <row r="75" spans="1:33" x14ac:dyDescent="0.25">
      <c r="A75" s="130" t="s">
        <v>52</v>
      </c>
      <c r="B75" s="139">
        <f t="shared" ref="B75:C75" si="251">B288</f>
        <v>57373.959999999992</v>
      </c>
      <c r="C75" s="139">
        <f t="shared" si="251"/>
        <v>66170.349999999991</v>
      </c>
      <c r="D75" s="139">
        <f t="shared" ref="D75:E75" si="252">D288</f>
        <v>64152.36</v>
      </c>
      <c r="E75" s="139">
        <f t="shared" si="252"/>
        <v>68263.600000000006</v>
      </c>
      <c r="F75" s="139">
        <f t="shared" ref="F75:M75" si="253">F288</f>
        <v>0</v>
      </c>
      <c r="G75" s="139">
        <f t="shared" si="253"/>
        <v>0</v>
      </c>
      <c r="H75" s="139">
        <f t="shared" si="253"/>
        <v>0</v>
      </c>
      <c r="I75" s="139">
        <f t="shared" si="253"/>
        <v>0</v>
      </c>
      <c r="J75" s="139">
        <f t="shared" si="253"/>
        <v>0</v>
      </c>
      <c r="K75" s="139">
        <f t="shared" si="253"/>
        <v>0</v>
      </c>
      <c r="L75" s="139">
        <f t="shared" ref="L75" si="254">L288</f>
        <v>0</v>
      </c>
      <c r="M75" s="139">
        <f t="shared" si="253"/>
        <v>0</v>
      </c>
      <c r="N75" s="139">
        <f>SUM(B75:M75)</f>
        <v>255960.27</v>
      </c>
      <c r="O75" s="139"/>
      <c r="P75" s="139">
        <f>Q75/12*$P$3</f>
        <v>709984.13250000007</v>
      </c>
      <c r="Q75" s="139">
        <f t="shared" si="174"/>
        <v>946645.51</v>
      </c>
      <c r="R75" s="139">
        <v>946645.51</v>
      </c>
      <c r="S75" s="170">
        <f t="shared" si="237"/>
        <v>0</v>
      </c>
      <c r="T75" s="168">
        <f t="shared" ref="T75:AA75" si="255">T288</f>
        <v>90442.829999999987</v>
      </c>
      <c r="U75" s="168">
        <f t="shared" si="255"/>
        <v>71415.44</v>
      </c>
      <c r="V75" s="168">
        <f t="shared" si="255"/>
        <v>72804.350000000006</v>
      </c>
      <c r="W75" s="168">
        <f t="shared" si="255"/>
        <v>77596.460000000006</v>
      </c>
      <c r="X75" s="168">
        <f t="shared" si="255"/>
        <v>76368.37</v>
      </c>
      <c r="Y75" s="168">
        <f t="shared" si="255"/>
        <v>87260.21</v>
      </c>
      <c r="Z75" s="168">
        <f t="shared" si="255"/>
        <v>100682.48999999999</v>
      </c>
      <c r="AA75" s="168">
        <f t="shared" si="255"/>
        <v>93622.96</v>
      </c>
      <c r="AB75" s="168">
        <f>AB288</f>
        <v>3254.6100000000069</v>
      </c>
      <c r="AC75" s="168">
        <f>AC288</f>
        <v>90818.64</v>
      </c>
      <c r="AD75" s="168">
        <f>AD288</f>
        <v>66473.72</v>
      </c>
      <c r="AE75" s="168">
        <f>AE288</f>
        <v>115905.43000000002</v>
      </c>
      <c r="AF75" s="139">
        <f t="shared" ref="AF75:AF147" si="256">(N75-M75)/11</f>
        <v>23269.115454545452</v>
      </c>
      <c r="AG75" s="139">
        <f t="shared" ref="AG75:AG147" si="257">M75-AF75</f>
        <v>-23269.115454545452</v>
      </c>
    </row>
    <row r="76" spans="1:33" x14ac:dyDescent="0.25">
      <c r="A76" s="130" t="s">
        <v>53</v>
      </c>
      <c r="B76" s="139">
        <f t="shared" ref="B76:C76" si="258">-B309</f>
        <v>-19341.839999999997</v>
      </c>
      <c r="C76" s="139">
        <f t="shared" si="258"/>
        <v>-31085.600000000009</v>
      </c>
      <c r="D76" s="139">
        <f t="shared" ref="D76:E76" si="259">-D309</f>
        <v>-39377.15</v>
      </c>
      <c r="E76" s="139">
        <f t="shared" si="259"/>
        <v>-32036.159999999996</v>
      </c>
      <c r="F76" s="139">
        <f t="shared" ref="F76:M76" si="260">-F309</f>
        <v>0</v>
      </c>
      <c r="G76" s="139">
        <f t="shared" si="260"/>
        <v>0</v>
      </c>
      <c r="H76" s="139">
        <f t="shared" si="260"/>
        <v>0</v>
      </c>
      <c r="I76" s="139">
        <f t="shared" si="260"/>
        <v>0</v>
      </c>
      <c r="J76" s="139">
        <f t="shared" si="260"/>
        <v>0</v>
      </c>
      <c r="K76" s="139">
        <f t="shared" si="260"/>
        <v>0</v>
      </c>
      <c r="L76" s="139">
        <f t="shared" ref="L76" si="261">-L309</f>
        <v>0</v>
      </c>
      <c r="M76" s="139">
        <f t="shared" si="260"/>
        <v>0</v>
      </c>
      <c r="N76" s="139">
        <f t="shared" si="248"/>
        <v>-121840.75</v>
      </c>
      <c r="O76" s="139"/>
      <c r="P76" s="139">
        <f>Q76/12*$P$3</f>
        <v>-518103.9975</v>
      </c>
      <c r="Q76" s="139">
        <f t="shared" si="174"/>
        <v>-690805.33</v>
      </c>
      <c r="R76" s="139">
        <v>-690805.33</v>
      </c>
      <c r="S76" s="170">
        <f t="shared" si="237"/>
        <v>0</v>
      </c>
      <c r="T76" s="139">
        <f t="shared" ref="T76:AA76" si="262">-T309</f>
        <v>-81297.39</v>
      </c>
      <c r="U76" s="139">
        <f t="shared" si="262"/>
        <v>-60573.55</v>
      </c>
      <c r="V76" s="139">
        <f t="shared" si="262"/>
        <v>-54599.840000000004</v>
      </c>
      <c r="W76" s="173">
        <f t="shared" si="262"/>
        <v>-82044.150000000009</v>
      </c>
      <c r="X76" s="173">
        <f t="shared" si="262"/>
        <v>-105834.51000000001</v>
      </c>
      <c r="Y76" s="173">
        <f t="shared" si="262"/>
        <v>-92499.849999999991</v>
      </c>
      <c r="Z76" s="168">
        <f t="shared" si="262"/>
        <v>-94568.209999999992</v>
      </c>
      <c r="AA76" s="168">
        <f t="shared" si="262"/>
        <v>-83366.98</v>
      </c>
      <c r="AB76" s="168">
        <f>-AB309</f>
        <v>211658.71</v>
      </c>
      <c r="AC76" s="168">
        <f>-AC309</f>
        <v>-66662.75</v>
      </c>
      <c r="AD76" s="168">
        <f>-AD309</f>
        <v>-75012.94</v>
      </c>
      <c r="AE76" s="168">
        <f>-AE309</f>
        <v>-106003.87000000001</v>
      </c>
      <c r="AF76" s="139">
        <f t="shared" si="256"/>
        <v>-11076.431818181818</v>
      </c>
      <c r="AG76" s="139">
        <f t="shared" si="257"/>
        <v>11076.431818181818</v>
      </c>
    </row>
    <row r="77" spans="1:33" x14ac:dyDescent="0.25">
      <c r="A77" s="130" t="s">
        <v>54</v>
      </c>
      <c r="B77" s="139">
        <f t="shared" ref="B77:C77" si="263">B134</f>
        <v>-6824.16</v>
      </c>
      <c r="C77" s="139">
        <f t="shared" si="263"/>
        <v>-3793.65</v>
      </c>
      <c r="D77" s="139">
        <f t="shared" ref="D77:E77" si="264">D134</f>
        <v>-2171.89</v>
      </c>
      <c r="E77" s="139">
        <f t="shared" si="264"/>
        <v>-69.989999999999995</v>
      </c>
      <c r="F77" s="139">
        <f t="shared" ref="F77:M77" si="265">F134</f>
        <v>0</v>
      </c>
      <c r="G77" s="139">
        <f t="shared" si="265"/>
        <v>0</v>
      </c>
      <c r="H77" s="139">
        <f t="shared" si="265"/>
        <v>0</v>
      </c>
      <c r="I77" s="139">
        <f t="shared" si="265"/>
        <v>0</v>
      </c>
      <c r="J77" s="139">
        <f t="shared" si="265"/>
        <v>0</v>
      </c>
      <c r="K77" s="139">
        <f t="shared" si="265"/>
        <v>0</v>
      </c>
      <c r="L77" s="139">
        <f t="shared" ref="L77" si="266">L134</f>
        <v>0</v>
      </c>
      <c r="M77" s="139">
        <f t="shared" si="265"/>
        <v>0</v>
      </c>
      <c r="N77" s="139">
        <f t="shared" si="248"/>
        <v>-12859.689999999999</v>
      </c>
      <c r="O77" s="139"/>
      <c r="P77" s="139">
        <f>Q77/12*$P$3</f>
        <v>-19776.202499999999</v>
      </c>
      <c r="Q77" s="139">
        <f t="shared" si="174"/>
        <v>-26368.269999999997</v>
      </c>
      <c r="R77" s="139">
        <v>-26368.269999999997</v>
      </c>
      <c r="S77" s="170">
        <f t="shared" si="237"/>
        <v>0</v>
      </c>
      <c r="T77" s="139">
        <f>T134</f>
        <v>-3595.4</v>
      </c>
      <c r="U77" s="139">
        <f>U134</f>
        <v>-2471.31</v>
      </c>
      <c r="V77" s="139">
        <f>V134</f>
        <v>-4621.22</v>
      </c>
      <c r="W77" s="173">
        <f t="shared" ref="W77:AE77" si="267">W134</f>
        <v>-5799.91</v>
      </c>
      <c r="X77" s="173">
        <f>X134</f>
        <v>-1360.64</v>
      </c>
      <c r="Y77" s="173">
        <f t="shared" si="267"/>
        <v>-1536.21</v>
      </c>
      <c r="Z77" s="168">
        <f t="shared" si="267"/>
        <v>-2242.15</v>
      </c>
      <c r="AA77" s="168">
        <f t="shared" si="267"/>
        <v>-4335.7700000000004</v>
      </c>
      <c r="AB77" s="168">
        <f t="shared" si="267"/>
        <v>-2948.83</v>
      </c>
      <c r="AC77" s="168">
        <f t="shared" si="267"/>
        <v>-5190.07</v>
      </c>
      <c r="AD77" s="168">
        <f t="shared" si="267"/>
        <v>1017.16</v>
      </c>
      <c r="AE77" s="168">
        <f t="shared" si="267"/>
        <v>6716.08</v>
      </c>
      <c r="AF77" s="139">
        <f t="shared" si="256"/>
        <v>-1169.0627272727272</v>
      </c>
      <c r="AG77" s="139">
        <f t="shared" si="257"/>
        <v>1169.0627272727272</v>
      </c>
    </row>
    <row r="78" spans="1:33" x14ac:dyDescent="0.25">
      <c r="A78" s="130" t="s">
        <v>55</v>
      </c>
      <c r="B78" s="142">
        <f t="shared" ref="B78:E78" si="268">SUM(B73:B77)</f>
        <v>1173037.8899999999</v>
      </c>
      <c r="C78" s="142">
        <f t="shared" si="268"/>
        <v>672458.41</v>
      </c>
      <c r="D78" s="142">
        <f t="shared" ref="D78" si="269">SUM(D73:D77)</f>
        <v>2747033.8899999997</v>
      </c>
      <c r="E78" s="142">
        <f t="shared" si="268"/>
        <v>707114.69</v>
      </c>
      <c r="F78" s="142">
        <f t="shared" ref="F78:M78" si="270">SUM(F73:F77)</f>
        <v>0</v>
      </c>
      <c r="G78" s="142">
        <f t="shared" si="270"/>
        <v>0</v>
      </c>
      <c r="H78" s="142">
        <f t="shared" si="270"/>
        <v>0</v>
      </c>
      <c r="I78" s="142">
        <f t="shared" si="270"/>
        <v>0</v>
      </c>
      <c r="J78" s="142">
        <f t="shared" si="270"/>
        <v>0</v>
      </c>
      <c r="K78" s="142">
        <f t="shared" si="270"/>
        <v>0</v>
      </c>
      <c r="L78" s="142">
        <f t="shared" ref="L78" si="271">SUM(L73:L77)</f>
        <v>0</v>
      </c>
      <c r="M78" s="142">
        <f t="shared" si="270"/>
        <v>0</v>
      </c>
      <c r="N78" s="142">
        <f>SUM(N73:N77)</f>
        <v>5299644.879999999</v>
      </c>
      <c r="O78" s="142"/>
      <c r="P78" s="142">
        <f t="shared" ref="P78" si="272">SUM(P73:P77)</f>
        <v>4574830.0650000013</v>
      </c>
      <c r="Q78" s="142">
        <f>SUM(Q73:Q77)</f>
        <v>6099773.4200000009</v>
      </c>
      <c r="R78" s="142">
        <v>6099773.4200000009</v>
      </c>
      <c r="S78" s="170">
        <f t="shared" si="237"/>
        <v>0</v>
      </c>
      <c r="T78" s="171">
        <f>SUM(T73:T77)</f>
        <v>628181.32999999996</v>
      </c>
      <c r="U78" s="171">
        <f>SUM(U73:U77)</f>
        <v>559507.07999999984</v>
      </c>
      <c r="V78" s="171">
        <f t="shared" ref="V78:AD78" si="273">SUM(V73:V77)</f>
        <v>574445.99</v>
      </c>
      <c r="W78" s="171">
        <f>SUM(W73:W77)</f>
        <v>542352.21999999986</v>
      </c>
      <c r="X78" s="171">
        <f t="shared" si="273"/>
        <v>588988.53</v>
      </c>
      <c r="Y78" s="171">
        <f t="shared" si="273"/>
        <v>619196.55999999994</v>
      </c>
      <c r="Z78" s="171">
        <f>SUM(Z73:Z77)</f>
        <v>641270.23</v>
      </c>
      <c r="AA78" s="171">
        <f>SUM(AA73:AA77)</f>
        <v>611116.18999999994</v>
      </c>
      <c r="AB78" s="171">
        <f t="shared" si="273"/>
        <v>-299505.45000000013</v>
      </c>
      <c r="AC78" s="171">
        <f t="shared" si="273"/>
        <v>544797.88000000012</v>
      </c>
      <c r="AD78" s="171">
        <f t="shared" si="273"/>
        <v>421370.29999999993</v>
      </c>
      <c r="AE78" s="171">
        <f>SUM(AE73:AE77)</f>
        <v>668052.55999999994</v>
      </c>
      <c r="AF78" s="142">
        <f t="shared" si="256"/>
        <v>481785.89818181808</v>
      </c>
      <c r="AG78" s="142">
        <f t="shared" si="257"/>
        <v>-481785.89818181808</v>
      </c>
    </row>
    <row r="79" spans="1:33" ht="27" customHeight="1" thickBot="1" x14ac:dyDescent="0.3">
      <c r="A79" s="130" t="s">
        <v>56</v>
      </c>
      <c r="B79" s="145">
        <f t="shared" ref="B79:N79" si="274">+B35+B71-B78</f>
        <v>2471361.2000000952</v>
      </c>
      <c r="C79" s="145">
        <f t="shared" si="274"/>
        <v>6655672.929999833</v>
      </c>
      <c r="D79" s="145">
        <f t="shared" si="274"/>
        <v>5910055.2699999614</v>
      </c>
      <c r="E79" s="145">
        <f t="shared" si="274"/>
        <v>5658966.4799999408</v>
      </c>
      <c r="F79" s="145">
        <f t="shared" si="274"/>
        <v>0</v>
      </c>
      <c r="G79" s="145">
        <f t="shared" si="274"/>
        <v>0</v>
      </c>
      <c r="H79" s="145">
        <f t="shared" si="274"/>
        <v>0</v>
      </c>
      <c r="I79" s="145">
        <f t="shared" si="274"/>
        <v>0</v>
      </c>
      <c r="J79" s="145">
        <f t="shared" si="274"/>
        <v>0</v>
      </c>
      <c r="K79" s="145">
        <f t="shared" si="274"/>
        <v>0</v>
      </c>
      <c r="L79" s="145">
        <f t="shared" si="274"/>
        <v>0</v>
      </c>
      <c r="M79" s="145">
        <f t="shared" si="274"/>
        <v>0</v>
      </c>
      <c r="N79" s="145">
        <f t="shared" si="274"/>
        <v>20696055.880000725</v>
      </c>
      <c r="O79" s="145"/>
      <c r="P79" s="145">
        <f>+P35+P71-P78</f>
        <v>-427955.81999839935</v>
      </c>
      <c r="Q79" s="145">
        <f>+Q35+Q71-Q78</f>
        <v>-570607.75999881793</v>
      </c>
      <c r="R79" s="145">
        <v>-570607.75999881793</v>
      </c>
      <c r="S79" s="170">
        <f t="shared" si="237"/>
        <v>9.8254531621932983E-7</v>
      </c>
      <c r="T79" s="174">
        <f t="shared" ref="T79:AE79" si="275">+T35+T71-T78</f>
        <v>65733.430000119261</v>
      </c>
      <c r="U79" s="174">
        <f t="shared" si="275"/>
        <v>62568.98999979021</v>
      </c>
      <c r="V79" s="174">
        <f t="shared" si="275"/>
        <v>190852.60999993084</v>
      </c>
      <c r="W79" s="174">
        <f t="shared" si="275"/>
        <v>-70572.120000041556</v>
      </c>
      <c r="X79" s="174">
        <f t="shared" si="275"/>
        <v>-203742.99999999651</v>
      </c>
      <c r="Y79" s="174">
        <f t="shared" si="275"/>
        <v>-88358.510000057169</v>
      </c>
      <c r="Z79" s="174">
        <f t="shared" si="275"/>
        <v>-303625.03999997611</v>
      </c>
      <c r="AA79" s="174">
        <f t="shared" si="275"/>
        <v>-208857.14999994752</v>
      </c>
      <c r="AB79" s="174">
        <f t="shared" si="275"/>
        <v>624726.29000006453</v>
      </c>
      <c r="AC79" s="174">
        <f t="shared" si="275"/>
        <v>-30452.229999876115</v>
      </c>
      <c r="AD79" s="174">
        <f t="shared" si="275"/>
        <v>-220404.46999987477</v>
      </c>
      <c r="AE79" s="174">
        <f t="shared" si="275"/>
        <v>-388476.5599999355</v>
      </c>
      <c r="AF79" s="145">
        <f t="shared" si="256"/>
        <v>1881459.6254546114</v>
      </c>
      <c r="AG79" s="145">
        <f t="shared" si="257"/>
        <v>-1881459.6254546114</v>
      </c>
    </row>
    <row r="80" spans="1:33" ht="15.75" thickTop="1" x14ac:dyDescent="0.25"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S80" s="170">
        <f t="shared" si="237"/>
        <v>0</v>
      </c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30">
        <f t="shared" si="256"/>
        <v>0</v>
      </c>
      <c r="AG80" s="130">
        <f t="shared" si="257"/>
        <v>0</v>
      </c>
    </row>
    <row r="81" spans="1:33" x14ac:dyDescent="0.25">
      <c r="A81" s="130" t="s">
        <v>57</v>
      </c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S81" s="170">
        <f t="shared" si="237"/>
        <v>0</v>
      </c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30">
        <f t="shared" si="256"/>
        <v>0</v>
      </c>
      <c r="AG81" s="130">
        <f t="shared" si="257"/>
        <v>0</v>
      </c>
    </row>
    <row r="82" spans="1:33" x14ac:dyDescent="0.25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70">
        <f t="shared" si="237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9">
        <f t="shared" si="256"/>
        <v>0</v>
      </c>
      <c r="AG82" s="139">
        <f t="shared" si="257"/>
        <v>0</v>
      </c>
    </row>
    <row r="83" spans="1:33" hidden="1" x14ac:dyDescent="0.25">
      <c r="B83" s="139">
        <f t="shared" ref="B83:K83" si="276">+B79-B82</f>
        <v>2471361.2000000952</v>
      </c>
      <c r="C83" s="139">
        <f t="shared" si="276"/>
        <v>6655672.929999833</v>
      </c>
      <c r="D83" s="139">
        <f t="shared" si="276"/>
        <v>5910055.2699999614</v>
      </c>
      <c r="E83" s="139">
        <f t="shared" si="276"/>
        <v>5658966.4799999408</v>
      </c>
      <c r="F83" s="139">
        <f t="shared" si="276"/>
        <v>0</v>
      </c>
      <c r="G83" s="139">
        <f t="shared" si="276"/>
        <v>0</v>
      </c>
      <c r="H83" s="139">
        <f t="shared" ref="H83" si="277">+H79-H82</f>
        <v>0</v>
      </c>
      <c r="I83" s="139">
        <f t="shared" si="276"/>
        <v>0</v>
      </c>
      <c r="J83" s="139">
        <f t="shared" si="276"/>
        <v>0</v>
      </c>
      <c r="K83" s="139">
        <f t="shared" si="276"/>
        <v>0</v>
      </c>
      <c r="L83" s="139">
        <v>0</v>
      </c>
      <c r="M83" s="139"/>
      <c r="N83" s="139">
        <v>0</v>
      </c>
      <c r="O83" s="139"/>
      <c r="P83" s="139"/>
      <c r="Q83" s="139"/>
      <c r="R83" s="139">
        <v>0</v>
      </c>
      <c r="S83" s="170">
        <f t="shared" si="237"/>
        <v>-38273.270000009798</v>
      </c>
      <c r="T83" s="168">
        <f t="shared" ref="T83:AC83" si="278">+T79-T82</f>
        <v>65733.430000119261</v>
      </c>
      <c r="U83" s="168">
        <f t="shared" si="278"/>
        <v>62568.98999979021</v>
      </c>
      <c r="V83" s="168">
        <f t="shared" si="278"/>
        <v>190852.60999993084</v>
      </c>
      <c r="W83" s="168">
        <f t="shared" si="278"/>
        <v>-70572.120000041556</v>
      </c>
      <c r="X83" s="168">
        <f t="shared" si="278"/>
        <v>-203742.99999999651</v>
      </c>
      <c r="Y83" s="168">
        <f t="shared" si="278"/>
        <v>-88358.510000057169</v>
      </c>
      <c r="Z83" s="168">
        <f t="shared" si="278"/>
        <v>-303625.03999997611</v>
      </c>
      <c r="AA83" s="168">
        <f t="shared" si="278"/>
        <v>-208857.14999994752</v>
      </c>
      <c r="AB83" s="168">
        <f t="shared" si="278"/>
        <v>624726.29000006453</v>
      </c>
      <c r="AC83" s="168">
        <f t="shared" si="278"/>
        <v>-30452.229999876115</v>
      </c>
      <c r="AD83" s="168">
        <v>0</v>
      </c>
      <c r="AE83" s="168"/>
      <c r="AF83" s="139">
        <f t="shared" si="256"/>
        <v>0</v>
      </c>
      <c r="AG83" s="139">
        <f t="shared" si="257"/>
        <v>0</v>
      </c>
    </row>
    <row r="84" spans="1:33" ht="15.75" thickBot="1" x14ac:dyDescent="0.3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37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56"/>
        <v>0</v>
      </c>
      <c r="AG84" s="130">
        <f t="shared" si="257"/>
        <v>0</v>
      </c>
    </row>
    <row r="85" spans="1:33" x14ac:dyDescent="0.25">
      <c r="A85" s="133" t="s">
        <v>58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O85" s="150"/>
      <c r="P85" s="150"/>
      <c r="Q85" s="150"/>
      <c r="R85" s="150"/>
      <c r="S85" s="170">
        <f t="shared" si="237"/>
        <v>0</v>
      </c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50">
        <f t="shared" si="256"/>
        <v>0</v>
      </c>
      <c r="AG85" s="150">
        <f t="shared" si="257"/>
        <v>0</v>
      </c>
    </row>
    <row r="86" spans="1:33" x14ac:dyDescent="0.25">
      <c r="A86" s="134" t="s">
        <v>35</v>
      </c>
      <c r="B86" s="139">
        <f>+B55</f>
        <v>0</v>
      </c>
      <c r="C86" s="139">
        <f>+C55</f>
        <v>0</v>
      </c>
      <c r="D86" s="139">
        <f t="shared" ref="D86:E86" si="279">+D55</f>
        <v>0</v>
      </c>
      <c r="E86" s="139">
        <f t="shared" si="279"/>
        <v>0</v>
      </c>
      <c r="F86" s="139">
        <f t="shared" ref="F86:G86" si="280">+F55</f>
        <v>0</v>
      </c>
      <c r="G86" s="139">
        <f t="shared" si="280"/>
        <v>0</v>
      </c>
      <c r="H86" s="139">
        <f t="shared" ref="H86:K87" si="281">+H55</f>
        <v>0</v>
      </c>
      <c r="I86" s="139">
        <f t="shared" si="281"/>
        <v>0</v>
      </c>
      <c r="J86" s="139">
        <f t="shared" si="281"/>
        <v>0</v>
      </c>
      <c r="K86" s="139">
        <f t="shared" si="281"/>
        <v>0</v>
      </c>
      <c r="L86" s="139">
        <f t="shared" ref="L86" si="282">+L55</f>
        <v>0</v>
      </c>
      <c r="M86" s="139">
        <f t="shared" ref="M86" si="283">+M55</f>
        <v>0</v>
      </c>
      <c r="N86" s="151">
        <f>SUM(B86:M86)</f>
        <v>0</v>
      </c>
      <c r="O86" s="151"/>
      <c r="P86" s="151">
        <f>Q86/12*$P$3</f>
        <v>0</v>
      </c>
      <c r="Q86" s="151">
        <f>R86</f>
        <v>0</v>
      </c>
      <c r="R86" s="151">
        <v>0</v>
      </c>
      <c r="S86" s="170">
        <f t="shared" si="237"/>
        <v>0</v>
      </c>
      <c r="T86" s="168">
        <f t="shared" ref="T86:W87" si="284">+T55</f>
        <v>0</v>
      </c>
      <c r="U86" s="168">
        <f t="shared" si="284"/>
        <v>0</v>
      </c>
      <c r="V86" s="168">
        <f t="shared" si="284"/>
        <v>0</v>
      </c>
      <c r="W86" s="168">
        <f t="shared" si="284"/>
        <v>0</v>
      </c>
      <c r="X86" s="168">
        <f>X107</f>
        <v>0</v>
      </c>
      <c r="Y86" s="168">
        <f t="shared" ref="Y86:AE87" si="285">+Y55</f>
        <v>0</v>
      </c>
      <c r="Z86" s="168">
        <f t="shared" si="285"/>
        <v>0</v>
      </c>
      <c r="AA86" s="168">
        <f t="shared" si="285"/>
        <v>0</v>
      </c>
      <c r="AB86" s="168">
        <f t="shared" si="285"/>
        <v>0</v>
      </c>
      <c r="AC86" s="168">
        <f t="shared" si="285"/>
        <v>0</v>
      </c>
      <c r="AD86" s="168">
        <f t="shared" si="285"/>
        <v>0</v>
      </c>
      <c r="AE86" s="168">
        <f t="shared" si="285"/>
        <v>0</v>
      </c>
      <c r="AF86" s="151">
        <f t="shared" si="256"/>
        <v>0</v>
      </c>
      <c r="AG86" s="151">
        <f t="shared" si="257"/>
        <v>0</v>
      </c>
    </row>
    <row r="87" spans="1:33" x14ac:dyDescent="0.25">
      <c r="A87" s="134" t="s">
        <v>59</v>
      </c>
      <c r="B87" s="139">
        <f>+B56</f>
        <v>0</v>
      </c>
      <c r="C87" s="139">
        <f>+C56</f>
        <v>0</v>
      </c>
      <c r="D87" s="139">
        <f t="shared" ref="D87:E87" si="286">+D56</f>
        <v>0</v>
      </c>
      <c r="E87" s="139">
        <f t="shared" si="286"/>
        <v>0</v>
      </c>
      <c r="F87" s="139">
        <f t="shared" ref="F87:G87" si="287">+F56</f>
        <v>0</v>
      </c>
      <c r="G87" s="139">
        <f t="shared" si="287"/>
        <v>0</v>
      </c>
      <c r="H87" s="139">
        <f t="shared" si="281"/>
        <v>0</v>
      </c>
      <c r="I87" s="139">
        <f t="shared" si="281"/>
        <v>0</v>
      </c>
      <c r="J87" s="139">
        <f t="shared" si="281"/>
        <v>0</v>
      </c>
      <c r="K87" s="139">
        <f t="shared" si="281"/>
        <v>0</v>
      </c>
      <c r="L87" s="139">
        <f t="shared" ref="L87" si="288">+L56</f>
        <v>0</v>
      </c>
      <c r="M87" s="139">
        <f t="shared" ref="M87" si="289">+M56</f>
        <v>0</v>
      </c>
      <c r="N87" s="151">
        <f>SUM(B87:M87)</f>
        <v>0</v>
      </c>
      <c r="O87" s="151"/>
      <c r="P87" s="151">
        <f>Q87/12*$P$3</f>
        <v>323715.04499999998</v>
      </c>
      <c r="Q87" s="151">
        <f>R87</f>
        <v>431620.06</v>
      </c>
      <c r="R87" s="151">
        <v>431620.06</v>
      </c>
      <c r="S87" s="170">
        <f t="shared" si="237"/>
        <v>0</v>
      </c>
      <c r="T87" s="168">
        <f t="shared" si="284"/>
        <v>44174.48</v>
      </c>
      <c r="U87" s="168">
        <f t="shared" si="284"/>
        <v>37026.959999999999</v>
      </c>
      <c r="V87" s="168">
        <f t="shared" si="284"/>
        <v>50952.97</v>
      </c>
      <c r="W87" s="168">
        <f t="shared" si="284"/>
        <v>17383</v>
      </c>
      <c r="X87" s="168">
        <f>X113+X125</f>
        <v>6537.5</v>
      </c>
      <c r="Y87" s="168">
        <f t="shared" si="285"/>
        <v>12690.5</v>
      </c>
      <c r="Z87" s="168">
        <f t="shared" si="285"/>
        <v>14136.99</v>
      </c>
      <c r="AA87" s="168">
        <f t="shared" si="285"/>
        <v>3546</v>
      </c>
      <c r="AB87" s="168">
        <f t="shared" si="285"/>
        <v>6577.55</v>
      </c>
      <c r="AC87" s="168">
        <f t="shared" si="285"/>
        <v>18560.79</v>
      </c>
      <c r="AD87" s="168">
        <f t="shared" si="285"/>
        <v>30425.09</v>
      </c>
      <c r="AE87" s="168">
        <f t="shared" si="285"/>
        <v>189608.23</v>
      </c>
      <c r="AF87" s="151">
        <f t="shared" si="256"/>
        <v>0</v>
      </c>
      <c r="AG87" s="151">
        <f t="shared" si="257"/>
        <v>0</v>
      </c>
    </row>
    <row r="88" spans="1:33" x14ac:dyDescent="0.25">
      <c r="A88" s="134" t="s">
        <v>60</v>
      </c>
      <c r="B88" s="142">
        <f t="shared" ref="B88:K88" si="290">SUM(B86:B87)</f>
        <v>0</v>
      </c>
      <c r="C88" s="142">
        <f t="shared" si="290"/>
        <v>0</v>
      </c>
      <c r="D88" s="142">
        <f t="shared" ref="D88" si="291">SUM(D86:D87)</f>
        <v>0</v>
      </c>
      <c r="E88" s="142">
        <f t="shared" si="290"/>
        <v>0</v>
      </c>
      <c r="F88" s="142">
        <f t="shared" ref="F88:G88" si="292">SUM(F86:F87)</f>
        <v>0</v>
      </c>
      <c r="G88" s="142">
        <f t="shared" si="292"/>
        <v>0</v>
      </c>
      <c r="H88" s="142">
        <f t="shared" si="290"/>
        <v>0</v>
      </c>
      <c r="I88" s="142">
        <f t="shared" si="290"/>
        <v>0</v>
      </c>
      <c r="J88" s="142">
        <f t="shared" si="290"/>
        <v>0</v>
      </c>
      <c r="K88" s="142">
        <f t="shared" si="290"/>
        <v>0</v>
      </c>
      <c r="L88" s="142">
        <f t="shared" ref="L88" si="293">SUM(L86:L87)</f>
        <v>0</v>
      </c>
      <c r="M88" s="142">
        <f t="shared" ref="M88" si="294">SUM(M86:M87)</f>
        <v>0</v>
      </c>
      <c r="N88" s="152">
        <f>SUM(N86:N87)</f>
        <v>0</v>
      </c>
      <c r="O88" s="152"/>
      <c r="P88" s="152">
        <f>SUM(P86:P87)</f>
        <v>323715.04499999998</v>
      </c>
      <c r="Q88" s="152">
        <f>SUM(Q86:Q87)</f>
        <v>431620.06</v>
      </c>
      <c r="R88" s="152">
        <v>431620.06</v>
      </c>
      <c r="S88" s="170">
        <f t="shared" si="237"/>
        <v>0</v>
      </c>
      <c r="T88" s="171">
        <f>SUM(T86:T87)</f>
        <v>44174.48</v>
      </c>
      <c r="U88" s="171">
        <f t="shared" ref="U88:AB88" si="295">SUM(U86:U87)</f>
        <v>37026.959999999999</v>
      </c>
      <c r="V88" s="171">
        <f t="shared" si="295"/>
        <v>50952.97</v>
      </c>
      <c r="W88" s="171">
        <f t="shared" si="295"/>
        <v>17383</v>
      </c>
      <c r="X88" s="171">
        <f t="shared" si="295"/>
        <v>6537.5</v>
      </c>
      <c r="Y88" s="171">
        <f t="shared" si="295"/>
        <v>12690.5</v>
      </c>
      <c r="Z88" s="171">
        <f t="shared" si="295"/>
        <v>14136.99</v>
      </c>
      <c r="AA88" s="171">
        <f t="shared" si="295"/>
        <v>3546</v>
      </c>
      <c r="AB88" s="171">
        <f t="shared" si="295"/>
        <v>6577.55</v>
      </c>
      <c r="AC88" s="171">
        <f>SUM(AC86:AC87)</f>
        <v>18560.79</v>
      </c>
      <c r="AD88" s="171">
        <f>SUM(AD86:AD87)</f>
        <v>30425.09</v>
      </c>
      <c r="AE88" s="171">
        <f>SUM(AE86:AE87)</f>
        <v>189608.23</v>
      </c>
      <c r="AF88" s="152">
        <f t="shared" si="256"/>
        <v>0</v>
      </c>
      <c r="AG88" s="152">
        <f t="shared" si="257"/>
        <v>0</v>
      </c>
    </row>
    <row r="89" spans="1:33" x14ac:dyDescent="0.25">
      <c r="A89" s="134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53"/>
      <c r="O89" s="153"/>
      <c r="P89" s="153"/>
      <c r="Q89" s="153"/>
      <c r="R89" s="153"/>
      <c r="S89" s="170">
        <f t="shared" si="237"/>
        <v>0</v>
      </c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53">
        <f t="shared" si="256"/>
        <v>0</v>
      </c>
      <c r="AG89" s="153">
        <f t="shared" si="257"/>
        <v>0</v>
      </c>
    </row>
    <row r="90" spans="1:33" x14ac:dyDescent="0.25">
      <c r="A90" s="134" t="s">
        <v>61</v>
      </c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53"/>
      <c r="O90" s="153"/>
      <c r="P90" s="153"/>
      <c r="Q90" s="153"/>
      <c r="R90" s="153"/>
      <c r="S90" s="170">
        <f t="shared" si="237"/>
        <v>0</v>
      </c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53">
        <f t="shared" si="256"/>
        <v>0</v>
      </c>
      <c r="AG90" s="153">
        <f t="shared" si="257"/>
        <v>0</v>
      </c>
    </row>
    <row r="91" spans="1:33" x14ac:dyDescent="0.25">
      <c r="A91" s="134" t="s">
        <v>62</v>
      </c>
      <c r="B91" s="139">
        <f>+B61</f>
        <v>0</v>
      </c>
      <c r="C91" s="139">
        <f>+C61</f>
        <v>0</v>
      </c>
      <c r="D91" s="139">
        <f t="shared" ref="D91:E91" si="296">+D61</f>
        <v>0</v>
      </c>
      <c r="E91" s="139">
        <f t="shared" si="296"/>
        <v>0</v>
      </c>
      <c r="F91" s="139">
        <f t="shared" ref="F91:G91" si="297">+F61</f>
        <v>0</v>
      </c>
      <c r="G91" s="139">
        <f t="shared" si="297"/>
        <v>0</v>
      </c>
      <c r="H91" s="139">
        <f t="shared" ref="H91:K92" si="298">+H61</f>
        <v>0</v>
      </c>
      <c r="I91" s="139">
        <f t="shared" si="298"/>
        <v>0</v>
      </c>
      <c r="J91" s="139">
        <f t="shared" si="298"/>
        <v>0</v>
      </c>
      <c r="K91" s="139">
        <f t="shared" si="298"/>
        <v>0</v>
      </c>
      <c r="L91" s="139">
        <f t="shared" ref="L91" si="299">+L61</f>
        <v>0</v>
      </c>
      <c r="M91" s="139">
        <f t="shared" ref="M91" si="300">+M61</f>
        <v>0</v>
      </c>
      <c r="N91" s="151">
        <f>SUM(B91:M91)</f>
        <v>0</v>
      </c>
      <c r="O91" s="151"/>
      <c r="P91" s="151">
        <f>Q91/12*$P$3</f>
        <v>0</v>
      </c>
      <c r="Q91" s="151">
        <f>R91</f>
        <v>0</v>
      </c>
      <c r="R91" s="151">
        <v>0</v>
      </c>
      <c r="S91" s="170">
        <f t="shared" si="237"/>
        <v>0</v>
      </c>
      <c r="T91" s="168">
        <f>+T61</f>
        <v>0</v>
      </c>
      <c r="U91" s="168">
        <f>+U61</f>
        <v>0</v>
      </c>
      <c r="V91" s="168">
        <f>+V61</f>
        <v>0</v>
      </c>
      <c r="W91" s="168">
        <f>+W61</f>
        <v>0</v>
      </c>
      <c r="X91" s="168">
        <f>X135</f>
        <v>0</v>
      </c>
      <c r="Y91" s="168">
        <f t="shared" ref="Y91:AE91" si="301">+Y61</f>
        <v>0</v>
      </c>
      <c r="Z91" s="168">
        <f t="shared" si="301"/>
        <v>0</v>
      </c>
      <c r="AA91" s="168">
        <f t="shared" si="301"/>
        <v>0</v>
      </c>
      <c r="AB91" s="168">
        <f t="shared" si="301"/>
        <v>0</v>
      </c>
      <c r="AC91" s="168">
        <f t="shared" si="301"/>
        <v>0</v>
      </c>
      <c r="AD91" s="168">
        <f t="shared" si="301"/>
        <v>0</v>
      </c>
      <c r="AE91" s="168">
        <f t="shared" si="301"/>
        <v>0</v>
      </c>
      <c r="AF91" s="151">
        <f t="shared" si="256"/>
        <v>0</v>
      </c>
      <c r="AG91" s="151">
        <f t="shared" si="257"/>
        <v>0</v>
      </c>
    </row>
    <row r="92" spans="1:33" x14ac:dyDescent="0.25">
      <c r="A92" s="134" t="s">
        <v>63</v>
      </c>
      <c r="B92" s="139">
        <f>+B62</f>
        <v>5773.3</v>
      </c>
      <c r="C92" s="139">
        <f>+C62</f>
        <v>2965.38</v>
      </c>
      <c r="D92" s="139">
        <f t="shared" ref="D92:E92" si="302">+D62</f>
        <v>5968.37</v>
      </c>
      <c r="E92" s="139">
        <f t="shared" si="302"/>
        <v>14785.189999999999</v>
      </c>
      <c r="F92" s="139">
        <f t="shared" ref="F92:G92" si="303">+F62</f>
        <v>0</v>
      </c>
      <c r="G92" s="139">
        <f t="shared" si="303"/>
        <v>0</v>
      </c>
      <c r="H92" s="139">
        <f t="shared" si="298"/>
        <v>0</v>
      </c>
      <c r="I92" s="139">
        <f t="shared" si="298"/>
        <v>0</v>
      </c>
      <c r="J92" s="139">
        <f t="shared" si="298"/>
        <v>0</v>
      </c>
      <c r="K92" s="139">
        <f t="shared" si="298"/>
        <v>0</v>
      </c>
      <c r="L92" s="139">
        <f t="shared" ref="L92" si="304">+L62</f>
        <v>0</v>
      </c>
      <c r="M92" s="139">
        <f t="shared" ref="M92" si="305">+M62</f>
        <v>0</v>
      </c>
      <c r="N92" s="151">
        <f t="shared" ref="N92:N95" si="306">SUM(B92:M92)</f>
        <v>29492.239999999998</v>
      </c>
      <c r="O92" s="151"/>
      <c r="P92" s="151">
        <f t="shared" ref="P92:P95" si="307">Q92/12*$P$3</f>
        <v>344512.38750000001</v>
      </c>
      <c r="Q92" s="151">
        <f t="shared" ref="Q92:Q95" si="308">R92</f>
        <v>459349.85</v>
      </c>
      <c r="R92" s="151">
        <v>459349.85</v>
      </c>
      <c r="S92" s="170">
        <f t="shared" si="237"/>
        <v>0</v>
      </c>
      <c r="T92" s="168">
        <f t="shared" ref="T92:Y92" si="309">T146</f>
        <v>47744.73</v>
      </c>
      <c r="U92" s="168">
        <f t="shared" si="309"/>
        <v>40318.61</v>
      </c>
      <c r="V92" s="168">
        <f t="shared" si="309"/>
        <v>53566.29</v>
      </c>
      <c r="W92" s="168">
        <f t="shared" si="309"/>
        <v>-3427.84</v>
      </c>
      <c r="X92" s="168">
        <f t="shared" si="309"/>
        <v>5808.03</v>
      </c>
      <c r="Y92" s="168">
        <f t="shared" si="309"/>
        <v>11225.63</v>
      </c>
      <c r="Z92" s="168">
        <f t="shared" ref="Z92:AE92" si="310">+Z62</f>
        <v>20530.47</v>
      </c>
      <c r="AA92" s="168">
        <f t="shared" si="310"/>
        <v>5400.13</v>
      </c>
      <c r="AB92" s="168">
        <f t="shared" si="310"/>
        <v>10087.08</v>
      </c>
      <c r="AC92" s="168">
        <f t="shared" si="310"/>
        <v>20598.52</v>
      </c>
      <c r="AD92" s="168">
        <f t="shared" si="310"/>
        <v>28536.52</v>
      </c>
      <c r="AE92" s="168">
        <f t="shared" si="310"/>
        <v>218961.68</v>
      </c>
      <c r="AF92" s="151">
        <f t="shared" si="256"/>
        <v>2681.1127272727272</v>
      </c>
      <c r="AG92" s="151">
        <f t="shared" si="257"/>
        <v>-2681.1127272727272</v>
      </c>
    </row>
    <row r="93" spans="1:33" x14ac:dyDescent="0.25">
      <c r="A93" s="134" t="s">
        <v>64</v>
      </c>
      <c r="B93" s="139">
        <f t="shared" ref="B93:K93" si="311">B179</f>
        <v>0</v>
      </c>
      <c r="C93" s="139">
        <f t="shared" si="311"/>
        <v>0</v>
      </c>
      <c r="D93" s="139">
        <f t="shared" ref="D93:E93" si="312">D179</f>
        <v>0</v>
      </c>
      <c r="E93" s="139">
        <f t="shared" si="312"/>
        <v>0</v>
      </c>
      <c r="F93" s="139">
        <f t="shared" ref="F93:G93" si="313">F179</f>
        <v>0</v>
      </c>
      <c r="G93" s="139">
        <f t="shared" si="313"/>
        <v>0</v>
      </c>
      <c r="H93" s="139">
        <f t="shared" si="311"/>
        <v>0</v>
      </c>
      <c r="I93" s="139">
        <f t="shared" si="311"/>
        <v>0</v>
      </c>
      <c r="J93" s="139">
        <f t="shared" si="311"/>
        <v>0</v>
      </c>
      <c r="K93" s="139">
        <f t="shared" si="311"/>
        <v>0</v>
      </c>
      <c r="L93" s="139">
        <f t="shared" ref="L93" si="314">L179</f>
        <v>0</v>
      </c>
      <c r="M93" s="139">
        <f t="shared" ref="M93" si="315">M179</f>
        <v>0</v>
      </c>
      <c r="N93" s="151">
        <f t="shared" si="306"/>
        <v>0</v>
      </c>
      <c r="O93" s="151"/>
      <c r="P93" s="151">
        <f t="shared" si="307"/>
        <v>-4200</v>
      </c>
      <c r="Q93" s="151">
        <f t="shared" si="308"/>
        <v>-5600</v>
      </c>
      <c r="R93" s="151">
        <v>-5600</v>
      </c>
      <c r="S93" s="170">
        <f t="shared" si="237"/>
        <v>0</v>
      </c>
      <c r="T93" s="168">
        <f t="shared" ref="T93:AE93" si="316">T179</f>
        <v>0</v>
      </c>
      <c r="U93" s="168">
        <f t="shared" si="316"/>
        <v>800</v>
      </c>
      <c r="V93" s="168">
        <f t="shared" si="316"/>
        <v>0</v>
      </c>
      <c r="W93" s="168">
        <f t="shared" si="316"/>
        <v>0</v>
      </c>
      <c r="X93" s="168">
        <f t="shared" si="316"/>
        <v>0</v>
      </c>
      <c r="Y93" s="168">
        <f t="shared" si="316"/>
        <v>0</v>
      </c>
      <c r="Z93" s="168">
        <f t="shared" si="316"/>
        <v>0</v>
      </c>
      <c r="AA93" s="168">
        <f t="shared" si="316"/>
        <v>0</v>
      </c>
      <c r="AB93" s="168">
        <f t="shared" si="316"/>
        <v>0</v>
      </c>
      <c r="AC93" s="168">
        <f t="shared" si="316"/>
        <v>0</v>
      </c>
      <c r="AD93" s="168">
        <f t="shared" si="316"/>
        <v>-6400</v>
      </c>
      <c r="AE93" s="168">
        <f t="shared" si="316"/>
        <v>0</v>
      </c>
      <c r="AF93" s="151">
        <f t="shared" si="256"/>
        <v>0</v>
      </c>
      <c r="AG93" s="151">
        <f t="shared" si="257"/>
        <v>0</v>
      </c>
    </row>
    <row r="94" spans="1:33" x14ac:dyDescent="0.25">
      <c r="A94" s="134" t="s">
        <v>65</v>
      </c>
      <c r="B94" s="139">
        <f t="shared" ref="B94:K94" si="317">B192</f>
        <v>0</v>
      </c>
      <c r="C94" s="139">
        <f t="shared" si="317"/>
        <v>0</v>
      </c>
      <c r="D94" s="139">
        <f t="shared" ref="D94:E94" si="318">D192</f>
        <v>0</v>
      </c>
      <c r="E94" s="139">
        <f t="shared" si="318"/>
        <v>0</v>
      </c>
      <c r="F94" s="139">
        <f t="shared" ref="F94:G94" si="319">F192</f>
        <v>0</v>
      </c>
      <c r="G94" s="139">
        <f t="shared" si="319"/>
        <v>0</v>
      </c>
      <c r="H94" s="139">
        <f t="shared" si="317"/>
        <v>0</v>
      </c>
      <c r="I94" s="139">
        <f t="shared" si="317"/>
        <v>0</v>
      </c>
      <c r="J94" s="139">
        <f t="shared" si="317"/>
        <v>0</v>
      </c>
      <c r="K94" s="139">
        <f t="shared" si="317"/>
        <v>0</v>
      </c>
      <c r="L94" s="139">
        <f t="shared" ref="L94" si="320">L192</f>
        <v>0</v>
      </c>
      <c r="M94" s="139">
        <f t="shared" ref="M94" si="321">M192</f>
        <v>0</v>
      </c>
      <c r="N94" s="151">
        <f t="shared" si="306"/>
        <v>0</v>
      </c>
      <c r="O94" s="151"/>
      <c r="P94" s="151">
        <f t="shared" si="307"/>
        <v>596.40750000000003</v>
      </c>
      <c r="Q94" s="151">
        <f t="shared" si="308"/>
        <v>795.20999999999992</v>
      </c>
      <c r="R94" s="151">
        <v>795.20999999999992</v>
      </c>
      <c r="S94" s="170">
        <f t="shared" si="237"/>
        <v>0</v>
      </c>
      <c r="T94" s="168">
        <f>T192</f>
        <v>1.87</v>
      </c>
      <c r="U94" s="168">
        <f t="shared" ref="U94:AE94" si="322">U192</f>
        <v>0</v>
      </c>
      <c r="V94" s="168">
        <f t="shared" si="322"/>
        <v>-115.12</v>
      </c>
      <c r="W94" s="168">
        <f t="shared" si="322"/>
        <v>3216.06</v>
      </c>
      <c r="X94" s="168">
        <f t="shared" si="322"/>
        <v>-2308</v>
      </c>
      <c r="Y94" s="168">
        <f t="shared" si="322"/>
        <v>0</v>
      </c>
      <c r="Z94" s="168">
        <f t="shared" si="322"/>
        <v>0</v>
      </c>
      <c r="AA94" s="168">
        <f t="shared" si="322"/>
        <v>0</v>
      </c>
      <c r="AB94" s="168">
        <f t="shared" si="322"/>
        <v>0</v>
      </c>
      <c r="AC94" s="168">
        <f t="shared" si="322"/>
        <v>0</v>
      </c>
      <c r="AD94" s="168">
        <f t="shared" si="322"/>
        <v>0.4</v>
      </c>
      <c r="AE94" s="168">
        <f t="shared" si="322"/>
        <v>0</v>
      </c>
      <c r="AF94" s="151">
        <f t="shared" si="256"/>
        <v>0</v>
      </c>
      <c r="AG94" s="151">
        <f t="shared" si="257"/>
        <v>0</v>
      </c>
    </row>
    <row r="95" spans="1:33" x14ac:dyDescent="0.25">
      <c r="A95" s="134" t="s">
        <v>66</v>
      </c>
      <c r="B95" s="139">
        <f t="shared" ref="B95:K95" si="323">B69</f>
        <v>0</v>
      </c>
      <c r="C95" s="139">
        <f t="shared" si="323"/>
        <v>745.35</v>
      </c>
      <c r="D95" s="139">
        <f t="shared" ref="D95:E95" si="324">D69</f>
        <v>1244.7</v>
      </c>
      <c r="E95" s="139">
        <f t="shared" si="324"/>
        <v>0</v>
      </c>
      <c r="F95" s="139">
        <f t="shared" ref="F95:G95" si="325">F69</f>
        <v>0</v>
      </c>
      <c r="G95" s="139">
        <f t="shared" si="325"/>
        <v>0</v>
      </c>
      <c r="H95" s="139">
        <f t="shared" si="323"/>
        <v>0</v>
      </c>
      <c r="I95" s="139">
        <f t="shared" si="323"/>
        <v>0</v>
      </c>
      <c r="J95" s="139">
        <f t="shared" si="323"/>
        <v>0</v>
      </c>
      <c r="K95" s="139">
        <f t="shared" si="323"/>
        <v>0</v>
      </c>
      <c r="L95" s="139">
        <f t="shared" ref="L95" si="326">L69</f>
        <v>0</v>
      </c>
      <c r="M95" s="139">
        <f t="shared" ref="M95" si="327">M69</f>
        <v>0</v>
      </c>
      <c r="N95" s="151">
        <f t="shared" si="306"/>
        <v>1990.0500000000002</v>
      </c>
      <c r="O95" s="151"/>
      <c r="P95" s="151">
        <f t="shared" si="307"/>
        <v>1360.4549999999999</v>
      </c>
      <c r="Q95" s="151">
        <f t="shared" si="308"/>
        <v>1813.94</v>
      </c>
      <c r="R95" s="151">
        <v>1813.94</v>
      </c>
      <c r="S95" s="170">
        <f t="shared" si="237"/>
        <v>0</v>
      </c>
      <c r="T95" s="168">
        <f>T69</f>
        <v>0</v>
      </c>
      <c r="U95" s="168">
        <f>U69</f>
        <v>878</v>
      </c>
      <c r="V95" s="168">
        <f>V69</f>
        <v>0</v>
      </c>
      <c r="W95" s="168">
        <f>W69</f>
        <v>0</v>
      </c>
      <c r="X95" s="168">
        <f>X186</f>
        <v>620</v>
      </c>
      <c r="Y95" s="168">
        <f t="shared" ref="Y95:AE95" si="328">Y69</f>
        <v>0</v>
      </c>
      <c r="Z95" s="168">
        <f t="shared" si="328"/>
        <v>12</v>
      </c>
      <c r="AA95" s="168">
        <f t="shared" si="328"/>
        <v>0</v>
      </c>
      <c r="AB95" s="168">
        <f t="shared" si="328"/>
        <v>0</v>
      </c>
      <c r="AC95" s="168">
        <f t="shared" si="328"/>
        <v>0</v>
      </c>
      <c r="AD95" s="168">
        <f t="shared" si="328"/>
        <v>0</v>
      </c>
      <c r="AE95" s="168">
        <f t="shared" si="328"/>
        <v>303.94</v>
      </c>
      <c r="AF95" s="151">
        <f t="shared" si="256"/>
        <v>180.91363636363639</v>
      </c>
      <c r="AG95" s="151">
        <f t="shared" si="257"/>
        <v>-180.91363636363639</v>
      </c>
    </row>
    <row r="96" spans="1:33" x14ac:dyDescent="0.25">
      <c r="A96" s="134"/>
      <c r="B96" s="142">
        <f t="shared" ref="B96:K96" si="329">SUM(B91:B95)</f>
        <v>5773.3</v>
      </c>
      <c r="C96" s="142">
        <f t="shared" si="329"/>
        <v>3710.73</v>
      </c>
      <c r="D96" s="142">
        <f t="shared" ref="D96" si="330">SUM(D91:D95)</f>
        <v>7213.07</v>
      </c>
      <c r="E96" s="142">
        <f t="shared" si="329"/>
        <v>14785.189999999999</v>
      </c>
      <c r="F96" s="142">
        <f t="shared" ref="F96:G96" si="331">SUM(F91:F95)</f>
        <v>0</v>
      </c>
      <c r="G96" s="142">
        <f t="shared" si="331"/>
        <v>0</v>
      </c>
      <c r="H96" s="142">
        <f t="shared" si="329"/>
        <v>0</v>
      </c>
      <c r="I96" s="142">
        <f t="shared" si="329"/>
        <v>0</v>
      </c>
      <c r="J96" s="142">
        <f t="shared" si="329"/>
        <v>0</v>
      </c>
      <c r="K96" s="142">
        <f t="shared" si="329"/>
        <v>0</v>
      </c>
      <c r="L96" s="142">
        <f t="shared" ref="L96" si="332">SUM(L91:L95)</f>
        <v>0</v>
      </c>
      <c r="M96" s="142">
        <f t="shared" ref="M96" si="333">SUM(M91:M95)</f>
        <v>0</v>
      </c>
      <c r="N96" s="152">
        <f>SUM(N91:N95)</f>
        <v>31482.289999999997</v>
      </c>
      <c r="O96" s="152"/>
      <c r="P96" s="152">
        <f>SUM(P91:P95)</f>
        <v>342269.25</v>
      </c>
      <c r="Q96" s="152">
        <f>SUM(Q91:Q95)</f>
        <v>456359</v>
      </c>
      <c r="R96" s="152">
        <v>456359</v>
      </c>
      <c r="S96" s="170">
        <f t="shared" si="237"/>
        <v>0</v>
      </c>
      <c r="T96" s="171">
        <f>SUM(T91:T95)</f>
        <v>47746.600000000006</v>
      </c>
      <c r="U96" s="171">
        <f t="shared" ref="U96:AD96" si="334">SUM(U91:U95)</f>
        <v>41996.61</v>
      </c>
      <c r="V96" s="171">
        <f t="shared" si="334"/>
        <v>53451.17</v>
      </c>
      <c r="W96" s="171">
        <f t="shared" si="334"/>
        <v>-211.7800000000002</v>
      </c>
      <c r="X96" s="171">
        <f t="shared" si="334"/>
        <v>4120.03</v>
      </c>
      <c r="Y96" s="171">
        <f t="shared" si="334"/>
        <v>11225.63</v>
      </c>
      <c r="Z96" s="171">
        <f t="shared" si="334"/>
        <v>20542.47</v>
      </c>
      <c r="AA96" s="171">
        <f t="shared" si="334"/>
        <v>5400.13</v>
      </c>
      <c r="AB96" s="171">
        <f t="shared" si="334"/>
        <v>10087.08</v>
      </c>
      <c r="AC96" s="171">
        <f t="shared" si="334"/>
        <v>20598.52</v>
      </c>
      <c r="AD96" s="171">
        <f t="shared" si="334"/>
        <v>22136.920000000002</v>
      </c>
      <c r="AE96" s="171">
        <f>SUM(AE91:AE95)</f>
        <v>219265.62</v>
      </c>
      <c r="AF96" s="152">
        <f t="shared" si="256"/>
        <v>2862.0263636363634</v>
      </c>
      <c r="AG96" s="152">
        <f t="shared" si="257"/>
        <v>-2862.0263636363634</v>
      </c>
    </row>
    <row r="97" spans="1:33" ht="27" customHeight="1" thickBot="1" x14ac:dyDescent="0.3">
      <c r="A97" s="134"/>
      <c r="B97" s="145">
        <f t="shared" ref="B97:K97" si="335">+B88-B96</f>
        <v>-5773.3</v>
      </c>
      <c r="C97" s="145">
        <f t="shared" si="335"/>
        <v>-3710.73</v>
      </c>
      <c r="D97" s="145">
        <f t="shared" ref="D97" si="336">+D88-D96</f>
        <v>-7213.07</v>
      </c>
      <c r="E97" s="145">
        <f t="shared" si="335"/>
        <v>-14785.189999999999</v>
      </c>
      <c r="F97" s="145">
        <f t="shared" ref="F97:G97" si="337">+F88-F96</f>
        <v>0</v>
      </c>
      <c r="G97" s="145">
        <f t="shared" si="337"/>
        <v>0</v>
      </c>
      <c r="H97" s="145">
        <f t="shared" si="335"/>
        <v>0</v>
      </c>
      <c r="I97" s="145">
        <f t="shared" si="335"/>
        <v>0</v>
      </c>
      <c r="J97" s="145">
        <f t="shared" si="335"/>
        <v>0</v>
      </c>
      <c r="K97" s="145">
        <f t="shared" si="335"/>
        <v>0</v>
      </c>
      <c r="L97" s="145">
        <f t="shared" ref="L97" si="338">+L88-L96</f>
        <v>0</v>
      </c>
      <c r="M97" s="145">
        <f t="shared" ref="M97" si="339">+M88-M96</f>
        <v>0</v>
      </c>
      <c r="N97" s="154">
        <f>+N88-N96</f>
        <v>-31482.289999999997</v>
      </c>
      <c r="O97" s="154"/>
      <c r="P97" s="154">
        <f>+P88-P96</f>
        <v>-18554.205000000016</v>
      </c>
      <c r="Q97" s="154">
        <f>+Q88-Q96</f>
        <v>-24738.940000000002</v>
      </c>
      <c r="R97" s="154">
        <v>-24738.940000000002</v>
      </c>
      <c r="S97" s="170">
        <f t="shared" si="237"/>
        <v>0</v>
      </c>
      <c r="T97" s="174">
        <f>+T88-T96</f>
        <v>-3572.1200000000026</v>
      </c>
      <c r="U97" s="174">
        <f t="shared" ref="U97:AD97" si="340">+U88-U96</f>
        <v>-4969.6500000000015</v>
      </c>
      <c r="V97" s="174">
        <f t="shared" si="340"/>
        <v>-2498.1999999999971</v>
      </c>
      <c r="W97" s="174">
        <f t="shared" si="340"/>
        <v>17594.78</v>
      </c>
      <c r="X97" s="174">
        <f t="shared" si="340"/>
        <v>2417.4700000000003</v>
      </c>
      <c r="Y97" s="174">
        <f t="shared" si="340"/>
        <v>1464.8700000000008</v>
      </c>
      <c r="Z97" s="174">
        <f t="shared" si="340"/>
        <v>-6405.4800000000014</v>
      </c>
      <c r="AA97" s="174">
        <f t="shared" si="340"/>
        <v>-1854.13</v>
      </c>
      <c r="AB97" s="174">
        <f t="shared" si="340"/>
        <v>-3509.5299999999997</v>
      </c>
      <c r="AC97" s="174">
        <f t="shared" si="340"/>
        <v>-2037.7299999999996</v>
      </c>
      <c r="AD97" s="174">
        <f t="shared" si="340"/>
        <v>8288.1699999999983</v>
      </c>
      <c r="AE97" s="174">
        <f>+AE88-AE96</f>
        <v>-29657.389999999985</v>
      </c>
      <c r="AF97" s="154">
        <f t="shared" si="256"/>
        <v>-2862.0263636363634</v>
      </c>
      <c r="AG97" s="154">
        <f t="shared" si="257"/>
        <v>2862.0263636363634</v>
      </c>
    </row>
    <row r="98" spans="1:33" ht="16.5" thickTop="1" thickBot="1" x14ac:dyDescent="0.3">
      <c r="A98" s="135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6"/>
      <c r="O98" s="156"/>
      <c r="P98" s="156"/>
      <c r="Q98" s="156"/>
      <c r="R98" s="156"/>
      <c r="S98" s="170">
        <f t="shared" si="237"/>
        <v>0</v>
      </c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56">
        <f t="shared" si="256"/>
        <v>0</v>
      </c>
      <c r="AG98" s="156">
        <f t="shared" si="257"/>
        <v>0</v>
      </c>
    </row>
    <row r="99" spans="1:33" x14ac:dyDescent="0.25"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S99" s="170">
        <f t="shared" si="237"/>
        <v>0</v>
      </c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30">
        <f t="shared" si="256"/>
        <v>0</v>
      </c>
      <c r="AG99" s="130">
        <f t="shared" si="257"/>
        <v>0</v>
      </c>
    </row>
    <row r="100" spans="1:33" hidden="1" x14ac:dyDescent="0.25"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S100" s="170">
        <f t="shared" si="237"/>
        <v>0</v>
      </c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30">
        <f t="shared" si="256"/>
        <v>0</v>
      </c>
      <c r="AG100" s="130">
        <f t="shared" si="257"/>
        <v>0</v>
      </c>
    </row>
    <row r="101" spans="1:33" ht="30.75" hidden="1" customHeight="1" x14ac:dyDescent="0.25">
      <c r="A101" s="130" t="s">
        <v>67</v>
      </c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43">
        <f>SUM(B101:M101)</f>
        <v>0</v>
      </c>
      <c r="O101" s="143"/>
      <c r="P101" s="143"/>
      <c r="Q101" s="143">
        <f>S101/12*$P$3</f>
        <v>0</v>
      </c>
      <c r="R101" s="143">
        <v>0</v>
      </c>
      <c r="S101" s="170">
        <f t="shared" si="237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43">
        <f t="shared" si="256"/>
        <v>0</v>
      </c>
      <c r="AG101" s="143">
        <f t="shared" si="257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37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56"/>
        <v>0</v>
      </c>
      <c r="AG102" s="130">
        <f t="shared" si="257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37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56"/>
        <v>0</v>
      </c>
      <c r="AG103" s="130">
        <f t="shared" si="257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237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56"/>
        <v>0</v>
      </c>
      <c r="AG104" s="130">
        <f t="shared" si="257"/>
        <v>0</v>
      </c>
    </row>
    <row r="105" spans="1:33" s="136" customFormat="1" ht="15.75" thickBot="1" x14ac:dyDescent="0.3"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S105" s="170">
        <f t="shared" si="237"/>
        <v>0</v>
      </c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36">
        <f t="shared" si="256"/>
        <v>0</v>
      </c>
      <c r="AG105" s="136">
        <f t="shared" si="257"/>
        <v>0</v>
      </c>
    </row>
    <row r="106" spans="1:33" x14ac:dyDescent="0.25">
      <c r="A106" s="137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37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56"/>
        <v>0</v>
      </c>
      <c r="AG106" s="130">
        <f t="shared" si="257"/>
        <v>0</v>
      </c>
    </row>
    <row r="107" spans="1:33" hidden="1" x14ac:dyDescent="0.25">
      <c r="A107" s="130" t="s">
        <v>68</v>
      </c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>
        <f>SUM(B107:M107)</f>
        <v>0</v>
      </c>
      <c r="O107" s="139"/>
      <c r="P107" s="139">
        <f t="shared" ref="P107:P131" si="341">Q107/12*$P$3</f>
        <v>0</v>
      </c>
      <c r="Q107" s="139">
        <f>R107</f>
        <v>0</v>
      </c>
      <c r="R107" s="139">
        <v>0</v>
      </c>
      <c r="S107" s="170">
        <f t="shared" si="237"/>
        <v>0</v>
      </c>
      <c r="T107" s="168">
        <v>0</v>
      </c>
      <c r="U107" s="168">
        <v>0</v>
      </c>
      <c r="V107" s="168">
        <v>0</v>
      </c>
      <c r="W107" s="168"/>
      <c r="X107" s="168"/>
      <c r="Y107" s="168">
        <v>0</v>
      </c>
      <c r="Z107" s="168">
        <v>0</v>
      </c>
      <c r="AA107" s="168">
        <v>0</v>
      </c>
      <c r="AB107" s="168">
        <v>0</v>
      </c>
      <c r="AC107" s="168"/>
      <c r="AD107" s="168"/>
      <c r="AE107" s="168"/>
      <c r="AF107" s="139">
        <f t="shared" si="256"/>
        <v>0</v>
      </c>
      <c r="AG107" s="139">
        <f t="shared" si="257"/>
        <v>0</v>
      </c>
    </row>
    <row r="108" spans="1:33" x14ac:dyDescent="0.25">
      <c r="A108" s="130" t="s">
        <v>69</v>
      </c>
      <c r="B108" s="139">
        <v>389989114.04000002</v>
      </c>
      <c r="C108" s="139">
        <v>536618251.02999997</v>
      </c>
      <c r="D108" s="139">
        <v>420444342.98000002</v>
      </c>
      <c r="E108" s="139">
        <v>333877780.42000002</v>
      </c>
      <c r="F108" s="139"/>
      <c r="G108" s="139"/>
      <c r="H108" s="139"/>
      <c r="I108" s="139"/>
      <c r="J108" s="139"/>
      <c r="K108" s="139"/>
      <c r="L108" s="139"/>
      <c r="M108" s="139"/>
      <c r="N108" s="139">
        <f>SUM(B108:M108)</f>
        <v>1680929488.47</v>
      </c>
      <c r="O108" s="139"/>
      <c r="P108" s="139">
        <f t="shared" si="341"/>
        <v>931678150.86750007</v>
      </c>
      <c r="Q108" s="139">
        <f t="shared" ref="Q108:Q131" si="342">R108</f>
        <v>1242237534.49</v>
      </c>
      <c r="R108" s="139">
        <v>1242237534.49</v>
      </c>
      <c r="S108" s="170">
        <f t="shared" si="237"/>
        <v>0</v>
      </c>
      <c r="T108" s="168">
        <v>154744703.27000001</v>
      </c>
      <c r="U108" s="168">
        <v>123954975.27</v>
      </c>
      <c r="V108" s="168">
        <v>101935013.19</v>
      </c>
      <c r="W108" s="168">
        <v>92863307.959999993</v>
      </c>
      <c r="X108" s="168">
        <v>94258757.019999996</v>
      </c>
      <c r="Y108" s="168">
        <v>97605649.239999995</v>
      </c>
      <c r="Z108" s="168">
        <v>123097958.22</v>
      </c>
      <c r="AA108" s="168">
        <v>127862684.09999999</v>
      </c>
      <c r="AB108" s="168">
        <v>96885769.400000006</v>
      </c>
      <c r="AC108" s="168">
        <v>91117545.120000005</v>
      </c>
      <c r="AD108" s="168">
        <v>79237235.719999999</v>
      </c>
      <c r="AE108" s="168">
        <v>58673935.979999997</v>
      </c>
      <c r="AF108" s="139">
        <f t="shared" si="256"/>
        <v>152811771.67909092</v>
      </c>
      <c r="AG108" s="139">
        <f t="shared" si="257"/>
        <v>-152811771.67909092</v>
      </c>
    </row>
    <row r="109" spans="1:33" x14ac:dyDescent="0.25">
      <c r="A109" s="130" t="s">
        <v>70</v>
      </c>
      <c r="B109" s="139">
        <v>140945954.53</v>
      </c>
      <c r="C109" s="139">
        <v>152590309.33000001</v>
      </c>
      <c r="D109" s="139">
        <v>138019589.99000001</v>
      </c>
      <c r="E109" s="139">
        <v>121891328.22</v>
      </c>
      <c r="F109" s="139"/>
      <c r="G109" s="139"/>
      <c r="H109" s="139"/>
      <c r="I109" s="139"/>
      <c r="J109" s="139"/>
      <c r="K109" s="139"/>
      <c r="L109" s="139"/>
      <c r="M109" s="139"/>
      <c r="N109" s="139">
        <f t="shared" ref="N109:N131" si="343">SUM(B109:M109)</f>
        <v>553447182.07000005</v>
      </c>
      <c r="O109" s="139"/>
      <c r="P109" s="139">
        <f t="shared" si="341"/>
        <v>2658149847.8700004</v>
      </c>
      <c r="Q109" s="139">
        <f t="shared" si="342"/>
        <v>3544199797.1600003</v>
      </c>
      <c r="R109" s="139">
        <v>3544199797.1600003</v>
      </c>
      <c r="S109" s="170">
        <f t="shared" si="237"/>
        <v>0</v>
      </c>
      <c r="T109" s="168">
        <v>474420383.94999999</v>
      </c>
      <c r="U109" s="168">
        <v>1272769788.22</v>
      </c>
      <c r="V109" s="168">
        <v>305526926.99000001</v>
      </c>
      <c r="W109" s="168">
        <v>46941731.32</v>
      </c>
      <c r="X109" s="168">
        <v>115118797.62</v>
      </c>
      <c r="Y109" s="168">
        <v>261188870.69</v>
      </c>
      <c r="Z109" s="168">
        <v>167224902.31999999</v>
      </c>
      <c r="AA109" s="168">
        <v>334958641.80000001</v>
      </c>
      <c r="AB109" s="168">
        <v>240211825.59</v>
      </c>
      <c r="AC109" s="168">
        <v>61729895.789999999</v>
      </c>
      <c r="AD109" s="168">
        <v>139453291.03999999</v>
      </c>
      <c r="AE109" s="168">
        <v>124654741.83</v>
      </c>
      <c r="AF109" s="139">
        <f t="shared" si="256"/>
        <v>50313380.188181825</v>
      </c>
      <c r="AG109" s="139">
        <f t="shared" si="257"/>
        <v>-50313380.188181825</v>
      </c>
    </row>
    <row r="110" spans="1:33" x14ac:dyDescent="0.25">
      <c r="A110" s="130" t="s">
        <v>71</v>
      </c>
      <c r="B110" s="139">
        <v>1109173.3</v>
      </c>
      <c r="C110" s="139">
        <v>3777109</v>
      </c>
      <c r="D110" s="139">
        <v>6370185.2300000004</v>
      </c>
      <c r="E110" s="139">
        <v>1018427</v>
      </c>
      <c r="F110" s="139"/>
      <c r="G110" s="139"/>
      <c r="H110" s="139"/>
      <c r="I110" s="139"/>
      <c r="J110" s="139"/>
      <c r="K110" s="139"/>
      <c r="L110" s="139"/>
      <c r="M110" s="139"/>
      <c r="N110" s="139">
        <f t="shared" si="343"/>
        <v>12274894.530000001</v>
      </c>
      <c r="O110" s="139"/>
      <c r="P110" s="139">
        <f t="shared" si="341"/>
        <v>12605631.960000001</v>
      </c>
      <c r="Q110" s="139">
        <f t="shared" si="342"/>
        <v>16807509.280000001</v>
      </c>
      <c r="R110" s="139">
        <v>16807509.280000001</v>
      </c>
      <c r="S110" s="170">
        <f t="shared" si="237"/>
        <v>0</v>
      </c>
      <c r="T110" s="168">
        <v>2898099.37</v>
      </c>
      <c r="U110" s="168">
        <v>2610105.7200000002</v>
      </c>
      <c r="V110" s="168">
        <v>622399.88</v>
      </c>
      <c r="W110" s="168">
        <v>1945746.84</v>
      </c>
      <c r="X110" s="168">
        <v>1927944.8</v>
      </c>
      <c r="Y110" s="168">
        <v>474866.98</v>
      </c>
      <c r="Z110" s="168">
        <v>1059505.05</v>
      </c>
      <c r="AA110" s="168">
        <v>1458942.34</v>
      </c>
      <c r="AB110" s="168">
        <v>319490.71999999997</v>
      </c>
      <c r="AC110" s="168">
        <v>210539.64</v>
      </c>
      <c r="AD110" s="168">
        <v>2119802.66</v>
      </c>
      <c r="AE110" s="168">
        <v>1160065.28</v>
      </c>
      <c r="AF110" s="139">
        <f t="shared" si="256"/>
        <v>1115899.5027272729</v>
      </c>
      <c r="AG110" s="139">
        <f t="shared" si="257"/>
        <v>-1115899.5027272729</v>
      </c>
    </row>
    <row r="111" spans="1:33" x14ac:dyDescent="0.25">
      <c r="A111" s="130" t="s">
        <v>72</v>
      </c>
      <c r="B111" s="139">
        <v>3240659.06</v>
      </c>
      <c r="C111" s="139">
        <v>904530.28</v>
      </c>
      <c r="D111" s="139">
        <v>5061430.34</v>
      </c>
      <c r="E111" s="139">
        <v>3232811.25</v>
      </c>
      <c r="F111" s="139"/>
      <c r="G111" s="139"/>
      <c r="H111" s="139"/>
      <c r="I111" s="139"/>
      <c r="J111" s="139"/>
      <c r="K111" s="139"/>
      <c r="L111" s="139"/>
      <c r="M111" s="139"/>
      <c r="N111" s="139">
        <f t="shared" si="343"/>
        <v>12439430.93</v>
      </c>
      <c r="O111" s="139"/>
      <c r="P111" s="139">
        <f t="shared" si="341"/>
        <v>16307923.7925</v>
      </c>
      <c r="Q111" s="139">
        <f t="shared" si="342"/>
        <v>21743898.390000001</v>
      </c>
      <c r="R111" s="139">
        <v>21743898.390000001</v>
      </c>
      <c r="S111" s="170">
        <f t="shared" si="237"/>
        <v>0</v>
      </c>
      <c r="T111" s="168">
        <v>3238349</v>
      </c>
      <c r="U111" s="168">
        <v>1478660.42</v>
      </c>
      <c r="V111" s="168">
        <v>1427673</v>
      </c>
      <c r="W111" s="168">
        <v>2167697.4500000002</v>
      </c>
      <c r="X111" s="168">
        <v>847867.6</v>
      </c>
      <c r="Y111" s="168">
        <v>844240.5</v>
      </c>
      <c r="Z111" s="168">
        <v>518684.94</v>
      </c>
      <c r="AA111" s="168">
        <v>749745</v>
      </c>
      <c r="AB111" s="168">
        <v>593767</v>
      </c>
      <c r="AC111" s="168">
        <v>2838661.13</v>
      </c>
      <c r="AD111" s="168">
        <v>1687433.35</v>
      </c>
      <c r="AE111" s="168">
        <v>5351119</v>
      </c>
      <c r="AF111" s="139">
        <f t="shared" si="256"/>
        <v>1130857.3572727272</v>
      </c>
      <c r="AG111" s="139">
        <f t="shared" si="257"/>
        <v>-1130857.3572727272</v>
      </c>
    </row>
    <row r="112" spans="1:33" x14ac:dyDescent="0.25">
      <c r="A112" s="130" t="s">
        <v>73</v>
      </c>
      <c r="C112" s="139"/>
      <c r="D112" s="139">
        <v>1655</v>
      </c>
      <c r="E112" s="139">
        <v>5975</v>
      </c>
      <c r="F112" s="139"/>
      <c r="G112" s="139"/>
      <c r="H112" s="139"/>
      <c r="I112" s="139"/>
      <c r="J112" s="139"/>
      <c r="K112" s="139"/>
      <c r="L112" s="139"/>
      <c r="M112" s="139"/>
      <c r="N112" s="139">
        <f t="shared" si="343"/>
        <v>7630</v>
      </c>
      <c r="O112" s="139"/>
      <c r="P112" s="139">
        <f t="shared" si="341"/>
        <v>8893.83</v>
      </c>
      <c r="Q112" s="139">
        <f t="shared" si="342"/>
        <v>11858.44</v>
      </c>
      <c r="R112" s="139">
        <v>11858.44</v>
      </c>
      <c r="S112" s="170">
        <f t="shared" si="237"/>
        <v>0</v>
      </c>
      <c r="T112" s="168">
        <v>0</v>
      </c>
      <c r="U112" s="168">
        <v>0</v>
      </c>
      <c r="V112" s="168">
        <v>0</v>
      </c>
      <c r="W112" s="168">
        <v>0</v>
      </c>
      <c r="X112" s="168">
        <v>100</v>
      </c>
      <c r="Y112" s="168">
        <v>0</v>
      </c>
      <c r="Z112" s="168">
        <v>100</v>
      </c>
      <c r="AA112" s="168">
        <v>275</v>
      </c>
      <c r="AB112" s="168">
        <v>780</v>
      </c>
      <c r="AC112" s="168">
        <v>145</v>
      </c>
      <c r="AD112" s="168">
        <v>800</v>
      </c>
      <c r="AE112" s="168">
        <v>9658.44</v>
      </c>
      <c r="AF112" s="139">
        <f t="shared" si="256"/>
        <v>693.63636363636363</v>
      </c>
      <c r="AG112" s="139">
        <f t="shared" si="257"/>
        <v>-693.63636363636363</v>
      </c>
    </row>
    <row r="113" spans="1:33" x14ac:dyDescent="0.25">
      <c r="A113" s="130" t="s">
        <v>74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>
        <f t="shared" si="343"/>
        <v>0</v>
      </c>
      <c r="O113" s="139"/>
      <c r="P113" s="139">
        <f t="shared" si="341"/>
        <v>323778.79500000004</v>
      </c>
      <c r="Q113" s="139">
        <f t="shared" si="342"/>
        <v>431705.06</v>
      </c>
      <c r="R113" s="139">
        <v>431705.06</v>
      </c>
      <c r="S113" s="170">
        <f t="shared" si="237"/>
        <v>0</v>
      </c>
      <c r="T113" s="168">
        <v>44174.48</v>
      </c>
      <c r="U113" s="168">
        <v>37026.959999999999</v>
      </c>
      <c r="V113" s="168">
        <v>50952.97</v>
      </c>
      <c r="W113" s="168">
        <v>17383</v>
      </c>
      <c r="X113" s="168">
        <v>6537.5</v>
      </c>
      <c r="Y113" s="168">
        <v>12690.5</v>
      </c>
      <c r="Z113" s="168">
        <v>14136.99</v>
      </c>
      <c r="AA113" s="168">
        <v>3631</v>
      </c>
      <c r="AB113" s="168">
        <v>6577.55</v>
      </c>
      <c r="AC113" s="168">
        <v>18560.79</v>
      </c>
      <c r="AD113" s="168">
        <v>30425.09</v>
      </c>
      <c r="AE113" s="168">
        <v>189608.23</v>
      </c>
      <c r="AF113" s="139">
        <f t="shared" si="256"/>
        <v>0</v>
      </c>
      <c r="AG113" s="139">
        <f t="shared" si="257"/>
        <v>0</v>
      </c>
    </row>
    <row r="114" spans="1:33" x14ac:dyDescent="0.25">
      <c r="A114" s="130" t="s">
        <v>75</v>
      </c>
      <c r="C114" s="139">
        <v>-2000</v>
      </c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>
        <f t="shared" si="343"/>
        <v>-2000</v>
      </c>
      <c r="O114" s="139"/>
      <c r="P114" s="139">
        <f t="shared" si="341"/>
        <v>46875</v>
      </c>
      <c r="Q114" s="139">
        <f t="shared" si="342"/>
        <v>62500</v>
      </c>
      <c r="R114" s="139">
        <v>62500</v>
      </c>
      <c r="S114" s="170">
        <f t="shared" si="237"/>
        <v>0</v>
      </c>
      <c r="T114" s="168">
        <v>0</v>
      </c>
      <c r="U114" s="168">
        <v>40000</v>
      </c>
      <c r="V114" s="168">
        <v>0</v>
      </c>
      <c r="W114" s="168">
        <v>0</v>
      </c>
      <c r="X114" s="168">
        <v>0</v>
      </c>
      <c r="Y114" s="168">
        <v>0</v>
      </c>
      <c r="Z114" s="168">
        <v>10000</v>
      </c>
      <c r="AA114" s="168">
        <v>0</v>
      </c>
      <c r="AB114" s="168">
        <v>0</v>
      </c>
      <c r="AC114" s="168">
        <v>10700</v>
      </c>
      <c r="AD114" s="168">
        <v>1800</v>
      </c>
      <c r="AE114" s="168">
        <v>0</v>
      </c>
      <c r="AF114" s="139">
        <f t="shared" si="256"/>
        <v>-181.81818181818181</v>
      </c>
      <c r="AG114" s="139">
        <f t="shared" si="257"/>
        <v>181.81818181818181</v>
      </c>
    </row>
    <row r="115" spans="1:33" x14ac:dyDescent="0.25">
      <c r="A115" s="130" t="s">
        <v>76</v>
      </c>
      <c r="B115" s="139">
        <v>1530905</v>
      </c>
      <c r="C115" s="139">
        <v>318905</v>
      </c>
      <c r="D115" s="139">
        <v>3027655</v>
      </c>
      <c r="E115" s="139">
        <v>291750</v>
      </c>
      <c r="F115" s="139"/>
      <c r="G115" s="139"/>
      <c r="H115" s="139"/>
      <c r="I115" s="139"/>
      <c r="J115" s="139"/>
      <c r="K115" s="139"/>
      <c r="L115" s="139"/>
      <c r="M115" s="139"/>
      <c r="N115" s="139">
        <f t="shared" si="343"/>
        <v>5169215</v>
      </c>
      <c r="O115" s="139"/>
      <c r="P115" s="139">
        <f t="shared" si="341"/>
        <v>5283806.9775</v>
      </c>
      <c r="Q115" s="139">
        <f t="shared" si="342"/>
        <v>7045075.9700000007</v>
      </c>
      <c r="R115" s="139">
        <v>7045075.9700000007</v>
      </c>
      <c r="S115" s="170">
        <f t="shared" si="237"/>
        <v>0</v>
      </c>
      <c r="T115" s="168">
        <v>85825</v>
      </c>
      <c r="U115" s="168">
        <v>579872.5</v>
      </c>
      <c r="V115" s="168">
        <v>108078.75</v>
      </c>
      <c r="W115" s="168">
        <v>961999.14</v>
      </c>
      <c r="X115" s="168">
        <v>349854.6</v>
      </c>
      <c r="Y115" s="168">
        <v>1360150.98</v>
      </c>
      <c r="Z115" s="168">
        <v>454175</v>
      </c>
      <c r="AA115" s="168">
        <v>875445</v>
      </c>
      <c r="AB115" s="168">
        <v>461025</v>
      </c>
      <c r="AC115" s="168">
        <v>664960</v>
      </c>
      <c r="AD115" s="168">
        <v>720675</v>
      </c>
      <c r="AE115" s="168">
        <v>423015</v>
      </c>
      <c r="AF115" s="139">
        <f t="shared" si="256"/>
        <v>469928.63636363635</v>
      </c>
      <c r="AG115" s="139">
        <f t="shared" si="257"/>
        <v>-469928.63636363635</v>
      </c>
    </row>
    <row r="116" spans="1:33" x14ac:dyDescent="0.25">
      <c r="A116" s="130" t="s">
        <v>77</v>
      </c>
      <c r="B116" s="139">
        <v>71624.37</v>
      </c>
      <c r="C116" s="139">
        <v>105969.22</v>
      </c>
      <c r="D116" s="139">
        <v>94038.65</v>
      </c>
      <c r="E116" s="139">
        <v>75752.06</v>
      </c>
      <c r="F116" s="139"/>
      <c r="G116" s="139"/>
      <c r="H116" s="139"/>
      <c r="I116" s="139"/>
      <c r="J116" s="139"/>
      <c r="K116" s="139"/>
      <c r="L116" s="139"/>
      <c r="M116" s="139"/>
      <c r="N116" s="139">
        <f t="shared" si="343"/>
        <v>347384.3</v>
      </c>
      <c r="O116" s="139"/>
      <c r="P116" s="139">
        <f t="shared" si="341"/>
        <v>209819.31750000003</v>
      </c>
      <c r="Q116" s="139">
        <f t="shared" si="342"/>
        <v>279759.09000000003</v>
      </c>
      <c r="R116" s="139">
        <v>279759.09000000003</v>
      </c>
      <c r="S116" s="170">
        <f t="shared" si="237"/>
        <v>0</v>
      </c>
      <c r="T116" s="168">
        <v>26781.78</v>
      </c>
      <c r="U116" s="168">
        <v>27848.98</v>
      </c>
      <c r="V116" s="168">
        <v>17975.66</v>
      </c>
      <c r="W116" s="168">
        <v>19219.95</v>
      </c>
      <c r="X116" s="168">
        <v>22546.73</v>
      </c>
      <c r="Y116" s="168">
        <v>22323.95</v>
      </c>
      <c r="Z116" s="168">
        <v>27263.29</v>
      </c>
      <c r="AA116" s="168">
        <v>23494.07</v>
      </c>
      <c r="AB116" s="168">
        <v>23850.720000000001</v>
      </c>
      <c r="AC116" s="168">
        <v>18433.18</v>
      </c>
      <c r="AD116" s="168">
        <v>12973.45</v>
      </c>
      <c r="AE116" s="168">
        <v>37047.33</v>
      </c>
      <c r="AF116" s="139">
        <f t="shared" si="256"/>
        <v>31580.390909090907</v>
      </c>
      <c r="AG116" s="139">
        <f t="shared" si="257"/>
        <v>-31580.390909090907</v>
      </c>
    </row>
    <row r="117" spans="1:33" x14ac:dyDescent="0.25">
      <c r="A117" s="130" t="s">
        <v>78</v>
      </c>
      <c r="B117" s="139">
        <v>12424</v>
      </c>
      <c r="C117" s="139">
        <v>16318</v>
      </c>
      <c r="D117" s="139">
        <v>17672.560000000001</v>
      </c>
      <c r="E117" s="139">
        <v>15451</v>
      </c>
      <c r="F117" s="139"/>
      <c r="G117" s="139"/>
      <c r="H117" s="139"/>
      <c r="I117" s="139"/>
      <c r="J117" s="139"/>
      <c r="K117" s="139"/>
      <c r="L117" s="139"/>
      <c r="M117" s="139"/>
      <c r="N117" s="139">
        <f t="shared" si="343"/>
        <v>61865.56</v>
      </c>
      <c r="O117" s="139"/>
      <c r="P117" s="139">
        <f t="shared" si="341"/>
        <v>39851.722500000003</v>
      </c>
      <c r="Q117" s="139">
        <f t="shared" si="342"/>
        <v>53135.63</v>
      </c>
      <c r="R117" s="139">
        <v>53135.63</v>
      </c>
      <c r="S117" s="170">
        <f t="shared" si="237"/>
        <v>0</v>
      </c>
      <c r="T117" s="168">
        <v>5348.08</v>
      </c>
      <c r="U117" s="168">
        <v>3319.45</v>
      </c>
      <c r="V117" s="168">
        <v>4134.66</v>
      </c>
      <c r="W117" s="168">
        <v>2672.3</v>
      </c>
      <c r="X117" s="168">
        <v>3055.3</v>
      </c>
      <c r="Y117" s="168">
        <v>3045.54</v>
      </c>
      <c r="Z117" s="168">
        <v>4022.15</v>
      </c>
      <c r="AA117" s="168">
        <v>6517.32</v>
      </c>
      <c r="AB117" s="168">
        <v>4329.42</v>
      </c>
      <c r="AC117" s="168">
        <v>5529.92</v>
      </c>
      <c r="AD117" s="168">
        <v>3482.32</v>
      </c>
      <c r="AE117" s="168">
        <v>7679.17</v>
      </c>
      <c r="AF117" s="139">
        <f t="shared" si="256"/>
        <v>5624.1418181818181</v>
      </c>
      <c r="AG117" s="139">
        <f t="shared" si="257"/>
        <v>-5624.1418181818181</v>
      </c>
    </row>
    <row r="118" spans="1:33" x14ac:dyDescent="0.25">
      <c r="A118" s="130" t="s">
        <v>79</v>
      </c>
      <c r="B118" s="139">
        <v>18550.080000000002</v>
      </c>
      <c r="C118" s="139">
        <v>14996.53</v>
      </c>
      <c r="D118" s="139">
        <v>18591.439999999999</v>
      </c>
      <c r="E118" s="139">
        <v>26653.99</v>
      </c>
      <c r="F118" s="139"/>
      <c r="G118" s="139"/>
      <c r="H118" s="139"/>
      <c r="I118" s="139"/>
      <c r="J118" s="139"/>
      <c r="K118" s="139"/>
      <c r="L118" s="139"/>
      <c r="M118" s="139"/>
      <c r="N118" s="139">
        <f t="shared" si="343"/>
        <v>78792.040000000008</v>
      </c>
      <c r="O118" s="139"/>
      <c r="P118" s="139">
        <f t="shared" si="341"/>
        <v>275040.6225</v>
      </c>
      <c r="Q118" s="139">
        <f t="shared" si="342"/>
        <v>366720.82999999996</v>
      </c>
      <c r="R118" s="139">
        <v>366720.82999999996</v>
      </c>
      <c r="S118" s="170">
        <f t="shared" si="237"/>
        <v>0</v>
      </c>
      <c r="T118" s="168">
        <v>11966.67</v>
      </c>
      <c r="U118" s="168">
        <v>6875.97</v>
      </c>
      <c r="V118" s="168">
        <v>42473.86</v>
      </c>
      <c r="W118" s="168">
        <v>8332.3799999999992</v>
      </c>
      <c r="X118" s="168">
        <v>47717.82</v>
      </c>
      <c r="Y118" s="168">
        <v>14103.21</v>
      </c>
      <c r="Z118" s="168">
        <v>64030.9</v>
      </c>
      <c r="AA118" s="168">
        <v>12097.62</v>
      </c>
      <c r="AB118" s="168">
        <v>52150.96</v>
      </c>
      <c r="AC118" s="168">
        <v>13372.82</v>
      </c>
      <c r="AD118" s="168">
        <v>50469.61</v>
      </c>
      <c r="AE118" s="168">
        <v>43129.01</v>
      </c>
      <c r="AF118" s="139">
        <f t="shared" si="256"/>
        <v>7162.9127272727283</v>
      </c>
      <c r="AG118" s="139">
        <f t="shared" si="257"/>
        <v>-7162.9127272727283</v>
      </c>
    </row>
    <row r="119" spans="1:33" x14ac:dyDescent="0.25">
      <c r="A119" s="130" t="s">
        <v>594</v>
      </c>
      <c r="C119" s="139">
        <v>180</v>
      </c>
      <c r="D119" s="139">
        <v>270</v>
      </c>
      <c r="E119" s="139">
        <v>0</v>
      </c>
      <c r="F119" s="139"/>
      <c r="G119" s="139"/>
      <c r="H119" s="139"/>
      <c r="I119" s="139"/>
      <c r="J119" s="139"/>
      <c r="K119" s="139"/>
      <c r="L119" s="139"/>
      <c r="M119" s="139"/>
      <c r="N119" s="139">
        <f t="shared" si="343"/>
        <v>450</v>
      </c>
      <c r="O119" s="139"/>
      <c r="P119" s="139"/>
      <c r="Q119" s="139"/>
      <c r="R119" s="139"/>
      <c r="S119" s="170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39">
        <f t="shared" si="256"/>
        <v>40.909090909090907</v>
      </c>
      <c r="AG119" s="139">
        <f t="shared" si="257"/>
        <v>-40.909090909090907</v>
      </c>
    </row>
    <row r="120" spans="1:33" x14ac:dyDescent="0.25">
      <c r="A120" s="130" t="s">
        <v>80</v>
      </c>
      <c r="C120" s="139">
        <v>-11306188.48</v>
      </c>
      <c r="D120" s="139">
        <v>-357578.5</v>
      </c>
      <c r="E120" s="139">
        <v>-212233</v>
      </c>
      <c r="F120" s="139"/>
      <c r="G120" s="139"/>
      <c r="H120" s="139"/>
      <c r="I120" s="139"/>
      <c r="J120" s="139"/>
      <c r="K120" s="139"/>
      <c r="L120" s="139"/>
      <c r="M120" s="139"/>
      <c r="N120" s="139">
        <f t="shared" si="343"/>
        <v>-11875999.98</v>
      </c>
      <c r="O120" s="139"/>
      <c r="P120" s="139">
        <f t="shared" si="341"/>
        <v>-25091803.439999998</v>
      </c>
      <c r="Q120" s="139">
        <f t="shared" si="342"/>
        <v>-33455737.919999998</v>
      </c>
      <c r="R120" s="139">
        <v>-33455737.919999998</v>
      </c>
      <c r="S120" s="170">
        <f t="shared" si="237"/>
        <v>0</v>
      </c>
      <c r="T120" s="168">
        <v>-181274.6</v>
      </c>
      <c r="U120" s="168">
        <v>-14353247.48</v>
      </c>
      <c r="V120" s="168">
        <v>-865145</v>
      </c>
      <c r="W120" s="168">
        <v>-191768.9</v>
      </c>
      <c r="X120" s="168">
        <v>0</v>
      </c>
      <c r="Y120" s="168">
        <v>-4824560.62</v>
      </c>
      <c r="Z120" s="168">
        <v>-481109.16</v>
      </c>
      <c r="AA120" s="168">
        <v>-1464419.23</v>
      </c>
      <c r="AB120" s="168">
        <v>-3207158.47</v>
      </c>
      <c r="AC120" s="168">
        <v>-7212416.5499999998</v>
      </c>
      <c r="AD120" s="168">
        <v>-555999.32999999996</v>
      </c>
      <c r="AE120" s="168">
        <v>-118638.58</v>
      </c>
      <c r="AF120" s="139">
        <f t="shared" si="256"/>
        <v>-1079636.3618181818</v>
      </c>
      <c r="AG120" s="139">
        <f t="shared" si="257"/>
        <v>1079636.3618181818</v>
      </c>
    </row>
    <row r="121" spans="1:33" x14ac:dyDescent="0.25">
      <c r="A121" s="130" t="s">
        <v>81</v>
      </c>
      <c r="B121" s="139">
        <v>-181051.98</v>
      </c>
      <c r="C121" s="139">
        <v>-1867327.3</v>
      </c>
      <c r="D121" s="139">
        <v>-634649.64</v>
      </c>
      <c r="E121" s="139">
        <v>-273750</v>
      </c>
      <c r="F121" s="139"/>
      <c r="G121" s="139"/>
      <c r="H121" s="139"/>
      <c r="I121" s="139"/>
      <c r="J121" s="139"/>
      <c r="K121" s="139"/>
      <c r="L121" s="139"/>
      <c r="M121" s="139"/>
      <c r="N121" s="139">
        <f t="shared" si="343"/>
        <v>-2956778.92</v>
      </c>
      <c r="O121" s="139"/>
      <c r="P121" s="139">
        <f t="shared" si="341"/>
        <v>-92600220.389999986</v>
      </c>
      <c r="Q121" s="139">
        <f t="shared" si="342"/>
        <v>-123466960.51999998</v>
      </c>
      <c r="R121" s="139">
        <v>-123466960.51999998</v>
      </c>
      <c r="S121" s="170">
        <f t="shared" si="237"/>
        <v>0</v>
      </c>
      <c r="T121" s="168">
        <v>-49890630.729999997</v>
      </c>
      <c r="U121" s="168">
        <v>-60452389.869999997</v>
      </c>
      <c r="V121" s="168">
        <v>-214404.86</v>
      </c>
      <c r="W121" s="168">
        <v>0</v>
      </c>
      <c r="X121" s="168">
        <v>-57992.4</v>
      </c>
      <c r="Y121" s="168">
        <v>-225137.37</v>
      </c>
      <c r="Z121" s="168">
        <v>-521496.35</v>
      </c>
      <c r="AA121" s="168">
        <v>-10192938.970000001</v>
      </c>
      <c r="AB121" s="168">
        <v>-826272.24</v>
      </c>
      <c r="AC121" s="168">
        <v>-723408.49</v>
      </c>
      <c r="AD121" s="168">
        <v>-111920</v>
      </c>
      <c r="AE121" s="168">
        <v>-250369.24</v>
      </c>
      <c r="AF121" s="139">
        <f t="shared" si="256"/>
        <v>-268798.08363636362</v>
      </c>
      <c r="AG121" s="139">
        <f t="shared" si="257"/>
        <v>268798.08363636362</v>
      </c>
    </row>
    <row r="122" spans="1:33" x14ac:dyDescent="0.25">
      <c r="A122" s="130" t="s">
        <v>82</v>
      </c>
      <c r="C122" s="139"/>
      <c r="D122" s="139">
        <v>-108805</v>
      </c>
      <c r="E122" s="139"/>
      <c r="F122" s="139"/>
      <c r="G122" s="139"/>
      <c r="H122" s="139"/>
      <c r="I122" s="139"/>
      <c r="J122" s="139"/>
      <c r="K122" s="139"/>
      <c r="L122" s="139"/>
      <c r="M122" s="139"/>
      <c r="N122" s="139">
        <f t="shared" si="343"/>
        <v>-108805</v>
      </c>
      <c r="O122" s="139"/>
      <c r="P122" s="139">
        <f t="shared" si="341"/>
        <v>-33238.934999999998</v>
      </c>
      <c r="Q122" s="139">
        <f t="shared" si="342"/>
        <v>-44318.58</v>
      </c>
      <c r="R122" s="139">
        <v>-44318.58</v>
      </c>
      <c r="S122" s="170">
        <f t="shared" si="237"/>
        <v>0</v>
      </c>
      <c r="T122" s="168">
        <v>-13395</v>
      </c>
      <c r="U122" s="168">
        <v>-13570</v>
      </c>
      <c r="V122" s="168">
        <v>0</v>
      </c>
      <c r="W122" s="168">
        <v>0</v>
      </c>
      <c r="X122" s="168">
        <v>0</v>
      </c>
      <c r="Y122" s="168">
        <v>0</v>
      </c>
      <c r="Z122" s="168">
        <v>0</v>
      </c>
      <c r="AA122" s="168">
        <v>-8300</v>
      </c>
      <c r="AB122" s="168">
        <v>0</v>
      </c>
      <c r="AC122" s="168"/>
      <c r="AD122" s="168"/>
      <c r="AE122" s="168">
        <v>-9053.58</v>
      </c>
      <c r="AF122" s="139">
        <f t="shared" si="256"/>
        <v>-9891.363636363636</v>
      </c>
      <c r="AG122" s="139">
        <f t="shared" si="257"/>
        <v>9891.363636363636</v>
      </c>
    </row>
    <row r="123" spans="1:33" x14ac:dyDescent="0.25">
      <c r="A123" s="130" t="s">
        <v>83</v>
      </c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>
        <f t="shared" si="343"/>
        <v>0</v>
      </c>
      <c r="O123" s="139"/>
      <c r="P123" s="139">
        <f t="shared" si="341"/>
        <v>-44460</v>
      </c>
      <c r="Q123" s="139">
        <f t="shared" si="342"/>
        <v>-59280</v>
      </c>
      <c r="R123" s="139">
        <v>-59280</v>
      </c>
      <c r="S123" s="170">
        <f t="shared" si="237"/>
        <v>0</v>
      </c>
      <c r="T123" s="168">
        <v>0</v>
      </c>
      <c r="U123" s="168">
        <v>0</v>
      </c>
      <c r="V123" s="168">
        <v>0</v>
      </c>
      <c r="W123" s="168">
        <v>0</v>
      </c>
      <c r="X123" s="168">
        <v>0</v>
      </c>
      <c r="Y123" s="168">
        <v>-59280</v>
      </c>
      <c r="Z123" s="168">
        <v>0</v>
      </c>
      <c r="AA123" s="168">
        <v>0</v>
      </c>
      <c r="AB123" s="168">
        <v>0</v>
      </c>
      <c r="AC123" s="168"/>
      <c r="AD123" s="168"/>
      <c r="AE123" s="168">
        <v>0</v>
      </c>
      <c r="AF123" s="139">
        <f t="shared" si="256"/>
        <v>0</v>
      </c>
      <c r="AG123" s="139">
        <f t="shared" si="257"/>
        <v>0</v>
      </c>
    </row>
    <row r="124" spans="1:33" hidden="1" x14ac:dyDescent="0.25">
      <c r="A124" s="130" t="s">
        <v>84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343"/>
        <v>0</v>
      </c>
      <c r="O124" s="139"/>
      <c r="P124" s="139">
        <f t="shared" si="341"/>
        <v>0</v>
      </c>
      <c r="Q124" s="139">
        <f t="shared" si="342"/>
        <v>0</v>
      </c>
      <c r="R124" s="139">
        <v>0</v>
      </c>
      <c r="S124" s="170">
        <f t="shared" si="237"/>
        <v>0</v>
      </c>
      <c r="T124" s="168">
        <v>0</v>
      </c>
      <c r="U124" s="168">
        <v>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0</v>
      </c>
      <c r="AB124" s="168">
        <v>0</v>
      </c>
      <c r="AC124" s="168"/>
      <c r="AD124" s="168"/>
      <c r="AE124" s="168">
        <v>0</v>
      </c>
      <c r="AF124" s="139">
        <f t="shared" si="256"/>
        <v>0</v>
      </c>
      <c r="AG124" s="139">
        <f t="shared" si="257"/>
        <v>0</v>
      </c>
    </row>
    <row r="125" spans="1:33" x14ac:dyDescent="0.25">
      <c r="A125" s="130" t="s">
        <v>85</v>
      </c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43"/>
        <v>0</v>
      </c>
      <c r="O125" s="139"/>
      <c r="P125" s="139">
        <f t="shared" si="341"/>
        <v>-63.75</v>
      </c>
      <c r="Q125" s="139">
        <f t="shared" si="342"/>
        <v>-85</v>
      </c>
      <c r="R125" s="139">
        <v>-85</v>
      </c>
      <c r="S125" s="170">
        <f t="shared" si="237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-85</v>
      </c>
      <c r="AB125" s="168">
        <v>0</v>
      </c>
      <c r="AC125" s="168"/>
      <c r="AD125" s="168"/>
      <c r="AE125" s="168"/>
      <c r="AF125" s="139">
        <f t="shared" si="256"/>
        <v>0</v>
      </c>
      <c r="AG125" s="139">
        <f t="shared" si="257"/>
        <v>0</v>
      </c>
    </row>
    <row r="126" spans="1:33" x14ac:dyDescent="0.25">
      <c r="A126" s="130" t="s">
        <v>86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43"/>
        <v>0</v>
      </c>
      <c r="O126" s="139"/>
      <c r="P126" s="139">
        <f t="shared" si="341"/>
        <v>-239621.25</v>
      </c>
      <c r="Q126" s="139">
        <f t="shared" si="342"/>
        <v>-319495</v>
      </c>
      <c r="R126" s="139">
        <v>-319495</v>
      </c>
      <c r="S126" s="170">
        <f t="shared" si="237"/>
        <v>0</v>
      </c>
      <c r="T126" s="168">
        <v>0</v>
      </c>
      <c r="U126" s="168">
        <v>0</v>
      </c>
      <c r="V126" s="168">
        <v>0</v>
      </c>
      <c r="W126" s="168">
        <v>-58450</v>
      </c>
      <c r="X126" s="168">
        <v>-38855</v>
      </c>
      <c r="Y126" s="168">
        <v>-113930</v>
      </c>
      <c r="Z126" s="168">
        <v>0</v>
      </c>
      <c r="AA126" s="168">
        <v>0</v>
      </c>
      <c r="AB126" s="168">
        <v>-2460</v>
      </c>
      <c r="AC126" s="168"/>
      <c r="AD126" s="168">
        <v>-100000</v>
      </c>
      <c r="AE126" s="168">
        <v>-5800</v>
      </c>
      <c r="AF126" s="139">
        <f t="shared" si="256"/>
        <v>0</v>
      </c>
      <c r="AG126" s="139">
        <f t="shared" si="257"/>
        <v>0</v>
      </c>
    </row>
    <row r="127" spans="1:33" x14ac:dyDescent="0.25">
      <c r="A127" s="130" t="s">
        <v>87</v>
      </c>
      <c r="B127" s="139">
        <v>17000</v>
      </c>
      <c r="C127" s="139">
        <v>48800</v>
      </c>
      <c r="D127" s="139">
        <v>50532</v>
      </c>
      <c r="E127" s="139">
        <v>69850</v>
      </c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43"/>
        <v>186182</v>
      </c>
      <c r="O127" s="139"/>
      <c r="P127" s="139">
        <f t="shared" si="341"/>
        <v>216950.08500000002</v>
      </c>
      <c r="Q127" s="139">
        <f t="shared" si="342"/>
        <v>289266.78000000003</v>
      </c>
      <c r="R127" s="139">
        <v>289266.78000000003</v>
      </c>
      <c r="S127" s="170">
        <f t="shared" si="237"/>
        <v>0</v>
      </c>
      <c r="T127" s="168">
        <v>0</v>
      </c>
      <c r="U127" s="168">
        <v>0</v>
      </c>
      <c r="V127" s="168">
        <v>0</v>
      </c>
      <c r="W127" s="168">
        <v>279000</v>
      </c>
      <c r="X127" s="168">
        <v>0</v>
      </c>
      <c r="Y127" s="168">
        <v>1845</v>
      </c>
      <c r="Z127" s="168">
        <v>1346.78</v>
      </c>
      <c r="AA127" s="168">
        <v>132.93</v>
      </c>
      <c r="AB127" s="168">
        <v>3076.12</v>
      </c>
      <c r="AC127" s="168">
        <v>336</v>
      </c>
      <c r="AD127" s="168">
        <v>2943.62</v>
      </c>
      <c r="AE127" s="168">
        <v>586.33000000000004</v>
      </c>
      <c r="AF127" s="139"/>
      <c r="AG127" s="139"/>
    </row>
    <row r="128" spans="1:33" hidden="1" x14ac:dyDescent="0.25">
      <c r="A128" s="130" t="s">
        <v>441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43"/>
        <v>0</v>
      </c>
      <c r="O128" s="139"/>
      <c r="P128" s="139">
        <f t="shared" si="341"/>
        <v>9300</v>
      </c>
      <c r="Q128" s="139">
        <f t="shared" si="342"/>
        <v>12400</v>
      </c>
      <c r="R128" s="139">
        <v>12400</v>
      </c>
      <c r="S128" s="170">
        <f t="shared" si="237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3720</v>
      </c>
      <c r="AB128" s="168">
        <v>3720</v>
      </c>
      <c r="AC128" s="168"/>
      <c r="AD128" s="168">
        <v>0</v>
      </c>
      <c r="AE128" s="168">
        <v>4960</v>
      </c>
      <c r="AF128" s="139"/>
    </row>
    <row r="129" spans="1:33" x14ac:dyDescent="0.25">
      <c r="A129" s="130" t="s">
        <v>88</v>
      </c>
      <c r="B129" s="139">
        <v>23356420.09</v>
      </c>
      <c r="C129" s="139">
        <v>26400948.82</v>
      </c>
      <c r="D129" s="139">
        <v>28524062.289999999</v>
      </c>
      <c r="E129" s="139">
        <v>29876046.34</v>
      </c>
      <c r="F129" s="139"/>
      <c r="G129" s="139"/>
      <c r="H129" s="139"/>
      <c r="I129" s="139"/>
      <c r="J129" s="139"/>
      <c r="K129" s="139"/>
      <c r="L129" s="139"/>
      <c r="M129" s="139"/>
      <c r="N129" s="139">
        <f t="shared" si="343"/>
        <v>108157477.53999999</v>
      </c>
      <c r="O129" s="139"/>
      <c r="P129" s="139">
        <f t="shared" si="341"/>
        <v>7768463.835</v>
      </c>
      <c r="Q129" s="139">
        <f t="shared" si="342"/>
        <v>10357951.779999999</v>
      </c>
      <c r="R129" s="139">
        <v>10357951.779999999</v>
      </c>
      <c r="S129" s="170">
        <f t="shared" si="237"/>
        <v>0</v>
      </c>
      <c r="T129" s="168">
        <v>0</v>
      </c>
      <c r="U129" s="168">
        <v>0</v>
      </c>
      <c r="V129" s="168">
        <v>0</v>
      </c>
      <c r="W129" s="168">
        <v>13312.5</v>
      </c>
      <c r="X129" s="168">
        <v>0</v>
      </c>
      <c r="Y129" s="168">
        <v>0</v>
      </c>
      <c r="Z129" s="168">
        <v>160130</v>
      </c>
      <c r="AA129" s="168">
        <v>231818.9</v>
      </c>
      <c r="AB129" s="168">
        <v>2021243.69</v>
      </c>
      <c r="AC129" s="168">
        <v>1627165.6</v>
      </c>
      <c r="AD129" s="168">
        <v>3275736.56</v>
      </c>
      <c r="AE129" s="168">
        <v>3028544.53</v>
      </c>
      <c r="AF129" s="139"/>
      <c r="AG129" s="139"/>
    </row>
    <row r="130" spans="1:33" x14ac:dyDescent="0.25">
      <c r="A130" s="130" t="s">
        <v>573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343"/>
        <v>0</v>
      </c>
      <c r="O130" s="139"/>
      <c r="P130" s="139"/>
      <c r="Q130" s="139"/>
      <c r="R130" s="139"/>
      <c r="S130" s="170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39"/>
      <c r="AG130" s="139"/>
    </row>
    <row r="131" spans="1:33" x14ac:dyDescent="0.25">
      <c r="A131" s="130" t="s">
        <v>442</v>
      </c>
      <c r="B131" s="139">
        <v>-639.84</v>
      </c>
      <c r="C131" s="139">
        <v>-138500</v>
      </c>
      <c r="D131" s="139"/>
      <c r="E131" s="139">
        <v>-1017759.69</v>
      </c>
      <c r="F131" s="139"/>
      <c r="G131" s="139"/>
      <c r="H131" s="139"/>
      <c r="I131" s="139"/>
      <c r="J131" s="139"/>
      <c r="K131" s="139"/>
      <c r="L131" s="139"/>
      <c r="M131" s="139"/>
      <c r="N131" s="139">
        <f t="shared" si="343"/>
        <v>-1156899.53</v>
      </c>
      <c r="O131" s="139"/>
      <c r="P131" s="139">
        <f t="shared" si="341"/>
        <v>-194820</v>
      </c>
      <c r="Q131" s="139">
        <f t="shared" si="342"/>
        <v>-259760</v>
      </c>
      <c r="R131" s="139">
        <v>-259760</v>
      </c>
      <c r="S131" s="170">
        <f t="shared" si="237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-96720</v>
      </c>
      <c r="AB131" s="168">
        <v>0</v>
      </c>
      <c r="AC131" s="168">
        <v>-17990</v>
      </c>
      <c r="AD131" s="168">
        <v>-145050</v>
      </c>
      <c r="AE131" s="168">
        <v>0</v>
      </c>
      <c r="AF131" s="139"/>
    </row>
    <row r="132" spans="1:33" s="138" customFormat="1" ht="15.75" thickBot="1" x14ac:dyDescent="0.3">
      <c r="A132" s="138" t="s">
        <v>89</v>
      </c>
      <c r="B132" s="157">
        <f>SUM(B107:B131)</f>
        <v>560110132.6500001</v>
      </c>
      <c r="C132" s="157">
        <f t="shared" ref="C132:Q132" si="344">SUM(C107:C131)</f>
        <v>707482301.43000007</v>
      </c>
      <c r="D132" s="157">
        <f>SUM(D107:D131)</f>
        <v>600528992.34000003</v>
      </c>
      <c r="E132" s="157">
        <f t="shared" si="344"/>
        <v>488878082.58999997</v>
      </c>
      <c r="F132" s="157">
        <f t="shared" si="344"/>
        <v>0</v>
      </c>
      <c r="G132" s="157">
        <f t="shared" si="344"/>
        <v>0</v>
      </c>
      <c r="H132" s="157">
        <f t="shared" si="344"/>
        <v>0</v>
      </c>
      <c r="I132" s="157">
        <f t="shared" si="344"/>
        <v>0</v>
      </c>
      <c r="J132" s="157">
        <f t="shared" si="344"/>
        <v>0</v>
      </c>
      <c r="K132" s="157">
        <f t="shared" si="344"/>
        <v>0</v>
      </c>
      <c r="L132" s="157">
        <f t="shared" si="344"/>
        <v>0</v>
      </c>
      <c r="M132" s="157">
        <f>SUM(M107:M131)</f>
        <v>0</v>
      </c>
      <c r="N132" s="157">
        <f t="shared" si="344"/>
        <v>2356999509.0099998</v>
      </c>
      <c r="O132" s="157"/>
      <c r="P132" s="157">
        <f>SUM(P107:P131)</f>
        <v>3514720106.9100003</v>
      </c>
      <c r="Q132" s="157">
        <f t="shared" si="344"/>
        <v>4686293475.8800011</v>
      </c>
      <c r="R132" s="157">
        <v>4686293475.8800011</v>
      </c>
      <c r="S132" s="170">
        <f t="shared" si="237"/>
        <v>0</v>
      </c>
      <c r="T132" s="182">
        <f>SUM(T107:T129)</f>
        <v>585390331.26999998</v>
      </c>
      <c r="U132" s="182">
        <f t="shared" ref="U132:X132" si="345">SUM(U107:U129)</f>
        <v>1326689266.1400003</v>
      </c>
      <c r="V132" s="182">
        <f t="shared" si="345"/>
        <v>408656079.10000008</v>
      </c>
      <c r="W132" s="182">
        <f t="shared" si="345"/>
        <v>144970183.93999997</v>
      </c>
      <c r="X132" s="182">
        <f t="shared" si="345"/>
        <v>212486331.58999997</v>
      </c>
      <c r="Y132" s="182">
        <f>SUM(Y107:Y129)</f>
        <v>356304878.60000002</v>
      </c>
      <c r="Z132" s="182">
        <f t="shared" ref="Z132" si="346">SUM(Z107:Z129)</f>
        <v>291633650.12999988</v>
      </c>
      <c r="AA132" s="182">
        <f t="shared" ref="AA132:AE132" si="347">SUM(AA107:AA131)</f>
        <v>454424681.87999988</v>
      </c>
      <c r="AB132" s="182">
        <f t="shared" si="347"/>
        <v>336551715.46000004</v>
      </c>
      <c r="AC132" s="182">
        <f t="shared" si="347"/>
        <v>150302029.94999993</v>
      </c>
      <c r="AD132" s="182">
        <f t="shared" si="347"/>
        <v>225684099.08999997</v>
      </c>
      <c r="AE132" s="182">
        <f t="shared" si="347"/>
        <v>193200228.72999996</v>
      </c>
      <c r="AF132" s="157">
        <f t="shared" si="256"/>
        <v>214272682.63727272</v>
      </c>
      <c r="AG132" s="157">
        <f t="shared" si="257"/>
        <v>-214272682.63727272</v>
      </c>
    </row>
    <row r="133" spans="1:33" ht="15.75" thickTop="1" x14ac:dyDescent="0.25"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70">
        <f t="shared" si="237"/>
        <v>0</v>
      </c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>
        <f t="shared" si="256"/>
        <v>0</v>
      </c>
      <c r="AG133" s="139">
        <f t="shared" si="257"/>
        <v>0</v>
      </c>
    </row>
    <row r="134" spans="1:33" x14ac:dyDescent="0.25">
      <c r="A134" s="130" t="s">
        <v>90</v>
      </c>
      <c r="B134" s="139">
        <v>-6824.16</v>
      </c>
      <c r="C134" s="139">
        <v>-3793.65</v>
      </c>
      <c r="D134" s="139">
        <v>-2171.89</v>
      </c>
      <c r="E134" s="139">
        <v>-69.989999999999995</v>
      </c>
      <c r="F134" s="139"/>
      <c r="G134" s="139"/>
      <c r="H134" s="139"/>
      <c r="I134" s="139"/>
      <c r="J134" s="139"/>
      <c r="K134" s="139"/>
      <c r="L134" s="139"/>
      <c r="M134" s="139"/>
      <c r="N134" s="139">
        <f t="shared" ref="N134:N183" si="348">SUM(B134:M134)</f>
        <v>-12859.689999999999</v>
      </c>
      <c r="O134" s="139"/>
      <c r="P134" s="139">
        <f t="shared" ref="P134:P166" si="349">Q134/12*$P$3</f>
        <v>-19776.202499999999</v>
      </c>
      <c r="Q134" s="139">
        <f>R134</f>
        <v>-26368.269999999997</v>
      </c>
      <c r="R134" s="139">
        <v>-26368.269999999997</v>
      </c>
      <c r="S134" s="170">
        <f t="shared" si="237"/>
        <v>0</v>
      </c>
      <c r="T134" s="168">
        <v>-3595.4</v>
      </c>
      <c r="U134" s="168">
        <v>-2471.31</v>
      </c>
      <c r="V134" s="168">
        <v>-4621.22</v>
      </c>
      <c r="W134" s="168">
        <v>-5799.91</v>
      </c>
      <c r="X134" s="168">
        <v>-1360.64</v>
      </c>
      <c r="Y134" s="168">
        <v>-1536.21</v>
      </c>
      <c r="Z134" s="168">
        <v>-2242.15</v>
      </c>
      <c r="AA134" s="168">
        <v>-4335.7700000000004</v>
      </c>
      <c r="AB134" s="168">
        <v>-2948.83</v>
      </c>
      <c r="AC134" s="168">
        <v>-5190.07</v>
      </c>
      <c r="AD134" s="168">
        <v>1017.16</v>
      </c>
      <c r="AE134" s="168">
        <v>6716.08</v>
      </c>
      <c r="AF134" s="139">
        <f t="shared" si="256"/>
        <v>-1169.0627272727272</v>
      </c>
      <c r="AG134" s="139">
        <f t="shared" si="257"/>
        <v>1169.0627272727272</v>
      </c>
    </row>
    <row r="135" spans="1:33" hidden="1" x14ac:dyDescent="0.25">
      <c r="A135" s="130" t="s">
        <v>91</v>
      </c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>
        <f t="shared" si="348"/>
        <v>0</v>
      </c>
      <c r="O135" s="139"/>
      <c r="P135" s="139">
        <f t="shared" si="349"/>
        <v>0</v>
      </c>
      <c r="Q135" s="139">
        <f t="shared" ref="Q135:Q203" si="350">R135</f>
        <v>0</v>
      </c>
      <c r="R135" s="139">
        <v>0</v>
      </c>
      <c r="S135" s="170">
        <f t="shared" si="237"/>
        <v>0</v>
      </c>
      <c r="T135" s="168">
        <v>0</v>
      </c>
      <c r="U135" s="168">
        <v>0</v>
      </c>
      <c r="V135" s="168">
        <v>0</v>
      </c>
      <c r="W135" s="168"/>
      <c r="X135" s="168">
        <v>0</v>
      </c>
      <c r="Y135" s="168">
        <v>0</v>
      </c>
      <c r="Z135" s="168">
        <v>0</v>
      </c>
      <c r="AA135" s="168">
        <v>0</v>
      </c>
      <c r="AB135" s="168">
        <v>0</v>
      </c>
      <c r="AC135" s="168"/>
      <c r="AD135" s="168"/>
      <c r="AE135" s="168"/>
      <c r="AF135" s="139">
        <f t="shared" si="256"/>
        <v>0</v>
      </c>
      <c r="AG135" s="139">
        <f t="shared" si="257"/>
        <v>0</v>
      </c>
    </row>
    <row r="136" spans="1:33" x14ac:dyDescent="0.25">
      <c r="A136" s="130" t="s">
        <v>456</v>
      </c>
      <c r="B136" s="139">
        <v>2431641.75</v>
      </c>
      <c r="C136" s="139">
        <v>-3585920.91</v>
      </c>
      <c r="D136" s="139">
        <v>-6124321.5300000003</v>
      </c>
      <c r="E136" s="139">
        <v>2344081.09</v>
      </c>
      <c r="F136" s="139"/>
      <c r="G136" s="139"/>
      <c r="H136" s="139"/>
      <c r="I136" s="139"/>
      <c r="J136" s="139"/>
      <c r="K136" s="139"/>
      <c r="L136" s="139"/>
      <c r="M136" s="139"/>
      <c r="N136" s="139">
        <f t="shared" si="348"/>
        <v>-4934519.6000000006</v>
      </c>
      <c r="O136" s="139"/>
      <c r="P136" s="139">
        <f t="shared" si="349"/>
        <v>14394351.150000002</v>
      </c>
      <c r="Q136" s="139">
        <f t="shared" si="350"/>
        <v>19192468.200000003</v>
      </c>
      <c r="R136" s="139">
        <v>19192468.200000003</v>
      </c>
      <c r="S136" s="170">
        <f t="shared" si="237"/>
        <v>0</v>
      </c>
      <c r="U136" s="168"/>
      <c r="V136" s="168"/>
      <c r="W136" s="168"/>
      <c r="X136" s="168"/>
      <c r="Y136" s="168"/>
      <c r="Z136" s="168"/>
      <c r="AA136" s="168"/>
      <c r="AB136" s="168">
        <v>15588272.5</v>
      </c>
      <c r="AC136" s="168">
        <v>1472539.23</v>
      </c>
      <c r="AD136" s="168">
        <v>250102.1</v>
      </c>
      <c r="AE136" s="168">
        <v>1881554.37</v>
      </c>
      <c r="AF136" s="139"/>
      <c r="AG136" s="139"/>
    </row>
    <row r="137" spans="1:33" x14ac:dyDescent="0.25">
      <c r="A137" s="130" t="s">
        <v>457</v>
      </c>
      <c r="B137" s="139">
        <v>197620.54</v>
      </c>
      <c r="C137" s="139">
        <v>10395043.16</v>
      </c>
      <c r="D137" s="139">
        <v>12593697.619999999</v>
      </c>
      <c r="E137" s="139">
        <v>-12881077.01</v>
      </c>
      <c r="F137" s="139"/>
      <c r="G137" s="139"/>
      <c r="H137" s="139"/>
      <c r="I137" s="139"/>
      <c r="J137" s="139"/>
      <c r="K137" s="139"/>
      <c r="L137" s="139"/>
      <c r="M137" s="139"/>
      <c r="N137" s="139">
        <f t="shared" si="348"/>
        <v>10305284.310000001</v>
      </c>
      <c r="O137" s="139"/>
      <c r="P137" s="139">
        <f t="shared" si="349"/>
        <v>-6943718.5425000004</v>
      </c>
      <c r="Q137" s="139">
        <f t="shared" si="350"/>
        <v>-9258291.3900000006</v>
      </c>
      <c r="R137" s="139">
        <v>-9258291.3900000006</v>
      </c>
      <c r="S137" s="170">
        <f t="shared" ref="S137:S205" si="351">R137-SUM(T137:AE137)</f>
        <v>0</v>
      </c>
      <c r="U137" s="168"/>
      <c r="V137" s="168"/>
      <c r="W137" s="168"/>
      <c r="X137" s="168"/>
      <c r="Y137" s="168"/>
      <c r="Z137" s="168"/>
      <c r="AA137" s="168"/>
      <c r="AB137" s="168">
        <v>-6396769.0099999998</v>
      </c>
      <c r="AC137" s="168">
        <v>4760717.22</v>
      </c>
      <c r="AD137" s="168">
        <v>-2945718.42</v>
      </c>
      <c r="AE137" s="168">
        <v>-4676521.18</v>
      </c>
      <c r="AF137" s="139"/>
      <c r="AG137" s="139"/>
    </row>
    <row r="138" spans="1:33" x14ac:dyDescent="0.25">
      <c r="A138" s="130" t="s">
        <v>458</v>
      </c>
      <c r="B138" s="139">
        <v>46214.42</v>
      </c>
      <c r="C138" s="139">
        <v>51336.56</v>
      </c>
      <c r="D138" s="139">
        <v>25155.55</v>
      </c>
      <c r="E138" s="139">
        <v>-37539.32</v>
      </c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48"/>
        <v>85167.209999999992</v>
      </c>
      <c r="O138" s="139"/>
      <c r="P138" s="139">
        <f t="shared" si="349"/>
        <v>-605909.25750000007</v>
      </c>
      <c r="Q138" s="139">
        <f t="shared" si="350"/>
        <v>-807879.01</v>
      </c>
      <c r="R138" s="139">
        <v>-807879.01</v>
      </c>
      <c r="S138" s="170">
        <f t="shared" si="351"/>
        <v>0</v>
      </c>
      <c r="U138" s="168"/>
      <c r="V138" s="168"/>
      <c r="W138" s="168"/>
      <c r="X138" s="168"/>
      <c r="Y138" s="168"/>
      <c r="Z138" s="168"/>
      <c r="AA138" s="168"/>
      <c r="AB138" s="168">
        <v>-689871.66</v>
      </c>
      <c r="AC138" s="168">
        <v>12519.79</v>
      </c>
      <c r="AD138" s="168">
        <v>162218.01</v>
      </c>
      <c r="AE138" s="168">
        <v>-292745.15000000002</v>
      </c>
      <c r="AF138" s="139"/>
      <c r="AG138" s="139"/>
    </row>
    <row r="139" spans="1:33" x14ac:dyDescent="0.25">
      <c r="A139" s="130" t="s">
        <v>459</v>
      </c>
      <c r="B139" s="139">
        <v>57830.13</v>
      </c>
      <c r="C139" s="139">
        <v>-20491.169999999998</v>
      </c>
      <c r="D139" s="139">
        <v>-54999.47</v>
      </c>
      <c r="E139" s="139">
        <v>-28630.400000000001</v>
      </c>
      <c r="F139" s="139"/>
      <c r="G139" s="139"/>
      <c r="H139" s="139"/>
      <c r="I139" s="139"/>
      <c r="J139" s="139"/>
      <c r="K139" s="139"/>
      <c r="L139" s="139"/>
      <c r="M139" s="139"/>
      <c r="N139" s="139">
        <f t="shared" si="348"/>
        <v>-46290.91</v>
      </c>
      <c r="O139" s="139"/>
      <c r="P139" s="139">
        <f t="shared" si="349"/>
        <v>-147888.33749999997</v>
      </c>
      <c r="Q139" s="139">
        <f t="shared" si="350"/>
        <v>-197184.44999999995</v>
      </c>
      <c r="R139" s="139">
        <v>-197184.44999999995</v>
      </c>
      <c r="S139" s="170">
        <f t="shared" si="351"/>
        <v>0</v>
      </c>
      <c r="U139" s="168"/>
      <c r="V139" s="168"/>
      <c r="W139" s="168"/>
      <c r="X139" s="168"/>
      <c r="Y139" s="168"/>
      <c r="Z139" s="168"/>
      <c r="AA139" s="168"/>
      <c r="AB139" s="168">
        <v>-374194.7</v>
      </c>
      <c r="AC139" s="168">
        <v>54321.4</v>
      </c>
      <c r="AD139" s="168">
        <v>-8364.91</v>
      </c>
      <c r="AE139" s="168">
        <v>131053.75999999999</v>
      </c>
      <c r="AF139" s="139"/>
      <c r="AG139" s="139"/>
    </row>
    <row r="140" spans="1:33" x14ac:dyDescent="0.25">
      <c r="A140" s="130" t="s">
        <v>460</v>
      </c>
      <c r="B140" s="139">
        <v>105420.95</v>
      </c>
      <c r="C140" s="139">
        <v>-6930.5</v>
      </c>
      <c r="D140" s="139">
        <v>126673.36</v>
      </c>
      <c r="E140" s="139">
        <v>11591.96</v>
      </c>
      <c r="F140" s="139"/>
      <c r="G140" s="139"/>
      <c r="H140" s="139"/>
      <c r="I140" s="139"/>
      <c r="J140" s="139"/>
      <c r="K140" s="139"/>
      <c r="L140" s="139"/>
      <c r="M140" s="139"/>
      <c r="N140" s="139">
        <f t="shared" si="348"/>
        <v>236755.77</v>
      </c>
      <c r="O140" s="139"/>
      <c r="P140" s="139">
        <f t="shared" si="349"/>
        <v>-27937.747500000001</v>
      </c>
      <c r="Q140" s="139">
        <f t="shared" si="350"/>
        <v>-37250.33</v>
      </c>
      <c r="R140" s="139">
        <v>-37250.33</v>
      </c>
      <c r="S140" s="170">
        <f t="shared" si="351"/>
        <v>0</v>
      </c>
      <c r="U140" s="168"/>
      <c r="V140" s="168"/>
      <c r="W140" s="168"/>
      <c r="X140" s="168"/>
      <c r="Y140" s="168"/>
      <c r="Z140" s="168"/>
      <c r="AA140" s="168"/>
      <c r="AB140" s="168">
        <v>-38467.15</v>
      </c>
      <c r="AC140" s="168">
        <v>-6789.17</v>
      </c>
      <c r="AD140" s="168">
        <v>-9793.51</v>
      </c>
      <c r="AE140" s="168">
        <v>17799.5</v>
      </c>
      <c r="AF140" s="139"/>
      <c r="AG140" s="139"/>
    </row>
    <row r="141" spans="1:33" x14ac:dyDescent="0.25">
      <c r="A141" s="130" t="s">
        <v>92</v>
      </c>
      <c r="B141" s="139">
        <v>380861320.68000001</v>
      </c>
      <c r="C141" s="139">
        <v>522370127.76999998</v>
      </c>
      <c r="D141" s="139">
        <v>418436980.08999997</v>
      </c>
      <c r="E141" s="139">
        <v>333139860.45999998</v>
      </c>
      <c r="F141" s="139"/>
      <c r="G141" s="139"/>
      <c r="H141" s="139"/>
      <c r="I141" s="139"/>
      <c r="J141" s="139"/>
      <c r="K141" s="139"/>
      <c r="L141" s="139"/>
      <c r="M141" s="139"/>
      <c r="N141" s="139">
        <f t="shared" si="348"/>
        <v>1654808289</v>
      </c>
      <c r="O141" s="139"/>
      <c r="P141" s="139">
        <f t="shared" si="349"/>
        <v>906857930.61750007</v>
      </c>
      <c r="Q141" s="139">
        <f t="shared" si="350"/>
        <v>1209143907.49</v>
      </c>
      <c r="R141" s="139">
        <v>1209143907.49</v>
      </c>
      <c r="S141" s="170">
        <f t="shared" si="351"/>
        <v>0</v>
      </c>
      <c r="T141" s="168">
        <v>155441266.31</v>
      </c>
      <c r="U141" s="168">
        <v>109044152.26000001</v>
      </c>
      <c r="V141" s="168">
        <v>100539266.20999999</v>
      </c>
      <c r="W141" s="168">
        <v>91915243.909999996</v>
      </c>
      <c r="X141" s="168">
        <v>94245288.590000004</v>
      </c>
      <c r="Y141" s="168">
        <v>92942665.650000006</v>
      </c>
      <c r="Z141" s="168">
        <v>124203449.56999999</v>
      </c>
      <c r="AA141" s="168">
        <v>128282249.83</v>
      </c>
      <c r="AB141" s="168">
        <v>93706532.980000004</v>
      </c>
      <c r="AC141" s="168">
        <v>82976594.870000005</v>
      </c>
      <c r="AD141" s="168">
        <v>78235202.469999999</v>
      </c>
      <c r="AE141" s="168">
        <v>57611994.840000004</v>
      </c>
      <c r="AF141" s="139">
        <f t="shared" si="256"/>
        <v>150437117.18181819</v>
      </c>
      <c r="AG141" s="139">
        <f t="shared" si="257"/>
        <v>-150437117.18181819</v>
      </c>
    </row>
    <row r="142" spans="1:33" x14ac:dyDescent="0.25">
      <c r="A142" s="130" t="s">
        <v>93</v>
      </c>
      <c r="B142" s="139">
        <v>135272386.28</v>
      </c>
      <c r="C142" s="139">
        <v>140855624.87</v>
      </c>
      <c r="D142" s="139">
        <v>130765481.03</v>
      </c>
      <c r="E142" s="139">
        <v>120422288.26000001</v>
      </c>
      <c r="F142" s="139"/>
      <c r="G142" s="139"/>
      <c r="H142" s="139"/>
      <c r="I142" s="139"/>
      <c r="J142" s="139"/>
      <c r="K142" s="139"/>
      <c r="L142" s="139"/>
      <c r="M142" s="139"/>
      <c r="N142" s="139">
        <f t="shared" si="348"/>
        <v>527315780.43999994</v>
      </c>
      <c r="O142" s="139"/>
      <c r="P142" s="139">
        <f t="shared" si="349"/>
        <v>2623000290.5474997</v>
      </c>
      <c r="Q142" s="139">
        <f t="shared" si="350"/>
        <v>3497333720.7299995</v>
      </c>
      <c r="R142" s="139">
        <v>3497333720.7299995</v>
      </c>
      <c r="S142" s="170">
        <f t="shared" si="351"/>
        <v>0</v>
      </c>
      <c r="T142" s="168">
        <v>422458884.52999997</v>
      </c>
      <c r="U142" s="168">
        <v>1215702481.6500001</v>
      </c>
      <c r="V142" s="168">
        <v>305866481.80000001</v>
      </c>
      <c r="W142" s="168">
        <v>46984540.060000002</v>
      </c>
      <c r="X142" s="168">
        <v>116527400.42</v>
      </c>
      <c r="Y142" s="168">
        <v>262829543.78999999</v>
      </c>
      <c r="Z142" s="168">
        <v>170093292.22</v>
      </c>
      <c r="AA142" s="168">
        <v>328155648.12</v>
      </c>
      <c r="AB142" s="168">
        <v>244306582.47999999</v>
      </c>
      <c r="AC142" s="168">
        <v>118310445.38</v>
      </c>
      <c r="AD142" s="168">
        <v>141465570.94999999</v>
      </c>
      <c r="AE142" s="168">
        <v>124632849.33</v>
      </c>
      <c r="AF142" s="139">
        <f t="shared" si="256"/>
        <v>47937798.221818179</v>
      </c>
      <c r="AG142" s="139">
        <f t="shared" si="257"/>
        <v>-47937798.221818179</v>
      </c>
    </row>
    <row r="143" spans="1:33" x14ac:dyDescent="0.25">
      <c r="A143" s="130" t="s">
        <v>94</v>
      </c>
      <c r="B143" s="139">
        <v>1058505.3999999999</v>
      </c>
      <c r="C143" s="139">
        <v>3496784.16</v>
      </c>
      <c r="D143" s="139">
        <v>5900731.8099999996</v>
      </c>
      <c r="E143" s="139">
        <v>991694.59</v>
      </c>
      <c r="F143" s="139"/>
      <c r="G143" s="139"/>
      <c r="H143" s="139"/>
      <c r="I143" s="139"/>
      <c r="J143" s="139"/>
      <c r="K143" s="139"/>
      <c r="L143" s="139"/>
      <c r="M143" s="139"/>
      <c r="N143" s="139">
        <f t="shared" si="348"/>
        <v>11447715.960000001</v>
      </c>
      <c r="O143" s="139"/>
      <c r="P143" s="139">
        <f t="shared" si="349"/>
        <v>12400239.247500002</v>
      </c>
      <c r="Q143" s="139">
        <f t="shared" si="350"/>
        <v>16533652.330000002</v>
      </c>
      <c r="R143" s="139">
        <v>16533652.330000002</v>
      </c>
      <c r="S143" s="170">
        <f t="shared" si="351"/>
        <v>0</v>
      </c>
      <c r="T143" s="168">
        <v>2776246.68</v>
      </c>
      <c r="U143" s="168">
        <v>2484320.38</v>
      </c>
      <c r="V143" s="168">
        <v>617771.9</v>
      </c>
      <c r="W143" s="168">
        <v>1936970.97</v>
      </c>
      <c r="X143" s="168">
        <v>2008716.84</v>
      </c>
      <c r="Y143" s="168">
        <v>489895.91</v>
      </c>
      <c r="Z143" s="168">
        <v>1072423.6100000001</v>
      </c>
      <c r="AA143" s="168">
        <v>1487745.77</v>
      </c>
      <c r="AB143" s="168">
        <v>330283.58</v>
      </c>
      <c r="AC143" s="168">
        <v>212260.13</v>
      </c>
      <c r="AD143" s="168">
        <v>1950809.67</v>
      </c>
      <c r="AE143" s="168">
        <v>1166206.8899999999</v>
      </c>
      <c r="AF143" s="139">
        <f t="shared" si="256"/>
        <v>1040701.450909091</v>
      </c>
      <c r="AG143" s="139">
        <f t="shared" si="257"/>
        <v>-1040701.450909091</v>
      </c>
    </row>
    <row r="144" spans="1:33" x14ac:dyDescent="0.25">
      <c r="A144" s="130" t="s">
        <v>95</v>
      </c>
      <c r="B144" s="139">
        <v>3205662.01</v>
      </c>
      <c r="C144" s="139">
        <v>856450.71</v>
      </c>
      <c r="D144" s="139">
        <v>5059164.95</v>
      </c>
      <c r="E144" s="139">
        <v>3084931.55</v>
      </c>
      <c r="F144" s="139"/>
      <c r="G144" s="139"/>
      <c r="H144" s="139"/>
      <c r="I144" s="139"/>
      <c r="J144" s="139"/>
      <c r="K144" s="139"/>
      <c r="L144" s="139"/>
      <c r="M144" s="139"/>
      <c r="N144" s="139">
        <f t="shared" si="348"/>
        <v>12206209.219999999</v>
      </c>
      <c r="O144" s="139"/>
      <c r="P144" s="139">
        <f t="shared" si="349"/>
        <v>16045213.777500002</v>
      </c>
      <c r="Q144" s="139">
        <f t="shared" si="350"/>
        <v>21393618.370000001</v>
      </c>
      <c r="R144" s="139">
        <v>21393618.370000001</v>
      </c>
      <c r="S144" s="170">
        <f t="shared" si="351"/>
        <v>0</v>
      </c>
      <c r="T144" s="168">
        <v>3078499.21</v>
      </c>
      <c r="U144" s="168">
        <v>1513901.47</v>
      </c>
      <c r="V144" s="168">
        <v>1441767.82</v>
      </c>
      <c r="W144" s="168">
        <v>2113636.39</v>
      </c>
      <c r="X144" s="168">
        <v>844764.25</v>
      </c>
      <c r="Y144" s="168">
        <v>760350.9</v>
      </c>
      <c r="Z144" s="168">
        <v>520958.08</v>
      </c>
      <c r="AA144" s="168">
        <v>746076.51</v>
      </c>
      <c r="AB144" s="168">
        <v>593567</v>
      </c>
      <c r="AC144" s="168">
        <v>2796158.3</v>
      </c>
      <c r="AD144" s="168">
        <v>1671669.22</v>
      </c>
      <c r="AE144" s="168">
        <v>5312269.22</v>
      </c>
      <c r="AF144" s="139">
        <f t="shared" si="256"/>
        <v>1109655.3836363635</v>
      </c>
      <c r="AG144" s="139">
        <f t="shared" si="257"/>
        <v>-1109655.3836363635</v>
      </c>
    </row>
    <row r="145" spans="1:33" x14ac:dyDescent="0.25">
      <c r="A145" s="130" t="s">
        <v>96</v>
      </c>
      <c r="C145" s="139"/>
      <c r="D145" s="139">
        <v>1800</v>
      </c>
      <c r="E145" s="139">
        <v>5500</v>
      </c>
      <c r="F145" s="139"/>
      <c r="G145" s="139"/>
      <c r="H145" s="139"/>
      <c r="I145" s="139"/>
      <c r="J145" s="139"/>
      <c r="K145" s="139"/>
      <c r="L145" s="139"/>
      <c r="M145" s="139"/>
      <c r="N145" s="139">
        <f t="shared" si="348"/>
        <v>7300</v>
      </c>
      <c r="O145" s="139"/>
      <c r="P145" s="139">
        <f t="shared" si="349"/>
        <v>8307.1125000000011</v>
      </c>
      <c r="Q145" s="139">
        <f t="shared" si="350"/>
        <v>11076.150000000001</v>
      </c>
      <c r="R145" s="139">
        <v>11076.150000000001</v>
      </c>
      <c r="S145" s="170">
        <f t="shared" si="351"/>
        <v>0</v>
      </c>
      <c r="T145" s="168">
        <v>0</v>
      </c>
      <c r="U145" s="168">
        <v>0</v>
      </c>
      <c r="V145" s="168">
        <v>0</v>
      </c>
      <c r="W145" s="168">
        <v>0</v>
      </c>
      <c r="X145" s="168">
        <v>72</v>
      </c>
      <c r="Y145" s="168">
        <v>0</v>
      </c>
      <c r="Z145" s="168">
        <v>72</v>
      </c>
      <c r="AA145" s="168">
        <v>198</v>
      </c>
      <c r="AB145" s="168">
        <v>396</v>
      </c>
      <c r="AC145" s="168">
        <v>107.2</v>
      </c>
      <c r="AD145" s="168">
        <v>630</v>
      </c>
      <c r="AE145" s="168">
        <v>9600.9500000000007</v>
      </c>
      <c r="AF145" s="139">
        <f t="shared" si="256"/>
        <v>663.63636363636363</v>
      </c>
      <c r="AG145" s="139">
        <f t="shared" si="257"/>
        <v>-663.63636363636363</v>
      </c>
    </row>
    <row r="146" spans="1:33" x14ac:dyDescent="0.25">
      <c r="A146" s="130" t="s">
        <v>97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>
        <f t="shared" si="348"/>
        <v>0</v>
      </c>
      <c r="O146" s="139"/>
      <c r="P146" s="139">
        <f t="shared" si="349"/>
        <v>335508.32999999996</v>
      </c>
      <c r="Q146" s="139">
        <f t="shared" si="350"/>
        <v>447344.44</v>
      </c>
      <c r="R146" s="139">
        <v>447344.44</v>
      </c>
      <c r="S146" s="170">
        <f t="shared" si="351"/>
        <v>0</v>
      </c>
      <c r="T146" s="168">
        <v>47744.73</v>
      </c>
      <c r="U146" s="168">
        <v>40318.61</v>
      </c>
      <c r="V146" s="168">
        <v>53566.29</v>
      </c>
      <c r="W146" s="168">
        <v>-3427.84</v>
      </c>
      <c r="X146" s="168">
        <v>5808.03</v>
      </c>
      <c r="Y146" s="168">
        <v>11225.63</v>
      </c>
      <c r="Z146" s="168">
        <v>11757.35</v>
      </c>
      <c r="AA146" s="168">
        <v>2887.52</v>
      </c>
      <c r="AB146" s="168">
        <v>5270.91</v>
      </c>
      <c r="AC146" s="168">
        <v>20141.43</v>
      </c>
      <c r="AD146" s="168">
        <v>34705.21</v>
      </c>
      <c r="AE146" s="168">
        <v>217346.57</v>
      </c>
      <c r="AF146" s="139">
        <f t="shared" si="256"/>
        <v>0</v>
      </c>
      <c r="AG146" s="139">
        <f t="shared" si="257"/>
        <v>0</v>
      </c>
    </row>
    <row r="147" spans="1:33" x14ac:dyDescent="0.25">
      <c r="A147" s="130" t="s">
        <v>98</v>
      </c>
      <c r="B147" s="139">
        <v>1396011.25</v>
      </c>
      <c r="C147" s="139">
        <v>271003.53999999998</v>
      </c>
      <c r="D147" s="139">
        <v>2757261.04</v>
      </c>
      <c r="E147" s="139">
        <v>273684.24</v>
      </c>
      <c r="F147" s="139"/>
      <c r="G147" s="139"/>
      <c r="H147" s="139"/>
      <c r="I147" s="139"/>
      <c r="J147" s="139"/>
      <c r="K147" s="139"/>
      <c r="L147" s="139"/>
      <c r="M147" s="139"/>
      <c r="N147" s="139">
        <f t="shared" si="348"/>
        <v>4697960.07</v>
      </c>
      <c r="O147" s="139"/>
      <c r="P147" s="139">
        <f t="shared" si="349"/>
        <v>4771766.4749999996</v>
      </c>
      <c r="Q147" s="139">
        <f t="shared" si="350"/>
        <v>6362355.2999999989</v>
      </c>
      <c r="R147" s="139">
        <v>6362355.2999999989</v>
      </c>
      <c r="S147" s="170">
        <f t="shared" si="351"/>
        <v>0</v>
      </c>
      <c r="T147" s="168">
        <v>82580.429999999993</v>
      </c>
      <c r="U147" s="168">
        <v>556415.63</v>
      </c>
      <c r="V147" s="168">
        <v>104546.19</v>
      </c>
      <c r="W147" s="168">
        <v>891459.31</v>
      </c>
      <c r="X147" s="168">
        <v>309417.95</v>
      </c>
      <c r="Y147" s="168">
        <v>1066421.99</v>
      </c>
      <c r="Z147" s="168">
        <v>438557.16</v>
      </c>
      <c r="AA147" s="168">
        <v>839710.44</v>
      </c>
      <c r="AB147" s="168">
        <v>439830.71</v>
      </c>
      <c r="AC147" s="168">
        <v>651036.23</v>
      </c>
      <c r="AD147" s="168">
        <v>611668.13</v>
      </c>
      <c r="AE147" s="168">
        <v>370711.13</v>
      </c>
      <c r="AF147" s="139">
        <f t="shared" si="256"/>
        <v>427087.27909090911</v>
      </c>
      <c r="AG147" s="139">
        <f t="shared" si="257"/>
        <v>-427087.27909090911</v>
      </c>
    </row>
    <row r="148" spans="1:33" x14ac:dyDescent="0.25">
      <c r="A148" s="130" t="s">
        <v>99</v>
      </c>
      <c r="B148" s="139">
        <v>274587.15999999997</v>
      </c>
      <c r="C148" s="139">
        <v>298212.39</v>
      </c>
      <c r="D148" s="139">
        <v>363264.03</v>
      </c>
      <c r="E148" s="139">
        <v>300039.28999999998</v>
      </c>
      <c r="F148" s="139"/>
      <c r="G148" s="139"/>
      <c r="H148" s="139"/>
      <c r="I148" s="139"/>
      <c r="J148" s="139"/>
      <c r="K148" s="139"/>
      <c r="L148" s="139"/>
      <c r="M148" s="139"/>
      <c r="N148" s="139">
        <f t="shared" si="348"/>
        <v>1236102.8700000001</v>
      </c>
      <c r="O148" s="139"/>
      <c r="P148" s="139">
        <f t="shared" si="349"/>
        <v>1276499.22</v>
      </c>
      <c r="Q148" s="139">
        <f t="shared" si="350"/>
        <v>1701998.96</v>
      </c>
      <c r="R148" s="139">
        <v>1701998.96</v>
      </c>
      <c r="S148" s="170">
        <f t="shared" si="351"/>
        <v>0</v>
      </c>
      <c r="T148" s="168">
        <v>162526.82</v>
      </c>
      <c r="U148" s="168">
        <v>186551.2</v>
      </c>
      <c r="V148" s="168">
        <f>120971.26+500</f>
        <v>121471.26</v>
      </c>
      <c r="W148" s="168">
        <v>104538.95</v>
      </c>
      <c r="X148" s="168">
        <f>108837.33+3500</f>
        <v>112337.33</v>
      </c>
      <c r="Y148" s="168">
        <v>58522.59</v>
      </c>
      <c r="Z148" s="168">
        <v>142640.88</v>
      </c>
      <c r="AA148" s="168">
        <v>302010.69</v>
      </c>
      <c r="AB148" s="168">
        <v>148375.73000000001</v>
      </c>
      <c r="AC148" s="168">
        <v>124519.01</v>
      </c>
      <c r="AD148" s="168">
        <v>101255.08</v>
      </c>
      <c r="AE148" s="168">
        <v>137249.42000000001</v>
      </c>
      <c r="AF148" s="139">
        <f t="shared" ref="AF148:AF226" si="352">(N148-M148)/11</f>
        <v>112372.98818181819</v>
      </c>
      <c r="AG148" s="139">
        <f t="shared" ref="AG148:AG226" si="353">M148-AF148</f>
        <v>-112372.98818181819</v>
      </c>
    </row>
    <row r="149" spans="1:33" x14ac:dyDescent="0.25">
      <c r="A149" s="130" t="s">
        <v>682</v>
      </c>
      <c r="C149" s="139"/>
      <c r="D149" s="139">
        <v>25275</v>
      </c>
      <c r="E149" s="139"/>
      <c r="F149" s="139"/>
      <c r="G149" s="139"/>
      <c r="H149" s="139"/>
      <c r="I149" s="139"/>
      <c r="J149" s="139"/>
      <c r="K149" s="139"/>
      <c r="L149" s="139"/>
      <c r="M149" s="139"/>
      <c r="N149" s="139">
        <f t="shared" si="348"/>
        <v>25275</v>
      </c>
      <c r="O149" s="139"/>
      <c r="P149" s="139"/>
      <c r="Q149" s="139"/>
      <c r="R149" s="139"/>
      <c r="S149" s="170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39"/>
      <c r="AG149" s="139"/>
    </row>
    <row r="150" spans="1:33" x14ac:dyDescent="0.25">
      <c r="A150" s="130" t="s">
        <v>100</v>
      </c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>
        <f t="shared" si="348"/>
        <v>0</v>
      </c>
      <c r="O150" s="139"/>
      <c r="P150" s="139">
        <f t="shared" si="349"/>
        <v>0</v>
      </c>
      <c r="Q150" s="139">
        <f t="shared" si="350"/>
        <v>0</v>
      </c>
      <c r="R150" s="139">
        <v>0</v>
      </c>
      <c r="S150" s="170">
        <f t="shared" si="351"/>
        <v>0</v>
      </c>
      <c r="T150" s="168">
        <v>0</v>
      </c>
      <c r="U150" s="168">
        <v>0</v>
      </c>
      <c r="V150" s="168">
        <v>0</v>
      </c>
      <c r="W150" s="168">
        <v>0</v>
      </c>
      <c r="X150" s="168">
        <v>0</v>
      </c>
      <c r="Y150" s="168">
        <v>0</v>
      </c>
      <c r="Z150" s="168">
        <v>0</v>
      </c>
      <c r="AA150" s="168">
        <v>0</v>
      </c>
      <c r="AB150" s="168">
        <v>0</v>
      </c>
      <c r="AC150" s="168"/>
      <c r="AD150" s="168"/>
      <c r="AE150" s="168"/>
      <c r="AF150" s="139">
        <f t="shared" si="352"/>
        <v>0</v>
      </c>
      <c r="AG150" s="139">
        <f t="shared" si="353"/>
        <v>0</v>
      </c>
    </row>
    <row r="151" spans="1:33" x14ac:dyDescent="0.25">
      <c r="A151" s="130" t="s">
        <v>101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348"/>
        <v>0</v>
      </c>
      <c r="O151" s="139"/>
      <c r="P151" s="139">
        <f t="shared" si="349"/>
        <v>0</v>
      </c>
      <c r="Q151" s="139">
        <f t="shared" si="350"/>
        <v>0</v>
      </c>
      <c r="R151" s="139">
        <v>0</v>
      </c>
      <c r="S151" s="170">
        <f t="shared" si="351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352"/>
        <v>0</v>
      </c>
      <c r="AG151" s="139">
        <f t="shared" si="353"/>
        <v>0</v>
      </c>
    </row>
    <row r="152" spans="1:33" x14ac:dyDescent="0.25">
      <c r="A152" s="130" t="s">
        <v>102</v>
      </c>
      <c r="B152" s="139">
        <v>5555.75</v>
      </c>
      <c r="C152" s="139">
        <v>2747.83</v>
      </c>
      <c r="D152" s="139">
        <v>5750.82</v>
      </c>
      <c r="E152" s="139">
        <v>14567.64</v>
      </c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48"/>
        <v>28622.04</v>
      </c>
      <c r="O152" s="139"/>
      <c r="P152" s="139">
        <f t="shared" si="349"/>
        <v>31968.42</v>
      </c>
      <c r="Q152" s="139">
        <f t="shared" si="350"/>
        <v>42624.56</v>
      </c>
      <c r="R152" s="139">
        <v>42624.56</v>
      </c>
      <c r="S152" s="170">
        <f t="shared" si="351"/>
        <v>0</v>
      </c>
      <c r="T152" s="168">
        <v>9335.48</v>
      </c>
      <c r="U152" s="168">
        <v>703.97</v>
      </c>
      <c r="V152" s="168">
        <v>6224.3</v>
      </c>
      <c r="W152" s="168">
        <v>4346.05</v>
      </c>
      <c r="X152" s="168">
        <v>1861.52</v>
      </c>
      <c r="Y152" s="168">
        <v>2668.53</v>
      </c>
      <c r="Z152" s="168">
        <v>8773.1200000000008</v>
      </c>
      <c r="AA152" s="168">
        <v>2512.61</v>
      </c>
      <c r="AB152" s="168">
        <v>4656.17</v>
      </c>
      <c r="AC152" s="168">
        <v>457.09</v>
      </c>
      <c r="AD152" s="168">
        <v>230.91</v>
      </c>
      <c r="AE152" s="168">
        <v>854.81</v>
      </c>
      <c r="AF152" s="139">
        <f t="shared" si="352"/>
        <v>2602.0036363636364</v>
      </c>
      <c r="AG152" s="139">
        <f t="shared" si="353"/>
        <v>-2602.0036363636364</v>
      </c>
    </row>
    <row r="153" spans="1:33" x14ac:dyDescent="0.25">
      <c r="A153" s="130" t="s">
        <v>103</v>
      </c>
      <c r="B153" s="139">
        <v>217.55</v>
      </c>
      <c r="C153" s="139">
        <v>217.55</v>
      </c>
      <c r="D153" s="139">
        <v>217.55</v>
      </c>
      <c r="E153" s="139">
        <v>217.55</v>
      </c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48"/>
        <v>870.2</v>
      </c>
      <c r="O153" s="139"/>
      <c r="P153" s="139">
        <f t="shared" si="349"/>
        <v>1507.7250000000001</v>
      </c>
      <c r="Q153" s="139">
        <f t="shared" si="350"/>
        <v>2010.3</v>
      </c>
      <c r="R153" s="139">
        <v>2010.3</v>
      </c>
      <c r="S153" s="170">
        <f t="shared" si="351"/>
        <v>0</v>
      </c>
      <c r="T153" s="168">
        <v>0</v>
      </c>
      <c r="U153" s="168">
        <v>1250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>
        <v>760.3</v>
      </c>
      <c r="AF153" s="139">
        <f t="shared" si="352"/>
        <v>79.109090909090909</v>
      </c>
      <c r="AG153" s="139">
        <f t="shared" si="353"/>
        <v>-79.109090909090909</v>
      </c>
    </row>
    <row r="154" spans="1:33" x14ac:dyDescent="0.25">
      <c r="A154" s="130" t="s">
        <v>104</v>
      </c>
      <c r="B154" s="139">
        <v>120636445</v>
      </c>
      <c r="C154" s="139">
        <v>113529645</v>
      </c>
      <c r="D154" s="139">
        <v>30498105</v>
      </c>
      <c r="E154" s="139">
        <v>27380295</v>
      </c>
      <c r="F154" s="139"/>
      <c r="G154" s="139"/>
      <c r="H154" s="139"/>
      <c r="I154" s="139"/>
      <c r="J154" s="139"/>
      <c r="K154" s="139"/>
      <c r="L154" s="139"/>
      <c r="M154" s="139"/>
      <c r="N154" s="139">
        <f t="shared" si="348"/>
        <v>292044490</v>
      </c>
      <c r="O154" s="139"/>
      <c r="P154" s="139">
        <f t="shared" si="349"/>
        <v>333972778.72499996</v>
      </c>
      <c r="Q154" s="139">
        <f t="shared" si="350"/>
        <v>445297038.30000001</v>
      </c>
      <c r="R154" s="139">
        <v>445297038.30000001</v>
      </c>
      <c r="S154" s="170">
        <f t="shared" si="351"/>
        <v>0</v>
      </c>
      <c r="T154" s="168">
        <v>93164865.799999997</v>
      </c>
      <c r="U154" s="168">
        <v>43694992.5</v>
      </c>
      <c r="V154" s="168">
        <v>49872500</v>
      </c>
      <c r="W154" s="168">
        <v>37423820</v>
      </c>
      <c r="X154" s="168">
        <v>33390470</v>
      </c>
      <c r="Y154" s="168">
        <v>18213000</v>
      </c>
      <c r="Z154" s="168">
        <v>40236590</v>
      </c>
      <c r="AA154" s="168">
        <v>27854150</v>
      </c>
      <c r="AB154" s="168">
        <v>13967680</v>
      </c>
      <c r="AC154" s="168">
        <v>26154870</v>
      </c>
      <c r="AD154" s="168">
        <v>56299240</v>
      </c>
      <c r="AE154" s="168">
        <v>5024860</v>
      </c>
      <c r="AF154" s="139">
        <f t="shared" si="352"/>
        <v>26549499.09090909</v>
      </c>
      <c r="AG154" s="139">
        <f t="shared" si="353"/>
        <v>-26549499.09090909</v>
      </c>
    </row>
    <row r="155" spans="1:33" x14ac:dyDescent="0.25">
      <c r="A155" s="130" t="s">
        <v>105</v>
      </c>
      <c r="B155" s="139">
        <v>9846653</v>
      </c>
      <c r="C155" s="139">
        <v>68365677</v>
      </c>
      <c r="D155" s="139">
        <v>91386092</v>
      </c>
      <c r="E155" s="139">
        <v>128125716</v>
      </c>
      <c r="F155" s="139"/>
      <c r="G155" s="139"/>
      <c r="H155" s="139"/>
      <c r="I155" s="139"/>
      <c r="J155" s="139"/>
      <c r="K155" s="139"/>
      <c r="L155" s="139"/>
      <c r="M155" s="139"/>
      <c r="N155" s="139">
        <f t="shared" si="348"/>
        <v>297724138</v>
      </c>
      <c r="O155" s="139"/>
      <c r="P155" s="139">
        <f t="shared" si="349"/>
        <v>635511263.81999993</v>
      </c>
      <c r="Q155" s="139">
        <f t="shared" si="350"/>
        <v>847348351.75999999</v>
      </c>
      <c r="R155" s="139">
        <v>847348351.75999999</v>
      </c>
      <c r="S155" s="170">
        <f t="shared" si="351"/>
        <v>0</v>
      </c>
      <c r="T155" s="168">
        <v>39860269.659999996</v>
      </c>
      <c r="U155" s="168">
        <v>50039912.299999997</v>
      </c>
      <c r="V155" s="168">
        <v>119070965.51000001</v>
      </c>
      <c r="W155" s="168">
        <v>32569174</v>
      </c>
      <c r="X155" s="168">
        <v>104415723.54000001</v>
      </c>
      <c r="Y155" s="168">
        <v>53384233</v>
      </c>
      <c r="Z155" s="168">
        <v>102371087</v>
      </c>
      <c r="AA155" s="168">
        <v>40532974</v>
      </c>
      <c r="AB155" s="168">
        <v>73873420</v>
      </c>
      <c r="AC155" s="168">
        <v>28642758.5</v>
      </c>
      <c r="AD155" s="168">
        <v>128282994</v>
      </c>
      <c r="AE155" s="168">
        <v>74304840.25</v>
      </c>
      <c r="AF155" s="139">
        <f t="shared" si="352"/>
        <v>27065830.727272727</v>
      </c>
      <c r="AG155" s="139">
        <f t="shared" si="353"/>
        <v>-27065830.727272727</v>
      </c>
    </row>
    <row r="156" spans="1:33" x14ac:dyDescent="0.25">
      <c r="A156" s="130" t="s">
        <v>106</v>
      </c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>
        <f t="shared" si="348"/>
        <v>0</v>
      </c>
      <c r="O156" s="139"/>
      <c r="P156" s="139">
        <f t="shared" si="349"/>
        <v>576060</v>
      </c>
      <c r="Q156" s="139">
        <f t="shared" si="350"/>
        <v>768080</v>
      </c>
      <c r="R156" s="139">
        <v>768080</v>
      </c>
      <c r="S156" s="170">
        <f t="shared" si="351"/>
        <v>0</v>
      </c>
      <c r="T156" s="168">
        <v>0</v>
      </c>
      <c r="U156" s="168">
        <v>252635</v>
      </c>
      <c r="V156" s="168">
        <v>333245</v>
      </c>
      <c r="W156" s="168">
        <v>95125</v>
      </c>
      <c r="X156" s="168">
        <v>0</v>
      </c>
      <c r="Y156" s="168">
        <v>45375</v>
      </c>
      <c r="Z156" s="168">
        <v>0</v>
      </c>
      <c r="AA156" s="168">
        <v>0</v>
      </c>
      <c r="AB156" s="168">
        <v>0</v>
      </c>
      <c r="AC156" s="168">
        <v>-450</v>
      </c>
      <c r="AD156" s="168">
        <v>42150</v>
      </c>
      <c r="AE156" s="168">
        <v>0</v>
      </c>
      <c r="AF156" s="139">
        <f t="shared" si="352"/>
        <v>0</v>
      </c>
      <c r="AG156" s="139">
        <f t="shared" si="353"/>
        <v>0</v>
      </c>
    </row>
    <row r="157" spans="1:33" hidden="1" x14ac:dyDescent="0.25">
      <c r="A157" s="137" t="s">
        <v>107</v>
      </c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348"/>
        <v>0</v>
      </c>
      <c r="O157" s="139"/>
      <c r="P157" s="139">
        <f t="shared" si="349"/>
        <v>140415</v>
      </c>
      <c r="Q157" s="139">
        <f t="shared" si="350"/>
        <v>187220</v>
      </c>
      <c r="R157" s="139">
        <v>187220</v>
      </c>
      <c r="S157" s="170">
        <f t="shared" si="351"/>
        <v>0</v>
      </c>
      <c r="T157" s="168">
        <v>0</v>
      </c>
      <c r="U157" s="168">
        <v>0</v>
      </c>
      <c r="V157" s="168">
        <v>0</v>
      </c>
      <c r="W157" s="168">
        <v>0</v>
      </c>
      <c r="X157" s="168">
        <v>0</v>
      </c>
      <c r="Y157" s="168">
        <v>0</v>
      </c>
      <c r="Z157" s="168">
        <v>187220</v>
      </c>
      <c r="AA157" s="168">
        <v>0</v>
      </c>
      <c r="AB157" s="168">
        <v>0</v>
      </c>
      <c r="AC157" s="168">
        <v>0</v>
      </c>
      <c r="AD157" s="168">
        <v>0</v>
      </c>
      <c r="AE157" s="168">
        <v>0</v>
      </c>
      <c r="AF157" s="139">
        <f t="shared" si="352"/>
        <v>0</v>
      </c>
      <c r="AG157" s="139">
        <f t="shared" si="353"/>
        <v>0</v>
      </c>
    </row>
    <row r="158" spans="1:33" x14ac:dyDescent="0.25">
      <c r="A158" s="130" t="s">
        <v>108</v>
      </c>
      <c r="B158" s="139">
        <v>-1889512797.45</v>
      </c>
      <c r="C158" s="139">
        <v>-1769622546.5899999</v>
      </c>
      <c r="D158" s="139">
        <v>-527063612.02999997</v>
      </c>
      <c r="E158" s="139">
        <v>-412946766.5</v>
      </c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48"/>
        <v>-4599145722.5699997</v>
      </c>
      <c r="O158" s="139"/>
      <c r="P158" s="139">
        <f t="shared" si="349"/>
        <v>-2111714665.3799996</v>
      </c>
      <c r="Q158" s="139">
        <f t="shared" si="350"/>
        <v>-2815619553.8399997</v>
      </c>
      <c r="R158" s="139">
        <v>-2815619553.8399997</v>
      </c>
      <c r="S158" s="170">
        <f t="shared" si="351"/>
        <v>0</v>
      </c>
      <c r="T158" s="168">
        <v>-250773118.75999999</v>
      </c>
      <c r="U158" s="168">
        <v>-106292010.51000001</v>
      </c>
      <c r="V158" s="168">
        <v>-199926459.47999999</v>
      </c>
      <c r="W158" s="168">
        <v>-102886856.97</v>
      </c>
      <c r="X158" s="168">
        <v>-60969608.149999999</v>
      </c>
      <c r="Y158" s="168">
        <v>-168909239.22</v>
      </c>
      <c r="Z158" s="168">
        <v>-211950197.00999999</v>
      </c>
      <c r="AA158" s="168">
        <v>-284906461.36000001</v>
      </c>
      <c r="AB158" s="168">
        <v>-412764522.29000002</v>
      </c>
      <c r="AC158" s="168">
        <v>-121881132.84</v>
      </c>
      <c r="AD158" s="168">
        <v>-236276556.91999999</v>
      </c>
      <c r="AE158" s="168">
        <v>-658083390.33000004</v>
      </c>
      <c r="AF158" s="139">
        <f t="shared" si="352"/>
        <v>-418104156.59727269</v>
      </c>
      <c r="AG158" s="139">
        <f t="shared" si="353"/>
        <v>418104156.59727269</v>
      </c>
    </row>
    <row r="159" spans="1:33" x14ac:dyDescent="0.25">
      <c r="A159" s="130" t="s">
        <v>109</v>
      </c>
      <c r="B159" s="139">
        <v>-119459150</v>
      </c>
      <c r="C159" s="139">
        <v>-112345210</v>
      </c>
      <c r="D159" s="139">
        <v>-30368780</v>
      </c>
      <c r="E159" s="139">
        <v>-27894560</v>
      </c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48"/>
        <v>-290067700</v>
      </c>
      <c r="O159" s="139"/>
      <c r="P159" s="139">
        <f t="shared" si="349"/>
        <v>-334278184.40250003</v>
      </c>
      <c r="Q159" s="139">
        <f t="shared" si="350"/>
        <v>-445704245.87</v>
      </c>
      <c r="R159" s="139">
        <v>-445704245.87</v>
      </c>
      <c r="S159" s="170">
        <f t="shared" si="351"/>
        <v>0</v>
      </c>
      <c r="T159" s="168">
        <v>-94616255.870000005</v>
      </c>
      <c r="U159" s="168">
        <v>-43709010</v>
      </c>
      <c r="V159" s="168">
        <v>-50522100</v>
      </c>
      <c r="W159" s="168">
        <v>-37084810</v>
      </c>
      <c r="X159" s="168">
        <v>-33297790</v>
      </c>
      <c r="Y159" s="168">
        <v>-17687220</v>
      </c>
      <c r="Z159" s="168">
        <v>-39772170</v>
      </c>
      <c r="AA159" s="168">
        <v>-27463660</v>
      </c>
      <c r="AB159" s="168">
        <v>-13825040</v>
      </c>
      <c r="AC159" s="168">
        <v>-26658310</v>
      </c>
      <c r="AD159" s="168">
        <v>-56305290</v>
      </c>
      <c r="AE159" s="168">
        <v>-4762590</v>
      </c>
      <c r="AF159" s="139">
        <f t="shared" si="352"/>
        <v>-26369790.90909091</v>
      </c>
      <c r="AG159" s="139">
        <f t="shared" si="353"/>
        <v>26369790.90909091</v>
      </c>
    </row>
    <row r="160" spans="1:33" x14ac:dyDescent="0.25">
      <c r="A160" s="130" t="s">
        <v>110</v>
      </c>
      <c r="B160" s="139">
        <v>-7793425</v>
      </c>
      <c r="C160" s="139">
        <v>-69931720</v>
      </c>
      <c r="D160" s="139">
        <v>-103283975</v>
      </c>
      <c r="E160" s="139">
        <v>-120371730</v>
      </c>
      <c r="F160" s="139"/>
      <c r="G160" s="139"/>
      <c r="H160" s="139"/>
      <c r="I160" s="139"/>
      <c r="J160" s="139"/>
      <c r="K160" s="139"/>
      <c r="L160" s="139"/>
      <c r="M160" s="139"/>
      <c r="N160" s="139">
        <f t="shared" si="348"/>
        <v>-301380850</v>
      </c>
      <c r="O160" s="139"/>
      <c r="P160" s="139">
        <f t="shared" si="349"/>
        <v>-650712764.69999993</v>
      </c>
      <c r="Q160" s="139">
        <f t="shared" si="350"/>
        <v>-867617019.60000002</v>
      </c>
      <c r="R160" s="139">
        <v>-867617019.60000002</v>
      </c>
      <c r="S160" s="170">
        <f t="shared" si="351"/>
        <v>0</v>
      </c>
      <c r="T160" s="168">
        <v>-39572318.009999998</v>
      </c>
      <c r="U160" s="168">
        <v>-54501789.609999999</v>
      </c>
      <c r="V160" s="168">
        <v>-119003409.98</v>
      </c>
      <c r="W160" s="168">
        <v>-35983600</v>
      </c>
      <c r="X160" s="168">
        <v>-104443889</v>
      </c>
      <c r="Y160" s="168">
        <v>-60159775</v>
      </c>
      <c r="Z160" s="168">
        <v>-104982039</v>
      </c>
      <c r="AA160" s="168">
        <v>-44639850</v>
      </c>
      <c r="AB160" s="168">
        <v>-74748600</v>
      </c>
      <c r="AC160" s="168">
        <v>-34621450</v>
      </c>
      <c r="AD160" s="168">
        <v>-129360225</v>
      </c>
      <c r="AE160" s="168">
        <v>-65600074</v>
      </c>
      <c r="AF160" s="139">
        <f t="shared" si="352"/>
        <v>-27398259.09090909</v>
      </c>
      <c r="AG160" s="139">
        <f t="shared" si="353"/>
        <v>27398259.09090909</v>
      </c>
    </row>
    <row r="161" spans="1:33" x14ac:dyDescent="0.25">
      <c r="A161" s="130" t="s">
        <v>111</v>
      </c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>
        <f t="shared" si="348"/>
        <v>0</v>
      </c>
      <c r="O161" s="139"/>
      <c r="P161" s="139">
        <f t="shared" si="349"/>
        <v>-576258.75</v>
      </c>
      <c r="Q161" s="139">
        <f t="shared" si="350"/>
        <v>-768345</v>
      </c>
      <c r="R161" s="139">
        <v>-768345</v>
      </c>
      <c r="S161" s="170">
        <f t="shared" si="351"/>
        <v>0</v>
      </c>
      <c r="T161" s="168">
        <v>0</v>
      </c>
      <c r="U161" s="168">
        <v>-248100</v>
      </c>
      <c r="V161" s="168">
        <v>-337135</v>
      </c>
      <c r="W161" s="168">
        <v>-95680</v>
      </c>
      <c r="X161" s="168">
        <v>0</v>
      </c>
      <c r="Y161" s="168">
        <v>-43600</v>
      </c>
      <c r="Z161" s="168">
        <v>0</v>
      </c>
      <c r="AA161" s="168">
        <v>0</v>
      </c>
      <c r="AB161" s="168">
        <v>0</v>
      </c>
      <c r="AC161" s="168"/>
      <c r="AD161" s="168">
        <v>-43830</v>
      </c>
      <c r="AE161" s="168">
        <v>0</v>
      </c>
      <c r="AF161" s="139">
        <f t="shared" si="352"/>
        <v>0</v>
      </c>
      <c r="AG161" s="139">
        <f t="shared" si="353"/>
        <v>0</v>
      </c>
    </row>
    <row r="162" spans="1:33" hidden="1" x14ac:dyDescent="0.25">
      <c r="A162" s="137" t="s">
        <v>112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348"/>
        <v>0</v>
      </c>
      <c r="O162" s="139"/>
      <c r="P162" s="139">
        <f t="shared" si="349"/>
        <v>-141075</v>
      </c>
      <c r="Q162" s="139">
        <f t="shared" si="350"/>
        <v>-188100</v>
      </c>
      <c r="R162" s="139">
        <v>-188100</v>
      </c>
      <c r="S162" s="170">
        <f t="shared" si="351"/>
        <v>0</v>
      </c>
      <c r="T162" s="168">
        <v>0</v>
      </c>
      <c r="U162" s="168">
        <v>0</v>
      </c>
      <c r="V162" s="168">
        <v>0</v>
      </c>
      <c r="W162" s="168">
        <v>0</v>
      </c>
      <c r="X162" s="168">
        <v>0</v>
      </c>
      <c r="Y162" s="168">
        <v>0</v>
      </c>
      <c r="Z162" s="168">
        <v>-188100</v>
      </c>
      <c r="AA162" s="168">
        <v>0</v>
      </c>
      <c r="AB162" s="168">
        <v>0</v>
      </c>
      <c r="AC162" s="168"/>
      <c r="AD162" s="168">
        <v>0</v>
      </c>
      <c r="AE162" s="168">
        <v>0</v>
      </c>
      <c r="AF162" s="139">
        <f t="shared" si="352"/>
        <v>0</v>
      </c>
      <c r="AG162" s="139">
        <f t="shared" si="353"/>
        <v>0</v>
      </c>
    </row>
    <row r="163" spans="1:33" x14ac:dyDescent="0.25">
      <c r="A163" s="130" t="s">
        <v>113</v>
      </c>
      <c r="B163" s="139">
        <v>1888798837.22</v>
      </c>
      <c r="C163" s="139">
        <v>1773873690.6800001</v>
      </c>
      <c r="D163" s="139">
        <v>532615663.61000001</v>
      </c>
      <c r="E163" s="139">
        <v>415862595.92000002</v>
      </c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48"/>
        <v>4611150787.4300003</v>
      </c>
      <c r="O163" s="139"/>
      <c r="P163" s="139">
        <f t="shared" si="349"/>
        <v>2107335587.6474998</v>
      </c>
      <c r="Q163" s="139">
        <f t="shared" si="350"/>
        <v>2809780783.5299997</v>
      </c>
      <c r="R163" s="139">
        <v>2809780783.5299997</v>
      </c>
      <c r="S163" s="170">
        <f t="shared" si="351"/>
        <v>0</v>
      </c>
      <c r="T163" s="168">
        <v>246469534.72</v>
      </c>
      <c r="U163" s="168">
        <v>106061841.73</v>
      </c>
      <c r="V163" s="168">
        <v>199824413.44</v>
      </c>
      <c r="W163" s="168">
        <v>102901638.84999999</v>
      </c>
      <c r="X163" s="168">
        <v>61067887.670000002</v>
      </c>
      <c r="Y163" s="168">
        <v>169335911.84</v>
      </c>
      <c r="Z163" s="168">
        <v>212243315.12</v>
      </c>
      <c r="AA163" s="168">
        <v>285234425.79000002</v>
      </c>
      <c r="AB163" s="168">
        <v>413041926.32999998</v>
      </c>
      <c r="AC163" s="168">
        <v>121510314.61</v>
      </c>
      <c r="AD163" s="168">
        <v>236012919.81</v>
      </c>
      <c r="AE163" s="168">
        <v>656076653.62</v>
      </c>
      <c r="AF163" s="139">
        <f t="shared" si="352"/>
        <v>419195526.13000005</v>
      </c>
      <c r="AG163" s="139">
        <f t="shared" si="353"/>
        <v>-419195526.13000005</v>
      </c>
    </row>
    <row r="164" spans="1:33" x14ac:dyDescent="0.25">
      <c r="A164" s="130" t="s">
        <v>114</v>
      </c>
      <c r="B164" s="139">
        <v>560100380.65999997</v>
      </c>
      <c r="C164" s="139">
        <v>409608826.10000002</v>
      </c>
      <c r="D164" s="139">
        <v>263636033.12</v>
      </c>
      <c r="E164" s="139">
        <v>302192340.45999998</v>
      </c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48"/>
        <v>1535537580.3400002</v>
      </c>
      <c r="O164" s="139"/>
      <c r="P164" s="139">
        <f t="shared" si="349"/>
        <v>5301342952.6199999</v>
      </c>
      <c r="Q164" s="139">
        <f t="shared" si="350"/>
        <v>7068457270.1599998</v>
      </c>
      <c r="R164" s="139">
        <v>7068457270.1599998</v>
      </c>
      <c r="S164" s="170">
        <f t="shared" si="351"/>
        <v>0</v>
      </c>
      <c r="T164" s="168">
        <v>57035597.560000002</v>
      </c>
      <c r="U164" s="168">
        <v>15207183.189999999</v>
      </c>
      <c r="V164" s="168">
        <v>56539241.420000002</v>
      </c>
      <c r="W164" s="168">
        <v>530220449.82999998</v>
      </c>
      <c r="X164" s="168">
        <v>504763748.92000002</v>
      </c>
      <c r="Y164" s="168">
        <v>868361816.95000005</v>
      </c>
      <c r="Z164" s="168">
        <v>303826130.91000003</v>
      </c>
      <c r="AA164" s="168">
        <v>310975719.51999998</v>
      </c>
      <c r="AB164" s="168">
        <v>122798210.73</v>
      </c>
      <c r="AC164" s="168">
        <v>1251003800.6199999</v>
      </c>
      <c r="AD164" s="168">
        <v>2039732956.0699999</v>
      </c>
      <c r="AE164" s="168">
        <v>1007992414.4400001</v>
      </c>
      <c r="AF164" s="139">
        <f t="shared" si="352"/>
        <v>139594325.48545456</v>
      </c>
      <c r="AG164" s="139">
        <f t="shared" si="353"/>
        <v>-139594325.48545456</v>
      </c>
    </row>
    <row r="165" spans="1:33" x14ac:dyDescent="0.25">
      <c r="A165" s="130" t="s">
        <v>115</v>
      </c>
      <c r="B165" s="139">
        <v>1392474.19</v>
      </c>
      <c r="C165" s="139">
        <v>7412628.7400000002</v>
      </c>
      <c r="D165" s="139">
        <v>3551511.93</v>
      </c>
      <c r="E165" s="139">
        <v>634286.72</v>
      </c>
      <c r="F165" s="139"/>
      <c r="G165" s="139"/>
      <c r="H165" s="139"/>
      <c r="I165" s="139"/>
      <c r="J165" s="139"/>
      <c r="K165" s="139"/>
      <c r="L165" s="139"/>
      <c r="M165" s="139"/>
      <c r="N165" s="139">
        <f t="shared" si="348"/>
        <v>12990901.58</v>
      </c>
      <c r="O165" s="139"/>
      <c r="P165" s="139">
        <f t="shared" si="349"/>
        <v>8398478.745000001</v>
      </c>
      <c r="Q165" s="139">
        <f t="shared" si="350"/>
        <v>11197971.66</v>
      </c>
      <c r="R165" s="139">
        <v>11197971.66</v>
      </c>
      <c r="S165" s="170">
        <f t="shared" si="351"/>
        <v>0</v>
      </c>
      <c r="T165" s="168">
        <v>598572.09</v>
      </c>
      <c r="U165" s="168">
        <v>1754577.38</v>
      </c>
      <c r="V165" s="168">
        <v>588811.42000000004</v>
      </c>
      <c r="W165" s="168">
        <v>283948.55</v>
      </c>
      <c r="X165" s="168">
        <v>707796.87</v>
      </c>
      <c r="Y165" s="168">
        <v>1284752.46</v>
      </c>
      <c r="Z165" s="168">
        <v>497824.77</v>
      </c>
      <c r="AA165" s="168">
        <v>795083.58</v>
      </c>
      <c r="AB165" s="168">
        <v>408056.53</v>
      </c>
      <c r="AC165" s="168">
        <v>560986.71</v>
      </c>
      <c r="AD165" s="168">
        <v>594157.51</v>
      </c>
      <c r="AE165" s="168">
        <v>3123403.79</v>
      </c>
      <c r="AF165" s="139">
        <f t="shared" si="352"/>
        <v>1180991.0527272727</v>
      </c>
      <c r="AG165" s="139">
        <f t="shared" si="353"/>
        <v>-1180991.0527272727</v>
      </c>
    </row>
    <row r="166" spans="1:33" x14ac:dyDescent="0.25">
      <c r="A166" s="130" t="s">
        <v>116</v>
      </c>
      <c r="B166" s="139">
        <v>1960745.3</v>
      </c>
      <c r="C166" s="139">
        <v>472238.06</v>
      </c>
      <c r="D166" s="139">
        <v>329920.65000000002</v>
      </c>
      <c r="E166" s="139">
        <v>747875.38</v>
      </c>
      <c r="F166" s="139"/>
      <c r="G166" s="139"/>
      <c r="H166" s="139"/>
      <c r="I166" s="139"/>
      <c r="J166" s="139"/>
      <c r="K166" s="139"/>
      <c r="L166" s="139"/>
      <c r="M166" s="139"/>
      <c r="N166" s="139">
        <f t="shared" si="348"/>
        <v>3510779.3899999997</v>
      </c>
      <c r="O166" s="139"/>
      <c r="P166" s="139">
        <f t="shared" si="349"/>
        <v>4331714.6175000006</v>
      </c>
      <c r="Q166" s="139">
        <f t="shared" si="350"/>
        <v>5775619.4900000002</v>
      </c>
      <c r="R166" s="139">
        <v>5775619.4900000002</v>
      </c>
      <c r="S166" s="170">
        <f t="shared" si="351"/>
        <v>0</v>
      </c>
      <c r="T166" s="168">
        <v>223864.49</v>
      </c>
      <c r="U166" s="168">
        <v>0</v>
      </c>
      <c r="V166" s="168">
        <v>6537.06</v>
      </c>
      <c r="W166" s="168">
        <v>918411.8</v>
      </c>
      <c r="X166" s="168">
        <v>48550</v>
      </c>
      <c r="Y166" s="168">
        <v>0</v>
      </c>
      <c r="Z166" s="168">
        <v>28932.61</v>
      </c>
      <c r="AA166" s="168">
        <v>247481.95</v>
      </c>
      <c r="AB166" s="168">
        <v>1006564.16</v>
      </c>
      <c r="AC166" s="168">
        <v>1706376.64</v>
      </c>
      <c r="AD166" s="168">
        <v>344926</v>
      </c>
      <c r="AE166" s="168">
        <v>1243974.78</v>
      </c>
      <c r="AF166" s="139">
        <f t="shared" si="352"/>
        <v>319161.7627272727</v>
      </c>
      <c r="AG166" s="139">
        <f t="shared" si="353"/>
        <v>-319161.7627272727</v>
      </c>
    </row>
    <row r="167" spans="1:33" x14ac:dyDescent="0.25">
      <c r="A167" s="130" t="s">
        <v>117</v>
      </c>
      <c r="B167" s="139">
        <v>-31344.91</v>
      </c>
      <c r="C167" s="139">
        <v>53747.16</v>
      </c>
      <c r="D167" s="139">
        <v>-411226.78</v>
      </c>
      <c r="E167" s="139">
        <v>-6495782.3700000001</v>
      </c>
      <c r="F167" s="139"/>
      <c r="G167" s="139"/>
      <c r="H167" s="139"/>
      <c r="I167" s="139"/>
      <c r="J167" s="139"/>
      <c r="K167" s="139"/>
      <c r="L167" s="139"/>
      <c r="M167" s="139"/>
      <c r="N167" s="139">
        <f t="shared" si="348"/>
        <v>-6884606.9000000004</v>
      </c>
      <c r="O167" s="139"/>
      <c r="P167" s="139">
        <f t="shared" ref="P167:P202" si="354">Q167/12*$P$3</f>
        <v>295875.495</v>
      </c>
      <c r="Q167" s="139">
        <f t="shared" si="350"/>
        <v>394500.66</v>
      </c>
      <c r="R167" s="139">
        <v>394500.66</v>
      </c>
      <c r="S167" s="170">
        <f t="shared" si="351"/>
        <v>0</v>
      </c>
      <c r="T167" s="168">
        <v>170622.29</v>
      </c>
      <c r="U167" s="168">
        <v>-355074.95</v>
      </c>
      <c r="V167" s="168">
        <v>93202.33</v>
      </c>
      <c r="W167" s="168">
        <v>151429.5</v>
      </c>
      <c r="X167" s="168">
        <v>472954.71</v>
      </c>
      <c r="Y167" s="168">
        <v>-437756.06</v>
      </c>
      <c r="Z167" s="168">
        <v>118154.22</v>
      </c>
      <c r="AA167" s="168">
        <v>-187544.92</v>
      </c>
      <c r="AB167" s="168">
        <v>302364.55</v>
      </c>
      <c r="AC167" s="168">
        <v>-12638.04</v>
      </c>
      <c r="AD167" s="168">
        <v>36948.42</v>
      </c>
      <c r="AE167" s="168">
        <v>41838.61</v>
      </c>
      <c r="AF167" s="139">
        <f t="shared" si="352"/>
        <v>-625873.35454545461</v>
      </c>
      <c r="AG167" s="139">
        <f t="shared" si="353"/>
        <v>625873.35454545461</v>
      </c>
    </row>
    <row r="168" spans="1:33" x14ac:dyDescent="0.25">
      <c r="A168" s="130" t="s">
        <v>118</v>
      </c>
      <c r="B168" s="139">
        <v>37931.629999999997</v>
      </c>
      <c r="C168" s="139">
        <v>101991.44</v>
      </c>
      <c r="D168" s="139">
        <v>148654.41</v>
      </c>
      <c r="E168" s="139">
        <v>99637.45</v>
      </c>
      <c r="F168" s="139"/>
      <c r="G168" s="139"/>
      <c r="H168" s="139"/>
      <c r="I168" s="139"/>
      <c r="J168" s="139"/>
      <c r="K168" s="139"/>
      <c r="L168" s="139"/>
      <c r="M168" s="139"/>
      <c r="N168" s="139">
        <f t="shared" si="348"/>
        <v>388214.93</v>
      </c>
      <c r="O168" s="139"/>
      <c r="P168" s="139">
        <f t="shared" si="354"/>
        <v>-44727066.667500012</v>
      </c>
      <c r="Q168" s="139">
        <f t="shared" si="350"/>
        <v>-59636088.890000008</v>
      </c>
      <c r="R168" s="139">
        <v>-59636088.890000008</v>
      </c>
      <c r="S168" s="170">
        <f t="shared" si="351"/>
        <v>0</v>
      </c>
      <c r="T168" s="168">
        <v>-126361.61</v>
      </c>
      <c r="U168" s="168">
        <v>-158081.74</v>
      </c>
      <c r="V168" s="168">
        <v>-293026.18</v>
      </c>
      <c r="W168" s="168">
        <v>10452.620000000001</v>
      </c>
      <c r="X168" s="168">
        <v>175404.24</v>
      </c>
      <c r="Y168" s="168">
        <v>14443.59</v>
      </c>
      <c r="Z168" s="168">
        <v>-416683.86</v>
      </c>
      <c r="AA168" s="168">
        <v>-13303.72</v>
      </c>
      <c r="AB168" s="168">
        <v>102066.31</v>
      </c>
      <c r="AC168" s="168">
        <v>-57904306.450000003</v>
      </c>
      <c r="AD168" s="168">
        <v>-91416.320000000007</v>
      </c>
      <c r="AE168" s="168">
        <v>-935275.77</v>
      </c>
      <c r="AF168" s="139">
        <f t="shared" si="352"/>
        <v>35292.266363636365</v>
      </c>
      <c r="AG168" s="139">
        <f t="shared" si="353"/>
        <v>-35292.266363636365</v>
      </c>
    </row>
    <row r="169" spans="1:33" x14ac:dyDescent="0.25">
      <c r="A169" s="130" t="s">
        <v>119</v>
      </c>
      <c r="C169" s="139">
        <v>2305.83</v>
      </c>
      <c r="D169" s="139">
        <v>7188.31</v>
      </c>
      <c r="E169" s="139">
        <v>-27.78</v>
      </c>
      <c r="F169" s="139"/>
      <c r="G169" s="139"/>
      <c r="H169" s="139"/>
      <c r="I169" s="139"/>
      <c r="J169" s="139"/>
      <c r="K169" s="139"/>
      <c r="L169" s="139"/>
      <c r="M169" s="139"/>
      <c r="N169" s="139">
        <f t="shared" si="348"/>
        <v>9466.3599999999988</v>
      </c>
      <c r="O169" s="139"/>
      <c r="P169" s="139">
        <f t="shared" si="354"/>
        <v>31518.172500000001</v>
      </c>
      <c r="Q169" s="139">
        <f t="shared" si="350"/>
        <v>42024.23</v>
      </c>
      <c r="R169" s="139">
        <v>42024.23</v>
      </c>
      <c r="S169" s="170">
        <f t="shared" si="351"/>
        <v>0</v>
      </c>
      <c r="T169" s="168">
        <v>18221.580000000002</v>
      </c>
      <c r="U169" s="168">
        <v>-143.22</v>
      </c>
      <c r="V169" s="168">
        <v>554.66999999999996</v>
      </c>
      <c r="W169" s="168">
        <v>-4571.0200000000004</v>
      </c>
      <c r="X169" s="168">
        <v>42.88</v>
      </c>
      <c r="Y169" s="168">
        <v>-5187.8100000000004</v>
      </c>
      <c r="Z169" s="168">
        <v>-12485.88</v>
      </c>
      <c r="AA169" s="168">
        <v>-3196.33</v>
      </c>
      <c r="AB169" s="168">
        <v>50315.040000000001</v>
      </c>
      <c r="AC169" s="168">
        <v>-2189.91</v>
      </c>
      <c r="AD169" s="168">
        <v>0</v>
      </c>
      <c r="AE169" s="168">
        <v>664.23</v>
      </c>
      <c r="AF169" s="139">
        <f t="shared" si="352"/>
        <v>860.57818181818175</v>
      </c>
      <c r="AG169" s="139">
        <f t="shared" si="353"/>
        <v>-860.57818181818175</v>
      </c>
    </row>
    <row r="170" spans="1:33" x14ac:dyDescent="0.25">
      <c r="A170" s="130" t="s">
        <v>120</v>
      </c>
      <c r="B170" s="139">
        <v>790.84</v>
      </c>
      <c r="C170" s="139">
        <v>40646.230000000003</v>
      </c>
      <c r="D170" s="139">
        <v>-575923.18999999994</v>
      </c>
      <c r="E170" s="139">
        <v>17012.150000000001</v>
      </c>
      <c r="F170" s="139"/>
      <c r="G170" s="139"/>
      <c r="H170" s="139"/>
      <c r="I170" s="139"/>
      <c r="J170" s="139"/>
      <c r="K170" s="139"/>
      <c r="L170" s="139"/>
      <c r="M170" s="139"/>
      <c r="N170" s="139">
        <f t="shared" si="348"/>
        <v>-517473.97</v>
      </c>
      <c r="O170" s="139"/>
      <c r="P170" s="139">
        <f t="shared" si="354"/>
        <v>-421375.77</v>
      </c>
      <c r="Q170" s="139">
        <f t="shared" si="350"/>
        <v>-561834.36</v>
      </c>
      <c r="R170" s="139">
        <v>-561834.36</v>
      </c>
      <c r="S170" s="170">
        <f t="shared" si="351"/>
        <v>0</v>
      </c>
      <c r="T170" s="168">
        <v>5399.7</v>
      </c>
      <c r="U170" s="168">
        <v>-3149.21</v>
      </c>
      <c r="V170" s="168">
        <v>6568.13</v>
      </c>
      <c r="W170" s="168">
        <v>405.19</v>
      </c>
      <c r="X170" s="168">
        <v>-182869.11</v>
      </c>
      <c r="Y170" s="168">
        <v>-387.53</v>
      </c>
      <c r="Z170" s="168">
        <v>-158271.75</v>
      </c>
      <c r="AA170" s="168">
        <v>0</v>
      </c>
      <c r="AB170" s="168">
        <v>-1562</v>
      </c>
      <c r="AC170" s="168">
        <v>0</v>
      </c>
      <c r="AD170" s="168">
        <v>-225652.85</v>
      </c>
      <c r="AE170" s="168">
        <v>-2314.9299999999998</v>
      </c>
      <c r="AF170" s="139">
        <f t="shared" si="352"/>
        <v>-47043.088181818181</v>
      </c>
      <c r="AG170" s="139">
        <f t="shared" si="353"/>
        <v>47043.088181818181</v>
      </c>
    </row>
    <row r="171" spans="1:33" x14ac:dyDescent="0.25">
      <c r="A171" s="130" t="s">
        <v>121</v>
      </c>
      <c r="B171" s="139">
        <v>-561065710.14999998</v>
      </c>
      <c r="C171" s="139">
        <v>-414197385.13</v>
      </c>
      <c r="D171" s="139">
        <v>-262937652.91999999</v>
      </c>
      <c r="E171" s="139">
        <v>-299200372.00999999</v>
      </c>
      <c r="F171" s="139"/>
      <c r="G171" s="139"/>
      <c r="H171" s="139"/>
      <c r="I171" s="139"/>
      <c r="J171" s="139"/>
      <c r="K171" s="139"/>
      <c r="L171" s="139"/>
      <c r="M171" s="139"/>
      <c r="N171" s="139">
        <f t="shared" si="348"/>
        <v>-1537401120.21</v>
      </c>
      <c r="O171" s="139"/>
      <c r="P171" s="139">
        <f t="shared" si="354"/>
        <v>-5295237343.8525009</v>
      </c>
      <c r="Q171" s="139">
        <f t="shared" si="350"/>
        <v>-7060316458.4700003</v>
      </c>
      <c r="R171" s="139">
        <v>-7060316458.4700003</v>
      </c>
      <c r="S171" s="170">
        <f t="shared" si="351"/>
        <v>0</v>
      </c>
      <c r="T171" s="168">
        <v>-57233909.109999999</v>
      </c>
      <c r="U171" s="168">
        <v>-15348255</v>
      </c>
      <c r="V171" s="168">
        <v>-56465326.530000001</v>
      </c>
      <c r="W171" s="168">
        <v>-529777770.38</v>
      </c>
      <c r="X171" s="168">
        <v>-504081581.20999998</v>
      </c>
      <c r="Y171" s="168">
        <v>-867014981.53999996</v>
      </c>
      <c r="Z171" s="168">
        <v>-299329589.75</v>
      </c>
      <c r="AA171" s="168">
        <v>-310814046.86000001</v>
      </c>
      <c r="AB171" s="168">
        <v>-122133504.51000001</v>
      </c>
      <c r="AC171" s="168">
        <v>-1249266848.22</v>
      </c>
      <c r="AD171" s="168">
        <v>-2037846333.24</v>
      </c>
      <c r="AE171" s="168">
        <v>-1011004312.12</v>
      </c>
      <c r="AF171" s="139">
        <f t="shared" si="352"/>
        <v>-139763738.20090911</v>
      </c>
      <c r="AG171" s="139">
        <f t="shared" si="353"/>
        <v>139763738.20090911</v>
      </c>
    </row>
    <row r="172" spans="1:33" x14ac:dyDescent="0.25">
      <c r="A172" s="130" t="s">
        <v>419</v>
      </c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>
        <f t="shared" si="348"/>
        <v>0</v>
      </c>
      <c r="O172" s="139"/>
      <c r="P172" s="139">
        <f t="shared" si="354"/>
        <v>-8109.1724999999997</v>
      </c>
      <c r="Q172" s="139">
        <f t="shared" si="350"/>
        <v>-10812.23</v>
      </c>
      <c r="R172" s="139">
        <v>-10812.23</v>
      </c>
      <c r="S172" s="170">
        <f t="shared" si="351"/>
        <v>0</v>
      </c>
      <c r="T172" s="168">
        <v>0</v>
      </c>
      <c r="U172" s="168">
        <v>0</v>
      </c>
      <c r="V172" s="168">
        <v>0</v>
      </c>
      <c r="W172" s="168">
        <v>0</v>
      </c>
      <c r="X172" s="168">
        <v>0</v>
      </c>
      <c r="Y172" s="168">
        <v>-3537.84</v>
      </c>
      <c r="Z172" s="168">
        <v>-1594.95</v>
      </c>
      <c r="AA172" s="168">
        <v>1143.75</v>
      </c>
      <c r="AB172" s="168">
        <v>182.18</v>
      </c>
      <c r="AC172" s="168">
        <v>3603.34</v>
      </c>
      <c r="AD172" s="168">
        <v>-888.71</v>
      </c>
      <c r="AE172" s="168">
        <v>-9720</v>
      </c>
      <c r="AF172" s="139">
        <f t="shared" si="352"/>
        <v>0</v>
      </c>
      <c r="AG172" s="139">
        <f t="shared" si="353"/>
        <v>0</v>
      </c>
    </row>
    <row r="173" spans="1:33" x14ac:dyDescent="0.25">
      <c r="A173" s="130" t="s">
        <v>122</v>
      </c>
      <c r="B173" s="139">
        <v>-1441309.1</v>
      </c>
      <c r="C173" s="139">
        <v>-7806029</v>
      </c>
      <c r="D173" s="139">
        <v>-3586541.15</v>
      </c>
      <c r="E173" s="139">
        <v>-640458</v>
      </c>
      <c r="F173" s="139"/>
      <c r="G173" s="139"/>
      <c r="H173" s="139"/>
      <c r="I173" s="139"/>
      <c r="J173" s="139"/>
      <c r="K173" s="139"/>
      <c r="L173" s="139"/>
      <c r="M173" s="139"/>
      <c r="N173" s="139">
        <f t="shared" si="348"/>
        <v>-13474337.25</v>
      </c>
      <c r="O173" s="139"/>
      <c r="P173" s="139">
        <f t="shared" si="354"/>
        <v>-8335950.9900000002</v>
      </c>
      <c r="Q173" s="139">
        <f t="shared" si="350"/>
        <v>-11114601.32</v>
      </c>
      <c r="R173" s="139">
        <v>-11114601.32</v>
      </c>
      <c r="S173" s="170">
        <f t="shared" si="351"/>
        <v>0</v>
      </c>
      <c r="T173" s="168">
        <v>-626650</v>
      </c>
      <c r="U173" s="168">
        <v>-1795920</v>
      </c>
      <c r="V173" s="168">
        <v>-616939.36</v>
      </c>
      <c r="W173" s="168">
        <v>-282900</v>
      </c>
      <c r="X173" s="168">
        <v>-694270</v>
      </c>
      <c r="Y173" s="168">
        <v>-1256000</v>
      </c>
      <c r="Z173" s="168">
        <v>-513970.45</v>
      </c>
      <c r="AA173" s="168">
        <v>-801420</v>
      </c>
      <c r="AB173" s="168">
        <v>-444817</v>
      </c>
      <c r="AC173" s="168">
        <v>-573800</v>
      </c>
      <c r="AD173" s="168">
        <v>-598707.5</v>
      </c>
      <c r="AE173" s="168">
        <v>-2909207.01</v>
      </c>
      <c r="AF173" s="139">
        <f t="shared" si="352"/>
        <v>-1224939.75</v>
      </c>
      <c r="AG173" s="139">
        <f t="shared" si="353"/>
        <v>1224939.75</v>
      </c>
    </row>
    <row r="174" spans="1:33" x14ac:dyDescent="0.25">
      <c r="A174" s="130" t="s">
        <v>123</v>
      </c>
      <c r="B174" s="139">
        <v>4236569.0599999996</v>
      </c>
      <c r="C174" s="139">
        <v>-837234.47</v>
      </c>
      <c r="D174" s="139">
        <v>214485.95</v>
      </c>
      <c r="E174" s="139">
        <v>633339.43999999994</v>
      </c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48"/>
        <v>4247159.9800000004</v>
      </c>
      <c r="O174" s="139"/>
      <c r="P174" s="139">
        <f t="shared" si="354"/>
        <v>1852860.1575</v>
      </c>
      <c r="Q174" s="139">
        <f t="shared" si="350"/>
        <v>2470480.21</v>
      </c>
      <c r="R174" s="139">
        <v>2470480.21</v>
      </c>
      <c r="S174" s="170">
        <f t="shared" si="351"/>
        <v>0</v>
      </c>
      <c r="T174" s="168">
        <v>2230495.09</v>
      </c>
      <c r="U174" s="168">
        <v>157077.15</v>
      </c>
      <c r="V174" s="168">
        <v>273729.07</v>
      </c>
      <c r="W174" s="168">
        <v>307005.37</v>
      </c>
      <c r="X174" s="168">
        <v>-462524.73</v>
      </c>
      <c r="Y174" s="168">
        <v>-239021.09</v>
      </c>
      <c r="Z174" s="168">
        <v>-273397.37</v>
      </c>
      <c r="AA174" s="168">
        <v>-459773.78</v>
      </c>
      <c r="AB174" s="168">
        <v>-12461.47</v>
      </c>
      <c r="AC174" s="168">
        <v>44458.32</v>
      </c>
      <c r="AD174" s="168">
        <v>322491.38</v>
      </c>
      <c r="AE174" s="168">
        <v>582402.27</v>
      </c>
      <c r="AF174" s="139">
        <f t="shared" si="352"/>
        <v>386105.45272727276</v>
      </c>
      <c r="AG174" s="139">
        <f t="shared" si="353"/>
        <v>-386105.45272727276</v>
      </c>
    </row>
    <row r="175" spans="1:33" x14ac:dyDescent="0.25">
      <c r="A175" s="130" t="s">
        <v>124</v>
      </c>
      <c r="B175" s="139">
        <v>2910430.75</v>
      </c>
      <c r="C175" s="139">
        <v>668276.47</v>
      </c>
      <c r="D175" s="139">
        <v>183119.76</v>
      </c>
      <c r="E175" s="139">
        <v>-14388.85</v>
      </c>
      <c r="F175" s="139"/>
      <c r="G175" s="139"/>
      <c r="H175" s="139"/>
      <c r="I175" s="139"/>
      <c r="J175" s="139"/>
      <c r="K175" s="139"/>
      <c r="L175" s="139"/>
      <c r="M175" s="139"/>
      <c r="N175" s="139">
        <f t="shared" si="348"/>
        <v>3747438.1299999994</v>
      </c>
      <c r="O175" s="139"/>
      <c r="P175" s="139">
        <f t="shared" si="354"/>
        <v>-732681.05249999987</v>
      </c>
      <c r="Q175" s="139">
        <f t="shared" si="350"/>
        <v>-976908.06999999972</v>
      </c>
      <c r="R175" s="139">
        <v>-976908.06999999972</v>
      </c>
      <c r="S175" s="170">
        <f t="shared" si="351"/>
        <v>0</v>
      </c>
      <c r="T175" s="168">
        <v>132999.03</v>
      </c>
      <c r="U175" s="168">
        <v>1861.72</v>
      </c>
      <c r="V175" s="168">
        <v>104613.37</v>
      </c>
      <c r="W175" s="168">
        <v>1487036.54</v>
      </c>
      <c r="X175" s="168">
        <v>-195552.97</v>
      </c>
      <c r="Y175" s="168">
        <v>-463703.41</v>
      </c>
      <c r="Z175" s="168">
        <v>-388902.1</v>
      </c>
      <c r="AA175" s="168">
        <v>-516832.24</v>
      </c>
      <c r="AB175" s="168">
        <v>-517332.49</v>
      </c>
      <c r="AC175" s="168">
        <v>-228957.51</v>
      </c>
      <c r="AD175" s="168">
        <v>72.64</v>
      </c>
      <c r="AE175" s="168">
        <v>-392210.65</v>
      </c>
      <c r="AF175" s="139">
        <f t="shared" si="352"/>
        <v>340676.19363636361</v>
      </c>
      <c r="AG175" s="139">
        <f t="shared" si="353"/>
        <v>-340676.19363636361</v>
      </c>
    </row>
    <row r="176" spans="1:33" x14ac:dyDescent="0.25">
      <c r="A176" s="130" t="s">
        <v>125</v>
      </c>
      <c r="B176" s="139">
        <v>24321.35</v>
      </c>
      <c r="C176" s="139">
        <v>547481.11</v>
      </c>
      <c r="D176" s="139">
        <v>152801.37</v>
      </c>
      <c r="E176" s="139">
        <v>43664.18</v>
      </c>
      <c r="F176" s="139"/>
      <c r="G176" s="139"/>
      <c r="H176" s="139"/>
      <c r="I176" s="139"/>
      <c r="J176" s="139"/>
      <c r="K176" s="139"/>
      <c r="L176" s="139"/>
      <c r="M176" s="139"/>
      <c r="N176" s="139">
        <f t="shared" si="348"/>
        <v>768268.01</v>
      </c>
      <c r="O176" s="139"/>
      <c r="P176" s="139">
        <f t="shared" si="354"/>
        <v>132804.61500000002</v>
      </c>
      <c r="Q176" s="139">
        <f t="shared" si="350"/>
        <v>177072.82</v>
      </c>
      <c r="R176" s="139">
        <v>177072.82</v>
      </c>
      <c r="S176" s="170">
        <f t="shared" si="351"/>
        <v>0</v>
      </c>
      <c r="T176" s="168">
        <v>48155.93</v>
      </c>
      <c r="U176" s="168">
        <v>51045.58</v>
      </c>
      <c r="V176" s="168">
        <v>0</v>
      </c>
      <c r="W176" s="168">
        <v>12980.84</v>
      </c>
      <c r="X176" s="168">
        <v>75.5</v>
      </c>
      <c r="Y176" s="168">
        <v>0</v>
      </c>
      <c r="Z176" s="168">
        <v>-13005.34</v>
      </c>
      <c r="AA176" s="168">
        <v>20986.639999999999</v>
      </c>
      <c r="AB176" s="168">
        <v>20965.86</v>
      </c>
      <c r="AC176" s="168">
        <v>25.8</v>
      </c>
      <c r="AD176" s="168">
        <v>1200</v>
      </c>
      <c r="AE176" s="168">
        <v>34642.01</v>
      </c>
      <c r="AF176" s="139">
        <f t="shared" si="352"/>
        <v>69842.546363636371</v>
      </c>
      <c r="AG176" s="139">
        <f t="shared" si="353"/>
        <v>-69842.546363636371</v>
      </c>
    </row>
    <row r="177" spans="1:33" x14ac:dyDescent="0.25">
      <c r="A177" s="130" t="s">
        <v>126</v>
      </c>
      <c r="B177" s="139">
        <v>15718.06</v>
      </c>
      <c r="C177" s="139">
        <v>-8332.4</v>
      </c>
      <c r="D177" s="139">
        <v>585064.22</v>
      </c>
      <c r="E177" s="139">
        <v>142077.74</v>
      </c>
      <c r="F177" s="139"/>
      <c r="G177" s="139"/>
      <c r="H177" s="139"/>
      <c r="I177" s="139"/>
      <c r="J177" s="139"/>
      <c r="K177" s="139"/>
      <c r="L177" s="139"/>
      <c r="M177" s="139"/>
      <c r="N177" s="139">
        <f t="shared" si="348"/>
        <v>734527.62</v>
      </c>
      <c r="O177" s="139"/>
      <c r="P177" s="139">
        <f t="shared" si="354"/>
        <v>1145537.94</v>
      </c>
      <c r="Q177" s="139">
        <f t="shared" si="350"/>
        <v>1527383.92</v>
      </c>
      <c r="R177" s="139">
        <v>1527383.92</v>
      </c>
      <c r="S177" s="170">
        <f t="shared" si="351"/>
        <v>0</v>
      </c>
      <c r="T177" s="168">
        <v>888979.59</v>
      </c>
      <c r="U177" s="168">
        <v>5499.6</v>
      </c>
      <c r="V177" s="168">
        <v>-2025.65</v>
      </c>
      <c r="W177" s="168">
        <v>-2516.61</v>
      </c>
      <c r="X177" s="168">
        <v>174609.93</v>
      </c>
      <c r="Y177" s="168">
        <v>-356.02</v>
      </c>
      <c r="Z177" s="168">
        <v>108192.24</v>
      </c>
      <c r="AA177" s="168">
        <v>23422.84</v>
      </c>
      <c r="AB177" s="168">
        <v>40194.65</v>
      </c>
      <c r="AC177" s="168">
        <v>21708.07</v>
      </c>
      <c r="AD177" s="168">
        <v>230585.81</v>
      </c>
      <c r="AE177" s="168">
        <v>39089.47</v>
      </c>
      <c r="AF177" s="139">
        <f t="shared" si="352"/>
        <v>66775.238181818175</v>
      </c>
      <c r="AG177" s="139">
        <f t="shared" si="353"/>
        <v>-66775.238181818175</v>
      </c>
    </row>
    <row r="178" spans="1:33" x14ac:dyDescent="0.25">
      <c r="A178" s="130" t="s">
        <v>127</v>
      </c>
      <c r="B178" s="139">
        <v>-2026844</v>
      </c>
      <c r="C178" s="139">
        <v>-462755</v>
      </c>
      <c r="D178" s="139">
        <v>-383956.37</v>
      </c>
      <c r="E178" s="139">
        <v>-771396</v>
      </c>
      <c r="F178" s="139"/>
      <c r="G178" s="139"/>
      <c r="H178" s="139"/>
      <c r="I178" s="139"/>
      <c r="J178" s="139"/>
      <c r="K178" s="139"/>
      <c r="L178" s="139"/>
      <c r="M178" s="139"/>
      <c r="N178" s="139">
        <f t="shared" si="348"/>
        <v>-3644951.37</v>
      </c>
      <c r="O178" s="139"/>
      <c r="P178" s="139">
        <f t="shared" si="354"/>
        <v>-4579424.8875000002</v>
      </c>
      <c r="Q178" s="139">
        <f t="shared" si="350"/>
        <v>-6105899.8499999996</v>
      </c>
      <c r="R178" s="139">
        <v>-6105899.8499999996</v>
      </c>
      <c r="S178" s="170">
        <f t="shared" si="351"/>
        <v>0</v>
      </c>
      <c r="T178" s="168">
        <v>-241780</v>
      </c>
      <c r="U178" s="168">
        <v>0</v>
      </c>
      <c r="V178" s="168">
        <v>-42034.45</v>
      </c>
      <c r="W178" s="168">
        <f>-916350</f>
        <v>-916350</v>
      </c>
      <c r="X178" s="168">
        <v>-48550</v>
      </c>
      <c r="Y178" s="168">
        <v>0</v>
      </c>
      <c r="Z178" s="168">
        <v>-48901.66</v>
      </c>
      <c r="AA178" s="168">
        <v>-228900</v>
      </c>
      <c r="AB178" s="168">
        <v>-1036340</v>
      </c>
      <c r="AC178" s="168">
        <v>-1764374.14</v>
      </c>
      <c r="AD178" s="168">
        <v>-344926</v>
      </c>
      <c r="AE178" s="168">
        <v>-1433743.6</v>
      </c>
      <c r="AF178" s="139">
        <f t="shared" si="352"/>
        <v>-331359.21545454545</v>
      </c>
      <c r="AG178" s="139">
        <f t="shared" si="353"/>
        <v>331359.21545454545</v>
      </c>
    </row>
    <row r="179" spans="1:33" x14ac:dyDescent="0.25">
      <c r="A179" s="130" t="s">
        <v>128</v>
      </c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>
        <f t="shared" si="348"/>
        <v>0</v>
      </c>
      <c r="O179" s="139"/>
      <c r="P179" s="139">
        <f t="shared" si="354"/>
        <v>-4200</v>
      </c>
      <c r="Q179" s="139">
        <f t="shared" si="350"/>
        <v>-5600</v>
      </c>
      <c r="R179" s="139">
        <v>-5600</v>
      </c>
      <c r="S179" s="170">
        <f t="shared" si="351"/>
        <v>0</v>
      </c>
      <c r="T179" s="168">
        <v>0</v>
      </c>
      <c r="U179" s="168">
        <v>800</v>
      </c>
      <c r="V179" s="168">
        <v>0</v>
      </c>
      <c r="W179" s="168">
        <v>0</v>
      </c>
      <c r="X179" s="168">
        <v>0</v>
      </c>
      <c r="Y179" s="168">
        <v>0</v>
      </c>
      <c r="Z179" s="168">
        <v>0</v>
      </c>
      <c r="AA179" s="168">
        <v>0</v>
      </c>
      <c r="AB179" s="168">
        <v>0</v>
      </c>
      <c r="AC179" s="168">
        <v>0</v>
      </c>
      <c r="AD179" s="168">
        <v>-6400</v>
      </c>
      <c r="AE179" s="168">
        <v>0</v>
      </c>
      <c r="AF179" s="139">
        <f t="shared" si="352"/>
        <v>0</v>
      </c>
      <c r="AG179" s="139">
        <f t="shared" si="353"/>
        <v>0</v>
      </c>
    </row>
    <row r="180" spans="1:33" x14ac:dyDescent="0.25">
      <c r="A180" s="130" t="s">
        <v>129</v>
      </c>
      <c r="B180" s="139">
        <v>3823.17</v>
      </c>
      <c r="C180" s="139">
        <v>18142.32</v>
      </c>
      <c r="D180" s="139">
        <v>14969.95</v>
      </c>
      <c r="E180" s="139">
        <v>9027.73</v>
      </c>
      <c r="F180" s="139"/>
      <c r="G180" s="139"/>
      <c r="H180" s="139"/>
      <c r="I180" s="139"/>
      <c r="J180" s="139"/>
      <c r="K180" s="139"/>
      <c r="L180" s="139"/>
      <c r="M180" s="139"/>
      <c r="N180" s="139">
        <f t="shared" si="348"/>
        <v>45963.17</v>
      </c>
      <c r="O180" s="139"/>
      <c r="P180" s="139">
        <f t="shared" si="354"/>
        <v>57288.352499999986</v>
      </c>
      <c r="Q180" s="139">
        <f t="shared" si="350"/>
        <v>76384.469999999987</v>
      </c>
      <c r="R180" s="139">
        <v>76384.469999999987</v>
      </c>
      <c r="S180" s="170">
        <f t="shared" si="351"/>
        <v>0</v>
      </c>
      <c r="T180" s="168">
        <v>2682.05</v>
      </c>
      <c r="U180" s="168">
        <v>-1617.38</v>
      </c>
      <c r="V180" s="168">
        <v>5756.07</v>
      </c>
      <c r="W180" s="168">
        <v>9048.32</v>
      </c>
      <c r="X180" s="168">
        <v>11168.19</v>
      </c>
      <c r="Y180" s="168">
        <v>3721.59</v>
      </c>
      <c r="Z180" s="168">
        <v>6172.25</v>
      </c>
      <c r="AA180" s="168">
        <v>7102.98</v>
      </c>
      <c r="AB180" s="168">
        <v>7169.65</v>
      </c>
      <c r="AC180" s="168">
        <v>9614.02</v>
      </c>
      <c r="AD180" s="168">
        <v>6881.28</v>
      </c>
      <c r="AE180" s="168">
        <v>8685.4500000000007</v>
      </c>
      <c r="AF180" s="139">
        <f t="shared" si="352"/>
        <v>4178.47</v>
      </c>
      <c r="AG180" s="139">
        <f t="shared" si="353"/>
        <v>-4178.47</v>
      </c>
    </row>
    <row r="181" spans="1:33" x14ac:dyDescent="0.25">
      <c r="A181" s="130" t="s">
        <v>130</v>
      </c>
      <c r="B181" s="139">
        <v>6166.06</v>
      </c>
      <c r="C181" s="139">
        <v>5000</v>
      </c>
      <c r="D181" s="139">
        <v>5000</v>
      </c>
      <c r="E181" s="139">
        <v>7211.1</v>
      </c>
      <c r="F181" s="139"/>
      <c r="G181" s="139"/>
      <c r="H181" s="139"/>
      <c r="I181" s="139"/>
      <c r="J181" s="139"/>
      <c r="K181" s="139"/>
      <c r="L181" s="139"/>
      <c r="M181" s="139"/>
      <c r="N181" s="139">
        <f t="shared" si="348"/>
        <v>23377.160000000003</v>
      </c>
      <c r="O181" s="139"/>
      <c r="P181" s="139">
        <f t="shared" si="354"/>
        <v>45000</v>
      </c>
      <c r="Q181" s="139">
        <f t="shared" si="350"/>
        <v>60000</v>
      </c>
      <c r="R181" s="139">
        <v>60000</v>
      </c>
      <c r="S181" s="170">
        <f t="shared" si="351"/>
        <v>0</v>
      </c>
      <c r="T181" s="168">
        <v>5000</v>
      </c>
      <c r="U181" s="168">
        <v>16772.5</v>
      </c>
      <c r="V181" s="168">
        <v>-6772.5</v>
      </c>
      <c r="W181" s="168">
        <v>5000</v>
      </c>
      <c r="X181" s="168">
        <v>5000</v>
      </c>
      <c r="Y181" s="168">
        <v>5000</v>
      </c>
      <c r="Z181" s="168">
        <v>5000</v>
      </c>
      <c r="AA181" s="168">
        <v>5000</v>
      </c>
      <c r="AB181" s="168">
        <v>5000</v>
      </c>
      <c r="AC181" s="168">
        <v>5000</v>
      </c>
      <c r="AD181" s="168">
        <v>5000</v>
      </c>
      <c r="AE181" s="168">
        <v>5000</v>
      </c>
      <c r="AF181" s="139">
        <f t="shared" si="352"/>
        <v>2125.1963636363639</v>
      </c>
      <c r="AG181" s="139">
        <f t="shared" si="353"/>
        <v>-2125.1963636363639</v>
      </c>
    </row>
    <row r="182" spans="1:33" x14ac:dyDescent="0.25">
      <c r="A182" s="130" t="s">
        <v>131</v>
      </c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>
        <f t="shared" si="348"/>
        <v>0</v>
      </c>
      <c r="O182" s="139"/>
      <c r="P182" s="139">
        <f t="shared" si="354"/>
        <v>120</v>
      </c>
      <c r="Q182" s="139">
        <f t="shared" si="350"/>
        <v>160</v>
      </c>
      <c r="R182" s="139">
        <v>160</v>
      </c>
      <c r="S182" s="170">
        <f t="shared" si="351"/>
        <v>0</v>
      </c>
      <c r="T182" s="168">
        <v>0</v>
      </c>
      <c r="U182" s="168">
        <v>0</v>
      </c>
      <c r="V182" s="168">
        <v>0</v>
      </c>
      <c r="W182" s="168">
        <v>0</v>
      </c>
      <c r="X182" s="168">
        <v>0</v>
      </c>
      <c r="Y182" s="168">
        <v>0</v>
      </c>
      <c r="Z182" s="168">
        <v>0</v>
      </c>
      <c r="AA182" s="168">
        <v>0</v>
      </c>
      <c r="AB182" s="168">
        <v>160</v>
      </c>
      <c r="AC182" s="168"/>
      <c r="AD182" s="168">
        <v>0</v>
      </c>
      <c r="AE182" s="168">
        <v>0</v>
      </c>
      <c r="AF182" s="139">
        <f t="shared" si="352"/>
        <v>0</v>
      </c>
      <c r="AG182" s="139">
        <f t="shared" si="353"/>
        <v>0</v>
      </c>
    </row>
    <row r="183" spans="1:33" x14ac:dyDescent="0.25">
      <c r="A183" s="130" t="s">
        <v>132</v>
      </c>
      <c r="C183" s="139">
        <v>26500</v>
      </c>
      <c r="D183" s="139">
        <v>40000</v>
      </c>
      <c r="E183" s="139"/>
      <c r="F183" s="139"/>
      <c r="G183" s="139"/>
      <c r="H183" s="139"/>
      <c r="I183" s="139"/>
      <c r="J183" s="139"/>
      <c r="K183" s="139"/>
      <c r="L183" s="139"/>
      <c r="M183" s="139"/>
      <c r="N183" s="139">
        <f t="shared" si="348"/>
        <v>66500</v>
      </c>
      <c r="O183" s="139"/>
      <c r="P183" s="139">
        <f t="shared" si="354"/>
        <v>165513.77249999996</v>
      </c>
      <c r="Q183" s="139">
        <f t="shared" si="350"/>
        <v>220685.02999999997</v>
      </c>
      <c r="R183" s="139">
        <v>220685.02999999997</v>
      </c>
      <c r="S183" s="170">
        <f t="shared" si="351"/>
        <v>0</v>
      </c>
      <c r="T183" s="168">
        <v>20620</v>
      </c>
      <c r="U183" s="168">
        <v>1150</v>
      </c>
      <c r="V183" s="168">
        <v>0</v>
      </c>
      <c r="W183" s="168">
        <v>0</v>
      </c>
      <c r="X183" s="168">
        <v>158944.68</v>
      </c>
      <c r="Y183" s="168">
        <v>1357.06</v>
      </c>
      <c r="Z183" s="168">
        <v>-3040</v>
      </c>
      <c r="AA183" s="168">
        <v>10319.799999999999</v>
      </c>
      <c r="AB183" s="168">
        <v>1091.1099999999999</v>
      </c>
      <c r="AC183" s="168">
        <v>294.55</v>
      </c>
      <c r="AD183" s="168">
        <v>-499.08</v>
      </c>
      <c r="AE183" s="168">
        <v>30446.91</v>
      </c>
      <c r="AF183" s="139">
        <f t="shared" si="352"/>
        <v>6045.454545454545</v>
      </c>
      <c r="AG183" s="139">
        <f t="shared" si="353"/>
        <v>-6045.454545454545</v>
      </c>
    </row>
    <row r="184" spans="1:33" hidden="1" x14ac:dyDescent="0.25">
      <c r="A184" s="130" t="s">
        <v>133</v>
      </c>
      <c r="C184" s="139"/>
      <c r="D184" s="139"/>
      <c r="E184" s="144"/>
      <c r="F184" s="144"/>
      <c r="G184" s="139"/>
      <c r="H184" s="139"/>
      <c r="I184" s="139"/>
      <c r="J184" s="139"/>
      <c r="K184" s="139"/>
      <c r="L184" s="139"/>
      <c r="M184" s="139"/>
      <c r="N184" s="139">
        <f t="shared" ref="N184:N206" si="355">SUM(B184:M184)</f>
        <v>0</v>
      </c>
      <c r="O184" s="139"/>
      <c r="P184" s="139">
        <f t="shared" si="354"/>
        <v>-12721742.700000001</v>
      </c>
      <c r="Q184" s="139">
        <f t="shared" si="350"/>
        <v>-16962323.600000001</v>
      </c>
      <c r="R184" s="139">
        <v>-16962323.600000001</v>
      </c>
      <c r="S184" s="170">
        <f t="shared" si="351"/>
        <v>0</v>
      </c>
      <c r="T184" s="168">
        <v>2910296.13</v>
      </c>
      <c r="U184" s="168">
        <v>1651163.39</v>
      </c>
      <c r="V184" s="168">
        <v>-414097.59</v>
      </c>
      <c r="W184" s="172">
        <v>959937.83</v>
      </c>
      <c r="X184" s="172">
        <v>-3014399.59</v>
      </c>
      <c r="Y184" s="168">
        <v>3160990.11</v>
      </c>
      <c r="Z184" s="168">
        <v>-6973390.4900000002</v>
      </c>
      <c r="AA184" s="168">
        <v>-1655327.37</v>
      </c>
      <c r="AB184" s="168">
        <v>-13587496.02</v>
      </c>
      <c r="AC184" s="168">
        <v>0</v>
      </c>
      <c r="AD184" s="168">
        <v>0</v>
      </c>
      <c r="AE184" s="168">
        <v>0</v>
      </c>
      <c r="AF184" s="170">
        <f t="shared" si="352"/>
        <v>0</v>
      </c>
      <c r="AG184" s="170">
        <f t="shared" si="353"/>
        <v>0</v>
      </c>
    </row>
    <row r="185" spans="1:33" x14ac:dyDescent="0.25">
      <c r="A185" s="130" t="s">
        <v>134</v>
      </c>
      <c r="B185" s="139">
        <v>18962.5</v>
      </c>
      <c r="C185" s="139">
        <v>18962.5</v>
      </c>
      <c r="D185" s="139">
        <v>19325</v>
      </c>
      <c r="E185" s="139">
        <v>18962.5</v>
      </c>
      <c r="F185" s="139"/>
      <c r="G185" s="209"/>
      <c r="H185" s="139"/>
      <c r="I185" s="139"/>
      <c r="J185" s="139"/>
      <c r="K185" s="139"/>
      <c r="L185" s="139"/>
      <c r="M185" s="139"/>
      <c r="N185" s="139">
        <f t="shared" si="355"/>
        <v>76212.5</v>
      </c>
      <c r="O185" s="139"/>
      <c r="P185" s="139">
        <f t="shared" si="354"/>
        <v>233311.41000000003</v>
      </c>
      <c r="Q185" s="139">
        <f t="shared" si="350"/>
        <v>311081.88000000006</v>
      </c>
      <c r="R185" s="139">
        <v>311081.88000000006</v>
      </c>
      <c r="S185" s="170">
        <f t="shared" si="351"/>
        <v>0</v>
      </c>
      <c r="T185" s="168">
        <v>28233.33</v>
      </c>
      <c r="U185" s="168">
        <v>28233.33</v>
      </c>
      <c r="V185" s="168">
        <v>28595.83</v>
      </c>
      <c r="W185" s="168">
        <v>28233.33</v>
      </c>
      <c r="X185" s="168">
        <v>28233.33</v>
      </c>
      <c r="Y185" s="168">
        <v>7627.91</v>
      </c>
      <c r="Z185" s="168">
        <v>28233.33</v>
      </c>
      <c r="AA185" s="168">
        <v>28233.33</v>
      </c>
      <c r="AB185" s="168">
        <v>28233.33</v>
      </c>
      <c r="AC185" s="168">
        <v>28233.33</v>
      </c>
      <c r="AD185" s="168">
        <v>24925.040000000001</v>
      </c>
      <c r="AE185" s="168">
        <v>24066.46</v>
      </c>
      <c r="AF185" s="139">
        <f t="shared" si="352"/>
        <v>6928.409090909091</v>
      </c>
      <c r="AG185" s="139">
        <f t="shared" si="353"/>
        <v>-6928.409090909091</v>
      </c>
    </row>
    <row r="186" spans="1:33" x14ac:dyDescent="0.25">
      <c r="A186" s="130" t="s">
        <v>135</v>
      </c>
      <c r="C186" s="139">
        <v>745.35</v>
      </c>
      <c r="D186" s="139">
        <v>1244.7</v>
      </c>
      <c r="E186" s="139"/>
      <c r="F186" s="139"/>
      <c r="G186" s="139"/>
      <c r="H186" s="139"/>
      <c r="I186" s="139"/>
      <c r="J186" s="139"/>
      <c r="K186" s="139"/>
      <c r="L186" s="139"/>
      <c r="M186" s="139"/>
      <c r="N186" s="139">
        <f t="shared" si="355"/>
        <v>1990.0500000000002</v>
      </c>
      <c r="O186" s="139"/>
      <c r="P186" s="139">
        <f t="shared" si="354"/>
        <v>1360.4549999999999</v>
      </c>
      <c r="Q186" s="139">
        <f t="shared" si="350"/>
        <v>1813.94</v>
      </c>
      <c r="R186" s="139">
        <v>1813.94</v>
      </c>
      <c r="S186" s="170">
        <f t="shared" si="351"/>
        <v>0</v>
      </c>
      <c r="T186" s="168">
        <v>0</v>
      </c>
      <c r="U186" s="168">
        <v>878</v>
      </c>
      <c r="V186" s="168">
        <v>0</v>
      </c>
      <c r="W186" s="168">
        <v>0</v>
      </c>
      <c r="X186" s="168">
        <v>620</v>
      </c>
      <c r="Y186" s="168">
        <v>0</v>
      </c>
      <c r="Z186" s="168">
        <v>12</v>
      </c>
      <c r="AA186" s="168">
        <v>0</v>
      </c>
      <c r="AB186" s="168">
        <v>0</v>
      </c>
      <c r="AC186" s="168">
        <v>0</v>
      </c>
      <c r="AD186" s="168">
        <v>0</v>
      </c>
      <c r="AE186" s="168">
        <v>303.94</v>
      </c>
      <c r="AF186" s="139">
        <f t="shared" si="352"/>
        <v>180.91363636363639</v>
      </c>
      <c r="AG186" s="139">
        <f t="shared" si="353"/>
        <v>-180.91363636363639</v>
      </c>
    </row>
    <row r="187" spans="1:33" x14ac:dyDescent="0.25">
      <c r="A187" s="130" t="s">
        <v>136</v>
      </c>
      <c r="C187" s="139"/>
      <c r="D187" s="139">
        <v>10457.48</v>
      </c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355"/>
        <v>10457.48</v>
      </c>
      <c r="O187" s="139"/>
      <c r="P187" s="139">
        <f t="shared" si="354"/>
        <v>15733.109999999999</v>
      </c>
      <c r="Q187" s="139">
        <f t="shared" si="350"/>
        <v>20977.48</v>
      </c>
      <c r="R187" s="139">
        <v>20977.48</v>
      </c>
      <c r="S187" s="170">
        <f t="shared" si="351"/>
        <v>0</v>
      </c>
      <c r="T187" s="168">
        <v>935.34</v>
      </c>
      <c r="U187" s="168">
        <v>6097.82</v>
      </c>
      <c r="V187" s="168">
        <v>0</v>
      </c>
      <c r="W187" s="168">
        <v>924</v>
      </c>
      <c r="X187" s="168">
        <v>0</v>
      </c>
      <c r="Y187" s="168">
        <v>0</v>
      </c>
      <c r="Z187" s="168">
        <v>0</v>
      </c>
      <c r="AA187" s="168">
        <v>6764.11</v>
      </c>
      <c r="AB187" s="168">
        <v>0</v>
      </c>
      <c r="AC187" s="168">
        <v>6256.21</v>
      </c>
      <c r="AD187" s="168">
        <v>0</v>
      </c>
      <c r="AE187" s="168">
        <v>0</v>
      </c>
      <c r="AF187" s="139">
        <f t="shared" si="352"/>
        <v>950.68</v>
      </c>
      <c r="AG187" s="139">
        <f t="shared" si="353"/>
        <v>-950.68</v>
      </c>
    </row>
    <row r="188" spans="1:33" x14ac:dyDescent="0.25">
      <c r="A188" s="130" t="s">
        <v>137</v>
      </c>
      <c r="B188" s="139">
        <v>13243.63</v>
      </c>
      <c r="C188" s="139">
        <v>15114.14</v>
      </c>
      <c r="D188" s="139">
        <v>21747.64</v>
      </c>
      <c r="E188" s="139">
        <v>16313.22</v>
      </c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55"/>
        <v>66418.62999999999</v>
      </c>
      <c r="O188" s="139"/>
      <c r="P188" s="139">
        <f t="shared" si="354"/>
        <v>135608.82749999998</v>
      </c>
      <c r="Q188" s="139">
        <f t="shared" si="350"/>
        <v>180811.77</v>
      </c>
      <c r="R188" s="139">
        <v>180811.77</v>
      </c>
      <c r="S188" s="170">
        <f t="shared" si="351"/>
        <v>0</v>
      </c>
      <c r="T188" s="168">
        <v>13984.01</v>
      </c>
      <c r="U188" s="168">
        <v>16090.71</v>
      </c>
      <c r="V188" s="168">
        <v>17832.23</v>
      </c>
      <c r="W188" s="168">
        <v>16363.64</v>
      </c>
      <c r="X188" s="168">
        <v>18902.009999999998</v>
      </c>
      <c r="Y188" s="168">
        <v>15846.75</v>
      </c>
      <c r="Z188" s="168">
        <v>13522.84</v>
      </c>
      <c r="AA188" s="168">
        <v>14007.24</v>
      </c>
      <c r="AB188" s="168">
        <v>8848.61</v>
      </c>
      <c r="AC188" s="168">
        <v>22497</v>
      </c>
      <c r="AD188" s="168">
        <v>14362.47</v>
      </c>
      <c r="AE188" s="168">
        <v>8554.26</v>
      </c>
      <c r="AF188" s="139">
        <f t="shared" si="352"/>
        <v>6038.057272727272</v>
      </c>
      <c r="AG188" s="139">
        <f t="shared" si="353"/>
        <v>-6038.057272727272</v>
      </c>
    </row>
    <row r="189" spans="1:33" x14ac:dyDescent="0.25">
      <c r="A189" s="130" t="s">
        <v>138</v>
      </c>
      <c r="B189" s="139">
        <v>12986.77</v>
      </c>
      <c r="C189" s="139">
        <v>14898.74</v>
      </c>
      <c r="D189" s="139">
        <v>16329.49</v>
      </c>
      <c r="E189" s="139">
        <v>10330.040000000001</v>
      </c>
      <c r="F189" s="139"/>
      <c r="G189" s="139"/>
      <c r="H189" s="139"/>
      <c r="I189" s="139"/>
      <c r="J189" s="139"/>
      <c r="K189" s="139"/>
      <c r="L189" s="139"/>
      <c r="M189" s="139"/>
      <c r="N189" s="139">
        <f t="shared" si="355"/>
        <v>54545.04</v>
      </c>
      <c r="O189" s="139"/>
      <c r="P189" s="139">
        <f t="shared" si="354"/>
        <v>27483.510000000002</v>
      </c>
      <c r="Q189" s="139">
        <f t="shared" si="350"/>
        <v>36644.68</v>
      </c>
      <c r="R189" s="139">
        <v>36644.68</v>
      </c>
      <c r="S189" s="170">
        <f t="shared" si="351"/>
        <v>0</v>
      </c>
      <c r="T189" s="168">
        <v>0</v>
      </c>
      <c r="U189" s="168">
        <v>2779.92</v>
      </c>
      <c r="V189" s="168">
        <v>3901.48</v>
      </c>
      <c r="W189" s="168">
        <v>3738.32</v>
      </c>
      <c r="X189" s="168">
        <v>2514.86</v>
      </c>
      <c r="Y189" s="168">
        <v>3378.54</v>
      </c>
      <c r="Z189" s="168">
        <v>1013.2</v>
      </c>
      <c r="AA189" s="168">
        <v>2380.56</v>
      </c>
      <c r="AB189" s="168">
        <v>1769.04</v>
      </c>
      <c r="AC189" s="168">
        <v>5497</v>
      </c>
      <c r="AD189" s="168">
        <v>5210.08</v>
      </c>
      <c r="AE189" s="168">
        <v>4461.68</v>
      </c>
      <c r="AF189" s="139">
        <f t="shared" si="352"/>
        <v>4958.6400000000003</v>
      </c>
      <c r="AG189" s="139">
        <f t="shared" si="353"/>
        <v>-4958.6400000000003</v>
      </c>
    </row>
    <row r="190" spans="1:33" x14ac:dyDescent="0.25">
      <c r="A190" s="130" t="s">
        <v>683</v>
      </c>
      <c r="C190" s="139"/>
      <c r="D190" s="139">
        <v>-500</v>
      </c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355"/>
        <v>-500</v>
      </c>
      <c r="O190" s="139"/>
      <c r="P190" s="139"/>
      <c r="Q190" s="139"/>
      <c r="R190" s="139"/>
      <c r="S190" s="170"/>
      <c r="U190" s="168"/>
      <c r="V190" s="168"/>
      <c r="W190" s="168"/>
      <c r="X190" s="168"/>
      <c r="Y190" s="168"/>
      <c r="Z190" s="168"/>
      <c r="AA190" s="168"/>
      <c r="AB190" s="168"/>
      <c r="AC190" s="168"/>
      <c r="AD190" s="168"/>
      <c r="AE190" s="168"/>
      <c r="AF190" s="139"/>
      <c r="AG190" s="139"/>
    </row>
    <row r="191" spans="1:33" x14ac:dyDescent="0.25">
      <c r="A191" s="130" t="s">
        <v>139</v>
      </c>
      <c r="C191" s="139"/>
      <c r="D191" s="139">
        <v>10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355"/>
        <v>10</v>
      </c>
      <c r="O191" s="139"/>
      <c r="P191" s="139">
        <f t="shared" si="354"/>
        <v>-1652.97</v>
      </c>
      <c r="Q191" s="139">
        <f t="shared" si="350"/>
        <v>-2203.96</v>
      </c>
      <c r="R191" s="139">
        <v>-2203.96</v>
      </c>
      <c r="S191" s="170">
        <f t="shared" si="351"/>
        <v>0</v>
      </c>
      <c r="T191" s="168">
        <v>0</v>
      </c>
      <c r="U191" s="168">
        <v>0</v>
      </c>
      <c r="V191" s="168">
        <v>0</v>
      </c>
      <c r="W191" s="168">
        <v>0</v>
      </c>
      <c r="X191" s="168">
        <v>-72</v>
      </c>
      <c r="Y191" s="168">
        <v>0</v>
      </c>
      <c r="Z191" s="168">
        <v>-72</v>
      </c>
      <c r="AA191" s="168">
        <v>-198</v>
      </c>
      <c r="AB191" s="168">
        <v>-309.95999999999998</v>
      </c>
      <c r="AC191" s="168">
        <v>-250</v>
      </c>
      <c r="AD191" s="168">
        <v>-1122</v>
      </c>
      <c r="AE191" s="168">
        <v>-180</v>
      </c>
      <c r="AF191" s="139">
        <f t="shared" si="352"/>
        <v>0.90909090909090906</v>
      </c>
      <c r="AG191" s="139">
        <f t="shared" si="353"/>
        <v>-0.90909090909090906</v>
      </c>
    </row>
    <row r="192" spans="1:33" x14ac:dyDescent="0.25">
      <c r="A192" s="130" t="s">
        <v>140</v>
      </c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55"/>
        <v>0</v>
      </c>
      <c r="O192" s="139"/>
      <c r="P192" s="139">
        <f t="shared" si="354"/>
        <v>596.40750000000003</v>
      </c>
      <c r="Q192" s="139">
        <f t="shared" si="350"/>
        <v>795.20999999999992</v>
      </c>
      <c r="R192" s="139">
        <v>795.20999999999992</v>
      </c>
      <c r="S192" s="170">
        <f t="shared" si="351"/>
        <v>0</v>
      </c>
      <c r="T192" s="168">
        <v>1.87</v>
      </c>
      <c r="U192" s="168">
        <v>0</v>
      </c>
      <c r="V192" s="168">
        <v>-115.12</v>
      </c>
      <c r="W192" s="168">
        <v>3216.06</v>
      </c>
      <c r="X192" s="168">
        <v>-2308</v>
      </c>
      <c r="Y192" s="168">
        <v>0</v>
      </c>
      <c r="Z192" s="168">
        <v>0</v>
      </c>
      <c r="AA192" s="168">
        <v>0</v>
      </c>
      <c r="AB192" s="168">
        <v>0</v>
      </c>
      <c r="AC192" s="168">
        <v>0</v>
      </c>
      <c r="AD192" s="168">
        <v>0.4</v>
      </c>
      <c r="AE192" s="168">
        <v>0</v>
      </c>
      <c r="AF192" s="139">
        <f t="shared" si="352"/>
        <v>0</v>
      </c>
      <c r="AG192" s="139">
        <f t="shared" si="353"/>
        <v>0</v>
      </c>
    </row>
    <row r="193" spans="1:33" x14ac:dyDescent="0.25">
      <c r="A193" s="130" t="s">
        <v>141</v>
      </c>
      <c r="B193" s="139">
        <v>-3956.16</v>
      </c>
      <c r="C193" s="139">
        <v>-2955.2</v>
      </c>
      <c r="D193" s="139">
        <v>-2469.4299999999998</v>
      </c>
      <c r="E193" s="139">
        <v>-2676.71</v>
      </c>
      <c r="F193" s="139"/>
      <c r="G193" s="139"/>
      <c r="H193" s="139"/>
      <c r="I193" s="139"/>
      <c r="J193" s="139"/>
      <c r="K193" s="139"/>
      <c r="L193" s="139"/>
      <c r="M193" s="139"/>
      <c r="N193" s="139">
        <f t="shared" si="355"/>
        <v>-12057.5</v>
      </c>
      <c r="O193" s="139"/>
      <c r="P193" s="139">
        <f t="shared" si="354"/>
        <v>-23932.552500000002</v>
      </c>
      <c r="Q193" s="139">
        <f t="shared" si="350"/>
        <v>-31910.07</v>
      </c>
      <c r="R193" s="139">
        <v>-31910.07</v>
      </c>
      <c r="S193" s="170">
        <f t="shared" si="351"/>
        <v>0</v>
      </c>
      <c r="T193" s="168">
        <v>655.42</v>
      </c>
      <c r="U193" s="168">
        <v>-345.3</v>
      </c>
      <c r="V193" s="168">
        <v>-1325.46</v>
      </c>
      <c r="W193" s="168">
        <v>-3163.28</v>
      </c>
      <c r="X193" s="168">
        <v>-3813.42</v>
      </c>
      <c r="Y193" s="168">
        <v>-5151.74</v>
      </c>
      <c r="Z193" s="168">
        <v>-2238.48</v>
      </c>
      <c r="AA193" s="168">
        <v>-4687.5200000000004</v>
      </c>
      <c r="AB193" s="168">
        <v>-3915.61</v>
      </c>
      <c r="AC193" s="168">
        <v>-4595.1400000000003</v>
      </c>
      <c r="AD193" s="168">
        <v>-200.15</v>
      </c>
      <c r="AE193" s="168">
        <v>-3129.39</v>
      </c>
      <c r="AF193" s="139">
        <f t="shared" si="352"/>
        <v>-1096.1363636363637</v>
      </c>
      <c r="AG193" s="139">
        <f t="shared" si="353"/>
        <v>1096.1363636363637</v>
      </c>
    </row>
    <row r="194" spans="1:33" ht="15.6" customHeight="1" x14ac:dyDescent="0.25">
      <c r="A194" s="130" t="s">
        <v>142</v>
      </c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355"/>
        <v>0</v>
      </c>
      <c r="O194" s="139"/>
      <c r="P194" s="139">
        <f t="shared" si="354"/>
        <v>-268.125</v>
      </c>
      <c r="Q194" s="139">
        <f t="shared" si="350"/>
        <v>-357.5</v>
      </c>
      <c r="R194" s="139">
        <v>-357.5</v>
      </c>
      <c r="S194" s="170">
        <f t="shared" si="351"/>
        <v>0</v>
      </c>
      <c r="T194" s="168">
        <v>-260</v>
      </c>
      <c r="U194" s="168">
        <v>0</v>
      </c>
      <c r="V194" s="168">
        <v>-15</v>
      </c>
      <c r="W194" s="168">
        <f>-15</f>
        <v>-15</v>
      </c>
      <c r="X194" s="168">
        <v>0</v>
      </c>
      <c r="Y194" s="168">
        <v>0</v>
      </c>
      <c r="Z194" s="168">
        <v>-52.5</v>
      </c>
      <c r="AA194" s="168">
        <v>0</v>
      </c>
      <c r="AB194" s="168">
        <v>-15</v>
      </c>
      <c r="AC194" s="168">
        <v>0</v>
      </c>
      <c r="AD194" s="168">
        <v>0</v>
      </c>
      <c r="AE194" s="168">
        <v>0</v>
      </c>
      <c r="AF194" s="139">
        <f t="shared" si="352"/>
        <v>0</v>
      </c>
      <c r="AG194" s="139">
        <f t="shared" si="353"/>
        <v>0</v>
      </c>
    </row>
    <row r="195" spans="1:33" ht="15.6" customHeight="1" x14ac:dyDescent="0.25">
      <c r="A195" s="130" t="s">
        <v>143</v>
      </c>
      <c r="B195" s="139">
        <v>10471.790000000001</v>
      </c>
      <c r="C195" s="139">
        <v>33376.76</v>
      </c>
      <c r="D195" s="139">
        <v>31379.66</v>
      </c>
      <c r="E195" s="139">
        <v>20646.78</v>
      </c>
      <c r="F195" s="139"/>
      <c r="G195" s="139"/>
      <c r="H195" s="139"/>
      <c r="I195" s="139"/>
      <c r="J195" s="139"/>
      <c r="K195" s="139"/>
      <c r="L195" s="139"/>
      <c r="M195" s="139"/>
      <c r="N195" s="139">
        <f t="shared" si="355"/>
        <v>95874.99</v>
      </c>
      <c r="O195" s="139"/>
      <c r="P195" s="139">
        <f t="shared" si="354"/>
        <v>131436.33750000002</v>
      </c>
      <c r="Q195" s="139">
        <f t="shared" si="350"/>
        <v>175248.45000000004</v>
      </c>
      <c r="R195" s="139">
        <v>175248.45000000004</v>
      </c>
      <c r="S195" s="170">
        <f t="shared" si="351"/>
        <v>0</v>
      </c>
      <c r="T195" s="168">
        <v>0</v>
      </c>
      <c r="U195" s="168">
        <v>0</v>
      </c>
      <c r="V195" s="168">
        <v>0</v>
      </c>
      <c r="W195" s="168">
        <v>168314.67</v>
      </c>
      <c r="X195" s="168">
        <v>0</v>
      </c>
      <c r="Y195" s="168">
        <v>1178.56</v>
      </c>
      <c r="Z195" s="168">
        <v>707.78</v>
      </c>
      <c r="AA195" s="168">
        <v>73.5</v>
      </c>
      <c r="AB195" s="168">
        <v>3004.54</v>
      </c>
      <c r="AC195" s="168">
        <v>336</v>
      </c>
      <c r="AD195" s="168">
        <v>1452.89</v>
      </c>
      <c r="AE195" s="168">
        <v>180.51</v>
      </c>
      <c r="AF195" s="139">
        <f t="shared" si="352"/>
        <v>8715.9081818181821</v>
      </c>
      <c r="AG195" s="139">
        <f t="shared" si="353"/>
        <v>-8715.9081818181821</v>
      </c>
    </row>
    <row r="196" spans="1:33" ht="15.6" hidden="1" customHeight="1" x14ac:dyDescent="0.25">
      <c r="A196" s="130" t="s">
        <v>443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355"/>
        <v>0</v>
      </c>
      <c r="O196" s="139"/>
      <c r="P196" s="139">
        <f t="shared" si="354"/>
        <v>9203.2049999999999</v>
      </c>
      <c r="Q196" s="139">
        <f t="shared" si="350"/>
        <v>12270.94</v>
      </c>
      <c r="R196" s="139">
        <v>12270.94</v>
      </c>
      <c r="S196" s="170">
        <f t="shared" si="351"/>
        <v>0</v>
      </c>
      <c r="U196" s="168"/>
      <c r="V196" s="168"/>
      <c r="W196" s="168"/>
      <c r="X196" s="168"/>
      <c r="Y196" s="168">
        <v>0</v>
      </c>
      <c r="Z196" s="168">
        <v>0</v>
      </c>
      <c r="AA196" s="168">
        <v>3682.32</v>
      </c>
      <c r="AB196" s="168">
        <v>3682.32</v>
      </c>
      <c r="AC196" s="168">
        <v>0</v>
      </c>
      <c r="AD196" s="168">
        <v>-3.46</v>
      </c>
      <c r="AE196" s="168">
        <v>4909.76</v>
      </c>
      <c r="AF196" s="139"/>
      <c r="AG196" s="139"/>
    </row>
    <row r="197" spans="1:33" ht="15.6" customHeight="1" x14ac:dyDescent="0.25">
      <c r="A197" s="130" t="s">
        <v>144</v>
      </c>
      <c r="B197" s="139">
        <v>21885249.73</v>
      </c>
      <c r="C197" s="139">
        <v>24919732.07</v>
      </c>
      <c r="D197" s="139">
        <v>26560804.5</v>
      </c>
      <c r="E197" s="139">
        <v>26968414.449999999</v>
      </c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55"/>
        <v>100334200.75</v>
      </c>
      <c r="O197" s="139"/>
      <c r="P197" s="139">
        <f t="shared" si="354"/>
        <v>7529634.6449999996</v>
      </c>
      <c r="Q197" s="139">
        <f t="shared" si="350"/>
        <v>10039512.859999999</v>
      </c>
      <c r="R197" s="139">
        <v>10039512.859999999</v>
      </c>
      <c r="S197" s="170">
        <f t="shared" si="351"/>
        <v>0</v>
      </c>
      <c r="T197" s="168">
        <v>0</v>
      </c>
      <c r="U197" s="168">
        <v>0</v>
      </c>
      <c r="V197" s="168">
        <v>0</v>
      </c>
      <c r="W197" s="168">
        <v>12675.04</v>
      </c>
      <c r="X197" s="168">
        <v>-0.02</v>
      </c>
      <c r="Y197" s="168">
        <v>0</v>
      </c>
      <c r="Z197" s="168">
        <v>164595.71</v>
      </c>
      <c r="AA197" s="168">
        <v>146739.68</v>
      </c>
      <c r="AB197" s="168">
        <v>2220349.09</v>
      </c>
      <c r="AC197" s="168">
        <v>1271914.67</v>
      </c>
      <c r="AD197" s="168">
        <v>3238726.03</v>
      </c>
      <c r="AE197" s="168">
        <v>2984512.66</v>
      </c>
      <c r="AF197" s="139"/>
      <c r="AG197" s="139"/>
    </row>
    <row r="198" spans="1:33" ht="15.6" customHeight="1" x14ac:dyDescent="0.25">
      <c r="A198" s="130" t="s">
        <v>607</v>
      </c>
      <c r="B198" s="139">
        <v>70679</v>
      </c>
      <c r="C198" s="139">
        <v>77334.66</v>
      </c>
      <c r="D198" s="139">
        <v>80213</v>
      </c>
      <c r="E198" s="139">
        <v>81592</v>
      </c>
      <c r="F198" s="139"/>
      <c r="G198" s="139"/>
      <c r="H198" s="139"/>
      <c r="I198" s="139"/>
      <c r="J198" s="139"/>
      <c r="K198" s="139"/>
      <c r="L198" s="139"/>
      <c r="M198" s="139"/>
      <c r="N198" s="139">
        <f t="shared" si="355"/>
        <v>309818.66000000003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584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355"/>
        <v>0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437</v>
      </c>
      <c r="B200" s="139">
        <v>902381.75</v>
      </c>
      <c r="C200" s="139">
        <v>573125.09</v>
      </c>
      <c r="D200" s="139">
        <v>492314.05</v>
      </c>
      <c r="E200" s="139">
        <v>195679.26</v>
      </c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55"/>
        <v>2163500.15</v>
      </c>
      <c r="O200" s="139"/>
      <c r="P200" s="139">
        <f t="shared" si="354"/>
        <v>-33902.86500000002</v>
      </c>
      <c r="Q200" s="139">
        <f t="shared" si="350"/>
        <v>-45203.820000000029</v>
      </c>
      <c r="R200" s="139">
        <v>-45203.820000000029</v>
      </c>
      <c r="S200" s="170">
        <f t="shared" si="351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0</v>
      </c>
      <c r="Z200" s="168">
        <v>-4850.6000000000004</v>
      </c>
      <c r="AA200" s="168">
        <v>-8842.1</v>
      </c>
      <c r="AB200" s="168">
        <v>-211499.92</v>
      </c>
      <c r="AC200" s="168">
        <v>324145.44</v>
      </c>
      <c r="AD200" s="168">
        <v>-140290.01</v>
      </c>
      <c r="AE200" s="168">
        <v>-3866.63</v>
      </c>
      <c r="AF200" s="139"/>
      <c r="AG200" s="139"/>
    </row>
    <row r="201" spans="1:33" ht="15.6" customHeight="1" x14ac:dyDescent="0.25">
      <c r="A201" s="130" t="s">
        <v>574</v>
      </c>
      <c r="B201" s="139">
        <v>2035</v>
      </c>
      <c r="C201" s="139">
        <v>4046.47</v>
      </c>
      <c r="D201" s="139">
        <v>1972.4</v>
      </c>
      <c r="E201" s="139">
        <v>1932.22</v>
      </c>
      <c r="F201" s="139"/>
      <c r="G201" s="139"/>
      <c r="H201" s="139"/>
      <c r="I201" s="139"/>
      <c r="J201" s="139"/>
      <c r="K201" s="139"/>
      <c r="L201" s="139"/>
      <c r="M201" s="139"/>
      <c r="N201" s="139">
        <f t="shared" si="355"/>
        <v>9986.0899999999983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hidden="1" customHeight="1" x14ac:dyDescent="0.25">
      <c r="A202" s="130" t="s">
        <v>444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355"/>
        <v>0</v>
      </c>
      <c r="O202" s="139"/>
      <c r="P202" s="139">
        <f t="shared" si="354"/>
        <v>7175.6549999999997</v>
      </c>
      <c r="Q202" s="139">
        <f t="shared" si="350"/>
        <v>9567.5399999999991</v>
      </c>
      <c r="R202" s="139">
        <v>9567.5399999999991</v>
      </c>
      <c r="S202" s="170">
        <f t="shared" si="351"/>
        <v>0</v>
      </c>
      <c r="U202" s="168"/>
      <c r="V202" s="168"/>
      <c r="W202" s="168"/>
      <c r="X202" s="168"/>
      <c r="Y202" s="168">
        <v>0</v>
      </c>
      <c r="Z202" s="168">
        <v>0</v>
      </c>
      <c r="AA202" s="168">
        <v>-686.87</v>
      </c>
      <c r="AB202" s="168">
        <v>-1890.15</v>
      </c>
      <c r="AC202" s="168">
        <v>0</v>
      </c>
      <c r="AD202" s="168">
        <v>8135.59</v>
      </c>
      <c r="AE202" s="168">
        <v>4008.97</v>
      </c>
      <c r="AF202" s="139"/>
      <c r="AG202" s="139"/>
    </row>
    <row r="203" spans="1:33" ht="15.6" customHeight="1" x14ac:dyDescent="0.25">
      <c r="A203" s="130" t="s">
        <v>417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55"/>
        <v>0</v>
      </c>
      <c r="O203" s="139"/>
      <c r="P203" s="139">
        <f t="shared" ref="P203" si="356">Q203/12*$P$3</f>
        <v>68.475000000000009</v>
      </c>
      <c r="Q203" s="139">
        <f t="shared" si="350"/>
        <v>91.300000000000011</v>
      </c>
      <c r="R203" s="139">
        <v>91.300000000000011</v>
      </c>
      <c r="S203" s="170">
        <f t="shared" si="351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29.46</v>
      </c>
      <c r="Z203" s="168">
        <v>61.84</v>
      </c>
      <c r="AA203" s="168">
        <v>0</v>
      </c>
      <c r="AB203" s="168">
        <v>0</v>
      </c>
      <c r="AC203" s="168">
        <v>0</v>
      </c>
      <c r="AD203" s="168">
        <v>0</v>
      </c>
      <c r="AE203" s="168">
        <v>0</v>
      </c>
      <c r="AF203" s="139"/>
      <c r="AG203" s="139"/>
    </row>
    <row r="204" spans="1:33" ht="15.6" hidden="1" customHeight="1" x14ac:dyDescent="0.25">
      <c r="A204" s="130" t="s">
        <v>418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55"/>
        <v>0</v>
      </c>
      <c r="O204" s="139"/>
      <c r="P204" s="139">
        <f t="shared" ref="P204:P206" si="357">Q204/12*$P$3</f>
        <v>-1882.7550000000001</v>
      </c>
      <c r="Q204" s="139">
        <f t="shared" ref="Q204:Q206" si="358">R204</f>
        <v>-2510.34</v>
      </c>
      <c r="R204" s="139">
        <v>-2510.34</v>
      </c>
      <c r="S204" s="170">
        <f t="shared" si="351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100.32</v>
      </c>
      <c r="AA204" s="168">
        <v>-1577.17</v>
      </c>
      <c r="AB204" s="168">
        <v>81.47</v>
      </c>
      <c r="AC204" s="168">
        <v>-732.39</v>
      </c>
      <c r="AD204" s="168">
        <v>0</v>
      </c>
      <c r="AE204" s="168">
        <v>-382.57</v>
      </c>
      <c r="AF204" s="139"/>
      <c r="AG204" s="139"/>
    </row>
    <row r="205" spans="1:33" ht="15.6" hidden="1" customHeight="1" x14ac:dyDescent="0.25">
      <c r="A205" s="130" t="s">
        <v>433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55"/>
        <v>0</v>
      </c>
      <c r="O205" s="139"/>
      <c r="P205" s="139">
        <f t="shared" si="357"/>
        <v>126</v>
      </c>
      <c r="Q205" s="139">
        <f t="shared" si="358"/>
        <v>168</v>
      </c>
      <c r="R205" s="139">
        <v>168</v>
      </c>
      <c r="S205" s="170">
        <f t="shared" si="351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168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521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55"/>
        <v>0</v>
      </c>
      <c r="O206" s="139"/>
      <c r="P206" s="139">
        <f t="shared" si="357"/>
        <v>78.802499999999995</v>
      </c>
      <c r="Q206" s="139">
        <f t="shared" si="358"/>
        <v>105.07000000000001</v>
      </c>
      <c r="R206" s="139">
        <v>105.07000000000001</v>
      </c>
      <c r="S206" s="170">
        <f t="shared" ref="S206:S275" si="359">R206-SUM(T206:AE206)</f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8">
        <v>0</v>
      </c>
      <c r="AB206" s="168">
        <v>0</v>
      </c>
      <c r="AC206" s="168">
        <v>0</v>
      </c>
      <c r="AD206" s="168">
        <v>-45.83</v>
      </c>
      <c r="AE206" s="168">
        <v>150.9</v>
      </c>
      <c r="AF206" s="139"/>
      <c r="AG206" s="139"/>
    </row>
    <row r="207" spans="1:33" s="138" customFormat="1" x14ac:dyDescent="0.25">
      <c r="A207" s="138" t="s">
        <v>145</v>
      </c>
      <c r="B207" s="158">
        <f>SUM(B134:B206)</f>
        <v>556458909.39999986</v>
      </c>
      <c r="C207" s="158">
        <f t="shared" ref="C207:M207" si="360">SUM(C134:C206)</f>
        <v>700150376.44000018</v>
      </c>
      <c r="D207" s="158">
        <f t="shared" si="360"/>
        <v>591869731.28999996</v>
      </c>
      <c r="E207" s="158">
        <f t="shared" si="360"/>
        <v>482511931.43000013</v>
      </c>
      <c r="F207" s="158">
        <f t="shared" si="360"/>
        <v>0</v>
      </c>
      <c r="G207" s="158">
        <f t="shared" si="360"/>
        <v>0</v>
      </c>
      <c r="H207" s="158">
        <f t="shared" si="360"/>
        <v>0</v>
      </c>
      <c r="I207" s="158">
        <f>SUM(I134:I206)</f>
        <v>0</v>
      </c>
      <c r="J207" s="158">
        <f t="shared" si="360"/>
        <v>0</v>
      </c>
      <c r="K207" s="158">
        <f t="shared" si="360"/>
        <v>0</v>
      </c>
      <c r="L207" s="158">
        <f t="shared" si="360"/>
        <v>0</v>
      </c>
      <c r="M207" s="158">
        <f t="shared" si="360"/>
        <v>0</v>
      </c>
      <c r="N207" s="158">
        <f>SUM(N134:N206)</f>
        <v>2330990948.5600004</v>
      </c>
      <c r="O207" s="158"/>
      <c r="P207" s="158">
        <f>SUM(P134:P206)</f>
        <v>3510553456.462502</v>
      </c>
      <c r="Q207" s="158">
        <f>SUM(Q134:Q206)</f>
        <v>4680737941.9499979</v>
      </c>
      <c r="R207" s="158">
        <v>4680737941.9499979</v>
      </c>
      <c r="S207" s="170">
        <f t="shared" si="359"/>
        <v>0</v>
      </c>
      <c r="T207" s="183">
        <f>SUM(T134:T206)</f>
        <v>584692821.1099999</v>
      </c>
      <c r="U207" s="183">
        <f t="shared" ref="U207:X207" si="361">SUM(U134:U204)</f>
        <v>1326064718.7600005</v>
      </c>
      <c r="V207" s="183">
        <f t="shared" si="361"/>
        <v>407886159.28000009</v>
      </c>
      <c r="W207" s="183">
        <f>SUM(W134:W206)</f>
        <v>144492603.92999986</v>
      </c>
      <c r="X207" s="183">
        <f t="shared" si="361"/>
        <v>212099725.4200002</v>
      </c>
      <c r="Y207" s="183">
        <f t="shared" ref="Y207:AD207" si="362">SUM(Y134:Y206)</f>
        <v>355772504.34000009</v>
      </c>
      <c r="Z207" s="183">
        <f t="shared" si="362"/>
        <v>291293762.78999996</v>
      </c>
      <c r="AA207" s="183">
        <f t="shared" si="362"/>
        <v>454018087.06999999</v>
      </c>
      <c r="AB207" s="183">
        <f t="shared" si="362"/>
        <v>336223545.79000008</v>
      </c>
      <c r="AC207" s="183">
        <f t="shared" si="362"/>
        <v>149782494.22999993</v>
      </c>
      <c r="AD207" s="183">
        <f t="shared" si="362"/>
        <v>225484150.4199999</v>
      </c>
      <c r="AE207" s="183">
        <f>SUM(AE134:AE206)</f>
        <v>192927368.80999973</v>
      </c>
      <c r="AF207" s="158">
        <f t="shared" si="352"/>
        <v>211908268.05090913</v>
      </c>
      <c r="AG207" s="158">
        <f t="shared" si="353"/>
        <v>-211908268.05090913</v>
      </c>
    </row>
    <row r="208" spans="1:33" s="138" customFormat="1" ht="15.75" thickBot="1" x14ac:dyDescent="0.3">
      <c r="A208" s="138" t="s">
        <v>146</v>
      </c>
      <c r="B208" s="157">
        <f t="shared" ref="B208:G208" si="363">B132-B207</f>
        <v>3651223.2500002384</v>
      </c>
      <c r="C208" s="157">
        <f t="shared" si="363"/>
        <v>7331924.9899998903</v>
      </c>
      <c r="D208" s="157">
        <f t="shared" si="363"/>
        <v>8659261.0500000715</v>
      </c>
      <c r="E208" s="157">
        <f t="shared" si="363"/>
        <v>6366151.1599998474</v>
      </c>
      <c r="F208" s="157">
        <f t="shared" si="363"/>
        <v>0</v>
      </c>
      <c r="G208" s="157">
        <f t="shared" si="363"/>
        <v>0</v>
      </c>
      <c r="H208" s="157">
        <f t="shared" ref="H208" si="364">H132-H207</f>
        <v>0</v>
      </c>
      <c r="I208" s="157">
        <f>I132-I207</f>
        <v>0</v>
      </c>
      <c r="J208" s="157">
        <f>J132-J207</f>
        <v>0</v>
      </c>
      <c r="K208" s="157">
        <f>K132-K207</f>
        <v>0</v>
      </c>
      <c r="L208" s="157">
        <f>L132-L207</f>
        <v>0</v>
      </c>
      <c r="M208" s="157">
        <f>M132-M207</f>
        <v>0</v>
      </c>
      <c r="N208" s="157">
        <f>SUM(B208:M208)</f>
        <v>26008560.450000048</v>
      </c>
      <c r="O208" s="157"/>
      <c r="P208" s="157">
        <f t="shared" ref="P208" si="365">P132-P207</f>
        <v>4166650.4474983215</v>
      </c>
      <c r="Q208" s="157">
        <f>Q132-Q207</f>
        <v>5555533.9300031662</v>
      </c>
      <c r="R208" s="157">
        <v>5555533.9299998283</v>
      </c>
      <c r="S208" s="170">
        <f t="shared" si="359"/>
        <v>0</v>
      </c>
      <c r="T208" s="182">
        <f t="shared" ref="T208:Z208" si="366">T132-T207</f>
        <v>697510.16000008583</v>
      </c>
      <c r="U208" s="182">
        <f t="shared" si="366"/>
        <v>624547.37999987602</v>
      </c>
      <c r="V208" s="182">
        <f t="shared" si="366"/>
        <v>769919.81999999285</v>
      </c>
      <c r="W208" s="182">
        <f t="shared" si="366"/>
        <v>477580.01000010967</v>
      </c>
      <c r="X208" s="182">
        <f t="shared" si="366"/>
        <v>386606.16999977827</v>
      </c>
      <c r="Y208" s="182">
        <f t="shared" si="366"/>
        <v>532374.25999993086</v>
      </c>
      <c r="Z208" s="182">
        <f t="shared" si="366"/>
        <v>339887.33999991417</v>
      </c>
      <c r="AA208" s="182">
        <f>AA132-AA207</f>
        <v>406594.80999988317</v>
      </c>
      <c r="AB208" s="182">
        <f>AB132-AB207</f>
        <v>328169.66999995708</v>
      </c>
      <c r="AC208" s="182">
        <f>AC132-AC207</f>
        <v>519535.71999999881</v>
      </c>
      <c r="AD208" s="182">
        <f>AD132-AD207</f>
        <v>199948.67000007629</v>
      </c>
      <c r="AE208" s="182">
        <f>AE132-AE207</f>
        <v>272859.92000022531</v>
      </c>
      <c r="AF208" s="157">
        <f t="shared" si="352"/>
        <v>2364414.5863636406</v>
      </c>
      <c r="AG208" s="157">
        <f t="shared" si="353"/>
        <v>-2364414.5863636406</v>
      </c>
    </row>
    <row r="209" spans="1:33" ht="15.75" thickTop="1" x14ac:dyDescent="0.25"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70">
        <f t="shared" si="359"/>
        <v>0</v>
      </c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39">
        <f t="shared" si="352"/>
        <v>0</v>
      </c>
      <c r="AG209" s="139">
        <f t="shared" si="353"/>
        <v>0</v>
      </c>
    </row>
    <row r="210" spans="1:33" x14ac:dyDescent="0.25">
      <c r="A210" s="130" t="s">
        <v>147</v>
      </c>
      <c r="B210" s="139">
        <v>299402.21999999997</v>
      </c>
      <c r="C210" s="139">
        <v>280551.96000000002</v>
      </c>
      <c r="D210" s="139">
        <v>320033.76</v>
      </c>
      <c r="E210" s="139">
        <v>300469.87</v>
      </c>
      <c r="F210" s="139"/>
      <c r="G210" s="139"/>
      <c r="H210" s="139"/>
      <c r="I210" s="139"/>
      <c r="J210" s="139"/>
      <c r="K210" s="139"/>
      <c r="L210" s="139"/>
      <c r="M210" s="139"/>
      <c r="N210" s="139">
        <f t="shared" ref="N210:N224" si="367">SUM(B210:M210)</f>
        <v>1200457.81</v>
      </c>
      <c r="O210" s="139"/>
      <c r="P210" s="139">
        <f>Q210/12*$P$3</f>
        <v>1955056.6875</v>
      </c>
      <c r="Q210" s="139">
        <f>R210</f>
        <v>2606742.25</v>
      </c>
      <c r="R210" s="139">
        <v>2606742.25</v>
      </c>
      <c r="S210" s="170">
        <f t="shared" si="359"/>
        <v>0</v>
      </c>
      <c r="T210" s="168">
        <v>321540.08</v>
      </c>
      <c r="U210" s="168">
        <v>265057.82</v>
      </c>
      <c r="V210" s="168">
        <v>284816.11</v>
      </c>
      <c r="W210" s="168">
        <v>286945.63</v>
      </c>
      <c r="X210" s="168">
        <v>338930.51</v>
      </c>
      <c r="Y210" s="168">
        <v>336452.67</v>
      </c>
      <c r="Z210" s="168">
        <v>332380.34000000003</v>
      </c>
      <c r="AA210" s="168">
        <v>332790.09000000003</v>
      </c>
      <c r="AB210" s="168">
        <v>-648016.48</v>
      </c>
      <c r="AC210" s="168">
        <v>241846.34</v>
      </c>
      <c r="AD210" s="168">
        <v>170686.83</v>
      </c>
      <c r="AE210" s="168">
        <v>343312.31</v>
      </c>
      <c r="AF210" s="139">
        <f t="shared" si="352"/>
        <v>109132.52818181818</v>
      </c>
      <c r="AG210" s="139">
        <f t="shared" si="353"/>
        <v>-109132.52818181818</v>
      </c>
    </row>
    <row r="211" spans="1:33" x14ac:dyDescent="0.25">
      <c r="A211" s="130" t="s">
        <v>148</v>
      </c>
      <c r="B211" s="139">
        <v>534379.17000000004</v>
      </c>
      <c r="C211" s="139">
        <v>34170.839999999997</v>
      </c>
      <c r="D211" s="139">
        <v>2034170.82</v>
      </c>
      <c r="E211" s="139">
        <v>34170.839999999997</v>
      </c>
      <c r="F211" s="139"/>
      <c r="G211" s="139"/>
      <c r="H211" s="139"/>
      <c r="I211" s="139"/>
      <c r="J211" s="139"/>
      <c r="K211" s="139"/>
      <c r="L211" s="139"/>
      <c r="M211" s="139"/>
      <c r="N211" s="139">
        <f t="shared" si="367"/>
        <v>2636891.67</v>
      </c>
      <c r="O211" s="139"/>
      <c r="P211" s="139">
        <f t="shared" ref="P211:P224" si="368">Q211/12*$P$3</f>
        <v>119681.73</v>
      </c>
      <c r="Q211" s="139">
        <f>13297.97*12</f>
        <v>159575.63999999998</v>
      </c>
      <c r="R211" s="139">
        <v>286.27999999999997</v>
      </c>
      <c r="S211" s="170">
        <f t="shared" si="359"/>
        <v>0</v>
      </c>
      <c r="T211" s="168">
        <v>0</v>
      </c>
      <c r="U211" s="168">
        <v>0</v>
      </c>
      <c r="V211" s="168">
        <v>0</v>
      </c>
      <c r="W211" s="168">
        <v>0</v>
      </c>
      <c r="X211" s="168">
        <v>0</v>
      </c>
      <c r="Y211" s="168">
        <v>0</v>
      </c>
      <c r="Z211" s="168">
        <v>0</v>
      </c>
      <c r="AA211" s="168">
        <v>0</v>
      </c>
      <c r="AB211" s="168">
        <v>0</v>
      </c>
      <c r="AC211" s="168"/>
      <c r="AD211" s="168">
        <v>0</v>
      </c>
      <c r="AE211" s="168">
        <v>286.27999999999997</v>
      </c>
      <c r="AF211" s="139">
        <f t="shared" si="352"/>
        <v>239717.42454545453</v>
      </c>
      <c r="AG211" s="139">
        <f t="shared" si="353"/>
        <v>-239717.42454545453</v>
      </c>
    </row>
    <row r="212" spans="1:33" x14ac:dyDescent="0.25">
      <c r="A212" s="130" t="s">
        <v>149</v>
      </c>
      <c r="B212" s="139">
        <v>1689.88</v>
      </c>
      <c r="C212" s="139">
        <v>9653.69</v>
      </c>
      <c r="D212" s="139">
        <v>1791.69</v>
      </c>
      <c r="E212" s="139">
        <v>1791.7</v>
      </c>
      <c r="F212" s="139"/>
      <c r="G212" s="139"/>
      <c r="H212" s="139"/>
      <c r="I212" s="139"/>
      <c r="J212" s="139"/>
      <c r="K212" s="139"/>
      <c r="L212" s="139"/>
      <c r="M212" s="139"/>
      <c r="N212" s="139">
        <f t="shared" si="367"/>
        <v>14926.960000000001</v>
      </c>
      <c r="O212" s="139"/>
      <c r="P212" s="139">
        <f t="shared" si="368"/>
        <v>28710.75</v>
      </c>
      <c r="Q212" s="139">
        <f t="shared" ref="Q212:Q224" si="369">R212</f>
        <v>38281</v>
      </c>
      <c r="R212" s="139">
        <v>38281</v>
      </c>
      <c r="S212" s="170">
        <f t="shared" si="359"/>
        <v>0</v>
      </c>
      <c r="T212" s="168">
        <v>0</v>
      </c>
      <c r="U212" s="168">
        <v>4088</v>
      </c>
      <c r="V212" s="168">
        <v>4088</v>
      </c>
      <c r="W212" s="168">
        <v>4088</v>
      </c>
      <c r="X212" s="168">
        <v>4088</v>
      </c>
      <c r="Y212" s="168">
        <v>-2599</v>
      </c>
      <c r="Z212" s="168">
        <f>[21]Sheet1!$R$95</f>
        <v>4088</v>
      </c>
      <c r="AA212" s="168">
        <v>4088</v>
      </c>
      <c r="AB212" s="168">
        <v>4088</v>
      </c>
      <c r="AC212" s="168">
        <v>4088</v>
      </c>
      <c r="AD212" s="168">
        <v>4088</v>
      </c>
      <c r="AE212" s="168">
        <v>4088</v>
      </c>
      <c r="AF212" s="139">
        <f t="shared" si="352"/>
        <v>1356.9963636363636</v>
      </c>
      <c r="AG212" s="139">
        <f t="shared" si="353"/>
        <v>-1356.9963636363636</v>
      </c>
    </row>
    <row r="213" spans="1:33" x14ac:dyDescent="0.25">
      <c r="A213" s="130" t="s">
        <v>150</v>
      </c>
      <c r="B213" s="139">
        <v>32840.15</v>
      </c>
      <c r="C213" s="139">
        <v>25943.63</v>
      </c>
      <c r="D213" s="139">
        <v>29049.01</v>
      </c>
      <c r="E213" s="139">
        <v>43394.14</v>
      </c>
      <c r="F213" s="139"/>
      <c r="G213" s="139"/>
      <c r="H213" s="139"/>
      <c r="I213" s="139"/>
      <c r="J213" s="139"/>
      <c r="K213" s="139"/>
      <c r="L213" s="139"/>
      <c r="M213" s="139"/>
      <c r="N213" s="139">
        <f t="shared" si="367"/>
        <v>131226.93</v>
      </c>
      <c r="O213" s="139"/>
      <c r="P213" s="139">
        <f t="shared" si="368"/>
        <v>157327.73249999998</v>
      </c>
      <c r="Q213" s="139">
        <f t="shared" si="369"/>
        <v>209770.30999999997</v>
      </c>
      <c r="R213" s="139">
        <v>209770.30999999997</v>
      </c>
      <c r="S213" s="170">
        <f t="shared" si="359"/>
        <v>0</v>
      </c>
      <c r="T213" s="168">
        <v>34485.919999999998</v>
      </c>
      <c r="U213" s="168">
        <v>25848.55</v>
      </c>
      <c r="V213" s="168">
        <v>25451.64</v>
      </c>
      <c r="W213" s="168">
        <v>26482.85</v>
      </c>
      <c r="X213" s="168">
        <v>27594.59</v>
      </c>
      <c r="Y213" s="168">
        <v>26155.119999999999</v>
      </c>
      <c r="Z213" s="168">
        <f>[21]Sheet1!$R$96</f>
        <v>24572.799999999999</v>
      </c>
      <c r="AA213" s="168">
        <v>24177.29</v>
      </c>
      <c r="AB213" s="168">
        <v>-60236.23</v>
      </c>
      <c r="AC213" s="168">
        <v>15408.87</v>
      </c>
      <c r="AD213" s="168">
        <v>10816.19</v>
      </c>
      <c r="AE213" s="168">
        <v>29012.720000000001</v>
      </c>
      <c r="AF213" s="139">
        <f t="shared" si="352"/>
        <v>11929.720909090909</v>
      </c>
      <c r="AG213" s="139">
        <f t="shared" si="353"/>
        <v>-11929.720909090909</v>
      </c>
    </row>
    <row r="214" spans="1:33" x14ac:dyDescent="0.25">
      <c r="A214" s="130" t="s">
        <v>151</v>
      </c>
      <c r="B214" s="139">
        <v>33305.129999999997</v>
      </c>
      <c r="C214" s="139">
        <v>37166.99</v>
      </c>
      <c r="D214" s="139">
        <v>38729.360000000001</v>
      </c>
      <c r="E214" s="139">
        <v>35866.44</v>
      </c>
      <c r="F214" s="139"/>
      <c r="G214" s="139"/>
      <c r="H214" s="139"/>
      <c r="I214" s="139"/>
      <c r="J214" s="139"/>
      <c r="K214" s="139"/>
      <c r="L214" s="139"/>
      <c r="M214" s="139"/>
      <c r="N214" s="139">
        <f t="shared" si="367"/>
        <v>145067.91999999998</v>
      </c>
      <c r="O214" s="139"/>
      <c r="P214" s="139">
        <f t="shared" si="368"/>
        <v>202311</v>
      </c>
      <c r="Q214" s="139">
        <f>22479*12</f>
        <v>269748</v>
      </c>
      <c r="R214" s="139">
        <v>223406.7</v>
      </c>
      <c r="S214" s="170">
        <f t="shared" si="359"/>
        <v>0</v>
      </c>
      <c r="T214" s="168">
        <v>34701.300000000003</v>
      </c>
      <c r="U214" s="168">
        <v>29078.31</v>
      </c>
      <c r="V214" s="168">
        <v>14776.7</v>
      </c>
      <c r="W214" s="168">
        <v>22093.19</v>
      </c>
      <c r="X214" s="168">
        <v>36544.94</v>
      </c>
      <c r="Y214" s="168">
        <v>29148.65</v>
      </c>
      <c r="Z214" s="168">
        <f>[21]Sheet1!$R$97</f>
        <v>26044.41</v>
      </c>
      <c r="AA214" s="168">
        <v>23927.88</v>
      </c>
      <c r="AB214" s="168">
        <v>-43787.11</v>
      </c>
      <c r="AC214" s="168">
        <v>17362.52</v>
      </c>
      <c r="AD214" s="168">
        <v>16364.54</v>
      </c>
      <c r="AE214" s="168">
        <v>17151.37</v>
      </c>
      <c r="AF214" s="139">
        <f t="shared" si="352"/>
        <v>13187.992727272725</v>
      </c>
      <c r="AG214" s="139">
        <f t="shared" si="353"/>
        <v>-13187.992727272725</v>
      </c>
    </row>
    <row r="215" spans="1:33" x14ac:dyDescent="0.25">
      <c r="A215" s="130" t="s">
        <v>152</v>
      </c>
      <c r="B215" s="139">
        <v>4777.6899999999996</v>
      </c>
      <c r="C215" s="139">
        <v>5500.52</v>
      </c>
      <c r="D215" s="139">
        <v>5314.05</v>
      </c>
      <c r="E215" s="139">
        <v>4786.66</v>
      </c>
      <c r="F215" s="139"/>
      <c r="G215" s="139"/>
      <c r="H215" s="139"/>
      <c r="I215" s="139"/>
      <c r="J215" s="139"/>
      <c r="K215" s="139"/>
      <c r="L215" s="139"/>
      <c r="M215" s="139"/>
      <c r="N215" s="139">
        <f>SUM(B215:M215)</f>
        <v>20378.919999999998</v>
      </c>
      <c r="O215" s="139"/>
      <c r="P215" s="139">
        <f t="shared" si="368"/>
        <v>29250</v>
      </c>
      <c r="Q215" s="139">
        <v>39000</v>
      </c>
      <c r="R215" s="139">
        <v>31540.97</v>
      </c>
      <c r="S215" s="170">
        <f t="shared" si="359"/>
        <v>0</v>
      </c>
      <c r="T215" s="168">
        <v>3985.86</v>
      </c>
      <c r="U215" s="168">
        <v>4106.21</v>
      </c>
      <c r="V215" s="168">
        <v>4155.76</v>
      </c>
      <c r="W215" s="168">
        <v>3572.78</v>
      </c>
      <c r="X215" s="168">
        <v>2661.9</v>
      </c>
      <c r="Y215" s="168">
        <v>4701.25</v>
      </c>
      <c r="Z215" s="168">
        <f>[21]Sheet1!$R$98</f>
        <v>4559.01</v>
      </c>
      <c r="AA215" s="168">
        <v>4006.17</v>
      </c>
      <c r="AB215" s="168">
        <v>-8718.48</v>
      </c>
      <c r="AC215" s="184">
        <v>2920.76</v>
      </c>
      <c r="AD215" s="168">
        <v>2800.78</v>
      </c>
      <c r="AE215" s="168">
        <v>2788.97</v>
      </c>
      <c r="AF215" s="139">
        <f t="shared" si="352"/>
        <v>1852.6290909090908</v>
      </c>
      <c r="AG215" s="139">
        <f t="shared" si="353"/>
        <v>-1852.6290909090908</v>
      </c>
    </row>
    <row r="216" spans="1:33" x14ac:dyDescent="0.25">
      <c r="A216" s="130" t="s">
        <v>153</v>
      </c>
      <c r="B216" s="139">
        <v>5807.97</v>
      </c>
      <c r="C216" s="139">
        <v>5209.58</v>
      </c>
      <c r="D216" s="139">
        <v>55054.41</v>
      </c>
      <c r="E216" s="139">
        <v>5836.38</v>
      </c>
      <c r="F216" s="139"/>
      <c r="G216" s="139"/>
      <c r="H216" s="139"/>
      <c r="I216" s="139"/>
      <c r="J216" s="139"/>
      <c r="K216" s="139"/>
      <c r="L216" s="139"/>
      <c r="M216" s="139"/>
      <c r="N216" s="139">
        <f t="shared" si="367"/>
        <v>71908.340000000011</v>
      </c>
      <c r="O216" s="139"/>
      <c r="P216" s="139">
        <f t="shared" si="368"/>
        <v>90000</v>
      </c>
      <c r="Q216" s="139">
        <v>120000</v>
      </c>
      <c r="R216" s="139">
        <v>77546.92</v>
      </c>
      <c r="S216" s="170">
        <f t="shared" si="359"/>
        <v>0</v>
      </c>
      <c r="T216" s="168">
        <v>9167</v>
      </c>
      <c r="U216" s="168">
        <v>9167</v>
      </c>
      <c r="V216" s="168">
        <v>9167</v>
      </c>
      <c r="W216" s="168">
        <v>9167</v>
      </c>
      <c r="X216" s="168">
        <v>9167</v>
      </c>
      <c r="Y216" s="168">
        <v>8600</v>
      </c>
      <c r="Z216" s="168">
        <f>[21]Sheet1!$R$99</f>
        <v>8600</v>
      </c>
      <c r="AA216" s="168">
        <v>8600</v>
      </c>
      <c r="AB216" s="168">
        <v>-19312.41</v>
      </c>
      <c r="AC216" s="168">
        <v>5621.19</v>
      </c>
      <c r="AD216" s="168">
        <v>5498.79</v>
      </c>
      <c r="AE216" s="168">
        <v>14104.35</v>
      </c>
      <c r="AF216" s="139">
        <f t="shared" si="352"/>
        <v>6537.1218181818194</v>
      </c>
      <c r="AG216" s="139">
        <f t="shared" si="353"/>
        <v>-6537.1218181818194</v>
      </c>
    </row>
    <row r="217" spans="1:33" x14ac:dyDescent="0.25">
      <c r="A217" s="130" t="s">
        <v>154</v>
      </c>
      <c r="C217" s="139">
        <v>638.32000000000005</v>
      </c>
      <c r="D217" s="139">
        <v>200</v>
      </c>
      <c r="E217" s="139">
        <v>0</v>
      </c>
      <c r="F217" s="139"/>
      <c r="G217" s="139"/>
      <c r="H217" s="139"/>
      <c r="I217" s="139"/>
      <c r="J217" s="139"/>
      <c r="K217" s="139"/>
      <c r="L217" s="139"/>
      <c r="M217" s="139"/>
      <c r="N217" s="139">
        <f t="shared" si="367"/>
        <v>838.32</v>
      </c>
      <c r="O217" s="139"/>
      <c r="P217" s="139">
        <f t="shared" si="368"/>
        <v>9000</v>
      </c>
      <c r="Q217" s="139">
        <v>12000</v>
      </c>
      <c r="R217" s="139">
        <v>2495.85</v>
      </c>
      <c r="S217" s="170">
        <f t="shared" si="359"/>
        <v>0</v>
      </c>
      <c r="T217" s="168">
        <v>116.2</v>
      </c>
      <c r="U217" s="168">
        <v>164.9</v>
      </c>
      <c r="V217" s="168">
        <v>55.05</v>
      </c>
      <c r="W217" s="168">
        <v>59.95</v>
      </c>
      <c r="X217" s="168">
        <v>100</v>
      </c>
      <c r="Y217" s="168">
        <v>59.95</v>
      </c>
      <c r="Z217" s="168">
        <f>[21]Sheet1!$R$100</f>
        <v>1600</v>
      </c>
      <c r="AA217" s="168">
        <v>0</v>
      </c>
      <c r="AB217" s="168">
        <v>59.95</v>
      </c>
      <c r="AC217" s="168">
        <v>159.94999999999999</v>
      </c>
      <c r="AD217" s="168">
        <v>119.9</v>
      </c>
      <c r="AE217" s="168">
        <v>0</v>
      </c>
      <c r="AF217" s="139">
        <f t="shared" si="352"/>
        <v>76.210909090909098</v>
      </c>
      <c r="AG217" s="139">
        <f t="shared" si="353"/>
        <v>-76.210909090909098</v>
      </c>
    </row>
    <row r="218" spans="1:33" x14ac:dyDescent="0.25">
      <c r="A218" s="130" t="s">
        <v>155</v>
      </c>
      <c r="B218" s="139">
        <v>983.5</v>
      </c>
      <c r="C218" s="139">
        <v>533.66</v>
      </c>
      <c r="D218" s="139">
        <v>797.12</v>
      </c>
      <c r="E218" s="139">
        <v>2776.51</v>
      </c>
      <c r="F218" s="139"/>
      <c r="G218" s="139"/>
      <c r="H218" s="139"/>
      <c r="I218" s="139"/>
      <c r="J218" s="139"/>
      <c r="K218" s="139"/>
      <c r="L218" s="139"/>
      <c r="M218" s="139"/>
      <c r="N218" s="139">
        <f t="shared" si="367"/>
        <v>5090.79</v>
      </c>
      <c r="O218" s="139"/>
      <c r="P218" s="139">
        <f t="shared" si="368"/>
        <v>11101.634999999998</v>
      </c>
      <c r="Q218" s="139">
        <f t="shared" si="369"/>
        <v>14802.179999999998</v>
      </c>
      <c r="R218" s="139">
        <v>14802.179999999998</v>
      </c>
      <c r="S218" s="170">
        <f t="shared" si="359"/>
        <v>0</v>
      </c>
      <c r="T218" s="168">
        <v>1196.75</v>
      </c>
      <c r="U218" s="168">
        <v>1627.2</v>
      </c>
      <c r="V218" s="168">
        <v>1115.29</v>
      </c>
      <c r="W218" s="168">
        <v>1152.68</v>
      </c>
      <c r="X218" s="168">
        <v>1252.42</v>
      </c>
      <c r="Y218" s="168">
        <v>1063.43</v>
      </c>
      <c r="Z218" s="168">
        <f>[21]Sheet1!$R$101</f>
        <v>1388.91</v>
      </c>
      <c r="AA218" s="168">
        <v>1086.9000000000001</v>
      </c>
      <c r="AB218" s="168">
        <v>477.46</v>
      </c>
      <c r="AC218" s="168">
        <v>1409.54</v>
      </c>
      <c r="AD218" s="168">
        <v>2183.6</v>
      </c>
      <c r="AE218" s="168">
        <v>848</v>
      </c>
      <c r="AF218" s="139">
        <f t="shared" si="352"/>
        <v>462.79909090909092</v>
      </c>
      <c r="AG218" s="139">
        <f t="shared" si="353"/>
        <v>-462.79909090909092</v>
      </c>
    </row>
    <row r="219" spans="1:33" x14ac:dyDescent="0.25">
      <c r="A219" s="130" t="s">
        <v>156</v>
      </c>
      <c r="B219" s="139">
        <v>25</v>
      </c>
      <c r="C219" s="139"/>
      <c r="D219" s="139">
        <v>118</v>
      </c>
      <c r="E219" s="139">
        <v>809.19</v>
      </c>
      <c r="F219" s="139"/>
      <c r="G219" s="139"/>
      <c r="H219" s="139"/>
      <c r="I219" s="139"/>
      <c r="J219" s="139"/>
      <c r="K219" s="139"/>
      <c r="L219" s="139"/>
      <c r="M219" s="139"/>
      <c r="N219" s="139">
        <f t="shared" si="367"/>
        <v>952.19</v>
      </c>
      <c r="O219" s="139"/>
      <c r="P219" s="139">
        <f t="shared" si="368"/>
        <v>3142.5</v>
      </c>
      <c r="Q219" s="139">
        <f t="shared" si="369"/>
        <v>4190</v>
      </c>
      <c r="R219" s="139">
        <v>4190</v>
      </c>
      <c r="S219" s="170">
        <f t="shared" si="359"/>
        <v>0</v>
      </c>
      <c r="T219" s="168">
        <v>0</v>
      </c>
      <c r="U219" s="168">
        <v>2800</v>
      </c>
      <c r="V219" s="168">
        <v>0</v>
      </c>
      <c r="W219" s="168">
        <v>0</v>
      </c>
      <c r="X219" s="168">
        <v>0</v>
      </c>
      <c r="Y219" s="168">
        <v>220</v>
      </c>
      <c r="Z219" s="168">
        <f>[21]Sheet1!$R$102</f>
        <v>0</v>
      </c>
      <c r="AA219" s="168">
        <v>320</v>
      </c>
      <c r="AB219" s="168">
        <v>340</v>
      </c>
      <c r="AC219" s="168">
        <v>0</v>
      </c>
      <c r="AD219" s="168">
        <v>0</v>
      </c>
      <c r="AE219" s="168">
        <v>510</v>
      </c>
      <c r="AF219" s="139">
        <f t="shared" si="352"/>
        <v>86.562727272727273</v>
      </c>
      <c r="AG219" s="139">
        <f t="shared" si="353"/>
        <v>-86.562727272727273</v>
      </c>
    </row>
    <row r="220" spans="1:33" x14ac:dyDescent="0.25">
      <c r="A220" s="130" t="s">
        <v>569</v>
      </c>
      <c r="B220" s="139">
        <v>8727.14</v>
      </c>
      <c r="C220" s="139">
        <v>6965.16</v>
      </c>
      <c r="D220" s="139">
        <v>11115.38</v>
      </c>
      <c r="E220" s="139">
        <v>7846.15</v>
      </c>
      <c r="F220" s="139"/>
      <c r="G220" s="139"/>
      <c r="H220" s="139"/>
      <c r="I220" s="139"/>
      <c r="J220" s="139"/>
      <c r="K220" s="139"/>
      <c r="L220" s="139"/>
      <c r="M220" s="139"/>
      <c r="N220" s="139">
        <f t="shared" si="367"/>
        <v>34653.83</v>
      </c>
      <c r="O220" s="139"/>
      <c r="P220" s="139">
        <f t="shared" si="368"/>
        <v>0</v>
      </c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>
        <f t="shared" si="352"/>
        <v>3150.3481818181822</v>
      </c>
      <c r="AG220" s="139">
        <f t="shared" si="353"/>
        <v>-3150.3481818181822</v>
      </c>
    </row>
    <row r="221" spans="1:33" x14ac:dyDescent="0.25">
      <c r="A221" s="130" t="s">
        <v>157</v>
      </c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367"/>
        <v>0</v>
      </c>
      <c r="O221" s="139"/>
      <c r="P221" s="139">
        <f t="shared" si="368"/>
        <v>2296.3049999999998</v>
      </c>
      <c r="Q221" s="139">
        <f t="shared" si="369"/>
        <v>3061.74</v>
      </c>
      <c r="R221" s="139">
        <v>3061.74</v>
      </c>
      <c r="S221" s="170">
        <f t="shared" si="359"/>
        <v>0</v>
      </c>
      <c r="T221" s="168">
        <v>0</v>
      </c>
      <c r="U221" s="168">
        <v>0</v>
      </c>
      <c r="V221" s="168">
        <v>0</v>
      </c>
      <c r="W221" s="168">
        <v>309.48</v>
      </c>
      <c r="X221" s="168">
        <v>0</v>
      </c>
      <c r="Y221" s="168">
        <v>0</v>
      </c>
      <c r="Z221" s="168">
        <f>[21]Sheet1!$R$103</f>
        <v>1732.26</v>
      </c>
      <c r="AA221" s="168">
        <v>0</v>
      </c>
      <c r="AB221" s="168">
        <v>1020</v>
      </c>
      <c r="AC221" s="168">
        <v>0</v>
      </c>
      <c r="AD221" s="168">
        <v>0</v>
      </c>
      <c r="AE221" s="168"/>
      <c r="AF221" s="139">
        <f t="shared" si="352"/>
        <v>0</v>
      </c>
      <c r="AG221" s="139">
        <f t="shared" si="353"/>
        <v>0</v>
      </c>
    </row>
    <row r="222" spans="1:33" x14ac:dyDescent="0.25">
      <c r="A222" s="130" t="s">
        <v>605</v>
      </c>
      <c r="B222" s="139">
        <v>2070.83</v>
      </c>
      <c r="C222" s="139">
        <v>2070.83</v>
      </c>
      <c r="D222" s="139">
        <v>2095.83</v>
      </c>
      <c r="E222" s="139">
        <v>2137.5</v>
      </c>
      <c r="F222" s="139"/>
      <c r="G222" s="139"/>
      <c r="H222" s="139"/>
      <c r="I222" s="139"/>
      <c r="J222" s="139"/>
      <c r="K222" s="139"/>
      <c r="L222" s="139"/>
      <c r="M222" s="139"/>
      <c r="N222" s="139">
        <f t="shared" si="367"/>
        <v>8374.99</v>
      </c>
      <c r="O222" s="139"/>
      <c r="P222" s="139"/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/>
      <c r="AG222" s="139"/>
    </row>
    <row r="223" spans="1:33" x14ac:dyDescent="0.25">
      <c r="A223" s="130" t="s">
        <v>674</v>
      </c>
      <c r="B223" s="139">
        <v>1056.27</v>
      </c>
      <c r="C223" s="139">
        <v>1029.04</v>
      </c>
      <c r="D223" s="139">
        <v>991.2</v>
      </c>
      <c r="E223" s="139">
        <v>896.18</v>
      </c>
      <c r="F223" s="139"/>
      <c r="G223" s="139"/>
      <c r="H223" s="139"/>
      <c r="I223" s="139"/>
      <c r="J223" s="139"/>
      <c r="K223" s="139"/>
      <c r="L223" s="139"/>
      <c r="M223" s="139"/>
      <c r="N223" s="139">
        <f t="shared" si="367"/>
        <v>3972.69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527</v>
      </c>
      <c r="B224" s="139">
        <v>12220.87</v>
      </c>
      <c r="C224" s="139">
        <v>12453.65</v>
      </c>
      <c r="D224" s="139">
        <v>12966.76</v>
      </c>
      <c r="E224" s="139">
        <v>12207.19</v>
      </c>
      <c r="F224" s="139"/>
      <c r="G224" s="139"/>
      <c r="H224" s="139"/>
      <c r="I224" s="139"/>
      <c r="J224" s="139"/>
      <c r="K224" s="139"/>
      <c r="L224" s="139"/>
      <c r="M224" s="139"/>
      <c r="N224" s="139">
        <f t="shared" si="367"/>
        <v>49848.47</v>
      </c>
      <c r="O224" s="139"/>
      <c r="P224" s="139">
        <f t="shared" si="368"/>
        <v>42.712500000000006</v>
      </c>
      <c r="Q224" s="139">
        <f t="shared" si="369"/>
        <v>56.95</v>
      </c>
      <c r="R224" s="139">
        <v>56.95</v>
      </c>
      <c r="S224" s="170">
        <f t="shared" si="359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158</v>
      </c>
      <c r="B225" s="157">
        <f>SUM(B210:B224)</f>
        <v>937285.82</v>
      </c>
      <c r="C225" s="157">
        <f t="shared" ref="C225:M225" si="370">SUM(C210:C224)</f>
        <v>421887.87000000005</v>
      </c>
      <c r="D225" s="157">
        <f t="shared" si="370"/>
        <v>2512427.3899999997</v>
      </c>
      <c r="E225" s="157">
        <f>SUM(E210:E224)</f>
        <v>452988.75</v>
      </c>
      <c r="F225" s="157">
        <f>SUM(F210:F224)</f>
        <v>0</v>
      </c>
      <c r="G225" s="157">
        <f t="shared" si="370"/>
        <v>0</v>
      </c>
      <c r="H225" s="157">
        <f t="shared" si="370"/>
        <v>0</v>
      </c>
      <c r="I225" s="157">
        <f t="shared" si="370"/>
        <v>0</v>
      </c>
      <c r="J225" s="157">
        <f t="shared" si="370"/>
        <v>0</v>
      </c>
      <c r="K225" s="157">
        <f t="shared" si="370"/>
        <v>0</v>
      </c>
      <c r="L225" s="157">
        <f t="shared" si="370"/>
        <v>0</v>
      </c>
      <c r="M225" s="157">
        <f t="shared" si="370"/>
        <v>0</v>
      </c>
      <c r="N225" s="157">
        <f>SUM(N210:N224)</f>
        <v>4324589.830000001</v>
      </c>
      <c r="O225" s="157"/>
      <c r="P225" s="157">
        <f>SUM(P210:P224)</f>
        <v>2607921.0524999998</v>
      </c>
      <c r="Q225" s="157">
        <f>SUM(Q210:Q224)</f>
        <v>3477228.0700000008</v>
      </c>
      <c r="R225" s="157">
        <v>3212181.1500000008</v>
      </c>
      <c r="S225" s="170">
        <f t="shared" si="359"/>
        <v>0</v>
      </c>
      <c r="T225" s="182">
        <f t="shared" ref="T225:Y225" si="371">SUM(T210:T221)</f>
        <v>405193.11</v>
      </c>
      <c r="U225" s="182">
        <f t="shared" si="371"/>
        <v>341937.99000000005</v>
      </c>
      <c r="V225" s="182">
        <f t="shared" si="371"/>
        <v>343625.55</v>
      </c>
      <c r="W225" s="182">
        <f t="shared" si="371"/>
        <v>353871.56</v>
      </c>
      <c r="X225" s="182">
        <f t="shared" si="371"/>
        <v>420339.36000000004</v>
      </c>
      <c r="Y225" s="182">
        <f t="shared" si="371"/>
        <v>403802.07</v>
      </c>
      <c r="Z225" s="182">
        <f>SUM(Z210:Z221)</f>
        <v>404965.73</v>
      </c>
      <c r="AA225" s="182">
        <f>SUM(AA210:AA221)</f>
        <v>398996.33</v>
      </c>
      <c r="AB225" s="182">
        <f>SUM(AB210:AB221)</f>
        <v>-774085.3</v>
      </c>
      <c r="AC225" s="182">
        <f>SUM(AC210:AC221)</f>
        <v>288817.17</v>
      </c>
      <c r="AD225" s="182">
        <f>SUM(AD210:AD221)</f>
        <v>212558.63</v>
      </c>
      <c r="AE225" s="182">
        <f>SUM(AE210:AE224)</f>
        <v>412158.95</v>
      </c>
      <c r="AF225" s="157">
        <f t="shared" si="352"/>
        <v>393144.53000000009</v>
      </c>
      <c r="AG225" s="157">
        <f t="shared" si="353"/>
        <v>-393144.53000000009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359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352"/>
        <v>0</v>
      </c>
      <c r="AG226" s="139">
        <f t="shared" si="353"/>
        <v>0</v>
      </c>
    </row>
    <row r="227" spans="1:33" hidden="1" x14ac:dyDescent="0.25">
      <c r="A227" s="130" t="s">
        <v>463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50" si="372">SUM(B227:M227)</f>
        <v>0</v>
      </c>
      <c r="O227" s="139"/>
      <c r="P227" s="139">
        <f t="shared" ref="P227:P249" si="373">Q227/12*$P$3</f>
        <v>37500</v>
      </c>
      <c r="Q227" s="139">
        <f>R227</f>
        <v>50000</v>
      </c>
      <c r="R227" s="139">
        <v>50000</v>
      </c>
      <c r="S227" s="170">
        <f t="shared" si="359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159</v>
      </c>
      <c r="B228" s="139">
        <v>34200</v>
      </c>
      <c r="C228" s="139">
        <v>34200</v>
      </c>
      <c r="D228" s="139">
        <v>34200</v>
      </c>
      <c r="E228" s="139">
        <v>34200</v>
      </c>
      <c r="F228" s="139"/>
      <c r="G228" s="139"/>
      <c r="H228" s="139"/>
      <c r="I228" s="139"/>
      <c r="J228" s="139"/>
      <c r="K228" s="139"/>
      <c r="L228" s="139"/>
      <c r="M228" s="139"/>
      <c r="N228" s="139">
        <f t="shared" si="372"/>
        <v>136800</v>
      </c>
      <c r="O228" s="139"/>
      <c r="P228" s="139">
        <f t="shared" si="373"/>
        <v>307800</v>
      </c>
      <c r="Q228" s="139">
        <f t="shared" ref="Q228:Q249" si="374">R228</f>
        <v>410400</v>
      </c>
      <c r="R228" s="139">
        <v>410400</v>
      </c>
      <c r="S228" s="170">
        <f t="shared" si="359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92" si="375">(N228-M228)/11</f>
        <v>12436.363636363636</v>
      </c>
      <c r="AG228" s="139">
        <f t="shared" ref="AG228:AG292" si="376">M228-AF228</f>
        <v>-12436.363636363636</v>
      </c>
    </row>
    <row r="229" spans="1:33" x14ac:dyDescent="0.25">
      <c r="A229" s="130" t="s">
        <v>160</v>
      </c>
      <c r="B229" s="139">
        <v>7345.84</v>
      </c>
      <c r="C229" s="139">
        <v>5754.53</v>
      </c>
      <c r="D229" s="139">
        <v>-2085.64</v>
      </c>
      <c r="E229" s="139">
        <v>-3020.56</v>
      </c>
      <c r="F229" s="139"/>
      <c r="G229" s="139"/>
      <c r="H229" s="139"/>
      <c r="I229" s="139"/>
      <c r="J229" s="139"/>
      <c r="K229" s="139"/>
      <c r="L229" s="139"/>
      <c r="M229" s="139"/>
      <c r="N229" s="139">
        <f t="shared" si="372"/>
        <v>7994.17</v>
      </c>
      <c r="O229" s="139"/>
      <c r="P229" s="139">
        <f t="shared" si="373"/>
        <v>7999.5375000000022</v>
      </c>
      <c r="Q229" s="139">
        <f t="shared" si="374"/>
        <v>10666.050000000003</v>
      </c>
      <c r="R229" s="139">
        <v>10666.050000000003</v>
      </c>
      <c r="S229" s="170">
        <f t="shared" si="359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375"/>
        <v>726.74272727272728</v>
      </c>
      <c r="AG229" s="139">
        <f t="shared" si="376"/>
        <v>-726.74272727272728</v>
      </c>
    </row>
    <row r="230" spans="1:33" x14ac:dyDescent="0.25">
      <c r="A230" s="130" t="s">
        <v>161</v>
      </c>
      <c r="B230" s="139">
        <v>2187.2600000000002</v>
      </c>
      <c r="C230" s="139">
        <v>2137.6799999999998</v>
      </c>
      <c r="D230" s="139">
        <v>1586.25</v>
      </c>
      <c r="E230" s="139">
        <v>576.6</v>
      </c>
      <c r="F230" s="139"/>
      <c r="G230" s="139"/>
      <c r="H230" s="139"/>
      <c r="I230" s="139"/>
      <c r="J230" s="139"/>
      <c r="K230" s="139"/>
      <c r="L230" s="139"/>
      <c r="M230" s="139"/>
      <c r="N230" s="139">
        <f t="shared" si="372"/>
        <v>6487.7900000000009</v>
      </c>
      <c r="O230" s="139"/>
      <c r="P230" s="139">
        <f t="shared" si="373"/>
        <v>7942.8449999999993</v>
      </c>
      <c r="Q230" s="139">
        <f t="shared" si="374"/>
        <v>10590.46</v>
      </c>
      <c r="R230" s="139">
        <v>10590.46</v>
      </c>
      <c r="S230" s="170">
        <f t="shared" si="359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375"/>
        <v>589.79909090909098</v>
      </c>
      <c r="AG230" s="139">
        <f t="shared" si="376"/>
        <v>-589.79909090909098</v>
      </c>
    </row>
    <row r="231" spans="1:33" x14ac:dyDescent="0.25">
      <c r="A231" s="130" t="s">
        <v>162</v>
      </c>
      <c r="B231" s="139">
        <v>600.4</v>
      </c>
      <c r="C231" s="139">
        <v>0</v>
      </c>
      <c r="D231" s="139"/>
      <c r="E231" s="139">
        <v>332.31</v>
      </c>
      <c r="F231" s="139"/>
      <c r="G231" s="139"/>
      <c r="H231" s="139"/>
      <c r="I231" s="139"/>
      <c r="J231" s="139"/>
      <c r="K231" s="139"/>
      <c r="L231" s="139"/>
      <c r="M231" s="139"/>
      <c r="N231" s="139">
        <f t="shared" si="372"/>
        <v>932.71</v>
      </c>
      <c r="O231" s="139"/>
      <c r="P231" s="139">
        <f t="shared" si="373"/>
        <v>808.84500000000003</v>
      </c>
      <c r="Q231" s="139">
        <f t="shared" si="374"/>
        <v>1078.46</v>
      </c>
      <c r="R231" s="139">
        <v>1078.46</v>
      </c>
      <c r="S231" s="170">
        <f t="shared" si="359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375"/>
        <v>84.791818181818186</v>
      </c>
      <c r="AG231" s="139">
        <f t="shared" si="376"/>
        <v>-84.791818181818186</v>
      </c>
    </row>
    <row r="232" spans="1:33" x14ac:dyDescent="0.25">
      <c r="A232" s="130" t="s">
        <v>461</v>
      </c>
      <c r="B232" s="139">
        <v>766.53</v>
      </c>
      <c r="C232" s="139">
        <v>766.53</v>
      </c>
      <c r="D232" s="139">
        <v>222.53</v>
      </c>
      <c r="E232" s="139">
        <v>222.53</v>
      </c>
      <c r="F232" s="139"/>
      <c r="G232" s="139"/>
      <c r="H232" s="139"/>
      <c r="I232" s="139"/>
      <c r="J232" s="139"/>
      <c r="K232" s="139"/>
      <c r="L232" s="139"/>
      <c r="M232" s="139"/>
      <c r="N232" s="139">
        <f t="shared" si="372"/>
        <v>1978.12</v>
      </c>
      <c r="O232" s="139"/>
      <c r="P232" s="139">
        <f t="shared" si="373"/>
        <v>401.51249999999993</v>
      </c>
      <c r="Q232" s="139">
        <f t="shared" si="374"/>
        <v>535.34999999999991</v>
      </c>
      <c r="R232" s="139">
        <v>535.34999999999991</v>
      </c>
      <c r="S232" s="170">
        <f t="shared" si="359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>
        <f t="shared" si="375"/>
        <v>179.82909090909089</v>
      </c>
      <c r="AG232" s="139">
        <f t="shared" si="376"/>
        <v>-179.82909090909089</v>
      </c>
    </row>
    <row r="233" spans="1:33" x14ac:dyDescent="0.25">
      <c r="A233" s="130" t="s">
        <v>436</v>
      </c>
      <c r="B233" s="139">
        <v>2500</v>
      </c>
      <c r="C233" s="139">
        <v>2500</v>
      </c>
      <c r="D233" s="139">
        <v>2500</v>
      </c>
      <c r="E233" s="139">
        <v>2500</v>
      </c>
      <c r="F233" s="139"/>
      <c r="G233" s="139"/>
      <c r="H233" s="139"/>
      <c r="I233" s="139"/>
      <c r="J233" s="139"/>
      <c r="K233" s="139"/>
      <c r="L233" s="139"/>
      <c r="M233" s="139"/>
      <c r="N233" s="139">
        <f t="shared" si="372"/>
        <v>10000</v>
      </c>
      <c r="O233" s="139"/>
      <c r="P233" s="139">
        <f t="shared" si="373"/>
        <v>20242.5</v>
      </c>
      <c r="Q233" s="139">
        <f t="shared" si="374"/>
        <v>26990</v>
      </c>
      <c r="R233" s="139">
        <v>26990</v>
      </c>
      <c r="S233" s="170">
        <f t="shared" si="359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375"/>
        <v>909.09090909090912</v>
      </c>
      <c r="AG233" s="139">
        <f t="shared" si="376"/>
        <v>-909.09090909090912</v>
      </c>
    </row>
    <row r="234" spans="1:33" x14ac:dyDescent="0.25">
      <c r="A234" s="130" t="s">
        <v>163</v>
      </c>
      <c r="B234" s="139">
        <v>9888.48</v>
      </c>
      <c r="C234" s="139">
        <v>13795.8</v>
      </c>
      <c r="D234" s="139">
        <v>7393.47</v>
      </c>
      <c r="E234" s="139">
        <v>9059.08</v>
      </c>
      <c r="F234" s="139"/>
      <c r="G234" s="139"/>
      <c r="H234" s="139"/>
      <c r="I234" s="139"/>
      <c r="J234" s="139"/>
      <c r="K234" s="139"/>
      <c r="L234" s="139"/>
      <c r="M234" s="139"/>
      <c r="N234" s="139">
        <f t="shared" si="372"/>
        <v>40136.83</v>
      </c>
      <c r="O234" s="139"/>
      <c r="P234" s="139">
        <f t="shared" si="373"/>
        <v>96610.882499999992</v>
      </c>
      <c r="Q234" s="139">
        <f t="shared" si="374"/>
        <v>128814.51</v>
      </c>
      <c r="R234" s="139">
        <v>128814.51</v>
      </c>
      <c r="S234" s="170">
        <f t="shared" si="359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375"/>
        <v>3648.8027272727272</v>
      </c>
      <c r="AG234" s="139">
        <f t="shared" si="376"/>
        <v>-3648.8027272727272</v>
      </c>
    </row>
    <row r="235" spans="1:33" x14ac:dyDescent="0.25">
      <c r="A235" s="130" t="s">
        <v>164</v>
      </c>
      <c r="B235" s="139">
        <v>9323.41</v>
      </c>
      <c r="C235" s="139">
        <v>9323.41</v>
      </c>
      <c r="D235" s="139">
        <v>9323.42</v>
      </c>
      <c r="E235" s="139">
        <v>9207.89</v>
      </c>
      <c r="F235" s="139"/>
      <c r="G235" s="139"/>
      <c r="H235" s="139"/>
      <c r="I235" s="139"/>
      <c r="J235" s="139"/>
      <c r="K235" s="139"/>
      <c r="L235" s="139"/>
      <c r="M235" s="139"/>
      <c r="N235" s="139">
        <f t="shared" si="372"/>
        <v>37178.129999999997</v>
      </c>
      <c r="O235" s="139"/>
      <c r="P235" s="139">
        <f t="shared" si="373"/>
        <v>82287</v>
      </c>
      <c r="Q235" s="139">
        <f>9143*12</f>
        <v>109716</v>
      </c>
      <c r="R235" s="139">
        <v>107137.28000000001</v>
      </c>
      <c r="S235" s="170">
        <f t="shared" si="359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375"/>
        <v>3379.83</v>
      </c>
      <c r="AG235" s="139">
        <f t="shared" si="376"/>
        <v>-3379.83</v>
      </c>
    </row>
    <row r="236" spans="1:33" x14ac:dyDescent="0.25">
      <c r="A236" s="130" t="s">
        <v>664</v>
      </c>
      <c r="C236" s="139">
        <v>0</v>
      </c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>
        <f t="shared" si="372"/>
        <v>0</v>
      </c>
      <c r="O236" s="139"/>
      <c r="P236" s="139"/>
      <c r="Q236" s="139"/>
      <c r="R236" s="139"/>
      <c r="S236" s="170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39">
        <f t="shared" si="375"/>
        <v>0</v>
      </c>
      <c r="AG236" s="139">
        <f t="shared" si="376"/>
        <v>0</v>
      </c>
    </row>
    <row r="237" spans="1:33" x14ac:dyDescent="0.25">
      <c r="A237" s="130" t="s">
        <v>165</v>
      </c>
      <c r="B237" s="139">
        <v>909.77</v>
      </c>
      <c r="C237" s="139">
        <v>1242.8800000000001</v>
      </c>
      <c r="D237" s="139">
        <v>1300</v>
      </c>
      <c r="E237" s="139">
        <v>7547.02</v>
      </c>
      <c r="F237" s="139"/>
      <c r="G237" s="139"/>
      <c r="H237" s="139"/>
      <c r="I237" s="139"/>
      <c r="J237" s="139"/>
      <c r="K237" s="139"/>
      <c r="L237" s="139"/>
      <c r="M237" s="139"/>
      <c r="N237" s="139">
        <f t="shared" si="372"/>
        <v>10999.67</v>
      </c>
      <c r="O237" s="139"/>
      <c r="P237" s="139">
        <f t="shared" si="373"/>
        <v>13754.699999999999</v>
      </c>
      <c r="Q237" s="139">
        <f>1528.3*12</f>
        <v>18339.599999999999</v>
      </c>
      <c r="R237" s="139">
        <v>38009.360000000001</v>
      </c>
      <c r="S237" s="170">
        <f t="shared" si="359"/>
        <v>0</v>
      </c>
      <c r="T237" s="168">
        <v>3100</v>
      </c>
      <c r="U237" s="168">
        <v>3100</v>
      </c>
      <c r="V237" s="168">
        <v>3100</v>
      </c>
      <c r="W237" s="168">
        <v>3100</v>
      </c>
      <c r="X237" s="168">
        <v>3100</v>
      </c>
      <c r="Y237" s="168">
        <v>4500</v>
      </c>
      <c r="Z237" s="168">
        <v>4366.8900000000003</v>
      </c>
      <c r="AA237" s="168">
        <v>4633.1099999999997</v>
      </c>
      <c r="AB237" s="168">
        <v>4500</v>
      </c>
      <c r="AC237" s="168">
        <v>4500</v>
      </c>
      <c r="AD237" s="168">
        <v>1183.93</v>
      </c>
      <c r="AE237" s="168">
        <v>-1174.57</v>
      </c>
      <c r="AF237" s="139">
        <f t="shared" si="375"/>
        <v>999.97</v>
      </c>
      <c r="AG237" s="139">
        <f t="shared" si="376"/>
        <v>-999.97</v>
      </c>
    </row>
    <row r="238" spans="1:33" x14ac:dyDescent="0.25">
      <c r="A238" s="130" t="s">
        <v>166</v>
      </c>
      <c r="B238" s="139">
        <v>5842.25</v>
      </c>
      <c r="C238" s="139">
        <v>5842.25</v>
      </c>
      <c r="D238" s="139">
        <v>7017.33</v>
      </c>
      <c r="E238" s="139">
        <v>7897.83</v>
      </c>
      <c r="F238" s="139"/>
      <c r="G238" s="139"/>
      <c r="H238" s="139"/>
      <c r="I238" s="139"/>
      <c r="J238" s="139"/>
      <c r="K238" s="139"/>
      <c r="L238" s="139"/>
      <c r="M238" s="139"/>
      <c r="N238" s="139">
        <f t="shared" si="372"/>
        <v>26599.660000000003</v>
      </c>
      <c r="O238" s="139"/>
      <c r="P238" s="139">
        <f t="shared" si="373"/>
        <v>41030.579999999987</v>
      </c>
      <c r="Q238" s="139">
        <f t="shared" si="374"/>
        <v>54707.439999999988</v>
      </c>
      <c r="R238" s="139">
        <v>54707.439999999988</v>
      </c>
      <c r="S238" s="170">
        <f t="shared" si="359"/>
        <v>0</v>
      </c>
      <c r="T238" s="168">
        <v>5157.18</v>
      </c>
      <c r="U238" s="168">
        <v>5157.18</v>
      </c>
      <c r="V238" s="168">
        <v>5023.41</v>
      </c>
      <c r="W238" s="168">
        <v>5123.42</v>
      </c>
      <c r="X238" s="168">
        <v>5023.42</v>
      </c>
      <c r="Y238" s="168">
        <v>5023.42</v>
      </c>
      <c r="Z238" s="168">
        <v>5023.42</v>
      </c>
      <c r="AA238" s="168">
        <v>5023.42</v>
      </c>
      <c r="AB238" s="168">
        <v>465.59</v>
      </c>
      <c r="AC238" s="168">
        <v>4521.08</v>
      </c>
      <c r="AD238" s="168">
        <v>3964.2</v>
      </c>
      <c r="AE238" s="168">
        <v>5201.7</v>
      </c>
      <c r="AF238" s="139">
        <f t="shared" si="375"/>
        <v>2418.1509090909094</v>
      </c>
      <c r="AG238" s="139">
        <f t="shared" si="376"/>
        <v>-2418.1509090909094</v>
      </c>
    </row>
    <row r="239" spans="1:33" x14ac:dyDescent="0.25">
      <c r="A239" s="130" t="s">
        <v>167</v>
      </c>
      <c r="B239" s="139">
        <v>690.46</v>
      </c>
      <c r="C239" s="139">
        <v>746.76</v>
      </c>
      <c r="D239" s="139">
        <v>456.37</v>
      </c>
      <c r="E239" s="139">
        <v>135.30000000000001</v>
      </c>
      <c r="F239" s="139"/>
      <c r="G239" s="139"/>
      <c r="H239" s="139"/>
      <c r="I239" s="139"/>
      <c r="J239" s="139"/>
      <c r="K239" s="139"/>
      <c r="L239" s="139"/>
      <c r="M239" s="139"/>
      <c r="N239" s="139">
        <f t="shared" si="372"/>
        <v>2028.89</v>
      </c>
      <c r="O239" s="139"/>
      <c r="P239" s="139">
        <f t="shared" si="373"/>
        <v>8488.7849999999999</v>
      </c>
      <c r="Q239" s="139">
        <f t="shared" si="374"/>
        <v>11318.38</v>
      </c>
      <c r="R239" s="139">
        <v>11318.38</v>
      </c>
      <c r="S239" s="170">
        <f t="shared" si="359"/>
        <v>0</v>
      </c>
      <c r="T239" s="168">
        <v>781.02</v>
      </c>
      <c r="U239" s="168">
        <v>3798.75</v>
      </c>
      <c r="V239" s="168">
        <v>1347.95</v>
      </c>
      <c r="W239" s="168">
        <v>606.57000000000005</v>
      </c>
      <c r="X239" s="168">
        <v>716.17</v>
      </c>
      <c r="Y239" s="168">
        <v>506.25</v>
      </c>
      <c r="Z239" s="168">
        <v>0</v>
      </c>
      <c r="AA239" s="168">
        <v>118.99</v>
      </c>
      <c r="AB239" s="168">
        <v>1217.7</v>
      </c>
      <c r="AC239" s="168">
        <v>680.5</v>
      </c>
      <c r="AD239" s="168">
        <v>894.23</v>
      </c>
      <c r="AE239" s="168">
        <v>650.25</v>
      </c>
      <c r="AF239" s="139">
        <f t="shared" si="375"/>
        <v>184.44454545454548</v>
      </c>
      <c r="AG239" s="139">
        <f t="shared" si="376"/>
        <v>-184.44454545454548</v>
      </c>
    </row>
    <row r="240" spans="1:33" x14ac:dyDescent="0.25">
      <c r="A240" s="130" t="s">
        <v>168</v>
      </c>
      <c r="B240" s="139">
        <v>1687.33</v>
      </c>
      <c r="C240" s="139">
        <v>1835.18</v>
      </c>
      <c r="D240" s="139">
        <v>1687.33</v>
      </c>
      <c r="E240" s="139">
        <v>1917.68</v>
      </c>
      <c r="F240" s="139"/>
      <c r="G240" s="139"/>
      <c r="H240" s="139"/>
      <c r="I240" s="139"/>
      <c r="J240" s="139"/>
      <c r="K240" s="139"/>
      <c r="L240" s="139"/>
      <c r="M240" s="139"/>
      <c r="N240" s="139">
        <f t="shared" si="372"/>
        <v>7127.52</v>
      </c>
      <c r="O240" s="139"/>
      <c r="P240" s="139">
        <f t="shared" si="373"/>
        <v>9151.739999999998</v>
      </c>
      <c r="Q240" s="139">
        <f t="shared" si="374"/>
        <v>12202.319999999998</v>
      </c>
      <c r="R240" s="139">
        <v>12202.319999999998</v>
      </c>
      <c r="S240" s="170">
        <f t="shared" si="359"/>
        <v>0</v>
      </c>
      <c r="T240" s="168">
        <v>740.6</v>
      </c>
      <c r="U240" s="168">
        <v>321.60000000000002</v>
      </c>
      <c r="V240" s="168">
        <v>321.60000000000002</v>
      </c>
      <c r="W240" s="168">
        <v>419.18</v>
      </c>
      <c r="X240" s="168">
        <v>439.52</v>
      </c>
      <c r="Y240" s="168">
        <v>321.60000000000002</v>
      </c>
      <c r="Z240" s="168">
        <v>1372.85</v>
      </c>
      <c r="AA240" s="168">
        <v>2251.7800000000002</v>
      </c>
      <c r="AB240" s="168">
        <v>817.68</v>
      </c>
      <c r="AC240" s="168">
        <v>1547.72</v>
      </c>
      <c r="AD240" s="168">
        <v>2119.89</v>
      </c>
      <c r="AE240" s="168">
        <v>1528.3</v>
      </c>
      <c r="AF240" s="139">
        <f t="shared" si="375"/>
        <v>647.95636363636368</v>
      </c>
      <c r="AG240" s="139">
        <f t="shared" si="376"/>
        <v>-647.95636363636368</v>
      </c>
    </row>
    <row r="241" spans="1:33" x14ac:dyDescent="0.25">
      <c r="A241" s="130" t="s">
        <v>189</v>
      </c>
      <c r="B241" s="139">
        <v>6091.73</v>
      </c>
      <c r="C241" s="139">
        <v>13426.91</v>
      </c>
      <c r="D241" s="139">
        <v>8733.9500000000007</v>
      </c>
      <c r="E241" s="139">
        <v>6283.75</v>
      </c>
      <c r="F241" s="139"/>
      <c r="G241" s="139"/>
      <c r="H241" s="139"/>
      <c r="I241" s="139"/>
      <c r="J241" s="139"/>
      <c r="K241" s="139"/>
      <c r="L241" s="139"/>
      <c r="M241" s="139"/>
      <c r="N241" s="139">
        <f t="shared" si="372"/>
        <v>34536.339999999997</v>
      </c>
      <c r="O241" s="139"/>
      <c r="P241" s="139">
        <f t="shared" si="373"/>
        <v>76500</v>
      </c>
      <c r="Q241" s="139">
        <v>102000</v>
      </c>
      <c r="R241" s="139">
        <v>130920.88999999997</v>
      </c>
      <c r="S241" s="170">
        <f t="shared" si="359"/>
        <v>0</v>
      </c>
      <c r="T241" s="168">
        <v>20798</v>
      </c>
      <c r="U241" s="168">
        <v>19135.740000000002</v>
      </c>
      <c r="V241" s="168">
        <v>17216.87</v>
      </c>
      <c r="W241" s="168">
        <v>10016.870000000001</v>
      </c>
      <c r="X241" s="168">
        <v>10016.870000000001</v>
      </c>
      <c r="Y241" s="168">
        <v>10168.870000000001</v>
      </c>
      <c r="Z241" s="168">
        <v>10016.870000000001</v>
      </c>
      <c r="AA241" s="168">
        <v>10267.049999999999</v>
      </c>
      <c r="AB241" s="168">
        <v>-7654.31</v>
      </c>
      <c r="AC241" s="168">
        <v>8842.4599999999991</v>
      </c>
      <c r="AD241" s="168">
        <v>10051.200000000001</v>
      </c>
      <c r="AE241" s="168">
        <v>12044.4</v>
      </c>
      <c r="AF241" s="139">
        <f t="shared" si="375"/>
        <v>3139.6672727272726</v>
      </c>
      <c r="AG241" s="139">
        <f t="shared" si="376"/>
        <v>-3139.6672727272726</v>
      </c>
    </row>
    <row r="242" spans="1:33" hidden="1" x14ac:dyDescent="0.25">
      <c r="A242" s="130" t="s">
        <v>169</v>
      </c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>
        <f t="shared" si="372"/>
        <v>0</v>
      </c>
      <c r="O242" s="139"/>
      <c r="P242" s="139">
        <f t="shared" si="373"/>
        <v>2999.97</v>
      </c>
      <c r="Q242" s="139">
        <f t="shared" si="374"/>
        <v>3999.9599999999996</v>
      </c>
      <c r="R242" s="139">
        <v>3999.9599999999996</v>
      </c>
      <c r="S242" s="170">
        <f t="shared" si="359"/>
        <v>0</v>
      </c>
      <c r="T242" s="168">
        <v>333.33</v>
      </c>
      <c r="U242" s="168">
        <v>333.33</v>
      </c>
      <c r="V242" s="168">
        <v>333.33</v>
      </c>
      <c r="W242" s="168">
        <v>333.33</v>
      </c>
      <c r="X242" s="168">
        <v>333.33</v>
      </c>
      <c r="Y242" s="168">
        <v>333.33</v>
      </c>
      <c r="Z242" s="168">
        <v>333.33</v>
      </c>
      <c r="AA242" s="168">
        <v>333.33</v>
      </c>
      <c r="AB242" s="168">
        <v>333.33</v>
      </c>
      <c r="AC242" s="168">
        <v>333.33</v>
      </c>
      <c r="AD242" s="168">
        <v>333.33</v>
      </c>
      <c r="AE242" s="168">
        <v>333.33</v>
      </c>
      <c r="AF242" s="139">
        <f t="shared" si="375"/>
        <v>0</v>
      </c>
      <c r="AG242" s="139">
        <f t="shared" si="376"/>
        <v>0</v>
      </c>
    </row>
    <row r="243" spans="1:33" x14ac:dyDescent="0.25">
      <c r="A243" s="130" t="s">
        <v>170</v>
      </c>
      <c r="B243" s="139">
        <v>45408.99</v>
      </c>
      <c r="C243" s="139">
        <v>46315.27</v>
      </c>
      <c r="D243" s="139">
        <v>46502.04</v>
      </c>
      <c r="E243" s="139">
        <v>49668.62</v>
      </c>
      <c r="F243" s="139"/>
      <c r="G243" s="139"/>
      <c r="H243" s="139"/>
      <c r="I243" s="139"/>
      <c r="J243" s="139"/>
      <c r="K243" s="139"/>
      <c r="L243" s="139"/>
      <c r="M243" s="139"/>
      <c r="N243" s="139">
        <f t="shared" si="372"/>
        <v>187894.91999999998</v>
      </c>
      <c r="O243" s="139"/>
      <c r="P243" s="139">
        <f t="shared" si="373"/>
        <v>465750</v>
      </c>
      <c r="Q243" s="139">
        <v>621000</v>
      </c>
      <c r="R243" s="139">
        <v>794856.37</v>
      </c>
      <c r="S243" s="170">
        <f t="shared" si="359"/>
        <v>0</v>
      </c>
      <c r="T243" s="168">
        <v>115897.3</v>
      </c>
      <c r="U243" s="168">
        <v>117313.31</v>
      </c>
      <c r="V243" s="168">
        <v>117313.31</v>
      </c>
      <c r="W243" s="168">
        <v>69868.929999999993</v>
      </c>
      <c r="X243" s="168">
        <v>62865.39</v>
      </c>
      <c r="Y243" s="168">
        <v>89768.53</v>
      </c>
      <c r="Z243" s="168">
        <v>67753.13</v>
      </c>
      <c r="AA243" s="168">
        <v>67298.850000000006</v>
      </c>
      <c r="AB243" s="168">
        <v>65440.22</v>
      </c>
      <c r="AC243" s="168">
        <v>61204.160000000003</v>
      </c>
      <c r="AD243" s="168">
        <v>60136.21</v>
      </c>
      <c r="AE243" s="168">
        <v>-100002.97</v>
      </c>
      <c r="AF243" s="139">
        <f t="shared" si="375"/>
        <v>17081.356363636361</v>
      </c>
      <c r="AG243" s="139">
        <f t="shared" si="376"/>
        <v>-17081.356363636361</v>
      </c>
    </row>
    <row r="244" spans="1:33" x14ac:dyDescent="0.25">
      <c r="A244" s="130" t="s">
        <v>194</v>
      </c>
      <c r="B244" s="139">
        <v>3892.55</v>
      </c>
      <c r="C244" s="139">
        <v>4022.91</v>
      </c>
      <c r="D244" s="139">
        <v>6743.71</v>
      </c>
      <c r="E244" s="139">
        <v>2103.65</v>
      </c>
      <c r="F244" s="139"/>
      <c r="G244" s="139"/>
      <c r="H244" s="139"/>
      <c r="I244" s="139"/>
      <c r="J244" s="139"/>
      <c r="K244" s="139"/>
      <c r="L244" s="139"/>
      <c r="M244" s="139"/>
      <c r="N244" s="139">
        <f t="shared" si="372"/>
        <v>16762.82</v>
      </c>
      <c r="O244" s="139"/>
      <c r="P244" s="139">
        <f t="shared" si="373"/>
        <v>23638.334999999999</v>
      </c>
      <c r="Q244" s="139">
        <f t="shared" si="374"/>
        <v>31517.78</v>
      </c>
      <c r="R244" s="139">
        <v>31517.78</v>
      </c>
      <c r="S244" s="170">
        <f t="shared" si="359"/>
        <v>0</v>
      </c>
      <c r="T244" s="168">
        <v>0</v>
      </c>
      <c r="U244" s="168">
        <v>680.88</v>
      </c>
      <c r="V244" s="168">
        <v>4256.26</v>
      </c>
      <c r="W244" s="168">
        <v>998.65</v>
      </c>
      <c r="X244" s="168">
        <v>3059.3</v>
      </c>
      <c r="Y244" s="168">
        <v>2520.4299999999998</v>
      </c>
      <c r="Z244" s="168">
        <v>3606.37</v>
      </c>
      <c r="AA244" s="168">
        <v>7404.71</v>
      </c>
      <c r="AB244" s="168">
        <v>4019.71</v>
      </c>
      <c r="AC244" s="168">
        <v>1588.42</v>
      </c>
      <c r="AD244" s="168">
        <v>1811.56</v>
      </c>
      <c r="AE244" s="168">
        <v>1571.49</v>
      </c>
      <c r="AF244" s="139">
        <f t="shared" si="375"/>
        <v>1523.8927272727271</v>
      </c>
      <c r="AG244" s="139">
        <f t="shared" si="376"/>
        <v>-1523.8927272727271</v>
      </c>
    </row>
    <row r="245" spans="1:33" x14ac:dyDescent="0.25">
      <c r="A245" s="130" t="s">
        <v>425</v>
      </c>
      <c r="B245" s="139">
        <v>3369.43</v>
      </c>
      <c r="C245" s="139">
        <v>6796.2</v>
      </c>
      <c r="D245" s="139">
        <v>9382.6</v>
      </c>
      <c r="E245" s="139">
        <v>10052.26</v>
      </c>
      <c r="F245" s="139"/>
      <c r="G245" s="139"/>
      <c r="H245" s="139"/>
      <c r="I245" s="139"/>
      <c r="J245" s="139"/>
      <c r="K245" s="139"/>
      <c r="L245" s="139"/>
      <c r="M245" s="139"/>
      <c r="N245" s="139">
        <f t="shared" si="372"/>
        <v>29600.489999999998</v>
      </c>
      <c r="O245" s="139"/>
      <c r="P245" s="139">
        <f t="shared" si="373"/>
        <v>28476</v>
      </c>
      <c r="Q245" s="139">
        <f>3164*12</f>
        <v>37968</v>
      </c>
      <c r="R245" s="139">
        <v>22152.17</v>
      </c>
      <c r="S245" s="170">
        <f t="shared" si="359"/>
        <v>0</v>
      </c>
      <c r="U245" s="168"/>
      <c r="V245" s="168"/>
      <c r="W245" s="168"/>
      <c r="X245" s="168"/>
      <c r="Y245" s="168">
        <v>3196.84</v>
      </c>
      <c r="Z245" s="168">
        <v>4200.3</v>
      </c>
      <c r="AA245" s="168">
        <v>2284</v>
      </c>
      <c r="AB245" s="168">
        <v>3424.43</v>
      </c>
      <c r="AC245" s="168">
        <v>2283.96</v>
      </c>
      <c r="AD245" s="168">
        <v>3109.03</v>
      </c>
      <c r="AE245" s="168">
        <v>3653.61</v>
      </c>
      <c r="AF245" s="139">
        <f t="shared" si="375"/>
        <v>2690.9536363636362</v>
      </c>
      <c r="AG245" s="139">
        <f t="shared" si="376"/>
        <v>-2690.9536363636362</v>
      </c>
    </row>
    <row r="246" spans="1:33" x14ac:dyDescent="0.25">
      <c r="A246" s="130" t="s">
        <v>171</v>
      </c>
      <c r="C246" s="139">
        <v>125.45</v>
      </c>
      <c r="D246" s="139">
        <v>220.8</v>
      </c>
      <c r="E246" s="139">
        <v>125.45</v>
      </c>
      <c r="F246" s="139"/>
      <c r="G246" s="139"/>
      <c r="H246" s="139"/>
      <c r="I246" s="139"/>
      <c r="J246" s="139"/>
      <c r="K246" s="139"/>
      <c r="L246" s="139"/>
      <c r="M246" s="139"/>
      <c r="N246" s="139">
        <f t="shared" si="372"/>
        <v>471.7</v>
      </c>
      <c r="O246" s="139"/>
      <c r="P246" s="139">
        <f t="shared" si="373"/>
        <v>20271.052499999994</v>
      </c>
      <c r="Q246" s="139">
        <f t="shared" si="374"/>
        <v>27028.069999999996</v>
      </c>
      <c r="R246" s="139">
        <v>27028.069999999996</v>
      </c>
      <c r="S246" s="170">
        <f t="shared" si="359"/>
        <v>0</v>
      </c>
      <c r="T246" s="168">
        <v>0</v>
      </c>
      <c r="U246" s="168">
        <v>0</v>
      </c>
      <c r="V246" s="168">
        <v>0</v>
      </c>
      <c r="W246" s="168">
        <v>1820.4</v>
      </c>
      <c r="X246" s="168">
        <v>0</v>
      </c>
      <c r="Y246" s="168">
        <v>5256.73</v>
      </c>
      <c r="Z246" s="168">
        <v>3721.9</v>
      </c>
      <c r="AA246" s="168">
        <v>1441.3</v>
      </c>
      <c r="AB246" s="168">
        <v>1188.0899999999999</v>
      </c>
      <c r="AC246" s="168">
        <v>3498.74</v>
      </c>
      <c r="AD246" s="168">
        <v>1048.8599999999999</v>
      </c>
      <c r="AE246" s="168">
        <v>9052.0499999999993</v>
      </c>
      <c r="AF246" s="139">
        <f t="shared" si="375"/>
        <v>42.881818181818183</v>
      </c>
      <c r="AG246" s="139">
        <f t="shared" si="376"/>
        <v>-42.881818181818183</v>
      </c>
    </row>
    <row r="247" spans="1:33" x14ac:dyDescent="0.25">
      <c r="A247" s="130" t="s">
        <v>172</v>
      </c>
      <c r="B247" s="139">
        <v>390</v>
      </c>
      <c r="C247" s="139">
        <v>390</v>
      </c>
      <c r="D247" s="139">
        <v>390</v>
      </c>
      <c r="E247" s="139">
        <v>390</v>
      </c>
      <c r="F247" s="139"/>
      <c r="G247" s="139"/>
      <c r="H247" s="139"/>
      <c r="I247" s="139"/>
      <c r="J247" s="139"/>
      <c r="K247" s="139"/>
      <c r="L247" s="139"/>
      <c r="M247" s="139"/>
      <c r="N247" s="139">
        <f t="shared" si="372"/>
        <v>1560</v>
      </c>
      <c r="O247" s="139"/>
      <c r="P247" s="139">
        <f t="shared" si="373"/>
        <v>2632.5</v>
      </c>
      <c r="Q247" s="139">
        <f t="shared" si="374"/>
        <v>3510</v>
      </c>
      <c r="R247" s="139">
        <v>3510</v>
      </c>
      <c r="S247" s="170">
        <f t="shared" si="359"/>
        <v>0</v>
      </c>
      <c r="T247" s="168">
        <v>0</v>
      </c>
      <c r="U247" s="168">
        <v>0</v>
      </c>
      <c r="V247" s="168">
        <v>0</v>
      </c>
      <c r="W247" s="168">
        <v>390</v>
      </c>
      <c r="X247" s="168">
        <v>390</v>
      </c>
      <c r="Y247" s="168">
        <v>390</v>
      </c>
      <c r="Z247" s="168">
        <v>390</v>
      </c>
      <c r="AA247" s="168">
        <v>390</v>
      </c>
      <c r="AB247" s="168">
        <v>390</v>
      </c>
      <c r="AC247" s="168">
        <v>390</v>
      </c>
      <c r="AD247" s="168">
        <v>390</v>
      </c>
      <c r="AE247" s="168">
        <v>390</v>
      </c>
      <c r="AF247" s="139">
        <f t="shared" si="375"/>
        <v>141.81818181818181</v>
      </c>
      <c r="AG247" s="139">
        <f t="shared" si="376"/>
        <v>-141.81818181818181</v>
      </c>
    </row>
    <row r="248" spans="1:33" x14ac:dyDescent="0.25">
      <c r="A248" s="130" t="s">
        <v>384</v>
      </c>
      <c r="B248" s="139">
        <v>61549.68</v>
      </c>
      <c r="C248" s="139">
        <v>62157.68</v>
      </c>
      <c r="D248" s="139">
        <v>68529.02</v>
      </c>
      <c r="E248" s="139">
        <v>70869.08</v>
      </c>
      <c r="F248" s="139"/>
      <c r="G248" s="139"/>
      <c r="H248" s="139"/>
      <c r="I248" s="139"/>
      <c r="J248" s="139"/>
      <c r="K248" s="139"/>
      <c r="L248" s="139"/>
      <c r="M248" s="139"/>
      <c r="N248" s="139">
        <f t="shared" si="372"/>
        <v>263105.46000000002</v>
      </c>
      <c r="O248" s="139"/>
      <c r="P248" s="139">
        <f t="shared" si="373"/>
        <v>531000</v>
      </c>
      <c r="Q248" s="139">
        <v>708000</v>
      </c>
      <c r="R248" s="139">
        <v>691685.51</v>
      </c>
      <c r="S248" s="170">
        <f t="shared" si="359"/>
        <v>0</v>
      </c>
      <c r="T248" s="168">
        <v>0</v>
      </c>
      <c r="U248" s="168">
        <v>0</v>
      </c>
      <c r="V248" s="168">
        <v>0</v>
      </c>
      <c r="W248" s="168">
        <v>51803</v>
      </c>
      <c r="X248" s="168">
        <v>58244.6</v>
      </c>
      <c r="Y248" s="168">
        <v>55745.919999999998</v>
      </c>
      <c r="Z248" s="168">
        <v>74963</v>
      </c>
      <c r="AA248" s="168">
        <v>57878.13</v>
      </c>
      <c r="AB248" s="168">
        <v>58108.23</v>
      </c>
      <c r="AC248" s="168">
        <v>58744.17</v>
      </c>
      <c r="AD248" s="168">
        <v>58313.18</v>
      </c>
      <c r="AE248" s="168">
        <v>217885.28</v>
      </c>
      <c r="AF248" s="139">
        <f t="shared" si="375"/>
        <v>23918.678181818184</v>
      </c>
      <c r="AG248" s="139">
        <f t="shared" si="376"/>
        <v>-23918.678181818184</v>
      </c>
    </row>
    <row r="249" spans="1:33" x14ac:dyDescent="0.25">
      <c r="A249" s="130" t="s">
        <v>462</v>
      </c>
      <c r="B249" s="139">
        <v>7500</v>
      </c>
      <c r="C249" s="139">
        <v>7500</v>
      </c>
      <c r="D249" s="139">
        <v>7500</v>
      </c>
      <c r="E249" s="139">
        <v>7500</v>
      </c>
      <c r="F249" s="139"/>
      <c r="G249" s="139"/>
      <c r="H249" s="139"/>
      <c r="I249" s="139"/>
      <c r="J249" s="139"/>
      <c r="K249" s="139"/>
      <c r="L249" s="139"/>
      <c r="M249" s="139"/>
      <c r="N249" s="139">
        <f t="shared" si="372"/>
        <v>30000</v>
      </c>
      <c r="O249" s="139"/>
      <c r="P249" s="139">
        <f t="shared" si="373"/>
        <v>67500</v>
      </c>
      <c r="Q249" s="139">
        <f t="shared" si="374"/>
        <v>90000</v>
      </c>
      <c r="R249" s="139">
        <v>90000</v>
      </c>
      <c r="S249" s="170">
        <f t="shared" si="359"/>
        <v>0</v>
      </c>
      <c r="U249" s="168"/>
      <c r="V249" s="168"/>
      <c r="W249" s="168"/>
      <c r="X249" s="168"/>
      <c r="Y249" s="168"/>
      <c r="Z249" s="168"/>
      <c r="AA249" s="168"/>
      <c r="AB249" s="168">
        <v>67500</v>
      </c>
      <c r="AC249" s="168">
        <v>7500</v>
      </c>
      <c r="AD249" s="168">
        <v>7500</v>
      </c>
      <c r="AE249" s="168">
        <v>7500</v>
      </c>
      <c r="AF249" s="139">
        <f t="shared" si="375"/>
        <v>2727.2727272727275</v>
      </c>
      <c r="AG249" s="139">
        <f t="shared" si="376"/>
        <v>-2727.2727272727275</v>
      </c>
    </row>
    <row r="250" spans="1:33" x14ac:dyDescent="0.25">
      <c r="A250" s="130" t="s">
        <v>588</v>
      </c>
      <c r="B250" s="139">
        <v>400</v>
      </c>
      <c r="C250" s="139">
        <v>400</v>
      </c>
      <c r="D250" s="139">
        <v>400</v>
      </c>
      <c r="E250" s="139">
        <v>400</v>
      </c>
      <c r="F250" s="139"/>
      <c r="G250" s="139"/>
      <c r="H250" s="139"/>
      <c r="I250" s="139"/>
      <c r="J250" s="139"/>
      <c r="K250" s="139"/>
      <c r="L250" s="139"/>
      <c r="M250" s="139"/>
      <c r="N250" s="139">
        <f t="shared" si="372"/>
        <v>1600</v>
      </c>
      <c r="O250" s="139"/>
      <c r="P250" s="139"/>
      <c r="Q250" s="139"/>
      <c r="R250" s="139"/>
      <c r="S250" s="170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>
        <f t="shared" si="375"/>
        <v>145.45454545454547</v>
      </c>
      <c r="AG250" s="139">
        <f t="shared" si="376"/>
        <v>-145.45454545454547</v>
      </c>
    </row>
    <row r="251" spans="1:33" ht="15.75" thickBot="1" x14ac:dyDescent="0.3">
      <c r="A251" s="138" t="s">
        <v>173</v>
      </c>
      <c r="B251" s="157">
        <f>SUM(B227:B250)</f>
        <v>204544.11</v>
      </c>
      <c r="C251" s="157">
        <f t="shared" ref="C251:H251" si="377">SUM(C227:C250)</f>
        <v>219279.44</v>
      </c>
      <c r="D251" s="157">
        <f t="shared" si="377"/>
        <v>212003.18</v>
      </c>
      <c r="E251" s="157">
        <f t="shared" si="377"/>
        <v>217968.49</v>
      </c>
      <c r="F251" s="157">
        <f t="shared" si="377"/>
        <v>0</v>
      </c>
      <c r="G251" s="157">
        <f t="shared" si="377"/>
        <v>0</v>
      </c>
      <c r="H251" s="157">
        <f t="shared" si="377"/>
        <v>0</v>
      </c>
      <c r="I251" s="157">
        <f t="shared" ref="I251:N251" si="378">SUM(I227:I250)</f>
        <v>0</v>
      </c>
      <c r="J251" s="157">
        <f t="shared" si="378"/>
        <v>0</v>
      </c>
      <c r="K251" s="157">
        <f>SUM(K227:K250)</f>
        <v>0</v>
      </c>
      <c r="L251" s="157">
        <f t="shared" si="378"/>
        <v>0</v>
      </c>
      <c r="M251" s="157">
        <f t="shared" si="378"/>
        <v>0</v>
      </c>
      <c r="N251" s="157">
        <f t="shared" si="378"/>
        <v>853795.22</v>
      </c>
      <c r="O251" s="157"/>
      <c r="P251" s="157">
        <f>SUM(P227:P249)</f>
        <v>1852786.7849999999</v>
      </c>
      <c r="Q251" s="157">
        <f>SUM(Q227:Q249)</f>
        <v>2470382.38</v>
      </c>
      <c r="R251" s="157">
        <v>2658120.36</v>
      </c>
      <c r="S251" s="170">
        <f t="shared" si="359"/>
        <v>0</v>
      </c>
      <c r="T251" s="182">
        <f t="shared" ref="T251:X251" si="379">SUM(T228:T248)</f>
        <v>217438.18</v>
      </c>
      <c r="U251" s="182">
        <f t="shared" si="379"/>
        <v>209198.51</v>
      </c>
      <c r="V251" s="182">
        <f t="shared" si="379"/>
        <v>217237.15000000002</v>
      </c>
      <c r="W251" s="182">
        <f t="shared" si="379"/>
        <v>198728.25999999998</v>
      </c>
      <c r="X251" s="182">
        <f t="shared" si="379"/>
        <v>199475.94999999998</v>
      </c>
      <c r="Y251" s="182">
        <f>SUM(Y228:Y248)</f>
        <v>222170.33999999997</v>
      </c>
      <c r="Z251" s="182">
        <f>SUM(Z228:Z248)</f>
        <v>232432.36999999997</v>
      </c>
      <c r="AA251" s="182">
        <f>SUM(AA228:AA249)</f>
        <v>206199.65</v>
      </c>
      <c r="AB251" s="182">
        <f>SUM(AB227:AB249)</f>
        <v>262615.36</v>
      </c>
      <c r="AC251" s="182">
        <f>SUM(AC227:AC249)</f>
        <v>237014.89</v>
      </c>
      <c r="AD251" s="182">
        <f>SUM(AD227:AD249)</f>
        <v>216333.72999999995</v>
      </c>
      <c r="AE251" s="182">
        <f>SUM(AE227:AE249)</f>
        <v>239275.96999999997</v>
      </c>
      <c r="AF251" s="157">
        <f t="shared" si="375"/>
        <v>77617.747272727269</v>
      </c>
      <c r="AG251" s="157">
        <f t="shared" si="376"/>
        <v>-77617.747272727269</v>
      </c>
    </row>
    <row r="252" spans="1:33" ht="15.75" thickTop="1" x14ac:dyDescent="0.25"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70">
        <f t="shared" si="359"/>
        <v>0</v>
      </c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39">
        <f t="shared" si="375"/>
        <v>0</v>
      </c>
      <c r="AG252" s="139">
        <f t="shared" si="376"/>
        <v>0</v>
      </c>
    </row>
    <row r="253" spans="1:33" x14ac:dyDescent="0.25">
      <c r="A253" s="130" t="s">
        <v>174</v>
      </c>
      <c r="B253" s="139">
        <v>145.83000000000001</v>
      </c>
      <c r="C253" s="139">
        <v>484.83</v>
      </c>
      <c r="D253" s="139">
        <v>145.83000000000001</v>
      </c>
      <c r="E253" s="139">
        <v>145.83000000000001</v>
      </c>
      <c r="F253" s="139"/>
      <c r="G253" s="139"/>
      <c r="H253" s="139"/>
      <c r="I253" s="139"/>
      <c r="J253" s="139"/>
      <c r="K253" s="139"/>
      <c r="L253" s="139"/>
      <c r="M253" s="139"/>
      <c r="N253" s="139">
        <f t="shared" ref="N253:N287" si="380">SUM(B253:M253)</f>
        <v>922.32</v>
      </c>
      <c r="O253" s="139"/>
      <c r="P253" s="139">
        <f>Q253/12*$P$3</f>
        <v>3375</v>
      </c>
      <c r="Q253" s="139">
        <f>R253</f>
        <v>4500</v>
      </c>
      <c r="R253" s="139">
        <v>4500</v>
      </c>
      <c r="S253" s="170">
        <f t="shared" si="359"/>
        <v>0</v>
      </c>
      <c r="T253" s="168">
        <v>0</v>
      </c>
      <c r="U253" s="168">
        <v>0</v>
      </c>
      <c r="V253" s="168">
        <v>0</v>
      </c>
      <c r="W253" s="168"/>
      <c r="X253" s="168">
        <v>0</v>
      </c>
      <c r="Y253" s="168">
        <v>2500</v>
      </c>
      <c r="Z253" s="168">
        <v>2000</v>
      </c>
      <c r="AA253" s="168">
        <v>0</v>
      </c>
      <c r="AB253" s="168">
        <v>0</v>
      </c>
      <c r="AC253" s="168">
        <v>0</v>
      </c>
      <c r="AD253" s="168">
        <v>0</v>
      </c>
      <c r="AE253" s="168">
        <v>0</v>
      </c>
      <c r="AF253" s="139">
        <f t="shared" si="375"/>
        <v>83.847272727272738</v>
      </c>
      <c r="AG253" s="139">
        <f t="shared" si="376"/>
        <v>-83.847272727272738</v>
      </c>
    </row>
    <row r="254" spans="1:33" x14ac:dyDescent="0.25">
      <c r="A254" s="130" t="s">
        <v>175</v>
      </c>
      <c r="B254" s="139">
        <v>6190.24</v>
      </c>
      <c r="C254" s="139">
        <v>9370.9500000000007</v>
      </c>
      <c r="D254" s="139">
        <v>9370.9500000000007</v>
      </c>
      <c r="E254" s="139">
        <v>9370.9500000000007</v>
      </c>
      <c r="F254" s="139"/>
      <c r="G254" s="139"/>
      <c r="H254" s="139"/>
      <c r="I254" s="139"/>
      <c r="J254" s="139"/>
      <c r="K254" s="139"/>
      <c r="L254" s="139"/>
      <c r="M254" s="139"/>
      <c r="N254" s="139">
        <f t="shared" si="380"/>
        <v>34303.089999999997</v>
      </c>
      <c r="O254" s="139"/>
      <c r="P254" s="139">
        <f t="shared" ref="P254:P284" si="381">Q254/12*$P$3</f>
        <v>28319.227500000001</v>
      </c>
      <c r="Q254" s="139">
        <f t="shared" ref="Q254:Q284" si="382">R254</f>
        <v>37758.97</v>
      </c>
      <c r="R254" s="139">
        <v>37758.97</v>
      </c>
      <c r="S254" s="170">
        <f t="shared" si="359"/>
        <v>0</v>
      </c>
      <c r="T254" s="168">
        <v>5835.67</v>
      </c>
      <c r="U254" s="168">
        <v>5000</v>
      </c>
      <c r="V254" s="168">
        <v>4813.05</v>
      </c>
      <c r="W254" s="168">
        <v>5000</v>
      </c>
      <c r="X254" s="168">
        <v>5000</v>
      </c>
      <c r="Y254" s="168">
        <v>5000</v>
      </c>
      <c r="Z254" s="168">
        <v>5000</v>
      </c>
      <c r="AA254" s="168">
        <v>5000</v>
      </c>
      <c r="AB254" s="168">
        <v>-10977.05</v>
      </c>
      <c r="AC254" s="168">
        <v>3250</v>
      </c>
      <c r="AD254" s="168">
        <v>3250</v>
      </c>
      <c r="AE254" s="168">
        <v>1587.3</v>
      </c>
      <c r="AF254" s="139">
        <f t="shared" si="375"/>
        <v>3118.4627272727271</v>
      </c>
      <c r="AG254" s="139">
        <f t="shared" si="376"/>
        <v>-3118.4627272727271</v>
      </c>
    </row>
    <row r="255" spans="1:33" x14ac:dyDescent="0.25">
      <c r="A255" s="130" t="s">
        <v>176</v>
      </c>
      <c r="B255" s="139">
        <v>1402.63</v>
      </c>
      <c r="C255" s="139">
        <v>1970.24</v>
      </c>
      <c r="D255" s="139">
        <v>1480.79</v>
      </c>
      <c r="E255" s="139">
        <v>1415.47</v>
      </c>
      <c r="F255" s="139"/>
      <c r="G255" s="139"/>
      <c r="H255" s="139"/>
      <c r="I255" s="139"/>
      <c r="J255" s="139"/>
      <c r="K255" s="139"/>
      <c r="L255" s="139"/>
      <c r="M255" s="139"/>
      <c r="N255" s="139">
        <f t="shared" si="380"/>
        <v>6269.13</v>
      </c>
      <c r="O255" s="139"/>
      <c r="P255" s="139">
        <f t="shared" si="381"/>
        <v>8026.5225000000009</v>
      </c>
      <c r="Q255" s="139">
        <f t="shared" si="382"/>
        <v>10702.03</v>
      </c>
      <c r="R255" s="139">
        <v>10702.03</v>
      </c>
      <c r="S255" s="170">
        <f t="shared" si="359"/>
        <v>0</v>
      </c>
      <c r="T255" s="168">
        <v>815.83</v>
      </c>
      <c r="U255" s="168">
        <v>1293.81</v>
      </c>
      <c r="V255" s="168">
        <v>863.73</v>
      </c>
      <c r="W255" s="168">
        <v>836.51</v>
      </c>
      <c r="X255" s="168">
        <v>838.95</v>
      </c>
      <c r="Y255" s="168">
        <v>838.95</v>
      </c>
      <c r="Z255" s="168">
        <v>822.29</v>
      </c>
      <c r="AA255" s="168">
        <v>935.47</v>
      </c>
      <c r="AB255" s="168">
        <v>805.06</v>
      </c>
      <c r="AC255" s="168">
        <v>800.32</v>
      </c>
      <c r="AD255" s="168">
        <v>843.26</v>
      </c>
      <c r="AE255" s="168">
        <v>1007.85</v>
      </c>
      <c r="AF255" s="139">
        <f t="shared" si="375"/>
        <v>569.92090909090905</v>
      </c>
      <c r="AG255" s="139">
        <f t="shared" si="376"/>
        <v>-569.92090909090905</v>
      </c>
    </row>
    <row r="256" spans="1:33" x14ac:dyDescent="0.25">
      <c r="A256" s="130" t="s">
        <v>177</v>
      </c>
      <c r="B256" s="139">
        <v>8341.6299999999992</v>
      </c>
      <c r="C256" s="139">
        <v>9434.77</v>
      </c>
      <c r="D256" s="139">
        <v>10074.61</v>
      </c>
      <c r="E256" s="139">
        <v>7223.79</v>
      </c>
      <c r="F256" s="139"/>
      <c r="G256" s="139"/>
      <c r="H256" s="139"/>
      <c r="I256" s="139"/>
      <c r="J256" s="139"/>
      <c r="K256" s="139"/>
      <c r="L256" s="139"/>
      <c r="M256" s="139"/>
      <c r="N256" s="139">
        <f t="shared" si="380"/>
        <v>35074.800000000003</v>
      </c>
      <c r="O256" s="139"/>
      <c r="P256" s="139">
        <f t="shared" si="381"/>
        <v>46261.931250000001</v>
      </c>
      <c r="Q256" s="139">
        <f>123365.15/2</f>
        <v>61682.574999999997</v>
      </c>
      <c r="R256" s="139">
        <v>123365.15</v>
      </c>
      <c r="S256" s="170">
        <f t="shared" si="359"/>
        <v>0</v>
      </c>
      <c r="T256" s="168">
        <v>11891.59</v>
      </c>
      <c r="U256" s="168">
        <v>11089.07</v>
      </c>
      <c r="V256" s="168">
        <v>11189.22</v>
      </c>
      <c r="W256" s="168">
        <v>11179.32</v>
      </c>
      <c r="X256" s="168">
        <v>10355.59</v>
      </c>
      <c r="Y256" s="168">
        <v>2547</v>
      </c>
      <c r="Z256" s="168">
        <v>10193.629999999999</v>
      </c>
      <c r="AA256" s="168">
        <v>11578.59</v>
      </c>
      <c r="AB256" s="168">
        <v>11065.45</v>
      </c>
      <c r="AC256" s="168">
        <v>11588.03</v>
      </c>
      <c r="AD256" s="168">
        <v>10659.28</v>
      </c>
      <c r="AE256" s="168">
        <v>10028.379999999999</v>
      </c>
      <c r="AF256" s="139">
        <f t="shared" si="375"/>
        <v>3188.6181818181822</v>
      </c>
      <c r="AG256" s="139">
        <f t="shared" si="376"/>
        <v>-3188.6181818181822</v>
      </c>
    </row>
    <row r="257" spans="1:33" x14ac:dyDescent="0.25">
      <c r="A257" s="130" t="s">
        <v>178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80"/>
        <v>0</v>
      </c>
      <c r="O257" s="139"/>
      <c r="P257" s="139">
        <f t="shared" si="381"/>
        <v>407.76</v>
      </c>
      <c r="Q257" s="139">
        <f t="shared" si="382"/>
        <v>543.67999999999995</v>
      </c>
      <c r="R257" s="139">
        <v>543.67999999999995</v>
      </c>
      <c r="S257" s="170">
        <f t="shared" si="359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543.67999999999995</v>
      </c>
      <c r="AC257" s="168">
        <v>0</v>
      </c>
      <c r="AD257" s="168">
        <v>0</v>
      </c>
      <c r="AE257" s="168">
        <v>0</v>
      </c>
      <c r="AF257" s="139">
        <f t="shared" si="375"/>
        <v>0</v>
      </c>
      <c r="AG257" s="139">
        <f t="shared" si="376"/>
        <v>0</v>
      </c>
    </row>
    <row r="258" spans="1:33" x14ac:dyDescent="0.25">
      <c r="A258" s="130" t="s">
        <v>179</v>
      </c>
      <c r="B258" s="139">
        <v>1234.23</v>
      </c>
      <c r="C258" s="139">
        <v>426.18</v>
      </c>
      <c r="D258" s="139">
        <v>242.43</v>
      </c>
      <c r="E258" s="139">
        <v>373.01</v>
      </c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80"/>
        <v>2275.8500000000004</v>
      </c>
      <c r="O258" s="139"/>
      <c r="P258" s="139">
        <f t="shared" si="381"/>
        <v>3592.6575000000003</v>
      </c>
      <c r="Q258" s="139">
        <f t="shared" si="382"/>
        <v>4790.21</v>
      </c>
      <c r="R258" s="139">
        <v>4790.21</v>
      </c>
      <c r="S258" s="170">
        <f t="shared" si="359"/>
        <v>0</v>
      </c>
      <c r="T258" s="168">
        <v>2200</v>
      </c>
      <c r="U258" s="168">
        <v>545.54</v>
      </c>
      <c r="V258" s="168">
        <v>774.24</v>
      </c>
      <c r="W258" s="168">
        <v>36.65</v>
      </c>
      <c r="X258" s="168">
        <v>22.4</v>
      </c>
      <c r="Y258" s="168">
        <v>149.9</v>
      </c>
      <c r="Z258" s="168">
        <v>27.1</v>
      </c>
      <c r="AA258" s="168">
        <v>53.2</v>
      </c>
      <c r="AB258" s="168">
        <v>11.78</v>
      </c>
      <c r="AC258" s="168">
        <v>48.35</v>
      </c>
      <c r="AD258" s="168">
        <v>-4997.2299999999996</v>
      </c>
      <c r="AE258" s="168">
        <v>5918.28</v>
      </c>
      <c r="AF258" s="139">
        <f t="shared" si="375"/>
        <v>206.89545454545458</v>
      </c>
      <c r="AG258" s="139">
        <f t="shared" si="376"/>
        <v>-206.89545454545458</v>
      </c>
    </row>
    <row r="259" spans="1:33" x14ac:dyDescent="0.25">
      <c r="A259" s="130" t="s">
        <v>180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80"/>
        <v>0</v>
      </c>
      <c r="O259" s="139"/>
      <c r="P259" s="139">
        <f t="shared" si="381"/>
        <v>0</v>
      </c>
      <c r="Q259" s="139">
        <f t="shared" si="382"/>
        <v>0</v>
      </c>
      <c r="R259" s="139">
        <v>0</v>
      </c>
      <c r="S259" s="170">
        <f t="shared" si="359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75"/>
        <v>0</v>
      </c>
      <c r="AG259" s="139">
        <f t="shared" si="376"/>
        <v>0</v>
      </c>
    </row>
    <row r="260" spans="1:33" hidden="1" x14ac:dyDescent="0.25">
      <c r="A260" s="130" t="s">
        <v>181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80"/>
        <v>0</v>
      </c>
      <c r="O260" s="139"/>
      <c r="P260" s="139">
        <f t="shared" si="381"/>
        <v>0</v>
      </c>
      <c r="Q260" s="139">
        <f t="shared" si="382"/>
        <v>0</v>
      </c>
      <c r="R260" s="139">
        <v>0</v>
      </c>
      <c r="S260" s="170">
        <f t="shared" si="359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75"/>
        <v>0</v>
      </c>
      <c r="AG260" s="139">
        <f t="shared" si="376"/>
        <v>0</v>
      </c>
    </row>
    <row r="261" spans="1:33" hidden="1" x14ac:dyDescent="0.25">
      <c r="A261" s="130" t="s">
        <v>182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80"/>
        <v>0</v>
      </c>
      <c r="O261" s="139"/>
      <c r="P261" s="139">
        <f t="shared" si="381"/>
        <v>0</v>
      </c>
      <c r="Q261" s="139">
        <f t="shared" si="382"/>
        <v>0</v>
      </c>
      <c r="R261" s="139">
        <v>0</v>
      </c>
      <c r="S261" s="170">
        <f t="shared" si="359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75"/>
        <v>0</v>
      </c>
      <c r="AG261" s="139">
        <f t="shared" si="376"/>
        <v>0</v>
      </c>
    </row>
    <row r="262" spans="1:33" x14ac:dyDescent="0.25">
      <c r="A262" s="130" t="s">
        <v>183</v>
      </c>
      <c r="B262" s="139">
        <v>450.32</v>
      </c>
      <c r="C262" s="139">
        <v>450.32</v>
      </c>
      <c r="D262" s="139">
        <v>450.32</v>
      </c>
      <c r="E262" s="139">
        <v>450.31</v>
      </c>
      <c r="F262" s="139"/>
      <c r="G262" s="139"/>
      <c r="H262" s="139"/>
      <c r="I262" s="139"/>
      <c r="J262" s="139"/>
      <c r="K262" s="139"/>
      <c r="L262" s="139"/>
      <c r="M262" s="139"/>
      <c r="N262" s="139">
        <f t="shared" si="380"/>
        <v>1801.27</v>
      </c>
      <c r="O262" s="139"/>
      <c r="P262" s="139">
        <f t="shared" si="381"/>
        <v>18483.015000000003</v>
      </c>
      <c r="Q262" s="139">
        <f t="shared" si="382"/>
        <v>24644.020000000004</v>
      </c>
      <c r="R262" s="139">
        <v>24644.020000000004</v>
      </c>
      <c r="S262" s="170">
        <f t="shared" si="359"/>
        <v>0</v>
      </c>
      <c r="T262" s="168">
        <v>0</v>
      </c>
      <c r="U262" s="168">
        <v>0</v>
      </c>
      <c r="V262" s="168">
        <v>0</v>
      </c>
      <c r="W262" s="168">
        <v>3888.88</v>
      </c>
      <c r="X262" s="168">
        <v>3888.88</v>
      </c>
      <c r="Y262" s="168">
        <v>13152.25</v>
      </c>
      <c r="Z262" s="168">
        <v>10269.51</v>
      </c>
      <c r="AA262" s="168">
        <v>3908.87</v>
      </c>
      <c r="AB262" s="168">
        <v>-19383.14</v>
      </c>
      <c r="AC262" s="168">
        <v>0</v>
      </c>
      <c r="AD262" s="168">
        <v>-9046.33</v>
      </c>
      <c r="AE262" s="168">
        <v>17965.099999999999</v>
      </c>
      <c r="AF262" s="139">
        <f t="shared" si="375"/>
        <v>163.75181818181818</v>
      </c>
      <c r="AG262" s="139">
        <f t="shared" si="376"/>
        <v>-163.75181818181818</v>
      </c>
    </row>
    <row r="263" spans="1:33" x14ac:dyDescent="0.25">
      <c r="A263" s="130" t="s">
        <v>184</v>
      </c>
      <c r="C263" s="139"/>
      <c r="D263" s="139"/>
      <c r="E263" s="139">
        <v>94.98</v>
      </c>
      <c r="F263" s="139"/>
      <c r="G263" s="139"/>
      <c r="H263" s="139"/>
      <c r="I263" s="139"/>
      <c r="J263" s="139"/>
      <c r="K263" s="139"/>
      <c r="L263" s="139"/>
      <c r="M263" s="139"/>
      <c r="N263" s="139">
        <f t="shared" si="380"/>
        <v>94.98</v>
      </c>
      <c r="O263" s="139"/>
      <c r="P263" s="139">
        <f t="shared" si="381"/>
        <v>5009.2275</v>
      </c>
      <c r="Q263" s="139">
        <f t="shared" si="382"/>
        <v>6678.97</v>
      </c>
      <c r="R263" s="139">
        <v>6678.97</v>
      </c>
      <c r="S263" s="170">
        <f t="shared" si="359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234.03</v>
      </c>
      <c r="Z263" s="168">
        <v>0</v>
      </c>
      <c r="AA263" s="168">
        <v>56.7</v>
      </c>
      <c r="AB263" s="168">
        <v>106.9</v>
      </c>
      <c r="AC263" s="168">
        <v>0</v>
      </c>
      <c r="AD263" s="168">
        <v>452.7</v>
      </c>
      <c r="AE263" s="168">
        <v>5828.64</v>
      </c>
      <c r="AF263" s="139">
        <f t="shared" si="375"/>
        <v>8.6345454545454547</v>
      </c>
      <c r="AG263" s="139">
        <f t="shared" si="376"/>
        <v>-8.6345454545454547</v>
      </c>
    </row>
    <row r="264" spans="1:33" x14ac:dyDescent="0.25">
      <c r="A264" s="130" t="s">
        <v>185</v>
      </c>
      <c r="B264" s="139">
        <v>1573.81</v>
      </c>
      <c r="C264" s="139">
        <v>1580.54</v>
      </c>
      <c r="D264" s="139">
        <v>1669.98</v>
      </c>
      <c r="E264" s="139">
        <v>1325.05</v>
      </c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80"/>
        <v>6149.38</v>
      </c>
      <c r="O264" s="139"/>
      <c r="P264" s="139">
        <f t="shared" si="381"/>
        <v>13050</v>
      </c>
      <c r="Q264" s="139">
        <v>17400</v>
      </c>
      <c r="R264" s="139">
        <v>17043.18</v>
      </c>
      <c r="S264" s="170">
        <f t="shared" si="359"/>
        <v>0</v>
      </c>
      <c r="T264" s="168">
        <v>-1079.68</v>
      </c>
      <c r="U264" s="168">
        <v>2431.7199999999998</v>
      </c>
      <c r="V264" s="168">
        <v>1397.5</v>
      </c>
      <c r="W264" s="168">
        <f>1455.94+540.08</f>
        <v>1996.02</v>
      </c>
      <c r="X264" s="168">
        <v>4141.2299999999996</v>
      </c>
      <c r="Y264" s="168">
        <v>1897.43</v>
      </c>
      <c r="Z264" s="168">
        <v>1351.56</v>
      </c>
      <c r="AA264" s="168">
        <v>1842.88</v>
      </c>
      <c r="AB264" s="168">
        <v>-947.97</v>
      </c>
      <c r="AC264" s="168">
        <v>1431.58</v>
      </c>
      <c r="AD264" s="168">
        <v>1149.33</v>
      </c>
      <c r="AE264" s="168">
        <v>1431.58</v>
      </c>
      <c r="AF264" s="139">
        <f t="shared" si="375"/>
        <v>559.03454545454542</v>
      </c>
      <c r="AG264" s="139">
        <f t="shared" si="376"/>
        <v>-559.03454545454542</v>
      </c>
    </row>
    <row r="265" spans="1:33" hidden="1" x14ac:dyDescent="0.25">
      <c r="A265" s="130" t="s">
        <v>570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80"/>
        <v>0</v>
      </c>
      <c r="O265" s="139"/>
      <c r="P265" s="139"/>
      <c r="Q265" s="139"/>
      <c r="R265" s="139"/>
      <c r="S265" s="170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39"/>
      <c r="AG265" s="139"/>
    </row>
    <row r="266" spans="1:33" x14ac:dyDescent="0.25">
      <c r="A266" s="130" t="s">
        <v>186</v>
      </c>
      <c r="B266" s="139">
        <v>2776.58</v>
      </c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80"/>
        <v>2776.58</v>
      </c>
      <c r="O266" s="139"/>
      <c r="P266" s="139">
        <f t="shared" si="381"/>
        <v>1170.4575</v>
      </c>
      <c r="Q266" s="139">
        <f t="shared" si="382"/>
        <v>1560.6100000000001</v>
      </c>
      <c r="R266" s="139">
        <v>1560.6100000000001</v>
      </c>
      <c r="S266" s="170">
        <f t="shared" si="359"/>
        <v>0</v>
      </c>
      <c r="T266" s="168">
        <v>369.62</v>
      </c>
      <c r="U266" s="168">
        <v>337.5</v>
      </c>
      <c r="V266" s="168">
        <v>0</v>
      </c>
      <c r="W266" s="168">
        <v>269.62</v>
      </c>
      <c r="X266" s="168">
        <v>0</v>
      </c>
      <c r="Y266" s="168">
        <v>0</v>
      </c>
      <c r="Z266" s="168">
        <v>291.94</v>
      </c>
      <c r="AA266" s="168">
        <v>0</v>
      </c>
      <c r="AB266" s="168">
        <v>0</v>
      </c>
      <c r="AC266" s="168">
        <v>291.93</v>
      </c>
      <c r="AD266" s="168">
        <v>0</v>
      </c>
      <c r="AE266" s="168">
        <v>0</v>
      </c>
      <c r="AF266" s="139">
        <f t="shared" si="375"/>
        <v>252.41636363636363</v>
      </c>
      <c r="AG266" s="139">
        <f t="shared" si="376"/>
        <v>-252.41636363636363</v>
      </c>
    </row>
    <row r="267" spans="1:33" x14ac:dyDescent="0.25">
      <c r="A267" s="130" t="s">
        <v>187</v>
      </c>
      <c r="B267" s="139">
        <v>1195</v>
      </c>
      <c r="C267" s="139">
        <v>5316.67</v>
      </c>
      <c r="D267" s="139">
        <v>1189.4000000000001</v>
      </c>
      <c r="E267" s="139">
        <v>1070.4100000000001</v>
      </c>
      <c r="F267" s="139"/>
      <c r="G267" s="139"/>
      <c r="H267" s="139"/>
      <c r="I267" s="139"/>
      <c r="J267" s="139"/>
      <c r="K267" s="139"/>
      <c r="L267" s="139"/>
      <c r="M267" s="139"/>
      <c r="N267" s="139">
        <f t="shared" si="380"/>
        <v>8771.48</v>
      </c>
      <c r="O267" s="139"/>
      <c r="P267" s="139">
        <f t="shared" si="381"/>
        <v>24634.35</v>
      </c>
      <c r="Q267" s="139">
        <f t="shared" si="382"/>
        <v>32845.799999999996</v>
      </c>
      <c r="R267" s="139">
        <v>32845.799999999996</v>
      </c>
      <c r="S267" s="170">
        <f t="shared" si="359"/>
        <v>0</v>
      </c>
      <c r="T267" s="168">
        <v>5036.3900000000003</v>
      </c>
      <c r="U267" s="168">
        <v>4091.87</v>
      </c>
      <c r="V267" s="168">
        <v>4231.8500000000004</v>
      </c>
      <c r="W267" s="168">
        <v>1960.99</v>
      </c>
      <c r="X267" s="168">
        <v>3137.77</v>
      </c>
      <c r="Y267" s="168">
        <v>2373.7600000000002</v>
      </c>
      <c r="Z267" s="168">
        <v>2720.77</v>
      </c>
      <c r="AA267" s="168">
        <v>2233.6799999999998</v>
      </c>
      <c r="AB267" s="168">
        <v>1749.68</v>
      </c>
      <c r="AC267" s="168">
        <v>1749.68</v>
      </c>
      <c r="AD267" s="168">
        <v>1809.68</v>
      </c>
      <c r="AE267" s="168">
        <v>1749.68</v>
      </c>
      <c r="AF267" s="139">
        <f t="shared" si="375"/>
        <v>797.4072727272727</v>
      </c>
      <c r="AG267" s="139">
        <f t="shared" si="376"/>
        <v>-797.4072727272727</v>
      </c>
    </row>
    <row r="268" spans="1:33" x14ac:dyDescent="0.25">
      <c r="A268" s="130" t="s">
        <v>188</v>
      </c>
      <c r="B268" s="139">
        <v>341.59</v>
      </c>
      <c r="C268" s="139">
        <v>600.6</v>
      </c>
      <c r="D268" s="139">
        <v>395.13</v>
      </c>
      <c r="E268" s="139">
        <v>546.58000000000004</v>
      </c>
      <c r="F268" s="139"/>
      <c r="G268" s="139"/>
      <c r="H268" s="139"/>
      <c r="I268" s="139"/>
      <c r="J268" s="139"/>
      <c r="K268" s="139"/>
      <c r="L268" s="139"/>
      <c r="M268" s="139"/>
      <c r="N268" s="139">
        <f t="shared" si="380"/>
        <v>1883.9</v>
      </c>
      <c r="O268" s="139"/>
      <c r="P268" s="139">
        <f t="shared" si="381"/>
        <v>19390.365000000002</v>
      </c>
      <c r="Q268" s="139">
        <f t="shared" si="382"/>
        <v>25853.820000000003</v>
      </c>
      <c r="R268" s="139">
        <v>25853.820000000003</v>
      </c>
      <c r="S268" s="170">
        <f t="shared" si="359"/>
        <v>0</v>
      </c>
      <c r="T268" s="168">
        <v>2582.41</v>
      </c>
      <c r="U268" s="168">
        <v>2701.31</v>
      </c>
      <c r="V268" s="168">
        <v>3298.35</v>
      </c>
      <c r="W268" s="168">
        <v>2350.81</v>
      </c>
      <c r="X268" s="168">
        <v>2499.0500000000002</v>
      </c>
      <c r="Y268" s="168">
        <v>3334.89</v>
      </c>
      <c r="Z268" s="168">
        <v>2438.75</v>
      </c>
      <c r="AA268" s="168">
        <v>2256.88</v>
      </c>
      <c r="AB268" s="168">
        <v>-2442.33</v>
      </c>
      <c r="AC268" s="168">
        <v>2761.82</v>
      </c>
      <c r="AD268" s="168">
        <v>1312.38</v>
      </c>
      <c r="AE268" s="168">
        <v>2759.5</v>
      </c>
      <c r="AF268" s="139">
        <f t="shared" si="375"/>
        <v>171.26363636363638</v>
      </c>
      <c r="AG268" s="139">
        <f t="shared" si="376"/>
        <v>-171.26363636363638</v>
      </c>
    </row>
    <row r="269" spans="1:33" hidden="1" x14ac:dyDescent="0.25">
      <c r="A269" s="130" t="s">
        <v>189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>
        <f t="shared" si="381"/>
        <v>0</v>
      </c>
      <c r="Q269" s="139">
        <f t="shared" si="382"/>
        <v>0</v>
      </c>
      <c r="R269" s="139"/>
      <c r="S269" s="170">
        <f t="shared" si="359"/>
        <v>0</v>
      </c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39">
        <f>(N269-M269)/11</f>
        <v>0</v>
      </c>
      <c r="AG269" s="139">
        <f>M269-AF269</f>
        <v>0</v>
      </c>
    </row>
    <row r="270" spans="1:33" x14ac:dyDescent="0.25">
      <c r="A270" s="130" t="s">
        <v>190</v>
      </c>
      <c r="C270" s="139"/>
      <c r="D270" s="139"/>
      <c r="E270" s="139">
        <v>1950</v>
      </c>
      <c r="F270" s="139"/>
      <c r="G270" s="139"/>
      <c r="H270" s="139"/>
      <c r="I270" s="139"/>
      <c r="J270" s="139"/>
      <c r="K270" s="139"/>
      <c r="L270" s="139"/>
      <c r="M270" s="139"/>
      <c r="N270" s="139">
        <f t="shared" si="380"/>
        <v>1950</v>
      </c>
      <c r="O270" s="139"/>
      <c r="P270" s="139">
        <f t="shared" si="381"/>
        <v>11484.21</v>
      </c>
      <c r="Q270" s="139">
        <f t="shared" si="382"/>
        <v>15312.279999999999</v>
      </c>
      <c r="R270" s="139">
        <v>15312.279999999999</v>
      </c>
      <c r="S270" s="170">
        <f t="shared" si="359"/>
        <v>0</v>
      </c>
      <c r="T270" s="168">
        <v>3253.33</v>
      </c>
      <c r="U270" s="168">
        <v>2533.33</v>
      </c>
      <c r="V270" s="168">
        <v>2533.33</v>
      </c>
      <c r="W270" s="168">
        <v>2533.33</v>
      </c>
      <c r="X270" s="168">
        <v>2533.33</v>
      </c>
      <c r="Y270" s="168">
        <v>2533.33</v>
      </c>
      <c r="Z270" s="168">
        <v>2533.33</v>
      </c>
      <c r="AA270" s="168">
        <v>2533.33</v>
      </c>
      <c r="AB270" s="168">
        <v>-10791.02</v>
      </c>
      <c r="AC270" s="168">
        <v>2533.33</v>
      </c>
      <c r="AD270" s="168">
        <v>2583.33</v>
      </c>
      <c r="AE270" s="168">
        <v>0</v>
      </c>
      <c r="AF270" s="139">
        <f t="shared" si="375"/>
        <v>177.27272727272728</v>
      </c>
      <c r="AG270" s="139">
        <f t="shared" si="376"/>
        <v>-177.27272727272728</v>
      </c>
    </row>
    <row r="271" spans="1:33" x14ac:dyDescent="0.25">
      <c r="A271" s="130" t="s">
        <v>191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>
        <f t="shared" si="380"/>
        <v>0</v>
      </c>
      <c r="O271" s="139"/>
      <c r="P271" s="139">
        <f t="shared" si="381"/>
        <v>14871.262499999999</v>
      </c>
      <c r="Q271" s="139">
        <f t="shared" si="382"/>
        <v>19828.349999999999</v>
      </c>
      <c r="R271" s="139">
        <v>19828.349999999999</v>
      </c>
      <c r="S271" s="170">
        <f t="shared" si="359"/>
        <v>0</v>
      </c>
      <c r="T271" s="168">
        <v>1266.67</v>
      </c>
      <c r="U271" s="168">
        <v>1266.67</v>
      </c>
      <c r="V271" s="168">
        <v>6536.01</v>
      </c>
      <c r="W271" s="168">
        <v>3238.1</v>
      </c>
      <c r="X271" s="168">
        <v>3238.1</v>
      </c>
      <c r="Y271" s="168">
        <v>-3590.69</v>
      </c>
      <c r="Z271" s="168">
        <v>1535.07</v>
      </c>
      <c r="AA271" s="168">
        <v>1266.67</v>
      </c>
      <c r="AB271" s="168">
        <v>2678.42</v>
      </c>
      <c r="AC271" s="168">
        <v>1991.67</v>
      </c>
      <c r="AD271" s="168">
        <v>2440.2399999999998</v>
      </c>
      <c r="AE271" s="168">
        <v>-2038.58</v>
      </c>
      <c r="AF271" s="139">
        <f t="shared" si="375"/>
        <v>0</v>
      </c>
      <c r="AG271" s="139">
        <f t="shared" si="376"/>
        <v>0</v>
      </c>
    </row>
    <row r="272" spans="1:33" x14ac:dyDescent="0.25">
      <c r="A272" s="130" t="s">
        <v>192</v>
      </c>
      <c r="C272" s="139"/>
      <c r="D272" s="139">
        <v>297.41000000000003</v>
      </c>
      <c r="E272" s="139">
        <v>674.68</v>
      </c>
      <c r="F272" s="139"/>
      <c r="G272" s="139"/>
      <c r="H272" s="139"/>
      <c r="I272" s="139"/>
      <c r="J272" s="139"/>
      <c r="K272" s="139"/>
      <c r="L272" s="139"/>
      <c r="M272" s="139"/>
      <c r="N272" s="139">
        <f t="shared" si="380"/>
        <v>972.08999999999992</v>
      </c>
      <c r="O272" s="139"/>
      <c r="P272" s="139">
        <f t="shared" si="381"/>
        <v>4215.9674999999997</v>
      </c>
      <c r="Q272" s="139">
        <f>R272</f>
        <v>5621.29</v>
      </c>
      <c r="R272" s="139">
        <v>5621.29</v>
      </c>
      <c r="S272" s="170">
        <f t="shared" si="359"/>
        <v>0</v>
      </c>
      <c r="T272" s="168">
        <v>428.57</v>
      </c>
      <c r="U272" s="168">
        <v>428.57</v>
      </c>
      <c r="V272" s="168">
        <v>428.57</v>
      </c>
      <c r="W272" s="168">
        <v>428.57</v>
      </c>
      <c r="X272" s="168">
        <v>1580.99</v>
      </c>
      <c r="Y272" s="168">
        <v>-895.84</v>
      </c>
      <c r="Z272" s="168">
        <v>374.03</v>
      </c>
      <c r="AA272" s="168">
        <v>750</v>
      </c>
      <c r="AB272" s="168">
        <v>1068.75</v>
      </c>
      <c r="AC272" s="168">
        <v>673.75</v>
      </c>
      <c r="AD272" s="168">
        <v>342</v>
      </c>
      <c r="AE272" s="168">
        <v>13.33</v>
      </c>
      <c r="AF272" s="139">
        <f t="shared" si="375"/>
        <v>88.371818181818171</v>
      </c>
      <c r="AG272" s="139">
        <f t="shared" si="376"/>
        <v>-88.371818181818171</v>
      </c>
    </row>
    <row r="273" spans="1:33" x14ac:dyDescent="0.25">
      <c r="A273" s="130" t="s">
        <v>193</v>
      </c>
      <c r="B273" s="139">
        <v>277</v>
      </c>
      <c r="C273" s="139">
        <v>503.26</v>
      </c>
      <c r="D273" s="139">
        <v>804.55</v>
      </c>
      <c r="E273" s="139">
        <v>2083</v>
      </c>
      <c r="F273" s="139"/>
      <c r="G273" s="139"/>
      <c r="H273" s="139"/>
      <c r="I273" s="139"/>
      <c r="J273" s="139"/>
      <c r="K273" s="139"/>
      <c r="L273" s="139"/>
      <c r="M273" s="139"/>
      <c r="N273" s="139">
        <f t="shared" si="380"/>
        <v>3667.81</v>
      </c>
      <c r="O273" s="139"/>
      <c r="P273" s="139">
        <f t="shared" si="381"/>
        <v>17399.370000000003</v>
      </c>
      <c r="Q273" s="139">
        <f t="shared" si="382"/>
        <v>23199.160000000003</v>
      </c>
      <c r="R273" s="139">
        <v>23199.160000000003</v>
      </c>
      <c r="S273" s="170">
        <f t="shared" si="359"/>
        <v>0</v>
      </c>
      <c r="T273" s="168">
        <v>2451.4299999999998</v>
      </c>
      <c r="U273" s="168">
        <v>2673.97</v>
      </c>
      <c r="V273" s="168">
        <v>2254.42</v>
      </c>
      <c r="W273" s="168">
        <v>0</v>
      </c>
      <c r="X273" s="168">
        <v>865.5</v>
      </c>
      <c r="Y273" s="168">
        <v>3530.1</v>
      </c>
      <c r="Z273" s="168">
        <v>2405.85</v>
      </c>
      <c r="AA273" s="168">
        <v>2695.65</v>
      </c>
      <c r="AB273" s="168">
        <v>1073.3599999999999</v>
      </c>
      <c r="AC273" s="168">
        <v>1240.24</v>
      </c>
      <c r="AD273" s="168">
        <v>1636.36</v>
      </c>
      <c r="AE273" s="168">
        <v>2372.2800000000002</v>
      </c>
      <c r="AF273" s="139">
        <f t="shared" si="375"/>
        <v>333.43727272727273</v>
      </c>
      <c r="AG273" s="139">
        <f t="shared" si="376"/>
        <v>-333.43727272727273</v>
      </c>
    </row>
    <row r="274" spans="1:33" hidden="1" x14ac:dyDescent="0.25">
      <c r="A274" s="130" t="s">
        <v>194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80"/>
        <v>0</v>
      </c>
      <c r="O274" s="139"/>
      <c r="P274" s="139">
        <f t="shared" si="381"/>
        <v>0</v>
      </c>
      <c r="Q274" s="139">
        <f t="shared" si="382"/>
        <v>0</v>
      </c>
      <c r="R274" s="139">
        <v>0</v>
      </c>
      <c r="S274" s="170">
        <f t="shared" si="359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>
        <f t="shared" si="375"/>
        <v>0</v>
      </c>
      <c r="AG274" s="139">
        <f t="shared" si="376"/>
        <v>0</v>
      </c>
    </row>
    <row r="275" spans="1:33" hidden="1" x14ac:dyDescent="0.25">
      <c r="A275" s="130" t="s">
        <v>425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80"/>
        <v>0</v>
      </c>
      <c r="O275" s="139"/>
      <c r="P275" s="139">
        <f t="shared" si="381"/>
        <v>0</v>
      </c>
      <c r="Q275" s="139">
        <f t="shared" si="382"/>
        <v>0</v>
      </c>
      <c r="R275" s="139">
        <v>0</v>
      </c>
      <c r="S275" s="170">
        <f t="shared" si="359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/>
      <c r="AG275" s="139"/>
    </row>
    <row r="276" spans="1:33" x14ac:dyDescent="0.25">
      <c r="A276" s="130" t="s">
        <v>385</v>
      </c>
      <c r="B276" s="139">
        <v>7382.79</v>
      </c>
      <c r="C276" s="139">
        <v>7382.79</v>
      </c>
      <c r="D276" s="139">
        <v>7413.39</v>
      </c>
      <c r="E276" s="139">
        <v>7382.79</v>
      </c>
      <c r="F276" s="139"/>
      <c r="G276" s="139"/>
      <c r="H276" s="139"/>
      <c r="I276" s="139"/>
      <c r="J276" s="139"/>
      <c r="K276" s="139"/>
      <c r="L276" s="139"/>
      <c r="M276" s="139"/>
      <c r="N276" s="139">
        <f t="shared" si="380"/>
        <v>29561.760000000002</v>
      </c>
      <c r="O276" s="139"/>
      <c r="P276" s="139">
        <f t="shared" si="381"/>
        <v>60000</v>
      </c>
      <c r="Q276" s="139">
        <v>80000</v>
      </c>
      <c r="R276" s="139">
        <v>83381.570000000007</v>
      </c>
      <c r="S276" s="170">
        <f t="shared" ref="S276:S313" si="383">R276-SUM(T276:AE276)</f>
        <v>0</v>
      </c>
      <c r="T276" s="168">
        <v>3782</v>
      </c>
      <c r="U276" s="168">
        <v>3307.08</v>
      </c>
      <c r="V276" s="168">
        <v>1484.08</v>
      </c>
      <c r="W276" s="168">
        <v>3120.16</v>
      </c>
      <c r="X276" s="168">
        <v>1484.08</v>
      </c>
      <c r="Y276" s="168">
        <v>10055.51</v>
      </c>
      <c r="Z276" s="168">
        <v>11706.59</v>
      </c>
      <c r="AA276" s="168">
        <v>10222.51</v>
      </c>
      <c r="AB276" s="168">
        <v>-2159.27</v>
      </c>
      <c r="AC276" s="168">
        <v>9218.25</v>
      </c>
      <c r="AD276" s="168">
        <v>7869.73</v>
      </c>
      <c r="AE276" s="168">
        <v>23290.85</v>
      </c>
      <c r="AF276" s="139"/>
      <c r="AG276" s="139"/>
    </row>
    <row r="277" spans="1:33" x14ac:dyDescent="0.25">
      <c r="A277" s="130" t="s">
        <v>420</v>
      </c>
      <c r="B277" s="139">
        <v>19583.330000000002</v>
      </c>
      <c r="C277" s="139">
        <v>19583.330000000002</v>
      </c>
      <c r="D277" s="139">
        <v>19583.330000000002</v>
      </c>
      <c r="E277" s="139">
        <v>19583.330000000002</v>
      </c>
      <c r="F277" s="139"/>
      <c r="G277" s="139"/>
      <c r="H277" s="139"/>
      <c r="I277" s="139"/>
      <c r="J277" s="139"/>
      <c r="K277" s="139"/>
      <c r="L277" s="139"/>
      <c r="M277" s="139"/>
      <c r="N277" s="139">
        <f t="shared" si="380"/>
        <v>78333.320000000007</v>
      </c>
      <c r="O277" s="139"/>
      <c r="P277" s="139">
        <f t="shared" si="381"/>
        <v>180000</v>
      </c>
      <c r="Q277" s="139">
        <f>(160000+45000+8500)+26500</f>
        <v>240000</v>
      </c>
      <c r="R277" s="139">
        <v>349999.99000000005</v>
      </c>
      <c r="S277" s="170">
        <f t="shared" si="383"/>
        <v>0</v>
      </c>
      <c r="T277" s="168">
        <v>44000</v>
      </c>
      <c r="U277" s="168">
        <v>25000</v>
      </c>
      <c r="V277" s="168">
        <v>25000</v>
      </c>
      <c r="W277" s="168">
        <v>25000</v>
      </c>
      <c r="X277" s="168">
        <v>25000</v>
      </c>
      <c r="Y277" s="168">
        <v>29428.57</v>
      </c>
      <c r="Z277" s="168">
        <v>29428.57</v>
      </c>
      <c r="AA277" s="168">
        <v>29428.57</v>
      </c>
      <c r="AB277" s="168">
        <v>29428.57</v>
      </c>
      <c r="AC277" s="168">
        <v>29428.57</v>
      </c>
      <c r="AD277" s="168">
        <v>29428.57</v>
      </c>
      <c r="AE277" s="168">
        <v>29428.57</v>
      </c>
      <c r="AF277" s="139"/>
      <c r="AG277" s="139"/>
    </row>
    <row r="278" spans="1:33" x14ac:dyDescent="0.25">
      <c r="A278" s="130" t="s">
        <v>386</v>
      </c>
      <c r="C278" s="139">
        <v>200</v>
      </c>
      <c r="D278" s="139">
        <v>338.75</v>
      </c>
      <c r="E278" s="139">
        <v>1250</v>
      </c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80"/>
        <v>1788.75</v>
      </c>
      <c r="O278" s="139"/>
      <c r="P278" s="139">
        <f t="shared" si="381"/>
        <v>67875</v>
      </c>
      <c r="Q278" s="139">
        <f t="shared" si="382"/>
        <v>90500</v>
      </c>
      <c r="R278" s="139">
        <v>90500</v>
      </c>
      <c r="S278" s="170">
        <f t="shared" si="383"/>
        <v>0</v>
      </c>
      <c r="T278" s="168">
        <v>7500</v>
      </c>
      <c r="U278" s="168">
        <v>7500</v>
      </c>
      <c r="V278" s="168">
        <v>8000</v>
      </c>
      <c r="W278" s="168">
        <v>7500</v>
      </c>
      <c r="X278" s="168">
        <v>7500</v>
      </c>
      <c r="Y278" s="168">
        <v>7500</v>
      </c>
      <c r="Z278" s="168">
        <v>7500</v>
      </c>
      <c r="AA278" s="168">
        <v>7500</v>
      </c>
      <c r="AB278" s="168">
        <v>7500</v>
      </c>
      <c r="AC278" s="168">
        <v>7500</v>
      </c>
      <c r="AD278" s="168">
        <v>7500</v>
      </c>
      <c r="AE278" s="168">
        <v>7500</v>
      </c>
      <c r="AF278" s="139"/>
      <c r="AG278" s="139"/>
    </row>
    <row r="279" spans="1:33" x14ac:dyDescent="0.25">
      <c r="A279" s="130" t="s">
        <v>421</v>
      </c>
      <c r="B279" s="139">
        <v>2074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80"/>
        <v>2074</v>
      </c>
      <c r="O279" s="139"/>
      <c r="P279" s="139">
        <f t="shared" si="381"/>
        <v>0</v>
      </c>
      <c r="Q279" s="139">
        <v>0</v>
      </c>
      <c r="R279" s="139">
        <v>33743.360000000001</v>
      </c>
      <c r="S279" s="170">
        <f t="shared" si="383"/>
        <v>0</v>
      </c>
      <c r="T279" s="168">
        <v>0</v>
      </c>
      <c r="U279" s="168">
        <v>1215</v>
      </c>
      <c r="V279" s="168">
        <v>0</v>
      </c>
      <c r="W279" s="168">
        <v>8257.5</v>
      </c>
      <c r="X279" s="168">
        <v>3982.5</v>
      </c>
      <c r="Y279" s="168">
        <v>6097.5</v>
      </c>
      <c r="Z279" s="168">
        <v>9922.5</v>
      </c>
      <c r="AA279" s="168">
        <v>4455</v>
      </c>
      <c r="AB279" s="168">
        <v>-8350.8799999999992</v>
      </c>
      <c r="AC279" s="168">
        <v>4630.2700000000004</v>
      </c>
      <c r="AD279" s="168">
        <v>424.12</v>
      </c>
      <c r="AE279" s="168">
        <v>3109.85</v>
      </c>
      <c r="AF279" s="139"/>
      <c r="AG279" s="139"/>
    </row>
    <row r="280" spans="1:33" x14ac:dyDescent="0.25">
      <c r="A280" s="130" t="s">
        <v>422</v>
      </c>
      <c r="C280" s="139">
        <v>774.6</v>
      </c>
      <c r="D280" s="139"/>
      <c r="E280" s="139">
        <v>40</v>
      </c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80"/>
        <v>814.6</v>
      </c>
      <c r="O280" s="139"/>
      <c r="P280" s="139">
        <f t="shared" si="381"/>
        <v>2374.875</v>
      </c>
      <c r="Q280" s="139">
        <f t="shared" si="382"/>
        <v>3166.5</v>
      </c>
      <c r="R280" s="139">
        <v>3166.5</v>
      </c>
      <c r="S280" s="170">
        <f t="shared" si="383"/>
        <v>0</v>
      </c>
      <c r="T280" s="168">
        <v>109</v>
      </c>
      <c r="U280" s="168">
        <v>0</v>
      </c>
      <c r="V280" s="168">
        <v>0</v>
      </c>
      <c r="W280" s="168">
        <v>0</v>
      </c>
      <c r="X280" s="168">
        <v>0</v>
      </c>
      <c r="Y280" s="168">
        <v>0</v>
      </c>
      <c r="Z280" s="168">
        <v>161</v>
      </c>
      <c r="AA280" s="168">
        <v>300</v>
      </c>
      <c r="AB280" s="168">
        <v>1093</v>
      </c>
      <c r="AC280" s="168">
        <v>90</v>
      </c>
      <c r="AD280" s="168">
        <v>910</v>
      </c>
      <c r="AE280" s="168">
        <v>503.5</v>
      </c>
      <c r="AF280" s="139"/>
      <c r="AG280" s="139"/>
    </row>
    <row r="281" spans="1:33" hidden="1" x14ac:dyDescent="0.25">
      <c r="A281" s="130" t="s">
        <v>423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80"/>
        <v>0</v>
      </c>
      <c r="O281" s="139"/>
      <c r="P281" s="139">
        <f t="shared" si="381"/>
        <v>290.03250000000003</v>
      </c>
      <c r="Q281" s="139">
        <f t="shared" si="382"/>
        <v>386.71</v>
      </c>
      <c r="R281" s="139">
        <v>386.71</v>
      </c>
      <c r="S281" s="170">
        <f t="shared" si="383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300</v>
      </c>
      <c r="Y281" s="168">
        <v>0</v>
      </c>
      <c r="Z281" s="168">
        <v>0</v>
      </c>
      <c r="AA281" s="168">
        <v>86.71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609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80"/>
        <v>0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424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80"/>
        <v>0</v>
      </c>
      <c r="O283" s="139"/>
      <c r="P283" s="139">
        <f t="shared" si="381"/>
        <v>430.14</v>
      </c>
      <c r="Q283" s="139">
        <f t="shared" si="382"/>
        <v>573.52</v>
      </c>
      <c r="R283" s="139">
        <v>573.52</v>
      </c>
      <c r="S283" s="170">
        <f t="shared" si="383"/>
        <v>0</v>
      </c>
      <c r="T283" s="168">
        <v>0</v>
      </c>
      <c r="U283" s="168">
        <v>0</v>
      </c>
      <c r="V283" s="168">
        <v>0</v>
      </c>
      <c r="W283" s="168">
        <v>0</v>
      </c>
      <c r="X283" s="168">
        <v>0</v>
      </c>
      <c r="Y283" s="168">
        <v>573.52</v>
      </c>
      <c r="Z283" s="168">
        <v>0</v>
      </c>
      <c r="AA283" s="168">
        <v>0</v>
      </c>
      <c r="AB283" s="168">
        <v>0</v>
      </c>
      <c r="AC283" s="168">
        <v>0</v>
      </c>
      <c r="AD283" s="168">
        <v>0</v>
      </c>
      <c r="AE283" s="168">
        <v>0</v>
      </c>
      <c r="AF283" s="139"/>
      <c r="AG283" s="139"/>
    </row>
    <row r="284" spans="1:33" x14ac:dyDescent="0.25">
      <c r="A284" s="130" t="s">
        <v>445</v>
      </c>
      <c r="B284" s="139">
        <v>4404.9799999999996</v>
      </c>
      <c r="C284" s="139">
        <v>8091.27</v>
      </c>
      <c r="D284" s="139">
        <v>10695.49</v>
      </c>
      <c r="E284" s="139">
        <v>13283.42</v>
      </c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80"/>
        <v>36475.159999999996</v>
      </c>
      <c r="O284" s="139"/>
      <c r="P284" s="139">
        <f t="shared" si="381"/>
        <v>22984.755000000001</v>
      </c>
      <c r="Q284" s="139">
        <f t="shared" si="382"/>
        <v>30646.34</v>
      </c>
      <c r="R284" s="139">
        <v>30646.34</v>
      </c>
      <c r="S284" s="170">
        <f t="shared" si="383"/>
        <v>0</v>
      </c>
      <c r="U284" s="168"/>
      <c r="V284" s="168"/>
      <c r="W284" s="168"/>
      <c r="X284" s="168"/>
      <c r="Y284" s="168">
        <v>0</v>
      </c>
      <c r="Z284" s="168">
        <v>0</v>
      </c>
      <c r="AA284" s="168">
        <v>6518.25</v>
      </c>
      <c r="AB284" s="168">
        <v>1181.6199999999999</v>
      </c>
      <c r="AC284" s="168">
        <v>11590.85</v>
      </c>
      <c r="AD284" s="168">
        <v>7906.3</v>
      </c>
      <c r="AE284" s="168">
        <v>3449.32</v>
      </c>
      <c r="AF284" s="139"/>
      <c r="AG284" s="139"/>
    </row>
    <row r="285" spans="1:33" hidden="1" x14ac:dyDescent="0.25">
      <c r="A285" s="130" t="s">
        <v>585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80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587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80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x14ac:dyDescent="0.25">
      <c r="A287" s="130" t="s">
        <v>614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>
        <f t="shared" si="380"/>
        <v>0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ht="15.75" thickBot="1" x14ac:dyDescent="0.3">
      <c r="A288" s="138" t="s">
        <v>195</v>
      </c>
      <c r="B288" s="157">
        <f>SUM(B253:B287)</f>
        <v>57373.959999999992</v>
      </c>
      <c r="C288" s="157">
        <f t="shared" ref="C288:N288" si="384">SUM(C253:C287)</f>
        <v>66170.349999999991</v>
      </c>
      <c r="D288" s="157">
        <f t="shared" si="384"/>
        <v>64152.36</v>
      </c>
      <c r="E288" s="157">
        <f t="shared" si="384"/>
        <v>68263.600000000006</v>
      </c>
      <c r="F288" s="157">
        <f t="shared" si="384"/>
        <v>0</v>
      </c>
      <c r="G288" s="157">
        <f t="shared" si="384"/>
        <v>0</v>
      </c>
      <c r="H288" s="157">
        <f t="shared" si="384"/>
        <v>0</v>
      </c>
      <c r="I288" s="157">
        <f t="shared" si="384"/>
        <v>0</v>
      </c>
      <c r="J288" s="157">
        <f t="shared" si="384"/>
        <v>0</v>
      </c>
      <c r="K288" s="157">
        <f t="shared" si="384"/>
        <v>0</v>
      </c>
      <c r="L288" s="157">
        <f t="shared" si="384"/>
        <v>0</v>
      </c>
      <c r="M288" s="157">
        <f t="shared" si="384"/>
        <v>0</v>
      </c>
      <c r="N288" s="157">
        <f t="shared" si="384"/>
        <v>255960.27000000002</v>
      </c>
      <c r="O288" s="139"/>
      <c r="P288" s="157">
        <f t="shared" ref="P288" si="385">SUM(P253:P286)</f>
        <v>553646.12624999997</v>
      </c>
      <c r="Q288" s="157">
        <f t="shared" ref="Q288" si="386">SUM(Q253:Q284)</f>
        <v>738194.83499999985</v>
      </c>
      <c r="R288" s="157">
        <v>946645.50999999989</v>
      </c>
      <c r="S288" s="170">
        <f t="shared" si="383"/>
        <v>0</v>
      </c>
      <c r="T288" s="182">
        <f t="shared" ref="T288:Y288" si="387">SUM(T253:T283)</f>
        <v>90442.829999999987</v>
      </c>
      <c r="U288" s="182">
        <f t="shared" si="387"/>
        <v>71415.44</v>
      </c>
      <c r="V288" s="182">
        <f t="shared" si="387"/>
        <v>72804.350000000006</v>
      </c>
      <c r="W288" s="182">
        <f t="shared" si="387"/>
        <v>77596.460000000006</v>
      </c>
      <c r="X288" s="182">
        <f t="shared" si="387"/>
        <v>76368.37</v>
      </c>
      <c r="Y288" s="182">
        <f t="shared" si="387"/>
        <v>87260.21</v>
      </c>
      <c r="Z288" s="182">
        <f t="shared" ref="Z288" si="388">SUM(Z253:Z281)</f>
        <v>100682.48999999999</v>
      </c>
      <c r="AA288" s="182">
        <f t="shared" ref="AA288:AE288" si="389">SUM(AA253:AA284)</f>
        <v>93622.96</v>
      </c>
      <c r="AB288" s="182">
        <f t="shared" si="389"/>
        <v>3254.6100000000069</v>
      </c>
      <c r="AC288" s="182">
        <f t="shared" si="389"/>
        <v>90818.64</v>
      </c>
      <c r="AD288" s="182">
        <f t="shared" si="389"/>
        <v>66473.72</v>
      </c>
      <c r="AE288" s="182">
        <f t="shared" si="389"/>
        <v>115905.43000000002</v>
      </c>
      <c r="AF288" s="157">
        <f t="shared" si="375"/>
        <v>23269.115454545456</v>
      </c>
      <c r="AG288" s="157">
        <f t="shared" si="376"/>
        <v>-23269.115454545456</v>
      </c>
    </row>
    <row r="289" spans="1:33" ht="15.75" thickTop="1" x14ac:dyDescent="0.25"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70">
        <f t="shared" si="383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75"/>
        <v>0</v>
      </c>
      <c r="AG289" s="139">
        <f t="shared" si="376"/>
        <v>0</v>
      </c>
    </row>
    <row r="290" spans="1:33" x14ac:dyDescent="0.25">
      <c r="A290" s="138" t="s">
        <v>320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70">
        <f t="shared" si="383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75"/>
        <v>0</v>
      </c>
      <c r="AG290" s="139">
        <f t="shared" si="376"/>
        <v>0</v>
      </c>
    </row>
    <row r="291" spans="1:33" x14ac:dyDescent="0.25">
      <c r="A291" s="130" t="s">
        <v>196</v>
      </c>
      <c r="B291" s="139">
        <v>12500</v>
      </c>
      <c r="C291" s="139">
        <v>12500</v>
      </c>
      <c r="D291" s="139">
        <v>12500</v>
      </c>
      <c r="E291" s="139">
        <v>12500</v>
      </c>
      <c r="F291" s="139"/>
      <c r="G291" s="139"/>
      <c r="H291" s="139"/>
      <c r="I291" s="139"/>
      <c r="J291" s="139"/>
      <c r="K291" s="139"/>
      <c r="L291" s="139"/>
      <c r="M291" s="139"/>
      <c r="N291" s="139">
        <f t="shared" ref="N291:N308" si="390">SUM(B291:M291)</f>
        <v>50000</v>
      </c>
      <c r="O291" s="139"/>
      <c r="P291" s="139">
        <f>Q291/12*$P$3</f>
        <v>112500</v>
      </c>
      <c r="Q291" s="139">
        <f>R291</f>
        <v>150000</v>
      </c>
      <c r="R291" s="139">
        <v>150000</v>
      </c>
      <c r="S291" s="170">
        <f t="shared" si="383"/>
        <v>0</v>
      </c>
      <c r="T291" s="168">
        <v>12500</v>
      </c>
      <c r="U291" s="168">
        <v>12500</v>
      </c>
      <c r="V291" s="168">
        <v>12500</v>
      </c>
      <c r="W291" s="168">
        <v>12500</v>
      </c>
      <c r="X291" s="168">
        <v>12500</v>
      </c>
      <c r="Y291" s="168">
        <v>12500</v>
      </c>
      <c r="Z291" s="168">
        <v>12500</v>
      </c>
      <c r="AA291" s="168">
        <v>12500</v>
      </c>
      <c r="AB291" s="168">
        <v>12500</v>
      </c>
      <c r="AC291" s="168">
        <v>12500</v>
      </c>
      <c r="AD291" s="168">
        <v>12500</v>
      </c>
      <c r="AE291" s="168">
        <v>12500</v>
      </c>
      <c r="AF291" s="139">
        <f t="shared" si="375"/>
        <v>4545.454545454545</v>
      </c>
      <c r="AG291" s="139">
        <f t="shared" si="376"/>
        <v>-4545.454545454545</v>
      </c>
    </row>
    <row r="292" spans="1:33" hidden="1" x14ac:dyDescent="0.25">
      <c r="A292" s="130" t="s">
        <v>197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90"/>
        <v>0</v>
      </c>
      <c r="O292" s="139"/>
      <c r="P292" s="139">
        <f t="shared" ref="P292:P308" si="391">Q292/12*$P$3</f>
        <v>0</v>
      </c>
      <c r="Q292" s="139">
        <f t="shared" ref="Q292:Q308" si="392">R292</f>
        <v>0</v>
      </c>
      <c r="R292" s="139">
        <v>0</v>
      </c>
      <c r="S292" s="170">
        <f t="shared" si="383"/>
        <v>0</v>
      </c>
      <c r="T292" s="168">
        <v>34022.5</v>
      </c>
      <c r="U292" s="168">
        <v>34265</v>
      </c>
      <c r="V292" s="168">
        <v>34451.25</v>
      </c>
      <c r="W292" s="168">
        <v>34845</v>
      </c>
      <c r="X292" s="168">
        <v>34565</v>
      </c>
      <c r="Y292" s="168">
        <v>34906.25</v>
      </c>
      <c r="Z292" s="168">
        <v>36258.75</v>
      </c>
      <c r="AA292" s="168">
        <v>35423.75</v>
      </c>
      <c r="AB292" s="168">
        <v>-278737.5</v>
      </c>
      <c r="AC292" s="168">
        <v>0</v>
      </c>
      <c r="AD292" s="168">
        <v>0</v>
      </c>
      <c r="AE292" s="168">
        <v>0</v>
      </c>
      <c r="AF292" s="139">
        <f t="shared" si="375"/>
        <v>0</v>
      </c>
      <c r="AG292" s="139">
        <f t="shared" si="376"/>
        <v>0</v>
      </c>
    </row>
    <row r="293" spans="1:33" x14ac:dyDescent="0.25">
      <c r="A293" s="130" t="s">
        <v>387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390"/>
        <v>0</v>
      </c>
      <c r="O293" s="139"/>
      <c r="P293" s="139">
        <f t="shared" si="391"/>
        <v>43648.845000000001</v>
      </c>
      <c r="Q293" s="139">
        <f t="shared" si="392"/>
        <v>58198.46</v>
      </c>
      <c r="R293" s="139">
        <v>58198.46</v>
      </c>
      <c r="S293" s="170">
        <f t="shared" si="383"/>
        <v>0</v>
      </c>
      <c r="T293" s="168">
        <v>0</v>
      </c>
      <c r="U293" s="168">
        <v>0</v>
      </c>
      <c r="V293" s="168">
        <v>0</v>
      </c>
      <c r="W293" s="168">
        <v>0</v>
      </c>
      <c r="X293" s="168">
        <v>31752.38</v>
      </c>
      <c r="Y293" s="168">
        <v>5625.56</v>
      </c>
      <c r="Z293" s="168">
        <v>4645.78</v>
      </c>
      <c r="AA293" s="168">
        <v>3846.94</v>
      </c>
      <c r="AB293" s="168">
        <v>3326.21</v>
      </c>
      <c r="AC293" s="168">
        <v>3245.67</v>
      </c>
      <c r="AD293" s="168">
        <v>3067.11</v>
      </c>
      <c r="AE293" s="168">
        <v>2688.81</v>
      </c>
      <c r="AF293" s="139"/>
      <c r="AG293" s="139"/>
    </row>
    <row r="294" spans="1:33" x14ac:dyDescent="0.25">
      <c r="A294" s="130" t="s">
        <v>198</v>
      </c>
      <c r="B294" s="139">
        <v>8274</v>
      </c>
      <c r="C294" s="139">
        <v>6062.67</v>
      </c>
      <c r="D294" s="139">
        <v>21788.2</v>
      </c>
      <c r="E294" s="139">
        <v>20409.2</v>
      </c>
      <c r="F294" s="139"/>
      <c r="G294" s="139"/>
      <c r="H294" s="139"/>
      <c r="I294" s="139"/>
      <c r="J294" s="139"/>
      <c r="K294" s="139"/>
      <c r="L294" s="139"/>
      <c r="M294" s="139"/>
      <c r="N294" s="139">
        <f t="shared" si="390"/>
        <v>56534.070000000007</v>
      </c>
      <c r="O294" s="139"/>
      <c r="P294" s="139">
        <f t="shared" si="391"/>
        <v>143988.78749999998</v>
      </c>
      <c r="Q294" s="139">
        <f t="shared" si="392"/>
        <v>191985.05</v>
      </c>
      <c r="R294" s="139">
        <v>191985.05</v>
      </c>
      <c r="S294" s="170">
        <f t="shared" si="383"/>
        <v>0</v>
      </c>
      <c r="T294" s="168">
        <v>6585.5</v>
      </c>
      <c r="U294" s="168">
        <v>10400.5</v>
      </c>
      <c r="V294" s="168">
        <v>6846.5</v>
      </c>
      <c r="W294" s="168">
        <v>18155</v>
      </c>
      <c r="X294" s="168">
        <v>23942.5</v>
      </c>
      <c r="Y294" s="168">
        <v>23535</v>
      </c>
      <c r="Z294" s="168">
        <v>27107.66</v>
      </c>
      <c r="AA294" s="168">
        <v>22399.58</v>
      </c>
      <c r="AB294" s="168">
        <v>15252.15</v>
      </c>
      <c r="AC294" s="168">
        <v>19396.66</v>
      </c>
      <c r="AD294" s="168">
        <v>8388.56</v>
      </c>
      <c r="AE294" s="168">
        <v>9975.44</v>
      </c>
      <c r="AF294" s="139"/>
      <c r="AG294" s="139"/>
    </row>
    <row r="295" spans="1:33" x14ac:dyDescent="0.25">
      <c r="A295" s="130" t="s">
        <v>199</v>
      </c>
      <c r="B295" s="139">
        <v>42816.23</v>
      </c>
      <c r="C295" s="139">
        <v>33297.54</v>
      </c>
      <c r="D295" s="139">
        <v>29154.31</v>
      </c>
      <c r="E295" s="139">
        <v>17547.509999999998</v>
      </c>
      <c r="F295" s="139"/>
      <c r="G295" s="139"/>
      <c r="H295" s="139"/>
      <c r="I295" s="139"/>
      <c r="J295" s="139"/>
      <c r="K295" s="139"/>
      <c r="L295" s="139"/>
      <c r="M295" s="139"/>
      <c r="N295" s="139">
        <f t="shared" si="390"/>
        <v>122815.59</v>
      </c>
      <c r="O295" s="139"/>
      <c r="P295" s="139">
        <f t="shared" si="391"/>
        <v>216176.70749999999</v>
      </c>
      <c r="Q295" s="139">
        <f t="shared" si="392"/>
        <v>288235.61</v>
      </c>
      <c r="R295" s="139">
        <v>288235.61</v>
      </c>
      <c r="S295" s="170">
        <f t="shared" si="383"/>
        <v>0</v>
      </c>
      <c r="T295" s="168">
        <v>41021.9</v>
      </c>
      <c r="U295" s="168">
        <v>14206.22</v>
      </c>
      <c r="V295" s="168">
        <v>13266.54</v>
      </c>
      <c r="W295" s="168">
        <v>32043.16</v>
      </c>
      <c r="X295" s="168">
        <v>18002.150000000001</v>
      </c>
      <c r="Y295" s="168">
        <v>18622.22</v>
      </c>
      <c r="Z295" s="168">
        <v>12562.67</v>
      </c>
      <c r="AA295" s="168">
        <v>3538.9</v>
      </c>
      <c r="AB295" s="168">
        <v>30143.42</v>
      </c>
      <c r="AC295" s="168">
        <v>22129.23</v>
      </c>
      <c r="AD295" s="168">
        <v>34960.17</v>
      </c>
      <c r="AE295" s="168">
        <v>47739.03</v>
      </c>
      <c r="AF295" s="139">
        <f t="shared" ref="AF295:AF313" si="393">(N295-M295)/11</f>
        <v>11165.053636363637</v>
      </c>
      <c r="AG295" s="139">
        <f t="shared" ref="AG295:AG313" si="394">M295-AF295</f>
        <v>-11165.053636363637</v>
      </c>
    </row>
    <row r="296" spans="1:33" x14ac:dyDescent="0.25">
      <c r="A296" s="130" t="s">
        <v>617</v>
      </c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>
        <f t="shared" si="390"/>
        <v>0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618</v>
      </c>
      <c r="B297" s="139">
        <v>819.74</v>
      </c>
      <c r="C297" s="139">
        <v>740.41</v>
      </c>
      <c r="D297" s="139">
        <v>1926.15</v>
      </c>
      <c r="E297" s="139">
        <v>1076.25</v>
      </c>
      <c r="F297" s="139"/>
      <c r="G297" s="139"/>
      <c r="H297" s="139"/>
      <c r="I297" s="139"/>
      <c r="J297" s="139"/>
      <c r="K297" s="139"/>
      <c r="L297" s="139"/>
      <c r="M297" s="139"/>
      <c r="N297" s="139">
        <f t="shared" si="390"/>
        <v>4562.55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200</v>
      </c>
      <c r="B298" s="139">
        <v>-5661.27</v>
      </c>
      <c r="C298" s="139">
        <v>-4795.16</v>
      </c>
      <c r="D298" s="139">
        <v>-6244.95</v>
      </c>
      <c r="E298" s="139">
        <v>-2507.6999999999998</v>
      </c>
      <c r="F298" s="139"/>
      <c r="G298" s="139"/>
      <c r="H298" s="139"/>
      <c r="I298" s="139"/>
      <c r="J298" s="139"/>
      <c r="K298" s="139"/>
      <c r="L298" s="139"/>
      <c r="M298" s="139"/>
      <c r="N298" s="139">
        <f t="shared" si="390"/>
        <v>-19209.080000000002</v>
      </c>
      <c r="O298" s="139"/>
      <c r="P298" s="139">
        <f t="shared" si="391"/>
        <v>-137722.67249999999</v>
      </c>
      <c r="Q298" s="139">
        <f t="shared" si="392"/>
        <v>-183630.22999999998</v>
      </c>
      <c r="R298" s="139">
        <v>-183630.22999999998</v>
      </c>
      <c r="S298" s="170">
        <f t="shared" si="383"/>
        <v>0</v>
      </c>
      <c r="T298" s="168">
        <v>-12832.51</v>
      </c>
      <c r="U298" s="168">
        <v>-10798.17</v>
      </c>
      <c r="V298" s="168">
        <v>-12464.55</v>
      </c>
      <c r="W298" s="168">
        <v>-15499.01</v>
      </c>
      <c r="X298" s="168">
        <v>-24863.5</v>
      </c>
      <c r="Y298" s="168">
        <v>-16320.72</v>
      </c>
      <c r="Z298" s="168">
        <v>-14231.08</v>
      </c>
      <c r="AA298" s="168">
        <v>-15651.5</v>
      </c>
      <c r="AB298" s="168">
        <v>-15109.51</v>
      </c>
      <c r="AC298" s="168">
        <v>-16423.150000000001</v>
      </c>
      <c r="AD298" s="168">
        <v>-14395.92</v>
      </c>
      <c r="AE298" s="168">
        <v>-15040.61</v>
      </c>
      <c r="AF298" s="139">
        <f t="shared" si="393"/>
        <v>-1746.2800000000002</v>
      </c>
      <c r="AG298" s="139">
        <f t="shared" si="394"/>
        <v>1746.2800000000002</v>
      </c>
    </row>
    <row r="299" spans="1:33" x14ac:dyDescent="0.25">
      <c r="A299" s="130" t="s">
        <v>615</v>
      </c>
      <c r="B299" s="139">
        <v>-29278.77</v>
      </c>
      <c r="C299" s="139">
        <v>-7727.1</v>
      </c>
      <c r="D299" s="139">
        <v>-8613.3799999999992</v>
      </c>
      <c r="E299" s="139">
        <v>-6875</v>
      </c>
      <c r="F299" s="139"/>
      <c r="G299" s="139"/>
      <c r="H299" s="139"/>
      <c r="I299" s="139"/>
      <c r="J299" s="139"/>
      <c r="K299" s="139"/>
      <c r="L299" s="139"/>
      <c r="M299" s="139"/>
      <c r="N299" s="139">
        <f t="shared" si="390"/>
        <v>-52494.25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616</v>
      </c>
      <c r="B300" s="139">
        <v>-30612.5</v>
      </c>
      <c r="C300" s="139">
        <v>-27650</v>
      </c>
      <c r="D300" s="139">
        <v>-32879.15</v>
      </c>
      <c r="E300" s="139">
        <v>-34291.67</v>
      </c>
      <c r="F300" s="139"/>
      <c r="G300" s="139"/>
      <c r="H300" s="139"/>
      <c r="I300" s="139"/>
      <c r="J300" s="139"/>
      <c r="K300" s="139"/>
      <c r="L300" s="139"/>
      <c r="M300" s="139"/>
      <c r="N300" s="139">
        <f t="shared" si="390"/>
        <v>-125433.31999999999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590</v>
      </c>
      <c r="B301" s="139">
        <v>-2210.94</v>
      </c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>
        <f t="shared" si="390"/>
        <v>-2210.94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hidden="1" x14ac:dyDescent="0.25">
      <c r="A302" s="130" t="s">
        <v>388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90"/>
        <v>0</v>
      </c>
      <c r="O302" s="139"/>
      <c r="P302" s="139">
        <f t="shared" si="391"/>
        <v>710.44499999999994</v>
      </c>
      <c r="Q302" s="139">
        <f t="shared" si="392"/>
        <v>947.26</v>
      </c>
      <c r="R302" s="139">
        <v>947.26</v>
      </c>
      <c r="S302" s="170">
        <f t="shared" si="383"/>
        <v>0</v>
      </c>
      <c r="T302" s="168">
        <v>0</v>
      </c>
      <c r="U302" s="168">
        <v>0</v>
      </c>
      <c r="V302" s="168">
        <v>0.1</v>
      </c>
      <c r="W302" s="168">
        <v>0</v>
      </c>
      <c r="X302" s="168">
        <v>0</v>
      </c>
      <c r="Y302" s="168">
        <v>49.5</v>
      </c>
      <c r="Z302" s="168">
        <v>0</v>
      </c>
      <c r="AA302" s="168">
        <v>0</v>
      </c>
      <c r="AB302" s="168">
        <v>0</v>
      </c>
      <c r="AC302" s="168">
        <v>0</v>
      </c>
      <c r="AD302" s="168">
        <v>0</v>
      </c>
      <c r="AE302" s="168">
        <v>897.66</v>
      </c>
      <c r="AF302" s="139">
        <f t="shared" si="393"/>
        <v>0</v>
      </c>
      <c r="AG302" s="139">
        <f t="shared" si="394"/>
        <v>0</v>
      </c>
    </row>
    <row r="303" spans="1:33" x14ac:dyDescent="0.25">
      <c r="A303" s="130" t="s">
        <v>665</v>
      </c>
      <c r="B303" s="139">
        <v>105.1</v>
      </c>
      <c r="C303" s="139">
        <v>145.22</v>
      </c>
      <c r="D303" s="139">
        <v>213.92</v>
      </c>
      <c r="E303" s="139">
        <v>251.65</v>
      </c>
      <c r="F303" s="139"/>
      <c r="G303" s="139"/>
      <c r="H303" s="139"/>
      <c r="I303" s="139"/>
      <c r="J303" s="139"/>
      <c r="K303" s="139"/>
      <c r="L303" s="139"/>
      <c r="M303" s="139"/>
      <c r="N303" s="139">
        <f t="shared" si="390"/>
        <v>715.89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389</v>
      </c>
      <c r="B304" s="139">
        <v>15424.76</v>
      </c>
      <c r="C304" s="139">
        <v>13459.25</v>
      </c>
      <c r="D304" s="139">
        <v>16169.37</v>
      </c>
      <c r="E304" s="139">
        <v>15310.03</v>
      </c>
      <c r="F304" s="139"/>
      <c r="G304" s="139"/>
      <c r="H304" s="139"/>
      <c r="I304" s="139"/>
      <c r="J304" s="139"/>
      <c r="K304" s="139"/>
      <c r="L304" s="139"/>
      <c r="M304" s="139"/>
      <c r="N304" s="139">
        <f t="shared" si="390"/>
        <v>60363.41</v>
      </c>
      <c r="O304" s="139"/>
      <c r="P304" s="139">
        <f t="shared" si="391"/>
        <v>52375.18499999999</v>
      </c>
      <c r="Q304" s="139">
        <f t="shared" si="392"/>
        <v>69833.579999999987</v>
      </c>
      <c r="R304" s="139">
        <v>69833.579999999987</v>
      </c>
      <c r="S304" s="170">
        <f t="shared" si="383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2087.77</v>
      </c>
      <c r="Y304" s="168">
        <v>2250.1799999999998</v>
      </c>
      <c r="Z304" s="168">
        <v>1925.15</v>
      </c>
      <c r="AA304" s="168">
        <v>9930.23</v>
      </c>
      <c r="AB304" s="168">
        <v>9676.48</v>
      </c>
      <c r="AC304" s="168">
        <v>11787.56</v>
      </c>
      <c r="AD304" s="168">
        <v>14682.25</v>
      </c>
      <c r="AE304" s="168">
        <v>17493.96</v>
      </c>
      <c r="AF304" s="139"/>
      <c r="AG304" s="139"/>
    </row>
    <row r="305" spans="1:33" x14ac:dyDescent="0.25">
      <c r="A305" s="130" t="s">
        <v>427</v>
      </c>
      <c r="B305" s="139">
        <v>2423.04</v>
      </c>
      <c r="C305" s="139">
        <v>622.46</v>
      </c>
      <c r="D305" s="139">
        <v>819.49</v>
      </c>
      <c r="E305" s="139">
        <v>3501.79</v>
      </c>
      <c r="F305" s="139"/>
      <c r="G305" s="139"/>
      <c r="H305" s="139"/>
      <c r="I305" s="139"/>
      <c r="J305" s="139"/>
      <c r="K305" s="139"/>
      <c r="L305" s="139"/>
      <c r="M305" s="139"/>
      <c r="N305" s="139">
        <f t="shared" si="390"/>
        <v>7366.78</v>
      </c>
      <c r="O305" s="139"/>
      <c r="P305" s="139">
        <f t="shared" si="391"/>
        <v>5425.5</v>
      </c>
      <c r="Q305" s="139">
        <f t="shared" si="392"/>
        <v>7234</v>
      </c>
      <c r="R305" s="139">
        <v>7234</v>
      </c>
      <c r="S305" s="170">
        <f t="shared" si="383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944.87</v>
      </c>
      <c r="Z305" s="168">
        <v>896.84</v>
      </c>
      <c r="AA305" s="168">
        <v>1815.02</v>
      </c>
      <c r="AB305" s="168">
        <v>1378.43</v>
      </c>
      <c r="AC305" s="168">
        <v>1346.44</v>
      </c>
      <c r="AD305" s="168">
        <v>214.73</v>
      </c>
      <c r="AE305" s="168">
        <v>637.66999999999996</v>
      </c>
      <c r="AF305" s="139"/>
      <c r="AG305" s="139"/>
    </row>
    <row r="306" spans="1:33" x14ac:dyDescent="0.25">
      <c r="A306" s="130" t="s">
        <v>426</v>
      </c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>
        <f t="shared" si="390"/>
        <v>0</v>
      </c>
      <c r="O306" s="139"/>
      <c r="P306" s="139">
        <f t="shared" si="391"/>
        <v>22591.245000000003</v>
      </c>
      <c r="Q306" s="139">
        <f t="shared" si="392"/>
        <v>30121.660000000003</v>
      </c>
      <c r="R306" s="139">
        <v>30121.660000000003</v>
      </c>
      <c r="S306" s="170">
        <f t="shared" si="383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7848.21</v>
      </c>
      <c r="Y306" s="168">
        <v>7891.39</v>
      </c>
      <c r="Z306" s="168">
        <v>2345.38</v>
      </c>
      <c r="AA306" s="168">
        <v>2213.81</v>
      </c>
      <c r="AB306" s="168">
        <v>1785.24</v>
      </c>
      <c r="AC306" s="168">
        <v>2122.1999999999998</v>
      </c>
      <c r="AD306" s="168">
        <v>2685.54</v>
      </c>
      <c r="AE306" s="168">
        <v>3229.89</v>
      </c>
      <c r="AF306" s="139"/>
      <c r="AG306" s="139"/>
    </row>
    <row r="307" spans="1:33" x14ac:dyDescent="0.25">
      <c r="A307" s="130" t="s">
        <v>390</v>
      </c>
      <c r="B307" s="139">
        <v>4742.45</v>
      </c>
      <c r="C307" s="139">
        <v>4430.3100000000004</v>
      </c>
      <c r="D307" s="139">
        <v>4543.1899999999996</v>
      </c>
      <c r="E307" s="139">
        <v>5114.1000000000004</v>
      </c>
      <c r="F307" s="139"/>
      <c r="G307" s="139"/>
      <c r="H307" s="139"/>
      <c r="I307" s="139"/>
      <c r="J307" s="139"/>
      <c r="K307" s="139"/>
      <c r="L307" s="139"/>
      <c r="M307" s="139"/>
      <c r="N307" s="139">
        <f t="shared" si="390"/>
        <v>18830.050000000003</v>
      </c>
      <c r="O307" s="139"/>
      <c r="P307" s="139">
        <f t="shared" si="391"/>
        <v>45668.745000000003</v>
      </c>
      <c r="Q307" s="139">
        <f t="shared" si="392"/>
        <v>60891.66</v>
      </c>
      <c r="R307" s="139">
        <v>60891.66</v>
      </c>
      <c r="S307" s="170">
        <f t="shared" si="383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0</v>
      </c>
      <c r="Y307" s="168">
        <v>2495.6</v>
      </c>
      <c r="Z307" s="168">
        <v>7458.78</v>
      </c>
      <c r="AA307" s="168">
        <v>7350.25</v>
      </c>
      <c r="AB307" s="168">
        <v>8126.37</v>
      </c>
      <c r="AC307" s="168">
        <v>10558.14</v>
      </c>
      <c r="AD307" s="168">
        <v>12910.5</v>
      </c>
      <c r="AE307" s="168">
        <v>11992.02</v>
      </c>
      <c r="AF307" s="139"/>
      <c r="AG307" s="139"/>
    </row>
    <row r="308" spans="1:33" x14ac:dyDescent="0.25">
      <c r="A308" s="130" t="s">
        <v>438</v>
      </c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>
        <f t="shared" si="390"/>
        <v>0</v>
      </c>
      <c r="O308" s="139"/>
      <c r="P308" s="139">
        <f t="shared" si="391"/>
        <v>12741.21</v>
      </c>
      <c r="Q308" s="139">
        <f t="shared" si="392"/>
        <v>16988.28</v>
      </c>
      <c r="R308" s="139">
        <v>16988.28</v>
      </c>
      <c r="S308" s="170">
        <f t="shared" si="383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0</v>
      </c>
      <c r="Z308" s="168">
        <v>3098.28</v>
      </c>
      <c r="AA308" s="168">
        <v>0</v>
      </c>
      <c r="AB308" s="168">
        <v>0</v>
      </c>
      <c r="AC308" s="168">
        <v>0</v>
      </c>
      <c r="AD308" s="168">
        <v>0</v>
      </c>
      <c r="AE308" s="168">
        <v>13890</v>
      </c>
      <c r="AF308" s="139"/>
      <c r="AG308" s="139"/>
    </row>
    <row r="309" spans="1:33" ht="15.75" thickBot="1" x14ac:dyDescent="0.3">
      <c r="A309" s="138" t="s">
        <v>201</v>
      </c>
      <c r="B309" s="159">
        <f>SUM(B291:B308)</f>
        <v>19341.839999999997</v>
      </c>
      <c r="C309" s="159">
        <f t="shared" ref="C309:G309" si="395">SUM(C291:C308)</f>
        <v>31085.600000000009</v>
      </c>
      <c r="D309" s="159">
        <f t="shared" si="395"/>
        <v>39377.15</v>
      </c>
      <c r="E309" s="159">
        <f t="shared" si="395"/>
        <v>32036.159999999996</v>
      </c>
      <c r="F309" s="159">
        <f t="shared" si="395"/>
        <v>0</v>
      </c>
      <c r="G309" s="159">
        <f t="shared" si="395"/>
        <v>0</v>
      </c>
      <c r="H309" s="159">
        <f t="shared" ref="H309" si="396">SUM(H291:H308)</f>
        <v>0</v>
      </c>
      <c r="I309" s="159">
        <f t="shared" ref="I309:Q309" si="397">SUM(I291:I308)</f>
        <v>0</v>
      </c>
      <c r="J309" s="159">
        <f t="shared" si="397"/>
        <v>0</v>
      </c>
      <c r="K309" s="159">
        <f t="shared" si="397"/>
        <v>0</v>
      </c>
      <c r="L309" s="159">
        <f t="shared" si="397"/>
        <v>0</v>
      </c>
      <c r="M309" s="159">
        <f t="shared" si="397"/>
        <v>0</v>
      </c>
      <c r="N309" s="159">
        <f t="shared" si="397"/>
        <v>121840.75000000001</v>
      </c>
      <c r="O309" s="159"/>
      <c r="P309" s="159">
        <f>SUM(P291:P308)</f>
        <v>518103.9975</v>
      </c>
      <c r="Q309" s="159">
        <f t="shared" si="397"/>
        <v>690805.33000000007</v>
      </c>
      <c r="R309" s="159">
        <v>690805.33000000007</v>
      </c>
      <c r="S309" s="170">
        <f t="shared" si="383"/>
        <v>0</v>
      </c>
      <c r="T309" s="185">
        <f t="shared" ref="T309:Y309" si="398">SUM(T291:T308)</f>
        <v>81297.39</v>
      </c>
      <c r="U309" s="185">
        <f t="shared" si="398"/>
        <v>60573.55</v>
      </c>
      <c r="V309" s="185">
        <f t="shared" si="398"/>
        <v>54599.840000000004</v>
      </c>
      <c r="W309" s="185">
        <f t="shared" si="398"/>
        <v>82044.150000000009</v>
      </c>
      <c r="X309" s="185">
        <f t="shared" si="398"/>
        <v>105834.51000000001</v>
      </c>
      <c r="Y309" s="185">
        <f t="shared" si="398"/>
        <v>92499.849999999991</v>
      </c>
      <c r="Z309" s="185">
        <f t="shared" ref="Z309:AE309" si="399">SUM(Z291:Z308)</f>
        <v>94568.209999999992</v>
      </c>
      <c r="AA309" s="185">
        <f t="shared" si="399"/>
        <v>83366.98</v>
      </c>
      <c r="AB309" s="185">
        <f t="shared" si="399"/>
        <v>-211658.71</v>
      </c>
      <c r="AC309" s="185">
        <f t="shared" si="399"/>
        <v>66662.75</v>
      </c>
      <c r="AD309" s="185">
        <f t="shared" si="399"/>
        <v>75012.94</v>
      </c>
      <c r="AE309" s="185">
        <f t="shared" si="399"/>
        <v>106003.87000000001</v>
      </c>
      <c r="AF309" s="159">
        <f t="shared" si="393"/>
        <v>11076.43181818182</v>
      </c>
      <c r="AG309" s="159">
        <f t="shared" si="394"/>
        <v>-11076.43181818182</v>
      </c>
    </row>
    <row r="310" spans="1:33" ht="15.75" thickTop="1" x14ac:dyDescent="0.25">
      <c r="S310" s="170">
        <f t="shared" si="383"/>
        <v>0</v>
      </c>
      <c r="AF310" s="130">
        <f t="shared" si="393"/>
        <v>0</v>
      </c>
      <c r="AG310" s="130">
        <f t="shared" si="394"/>
        <v>0</v>
      </c>
    </row>
    <row r="311" spans="1:33" s="138" customFormat="1" ht="15.75" thickBot="1" x14ac:dyDescent="0.3">
      <c r="A311" s="138" t="s">
        <v>202</v>
      </c>
      <c r="B311" s="157">
        <f t="shared" ref="B311:G311" si="400">B208-B225-B251-B288+B309</f>
        <v>2471361.2000002386</v>
      </c>
      <c r="C311" s="157">
        <f t="shared" si="400"/>
        <v>6655672.9299998898</v>
      </c>
      <c r="D311" s="157">
        <f t="shared" si="400"/>
        <v>5910055.2700000722</v>
      </c>
      <c r="E311" s="157">
        <f>E208-E225-E251-E288+E309</f>
        <v>5658966.4799998477</v>
      </c>
      <c r="F311" s="157">
        <f t="shared" si="400"/>
        <v>0</v>
      </c>
      <c r="G311" s="157">
        <f t="shared" si="400"/>
        <v>0</v>
      </c>
      <c r="H311" s="157">
        <f t="shared" ref="H311" si="401">H208-H225-H251-H288+H309</f>
        <v>0</v>
      </c>
      <c r="I311" s="157">
        <f t="shared" ref="I311:Q311" si="402">I208-I225-I251-I288+I309</f>
        <v>0</v>
      </c>
      <c r="J311" s="157">
        <f t="shared" si="402"/>
        <v>0</v>
      </c>
      <c r="K311" s="157">
        <f t="shared" si="402"/>
        <v>0</v>
      </c>
      <c r="L311" s="157">
        <f t="shared" si="402"/>
        <v>0</v>
      </c>
      <c r="M311" s="157">
        <f>M208-M225-M251-M288+M309</f>
        <v>0</v>
      </c>
      <c r="N311" s="157">
        <f>N208-N225-N251-N288+N309</f>
        <v>20696055.880000047</v>
      </c>
      <c r="O311" s="157"/>
      <c r="P311" s="157">
        <f t="shared" si="402"/>
        <v>-329599.51875167812</v>
      </c>
      <c r="Q311" s="157">
        <f t="shared" si="402"/>
        <v>-439466.02499683434</v>
      </c>
      <c r="R311" s="157">
        <v>-570607.76000017207</v>
      </c>
      <c r="S311" s="170">
        <f t="shared" si="383"/>
        <v>0</v>
      </c>
      <c r="T311" s="182">
        <f t="shared" ref="T311:AD311" si="403">T208-T225-T251-T288+T309</f>
        <v>65733.430000085864</v>
      </c>
      <c r="U311" s="182">
        <f t="shared" si="403"/>
        <v>62568.989999875965</v>
      </c>
      <c r="V311" s="182">
        <f t="shared" si="403"/>
        <v>190852.60999999283</v>
      </c>
      <c r="W311" s="182">
        <f t="shared" si="403"/>
        <v>-70572.119999890288</v>
      </c>
      <c r="X311" s="182">
        <f t="shared" si="403"/>
        <v>-203743.00000022177</v>
      </c>
      <c r="Y311" s="182">
        <f t="shared" si="403"/>
        <v>-88358.510000069145</v>
      </c>
      <c r="Z311" s="182">
        <f t="shared" si="403"/>
        <v>-303625.04000008584</v>
      </c>
      <c r="AA311" s="182">
        <f t="shared" si="403"/>
        <v>-208857.15000011685</v>
      </c>
      <c r="AB311" s="182">
        <f t="shared" si="403"/>
        <v>624726.2899999572</v>
      </c>
      <c r="AC311" s="182">
        <f t="shared" si="403"/>
        <v>-30452.230000001189</v>
      </c>
      <c r="AD311" s="182">
        <f t="shared" si="403"/>
        <v>-220404.46999992366</v>
      </c>
      <c r="AE311" s="182">
        <f>AE208-AE225-AE251-AE288+AE309</f>
        <v>-388476.55999977468</v>
      </c>
      <c r="AF311" s="157">
        <f t="shared" si="393"/>
        <v>1881459.6254545497</v>
      </c>
      <c r="AG311" s="157">
        <f t="shared" si="394"/>
        <v>-1881459.6254545497</v>
      </c>
    </row>
    <row r="312" spans="1:33" ht="15.75" thickTop="1" x14ac:dyDescent="0.25">
      <c r="S312" s="170">
        <f t="shared" si="383"/>
        <v>0</v>
      </c>
      <c r="AF312" s="130">
        <f t="shared" si="393"/>
        <v>0</v>
      </c>
      <c r="AG312" s="130">
        <f t="shared" si="394"/>
        <v>0</v>
      </c>
    </row>
    <row r="313" spans="1:33" x14ac:dyDescent="0.25">
      <c r="B313" s="160">
        <f>+B79-B311</f>
        <v>-1.4342367649078369E-7</v>
      </c>
      <c r="C313" s="160">
        <f t="shared" ref="C313:G313" si="404">+C79-C311</f>
        <v>-5.6810677051544189E-8</v>
      </c>
      <c r="D313" s="160">
        <f>+D79-D311</f>
        <v>-1.1082738637924194E-7</v>
      </c>
      <c r="E313" s="160">
        <f t="shared" si="404"/>
        <v>9.3132257461547852E-8</v>
      </c>
      <c r="F313" s="160">
        <f t="shared" si="404"/>
        <v>0</v>
      </c>
      <c r="G313" s="160">
        <f t="shared" si="404"/>
        <v>0</v>
      </c>
      <c r="H313" s="160">
        <f t="shared" ref="H313" si="405">+H79-H311</f>
        <v>0</v>
      </c>
      <c r="I313" s="160">
        <f t="shared" ref="I313:L313" si="406">+I79-I311</f>
        <v>0</v>
      </c>
      <c r="J313" s="160">
        <f t="shared" si="406"/>
        <v>0</v>
      </c>
      <c r="K313" s="160">
        <f t="shared" si="406"/>
        <v>0</v>
      </c>
      <c r="L313" s="160">
        <f t="shared" si="406"/>
        <v>0</v>
      </c>
      <c r="M313" s="160">
        <f>+M79-M311</f>
        <v>0</v>
      </c>
      <c r="N313" s="160">
        <f>+N79-N311</f>
        <v>6.7800283432006836E-7</v>
      </c>
      <c r="O313" s="160"/>
      <c r="P313" s="160">
        <f>R313/12*$P$3</f>
        <v>1.0156072676181793E-6</v>
      </c>
      <c r="Q313" s="160">
        <f>+Q79-Q311</f>
        <v>-131141.73500198359</v>
      </c>
      <c r="R313" s="160">
        <v>1.3541430234909058E-6</v>
      </c>
      <c r="S313" s="170">
        <f t="shared" si="383"/>
        <v>9.8299642559140921E-7</v>
      </c>
      <c r="T313" s="186">
        <f t="shared" ref="T313:AE313" si="407">+T79-T311</f>
        <v>3.3396645449101925E-8</v>
      </c>
      <c r="U313" s="186">
        <f t="shared" si="407"/>
        <v>-8.5754436440765858E-8</v>
      </c>
      <c r="V313" s="186">
        <f t="shared" si="407"/>
        <v>-6.1991158872842789E-8</v>
      </c>
      <c r="W313" s="186">
        <f t="shared" si="407"/>
        <v>-1.5126715879887342E-7</v>
      </c>
      <c r="X313" s="186">
        <f t="shared" si="407"/>
        <v>2.2526364773511887E-7</v>
      </c>
      <c r="Y313" s="186">
        <f t="shared" si="407"/>
        <v>1.1976226232945919E-8</v>
      </c>
      <c r="Z313" s="186">
        <f t="shared" si="407"/>
        <v>1.0972144082188606E-7</v>
      </c>
      <c r="AA313" s="186">
        <f t="shared" si="407"/>
        <v>1.6932608559727669E-7</v>
      </c>
      <c r="AB313" s="186">
        <f t="shared" si="407"/>
        <v>1.073349267244339E-7</v>
      </c>
      <c r="AC313" s="186">
        <f t="shared" si="407"/>
        <v>1.2507371138781309E-7</v>
      </c>
      <c r="AD313" s="186">
        <f t="shared" si="407"/>
        <v>4.8894435167312622E-8</v>
      </c>
      <c r="AE313" s="186">
        <f t="shared" si="407"/>
        <v>-1.6082776710391045E-7</v>
      </c>
      <c r="AF313" s="160">
        <f t="shared" si="393"/>
        <v>6.1636621301824401E-8</v>
      </c>
      <c r="AG313" s="160">
        <f t="shared" si="394"/>
        <v>-6.1636621301824401E-8</v>
      </c>
    </row>
    <row r="315" spans="1:33" x14ac:dyDescent="0.25">
      <c r="L315" s="160"/>
      <c r="AD315" s="186"/>
    </row>
    <row r="316" spans="1:33" x14ac:dyDescent="0.25">
      <c r="P316" s="160"/>
    </row>
  </sheetData>
  <mergeCells count="2">
    <mergeCell ref="P1:P2"/>
    <mergeCell ref="Q1:Q2"/>
  </mergeCells>
  <pageMargins left="0.7" right="0.7" top="0.75" bottom="0.75" header="0.3" footer="0.3"/>
  <pageSetup scale="60" fitToHeight="0" orientation="landscape" r:id="rId1"/>
  <headerFooter>
    <oddFooter>&amp;CPage &amp;P of &amp;N</oddFooter>
  </headerFooter>
  <rowBreaks count="5" manualBreakCount="5">
    <brk id="36" max="13" man="1"/>
    <brk id="82" max="13" man="1"/>
    <brk id="133" max="13" man="1"/>
    <brk id="191" max="13" man="1"/>
    <brk id="252" max="1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E22" sqref="E22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4" t="s">
        <v>536</v>
      </c>
      <c r="B1" s="304"/>
      <c r="C1" s="304"/>
      <c r="D1" s="304"/>
      <c r="E1" s="304"/>
      <c r="F1" s="304"/>
      <c r="G1" s="304"/>
      <c r="H1" s="304"/>
      <c r="I1" s="304"/>
    </row>
    <row r="2" spans="1:12" ht="33.75" x14ac:dyDescent="0.5">
      <c r="A2" s="304" t="s">
        <v>537</v>
      </c>
      <c r="B2" s="304"/>
      <c r="C2" s="304"/>
      <c r="D2" s="304"/>
      <c r="E2" s="304"/>
      <c r="F2" s="304"/>
      <c r="G2" s="304"/>
      <c r="H2" s="304"/>
      <c r="I2" s="304"/>
    </row>
    <row r="3" spans="1:12" ht="33.75" x14ac:dyDescent="0.5">
      <c r="A3" s="304" t="s">
        <v>261</v>
      </c>
      <c r="B3" s="304"/>
      <c r="C3" s="304"/>
      <c r="D3" s="304"/>
      <c r="E3" s="304"/>
      <c r="F3" s="304"/>
      <c r="G3" s="304"/>
      <c r="H3" s="304"/>
      <c r="I3" s="304"/>
    </row>
    <row r="4" spans="1:12" ht="33.75" x14ac:dyDescent="0.5">
      <c r="A4" s="305">
        <f>'Summary YTD 10.31.19'!A4:I4</f>
        <v>44316</v>
      </c>
      <c r="B4" s="306"/>
      <c r="C4" s="306"/>
      <c r="D4" s="306"/>
      <c r="E4" s="306"/>
      <c r="F4" s="306"/>
      <c r="G4" s="306"/>
      <c r="H4" s="306"/>
      <c r="I4" s="306"/>
    </row>
    <row r="6" spans="1:12" s="22" customFormat="1" ht="30" customHeight="1" x14ac:dyDescent="0.3">
      <c r="B6" s="23" t="s">
        <v>208</v>
      </c>
      <c r="C6" s="23" t="s">
        <v>210</v>
      </c>
      <c r="D6" s="23" t="s">
        <v>209</v>
      </c>
      <c r="E6" s="23" t="s">
        <v>211</v>
      </c>
      <c r="F6" s="23" t="s">
        <v>212</v>
      </c>
      <c r="G6" s="23" t="s">
        <v>399</v>
      </c>
      <c r="H6" s="23" t="s">
        <v>410</v>
      </c>
      <c r="I6" s="23" t="s">
        <v>203</v>
      </c>
      <c r="L6" s="24"/>
    </row>
    <row r="7" spans="1:12" s="78" customFormat="1" ht="39.950000000000003" customHeight="1" x14ac:dyDescent="0.35">
      <c r="A7" s="76" t="s">
        <v>58</v>
      </c>
      <c r="B7" s="77">
        <f>'Comp Summary YTD 2020-2019 '!B21</f>
        <v>2356999509.0100007</v>
      </c>
      <c r="C7" s="77">
        <f>'Comp Summary YTD 2020-2019 '!C21</f>
        <v>0</v>
      </c>
      <c r="D7" s="77">
        <f>'Comp Summary YTD 2020-2019 '!D21</f>
        <v>2099298.6900000004</v>
      </c>
      <c r="E7" s="77">
        <f>'Comp Summary YTD 2020-2019 '!E21</f>
        <v>0</v>
      </c>
      <c r="F7" s="77">
        <f>'Comp Summary YTD 2020-2019 '!F21</f>
        <v>-1159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2359097648.7000008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278</v>
      </c>
      <c r="B9" s="81">
        <f>'Comp Summary YTD 2020-2019 '!B25</f>
        <v>2330990948.5600004</v>
      </c>
      <c r="C9" s="81">
        <f>'Comp Summary YTD 2020-2019 '!C25</f>
        <v>0</v>
      </c>
      <c r="D9" s="81">
        <f>'Comp Summary YTD 2020-2019 '!D25</f>
        <v>6269.04</v>
      </c>
      <c r="E9" s="81">
        <f>'Comp Summary YTD 2020-2019 '!E25</f>
        <v>0</v>
      </c>
      <c r="F9" s="81">
        <f>'Comp Summary YTD 2020-2019 '!F25</f>
        <v>0</v>
      </c>
      <c r="G9" s="81">
        <f>'Comp Summary YTD 2020-2019 '!G25</f>
        <v>0</v>
      </c>
      <c r="H9" s="81">
        <f>'Comp Summary YTD 2020-2019 '!H25</f>
        <v>0</v>
      </c>
      <c r="I9" s="81">
        <f>SUM(B9:H9)</f>
        <v>2330997217.6000004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207</v>
      </c>
      <c r="B11" s="82">
        <f t="shared" ref="B11:H11" si="0">B7-B9</f>
        <v>26008560.450000286</v>
      </c>
      <c r="C11" s="82">
        <f t="shared" si="0"/>
        <v>0</v>
      </c>
      <c r="D11" s="82">
        <f t="shared" si="0"/>
        <v>2093029.6500000004</v>
      </c>
      <c r="E11" s="82">
        <f t="shared" si="0"/>
        <v>0</v>
      </c>
      <c r="F11" s="82">
        <f t="shared" si="0"/>
        <v>-1159</v>
      </c>
      <c r="G11" s="82">
        <f>G7-G9</f>
        <v>0</v>
      </c>
      <c r="H11" s="82">
        <f t="shared" si="0"/>
        <v>0</v>
      </c>
      <c r="I11" s="82">
        <f>SUM(B11:H11)</f>
        <v>28100431.100000285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205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221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222</v>
      </c>
      <c r="B15" s="26">
        <f>'Summary YTD 10.31.19'!B32+'Summary YTD 10.31.19'!B33</f>
        <v>3880378.3000000003</v>
      </c>
      <c r="C15" s="26">
        <f>'Summary YTD 10.31.19'!C32+'Summary YTD 10.31.19'!C33</f>
        <v>0</v>
      </c>
      <c r="D15" s="26">
        <f>'Summary YTD 10.31.19'!D32+'Summary YTD 10.31.19'!D33</f>
        <v>450627.75</v>
      </c>
      <c r="E15" s="26">
        <f>'Summary YTD 10.31.19'!E32</f>
        <v>0</v>
      </c>
      <c r="F15" s="26">
        <f>'Summary YTD 10.31.19'!F32+'Comp YTD 2021-2020 '!F38</f>
        <v>14326.740000000002</v>
      </c>
      <c r="G15" s="26">
        <f>'Summary YTD 10.31.19'!G32</f>
        <v>0</v>
      </c>
      <c r="H15" s="26">
        <f>'Summary YTD 10.31.19'!H32</f>
        <v>0</v>
      </c>
      <c r="I15" s="26">
        <f>SUM(B15:H15)</f>
        <v>4345332.790000001</v>
      </c>
      <c r="L15" s="24"/>
    </row>
    <row r="16" spans="1:12" s="22" customFormat="1" ht="30" customHeight="1" x14ac:dyDescent="0.3">
      <c r="A16" s="22" t="s">
        <v>224</v>
      </c>
      <c r="B16" s="26">
        <f>'Summary YTD 10.31.19'!B35</f>
        <v>135199.62</v>
      </c>
      <c r="C16" s="26">
        <f>'Summary YTD 10.31.19'!C35</f>
        <v>0</v>
      </c>
      <c r="D16" s="26">
        <f>'Summary YTD 10.31.19'!D35</f>
        <v>41511.040000000001</v>
      </c>
      <c r="E16" s="26">
        <f>'Summary YTD 10.31.19'!E35</f>
        <v>0</v>
      </c>
      <c r="F16" s="26">
        <f>'Summary YTD 10.31.19'!F35</f>
        <v>1700.77</v>
      </c>
      <c r="G16" s="26">
        <f>'Summary YTD 10.31.19'!G35</f>
        <v>0</v>
      </c>
      <c r="H16" s="26">
        <f>'Summary YTD 10.31.19'!H35</f>
        <v>0</v>
      </c>
      <c r="I16" s="26">
        <f>SUM(B16:H16)</f>
        <v>178411.43</v>
      </c>
      <c r="L16" s="24"/>
    </row>
    <row r="17" spans="1:12" s="22" customFormat="1" ht="30" customHeight="1" x14ac:dyDescent="0.3">
      <c r="A17" s="22" t="s">
        <v>450</v>
      </c>
      <c r="B17" s="26">
        <f>'Summary YTD 10.31.19'!B34+'Summary YTD 10.31.19'!B36+'Summary YTD 10.31.19'!B37+'Summary YTD 10.31.19'!B38+'Summary YTD 10.31.19'!B39+'Summary YTD 10.31.19'!B40+'Summary YTD 10.31.19'!B41</f>
        <v>343315</v>
      </c>
      <c r="C17" s="26">
        <f>'Summary YTD 10.31.19'!C34+'Summary YTD 10.31.19'!C36+'Summary YTD 10.31.19'!C37+'Summary YTD 10.31.19'!C38+'Summary YTD 10.31.19'!C39+'Summary YTD 10.31.19'!C40+'Summary YTD 10.31.19'!C41</f>
        <v>0</v>
      </c>
      <c r="D17" s="26">
        <f>'Summary YTD 10.31.19'!D34+'Summary YTD 10.31.19'!D36+'Summary YTD 10.31.19'!D37+'Summary YTD 10.31.19'!D38+'Summary YTD 10.31.19'!D39+'Summary YTD 10.31.19'!D40+'Summary YTD 10.31.19'!D41</f>
        <v>89685.839999999982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-1557.1999999999998</v>
      </c>
      <c r="G17" s="26">
        <v>0</v>
      </c>
      <c r="H17" s="26">
        <f>'BSC (Dome)'!O25</f>
        <v>0</v>
      </c>
      <c r="I17" s="26">
        <f>SUM(B17:H17)</f>
        <v>431443.63999999996</v>
      </c>
      <c r="L17" s="24"/>
    </row>
    <row r="18" spans="1:12" s="22" customFormat="1" ht="30" customHeight="1" x14ac:dyDescent="0.3">
      <c r="A18" s="25" t="s">
        <v>229</v>
      </c>
      <c r="B18" s="27">
        <f>SUM(B15:B17)</f>
        <v>4358892.92</v>
      </c>
      <c r="C18" s="27">
        <f t="shared" ref="C18:H18" si="1">SUM(C15:C17)</f>
        <v>0</v>
      </c>
      <c r="D18" s="27">
        <f t="shared" si="1"/>
        <v>581824.63</v>
      </c>
      <c r="E18" s="27">
        <f t="shared" si="1"/>
        <v>0</v>
      </c>
      <c r="F18" s="27">
        <f t="shared" si="1"/>
        <v>14470.310000000001</v>
      </c>
      <c r="G18" s="27">
        <f t="shared" si="1"/>
        <v>0</v>
      </c>
      <c r="H18" s="27">
        <f t="shared" si="1"/>
        <v>0</v>
      </c>
      <c r="I18" s="27">
        <f>SUM(B18:H18)</f>
        <v>4955187.8599999994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475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230</v>
      </c>
      <c r="B21" s="26">
        <f>'Summary YTD 10.31.19'!B45</f>
        <v>166800</v>
      </c>
      <c r="C21" s="26">
        <f>'Summary YTD 10.31.19'!C45</f>
        <v>0</v>
      </c>
      <c r="D21" s="26">
        <f>'Summary YTD 10.31.19'!D45</f>
        <v>150000</v>
      </c>
      <c r="E21" s="26">
        <f>'Summary YTD 10.31.19'!E45</f>
        <v>0</v>
      </c>
      <c r="F21" s="26">
        <f>'Summary YTD 10.31.19'!F45</f>
        <v>4000</v>
      </c>
      <c r="G21" s="26">
        <f>'Summary YTD 10.31.19'!G45</f>
        <v>0</v>
      </c>
      <c r="H21" s="26">
        <f>'Summary YTD 10.31.19'!H45</f>
        <v>0</v>
      </c>
      <c r="I21" s="26">
        <f>SUM(B21:H21)</f>
        <v>320800</v>
      </c>
      <c r="L21" s="24"/>
    </row>
    <row r="22" spans="1:12" s="22" customFormat="1" ht="30" customHeight="1" x14ac:dyDescent="0.3">
      <c r="A22" s="22" t="s">
        <v>285</v>
      </c>
      <c r="B22" s="26">
        <f>'Summary YTD 10.31.19'!B46+'Summary YTD 10.31.19'!B47+'Summary YTD 10.31.19'!B48</f>
        <v>17014.670000000002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8571.4699999999993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25362.010000000002</v>
      </c>
      <c r="G22" s="26">
        <f>'Summary YTD 10.31.19'!G46+'Summary YTD 10.31.19'!G47+'Summary YTD 10.31.19'!G48</f>
        <v>0</v>
      </c>
      <c r="H22" s="26">
        <f>'Summary YTD 10.31.19'!H46+'Summary YTD 10.31.19'!H47+'Summary YTD 10.31.19'!H48</f>
        <v>0</v>
      </c>
      <c r="I22" s="26">
        <f t="shared" ref="I22:I34" si="2">SUM(B22:H22)</f>
        <v>50948.15</v>
      </c>
      <c r="L22" s="24"/>
    </row>
    <row r="23" spans="1:12" s="22" customFormat="1" ht="30" customHeight="1" x14ac:dyDescent="0.3">
      <c r="A23" s="22" t="s">
        <v>403</v>
      </c>
      <c r="B23" s="26">
        <f>'Summary YTD 10.31.19'!B49+'Summary YTD 10.31.19'!B50+'Summary YTD 10.31.19'!B51+'Summary YTD 10.31.19'!B52</f>
        <v>52586.649999999994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22700.86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500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75787.509999999995</v>
      </c>
      <c r="L23" s="24"/>
    </row>
    <row r="24" spans="1:12" s="22" customFormat="1" ht="30" customHeight="1" x14ac:dyDescent="0.3">
      <c r="A24" s="22" t="s">
        <v>235</v>
      </c>
      <c r="B24" s="26">
        <f>'Summary YTD 10.31.19'!B53</f>
        <v>37178.129999999997</v>
      </c>
      <c r="C24" s="26">
        <f>'Summary YTD 10.31.19'!C53</f>
        <v>0</v>
      </c>
      <c r="D24" s="26">
        <f>'Summary YTD 10.31.19'!D53</f>
        <v>23850.720000000001</v>
      </c>
      <c r="E24" s="26">
        <f>'Summary YTD 10.31.19'!E53</f>
        <v>0</v>
      </c>
      <c r="F24" s="26">
        <f>'Summary YTD 10.31.19'!F53</f>
        <v>450.5</v>
      </c>
      <c r="G24" s="26">
        <f>'Summary YTD 10.31.19'!G53</f>
        <v>0</v>
      </c>
      <c r="H24" s="26">
        <f>'Summary YTD 10.31.19'!H53</f>
        <v>0</v>
      </c>
      <c r="I24" s="26">
        <f t="shared" si="2"/>
        <v>61479.35</v>
      </c>
      <c r="L24" s="24"/>
    </row>
    <row r="25" spans="1:12" s="22" customFormat="1" ht="30" customHeight="1" x14ac:dyDescent="0.3">
      <c r="A25" s="22" t="s">
        <v>236</v>
      </c>
      <c r="B25" s="26">
        <f>'Summary YTD 10.31.19'!B54</f>
        <v>10999.67</v>
      </c>
      <c r="C25" s="26">
        <f>'Summary YTD 10.31.19'!C54</f>
        <v>0</v>
      </c>
      <c r="D25" s="26">
        <f>'Summary YTD 10.31.19'!D54</f>
        <v>1866.31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12865.98</v>
      </c>
      <c r="L25" s="24"/>
    </row>
    <row r="26" spans="1:12" s="22" customFormat="1" ht="30" customHeight="1" x14ac:dyDescent="0.3">
      <c r="A26" s="22" t="s">
        <v>234</v>
      </c>
      <c r="B26" s="26">
        <f>'Summary YTD 10.31.19'!B55</f>
        <v>26599.660000000003</v>
      </c>
      <c r="C26" s="26">
        <f>'Summary YTD 10.31.19'!C55</f>
        <v>0</v>
      </c>
      <c r="D26" s="26">
        <f>'Summary YTD 10.31.19'!D55</f>
        <v>100183.34</v>
      </c>
      <c r="E26" s="26">
        <f>'Summary YTD 10.31.19'!E55</f>
        <v>0</v>
      </c>
      <c r="F26" s="26">
        <f>'Summary YTD 10.31.19'!F55</f>
        <v>5273.6900000000005</v>
      </c>
      <c r="G26" s="26">
        <f>'Summary YTD 10.31.19'!G55</f>
        <v>0</v>
      </c>
      <c r="H26" s="26">
        <f>'Summary YTD 10.31.19'!H55</f>
        <v>0</v>
      </c>
      <c r="I26" s="26">
        <f t="shared" si="2"/>
        <v>132056.69</v>
      </c>
      <c r="L26" s="24"/>
    </row>
    <row r="27" spans="1:12" s="22" customFormat="1" ht="30" customHeight="1" x14ac:dyDescent="0.3">
      <c r="A27" s="22" t="s">
        <v>348</v>
      </c>
      <c r="B27" s="26">
        <f>'Summary YTD 10.31.19'!B56</f>
        <v>814.6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1144.5999999999999</v>
      </c>
      <c r="L27" s="24"/>
    </row>
    <row r="28" spans="1:12" s="22" customFormat="1" ht="30" customHeight="1" x14ac:dyDescent="0.3">
      <c r="A28" s="22" t="s">
        <v>237</v>
      </c>
      <c r="B28" s="26">
        <f>'Summary YTD 10.31.19'!B58+'Summary YTD 10.31.19'!B57</f>
        <v>38504.049999999996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607.46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39111.509999999995</v>
      </c>
      <c r="L28" s="24"/>
    </row>
    <row r="29" spans="1:12" s="22" customFormat="1" ht="30" customHeight="1" x14ac:dyDescent="0.3">
      <c r="A29" s="22" t="s">
        <v>238</v>
      </c>
      <c r="B29" s="26">
        <f>'Summary YTD 10.31.19'!B59</f>
        <v>7127.52</v>
      </c>
      <c r="C29" s="26">
        <f>'Summary YTD 10.31.19'!C59</f>
        <v>0</v>
      </c>
      <c r="D29" s="26">
        <f>'Summary YTD 10.31.19'!D59</f>
        <v>1687.56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8815.08</v>
      </c>
      <c r="L29" s="24"/>
    </row>
    <row r="30" spans="1:12" s="22" customFormat="1" ht="30" customHeight="1" x14ac:dyDescent="0.3">
      <c r="A30" s="22" t="s">
        <v>240</v>
      </c>
      <c r="B30" s="26">
        <f>'Summary YTD 10.31.19'!B61</f>
        <v>451000.38</v>
      </c>
      <c r="C30" s="26">
        <f>'Summary YTD 10.31.19'!C61</f>
        <v>1081.4000000000001</v>
      </c>
      <c r="D30" s="26">
        <f>'Summary YTD 10.31.19'!D61</f>
        <v>57099.95</v>
      </c>
      <c r="E30" s="26">
        <f>'Summary YTD 10.31.19'!E61</f>
        <v>0</v>
      </c>
      <c r="F30" s="26">
        <f>'Summary YTD 10.31.19'!F61</f>
        <v>36226.71</v>
      </c>
      <c r="G30" s="26">
        <f>'Summary YTD 10.31.19'!G61</f>
        <v>37005.07</v>
      </c>
      <c r="H30" s="26">
        <f>'Summary YTD 10.31.19'!H61</f>
        <v>83662.28</v>
      </c>
      <c r="I30" s="26">
        <f t="shared" si="2"/>
        <v>666075.79</v>
      </c>
      <c r="L30" s="24"/>
    </row>
    <row r="31" spans="1:12" s="22" customFormat="1" ht="30" customHeight="1" x14ac:dyDescent="0.3">
      <c r="A31" s="22" t="s">
        <v>239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250</v>
      </c>
      <c r="B32" s="26">
        <f>'Summary YTD 10.31.19'!B62</f>
        <v>2776.58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2776.58</v>
      </c>
      <c r="L32" s="24"/>
    </row>
    <row r="33" spans="1:12" s="22" customFormat="1" ht="30" customHeight="1" x14ac:dyDescent="0.3">
      <c r="A33" s="22" t="s">
        <v>244</v>
      </c>
      <c r="B33" s="26">
        <f>'Summary YTD 10.31.19'!B64</f>
        <v>36096.339999999997</v>
      </c>
      <c r="C33" s="26">
        <f>'Summary YTD 10.31.19'!C64</f>
        <v>0</v>
      </c>
      <c r="D33" s="26">
        <f>'Summary YTD 10.31.19'!D64</f>
        <v>21584.68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57681.02</v>
      </c>
      <c r="L33" s="24"/>
    </row>
    <row r="34" spans="1:12" s="22" customFormat="1" ht="30" customHeight="1" x14ac:dyDescent="0.3">
      <c r="A34" s="22" t="s">
        <v>404</v>
      </c>
      <c r="B34" s="26">
        <f>'Summary YTD 10.31.19'!B63+'Summary YTD 10.31.19'!B65+'Summary YTD 10.31.19'!B66</f>
        <v>52512.69</v>
      </c>
      <c r="C34" s="26">
        <f>'Summary YTD 10.31.19'!C63+'Summary YTD 10.31.19'!C65+'Summary YTD 10.31.19'!C66</f>
        <v>0</v>
      </c>
      <c r="D34" s="26">
        <f>'Summary YTD 10.31.19'!D63+'Summary YTD 10.31.19'!D65+'Summary YTD 10.31.19'!D66</f>
        <v>5522.76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2094.44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60129.890000000007</v>
      </c>
      <c r="L34" s="24"/>
    </row>
    <row r="35" spans="1:12" s="22" customFormat="1" ht="30" customHeight="1" x14ac:dyDescent="0.3">
      <c r="A35" s="25" t="s">
        <v>245</v>
      </c>
      <c r="B35" s="27">
        <f t="shared" ref="B35:H35" si="3">SUM(B21:B34)</f>
        <v>900010.94</v>
      </c>
      <c r="C35" s="27">
        <f t="shared" si="3"/>
        <v>1081.4000000000001</v>
      </c>
      <c r="D35" s="27">
        <f t="shared" si="3"/>
        <v>393177.65</v>
      </c>
      <c r="E35" s="27">
        <f t="shared" si="3"/>
        <v>110</v>
      </c>
      <c r="F35" s="27">
        <f t="shared" si="3"/>
        <v>74624.81</v>
      </c>
      <c r="G35" s="27">
        <f t="shared" si="3"/>
        <v>37005.07</v>
      </c>
      <c r="H35" s="27">
        <f t="shared" si="3"/>
        <v>83662.28</v>
      </c>
      <c r="I35" s="27">
        <f>SUM(B35:H35)</f>
        <v>1489672.1500000001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246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247</v>
      </c>
      <c r="B38" s="26">
        <f>'Summary YTD 10.31.19'!B70</f>
        <v>6269.13</v>
      </c>
      <c r="C38" s="26">
        <f>'Summary YTD 10.31.19'!C70+'Comp YTD 2021-2020 '!C82</f>
        <v>0</v>
      </c>
      <c r="D38" s="26">
        <f>'Summary YTD 10.31.19'!D70</f>
        <v>715.20999999999992</v>
      </c>
      <c r="E38" s="26">
        <f>'Summary YTD 10.31.19'!E70</f>
        <v>0</v>
      </c>
      <c r="F38" s="26">
        <f>'Summary YTD 10.31.19'!F70</f>
        <v>328.75</v>
      </c>
      <c r="G38" s="26">
        <f>'Summary YTD 10.31.19'!G70</f>
        <v>0</v>
      </c>
      <c r="H38" s="26">
        <f>'Summary YTD 10.31.19'!H70</f>
        <v>0</v>
      </c>
      <c r="I38" s="26">
        <f>SUM(B38:H38)</f>
        <v>7313.09</v>
      </c>
      <c r="L38" s="24"/>
    </row>
    <row r="39" spans="1:12" s="22" customFormat="1" ht="30" customHeight="1" x14ac:dyDescent="0.3">
      <c r="A39" s="22" t="s">
        <v>530</v>
      </c>
      <c r="B39" s="26">
        <v>0</v>
      </c>
      <c r="C39" s="26">
        <v>0</v>
      </c>
      <c r="D39" s="26">
        <v>0</v>
      </c>
      <c r="E39" s="26">
        <f>'Comp YTD 2021-2020 '!E83</f>
        <v>1595.44</v>
      </c>
      <c r="F39" s="26">
        <v>0</v>
      </c>
      <c r="G39" s="26">
        <v>0</v>
      </c>
      <c r="H39" s="26">
        <v>0</v>
      </c>
      <c r="I39" s="26">
        <f>SUM(B39:H39)</f>
        <v>1595.44</v>
      </c>
      <c r="L39" s="24"/>
    </row>
    <row r="40" spans="1:12" s="22" customFormat="1" ht="30" customHeight="1" x14ac:dyDescent="0.3">
      <c r="A40" s="22" t="s">
        <v>248</v>
      </c>
      <c r="B40" s="26">
        <f>'Summary YTD 10.31.19'!B73</f>
        <v>35074.800000000003</v>
      </c>
      <c r="C40" s="26">
        <f>'Summary YTD 10.31.19'!C73</f>
        <v>362.41999999999996</v>
      </c>
      <c r="D40" s="26">
        <f>'Summary YTD 10.31.19'!D73</f>
        <v>1341.5700000000002</v>
      </c>
      <c r="E40" s="26">
        <f>'Summary YTD 10.31.19'!E73</f>
        <v>124.03999999999999</v>
      </c>
      <c r="F40" s="26">
        <f>'Summary YTD 10.31.19'!F73</f>
        <v>-110.65</v>
      </c>
      <c r="G40" s="26">
        <f>'Summary YTD 10.31.19'!G73</f>
        <v>18</v>
      </c>
      <c r="H40" s="26">
        <f>'Summary YTD 10.31.19'!H73</f>
        <v>0</v>
      </c>
      <c r="I40" s="26">
        <f t="shared" ref="I40:I50" si="4">SUM(B40:H40)</f>
        <v>36810.18</v>
      </c>
      <c r="L40" s="24"/>
    </row>
    <row r="41" spans="1:12" s="22" customFormat="1" ht="30" customHeight="1" x14ac:dyDescent="0.3">
      <c r="A41" s="22" t="s">
        <v>355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531.63</v>
      </c>
      <c r="G41" s="26">
        <f>'Summary YTD 10.31.19'!G74</f>
        <v>0</v>
      </c>
      <c r="H41" s="26">
        <f>'Summary YTD 10.31.19'!H74</f>
        <v>0</v>
      </c>
      <c r="I41" s="26">
        <f t="shared" si="4"/>
        <v>531.63</v>
      </c>
      <c r="L41" s="24"/>
    </row>
    <row r="42" spans="1:12" s="22" customFormat="1" ht="30" customHeight="1" x14ac:dyDescent="0.3">
      <c r="A42" s="22" t="s">
        <v>249</v>
      </c>
      <c r="B42" s="26">
        <f>'Summary YTD 10.31.19'!B75+'Summary YTD 10.31.19'!B71+'Comp YTD 2021-2020 '!B100</f>
        <v>3198.1700000000005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189.84</v>
      </c>
      <c r="G42" s="26">
        <f>'Summary YTD 10.31.19'!G75</f>
        <v>3443.72</v>
      </c>
      <c r="H42" s="26">
        <f>'Summary YTD 10.31.19'!H75</f>
        <v>0</v>
      </c>
      <c r="I42" s="26">
        <f t="shared" si="4"/>
        <v>6831.7300000000005</v>
      </c>
      <c r="L42" s="24"/>
    </row>
    <row r="43" spans="1:12" s="22" customFormat="1" ht="30" customHeight="1" x14ac:dyDescent="0.3">
      <c r="A43" s="22" t="s">
        <v>449</v>
      </c>
      <c r="B43" s="26">
        <f>'Summary YTD 10.31.19'!B76+'Summary YTD 10.31.19'!B77+'Summary YTD 10.31.19'!B78+'Summary YTD 10.31.19'!B79+'Summary YTD 10.31.19'!B80+'Summary YTD 10.31.19'!B81</f>
        <v>111757.83000000002</v>
      </c>
      <c r="C43" s="26">
        <f>'Summary YTD 10.31.19'!C76+'Summary YTD 10.31.19'!C77+'Summary YTD 10.31.19'!C78+'Summary YTD 10.31.19'!C79+'Summary YTD 10.31.19'!C80</f>
        <v>9682</v>
      </c>
      <c r="D43" s="26">
        <f>'Summary YTD 10.31.19'!D76+'Summary YTD 10.31.19'!D77+'Summary YTD 10.31.19'!D78+'Summary YTD 10.31.19'!D79+'Summary YTD 10.31.19'!D80</f>
        <v>17458.330000000002</v>
      </c>
      <c r="E43" s="26">
        <f>'Summary YTD 10.31.19'!E76+'Summary YTD 10.31.19'!E77+'Summary YTD 10.31.19'!E78+'Summary YTD 10.31.19'!E79+'Summary YTD 10.31.19'!E80</f>
        <v>991.67</v>
      </c>
      <c r="F43" s="26">
        <f>'Summary YTD 10.31.19'!F76+'Summary YTD 10.31.19'!F77+'Summary YTD 10.31.19'!F78+'Summary YTD 10.31.19'!F79+'Summary YTD 10.31.19'!F80</f>
        <v>1022.9200000000001</v>
      </c>
      <c r="G43" s="26">
        <f>'Summary YTD 10.31.19'!G76+'Summary YTD 10.31.19'!G77+'Summary YTD 10.31.19'!G78+'Summary YTD 10.31.19'!G79+'Summary YTD 10.31.19'!G80</f>
        <v>1000</v>
      </c>
      <c r="H43" s="26">
        <f>'Summary YTD 10.31.19'!H76+'Summary YTD 10.31.19'!H77+'Summary YTD 10.31.19'!H78+'Summary YTD 10.31.19'!H79+'Summary YTD 10.31.19'!H80</f>
        <v>1213.8800000000001</v>
      </c>
      <c r="I43" s="26">
        <f t="shared" si="4"/>
        <v>143126.63000000006</v>
      </c>
      <c r="L43" s="24"/>
    </row>
    <row r="44" spans="1:12" s="22" customFormat="1" ht="30" customHeight="1" x14ac:dyDescent="0.3">
      <c r="A44" s="22" t="s">
        <v>251</v>
      </c>
      <c r="B44" s="26">
        <f>'Summary YTD 10.31.19'!B82</f>
        <v>1801.27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531.24</v>
      </c>
      <c r="G44" s="26">
        <f>'Summary YTD 10.31.19'!G82</f>
        <v>0</v>
      </c>
      <c r="H44" s="26">
        <f>'Summary YTD 10.31.19'!H82</f>
        <v>0</v>
      </c>
      <c r="I44" s="26">
        <f t="shared" si="4"/>
        <v>2332.5100000000002</v>
      </c>
      <c r="L44" s="24"/>
    </row>
    <row r="45" spans="1:12" s="22" customFormat="1" ht="30" customHeight="1" x14ac:dyDescent="0.3">
      <c r="A45" s="22" t="s">
        <v>252</v>
      </c>
      <c r="B45" s="26">
        <f>'Summary YTD 10.31.19'!B83</f>
        <v>8771.48</v>
      </c>
      <c r="C45" s="26">
        <f>'Summary YTD 10.31.19'!C83</f>
        <v>0</v>
      </c>
      <c r="D45" s="26">
        <f>'Summary YTD 10.31.19'!D83</f>
        <v>725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9496.48</v>
      </c>
      <c r="L45" s="24"/>
    </row>
    <row r="46" spans="1:12" s="22" customFormat="1" ht="30" customHeight="1" x14ac:dyDescent="0.3">
      <c r="A46" s="22" t="s">
        <v>253</v>
      </c>
      <c r="B46" s="26">
        <f>'Summary YTD 10.31.19'!B84</f>
        <v>1883.9</v>
      </c>
      <c r="C46" s="26">
        <f>'Summary YTD 10.31.19'!C84</f>
        <v>0</v>
      </c>
      <c r="D46" s="26">
        <f>'Summary YTD 10.31.19'!D84</f>
        <v>2093.94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3977.84</v>
      </c>
      <c r="L46" s="24"/>
    </row>
    <row r="47" spans="1:12" s="22" customFormat="1" ht="30" customHeight="1" x14ac:dyDescent="0.3">
      <c r="A47" s="22" t="s">
        <v>290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0</v>
      </c>
      <c r="L47" s="24"/>
    </row>
    <row r="48" spans="1:12" s="22" customFormat="1" ht="30" customHeight="1" x14ac:dyDescent="0.3">
      <c r="A48" s="22" t="s">
        <v>476</v>
      </c>
      <c r="B48" s="26">
        <f>'Summary YTD 10.31.19'!B86</f>
        <v>94.98</v>
      </c>
      <c r="C48" s="26">
        <f>BPM!N67</f>
        <v>0</v>
      </c>
      <c r="D48" s="26">
        <v>0</v>
      </c>
      <c r="E48" s="26">
        <v>0</v>
      </c>
      <c r="F48" s="26">
        <f>'BSC (Dome)'!N66</f>
        <v>0</v>
      </c>
      <c r="G48" s="26">
        <v>0</v>
      </c>
      <c r="H48" s="26">
        <f>'BSC (Dome)'!O66</f>
        <v>0</v>
      </c>
      <c r="I48" s="26">
        <f t="shared" si="4"/>
        <v>94.98</v>
      </c>
      <c r="L48" s="24"/>
    </row>
    <row r="49" spans="1:12" s="22" customFormat="1" ht="30" customHeight="1" x14ac:dyDescent="0.3">
      <c r="A49" s="22" t="s">
        <v>405</v>
      </c>
      <c r="B49" s="26">
        <f>'Summary YTD 10.31.19'!B87+'Summary YTD 10.31.19'!B88</f>
        <v>1950</v>
      </c>
      <c r="C49" s="26">
        <f>'Summary YTD 10.31.19'!C87+'Summary YTD 10.31.19'!C88</f>
        <v>0</v>
      </c>
      <c r="D49" s="26">
        <f>'Summary YTD 10.31.19'!D87+'Summary YTD 10.31.19'!D88</f>
        <v>0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1950</v>
      </c>
      <c r="L49" s="24"/>
    </row>
    <row r="50" spans="1:12" s="22" customFormat="1" ht="30" customHeight="1" x14ac:dyDescent="0.3">
      <c r="A50" s="22" t="s">
        <v>451</v>
      </c>
      <c r="B50" s="26">
        <f>'Summary YTD 10.31.19'!B90+'Summary YTD 10.31.19'!B91</f>
        <v>4639.8999999999996</v>
      </c>
      <c r="C50" s="26">
        <f>'Summary YTD 10.31.19'!C90+'Summary YTD 10.31.19'!C91</f>
        <v>0</v>
      </c>
      <c r="D50" s="26">
        <f>'Summary YTD 10.31.19'!D90+'Summary YTD 10.31.19'!D91</f>
        <v>0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4639.8999999999996</v>
      </c>
      <c r="L50" s="24"/>
    </row>
    <row r="51" spans="1:12" s="22" customFormat="1" ht="30" customHeight="1" x14ac:dyDescent="0.3">
      <c r="A51" s="25" t="s">
        <v>259</v>
      </c>
      <c r="B51" s="27">
        <f t="shared" ref="B51:H51" si="5">SUM(B38:B50)</f>
        <v>175441.46000000002</v>
      </c>
      <c r="C51" s="27">
        <f t="shared" si="5"/>
        <v>10044.42</v>
      </c>
      <c r="D51" s="27">
        <f t="shared" si="5"/>
        <v>22334.05</v>
      </c>
      <c r="E51" s="27">
        <f t="shared" si="5"/>
        <v>2711.15</v>
      </c>
      <c r="F51" s="27">
        <f t="shared" si="5"/>
        <v>2493.7300000000005</v>
      </c>
      <c r="G51" s="27">
        <f t="shared" si="5"/>
        <v>4461.7199999999993</v>
      </c>
      <c r="H51" s="27">
        <f t="shared" si="5"/>
        <v>1213.8800000000001</v>
      </c>
      <c r="I51" s="27">
        <f>SUM(B51:H51)</f>
        <v>218700.41000000003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260</v>
      </c>
      <c r="B53" s="28">
        <f t="shared" ref="B53:H53" si="6">B18+B35+B51</f>
        <v>5434345.3199999994</v>
      </c>
      <c r="C53" s="28">
        <f t="shared" si="6"/>
        <v>11125.82</v>
      </c>
      <c r="D53" s="28">
        <f t="shared" si="6"/>
        <v>997336.33000000007</v>
      </c>
      <c r="E53" s="28">
        <f t="shared" si="6"/>
        <v>2821.15</v>
      </c>
      <c r="F53" s="28">
        <f t="shared" si="6"/>
        <v>91588.849999999991</v>
      </c>
      <c r="G53" s="28">
        <f>G18+G35+G51</f>
        <v>41466.79</v>
      </c>
      <c r="H53" s="28">
        <f t="shared" si="6"/>
        <v>84876.160000000003</v>
      </c>
      <c r="I53" s="28">
        <f>SUM(B53:H53)</f>
        <v>6663560.4199999999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452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263</v>
      </c>
      <c r="B56" s="26">
        <f>'Summary YTD 10.31.19'!B97</f>
        <v>50000</v>
      </c>
      <c r="C56" s="26">
        <v>0</v>
      </c>
      <c r="D56" s="26">
        <f>DEP!N87</f>
        <v>50000</v>
      </c>
      <c r="E56" s="26">
        <v>0</v>
      </c>
      <c r="F56" s="26">
        <f>'BSC (Dome)'!N78+'BSC (Dome)'!N79</f>
        <v>20000</v>
      </c>
      <c r="G56" s="26">
        <f>'Summary YTD 10.31.19'!G97</f>
        <v>70800</v>
      </c>
      <c r="H56" s="26">
        <f>'722 Bedford St'!N22+'722 Bedford St'!N23</f>
        <v>130000</v>
      </c>
      <c r="I56" s="26">
        <f t="shared" ref="I56:I62" si="7">SUM(B56:H56)</f>
        <v>320800</v>
      </c>
      <c r="L56" s="24"/>
    </row>
    <row r="57" spans="1:12" s="22" customFormat="1" ht="30" customHeight="1" x14ac:dyDescent="0.3">
      <c r="A57" s="22" t="s">
        <v>268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143810.20000000001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6417.57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2021-2020 '!H116</f>
        <v>0</v>
      </c>
      <c r="I57" s="26">
        <f t="shared" si="7"/>
        <v>150227.77000000002</v>
      </c>
      <c r="L57" s="24"/>
    </row>
    <row r="58" spans="1:12" s="22" customFormat="1" ht="30" customHeight="1" x14ac:dyDescent="0.3">
      <c r="A58" s="22" t="s">
        <v>266</v>
      </c>
      <c r="B58" s="26">
        <f>'Summary YTD 10.31.19'!B102</f>
        <v>127378.14</v>
      </c>
      <c r="C58" s="26">
        <f>'Summary YTD 10.31.19'!C102</f>
        <v>3000</v>
      </c>
      <c r="D58" s="26">
        <f>'Summary YTD 10.31.19'!D102</f>
        <v>90266.66</v>
      </c>
      <c r="E58" s="26">
        <f>'Summary YTD 10.31.19'!E102</f>
        <v>17115.760000000002</v>
      </c>
      <c r="F58" s="26">
        <f>'Summary YTD 10.31.19'!F102</f>
        <v>0</v>
      </c>
      <c r="G58" s="26">
        <f>'Summary YTD 10.31.19'!G102</f>
        <v>25140.33</v>
      </c>
      <c r="H58" s="26">
        <f>'Comp YTD 2021-2020 '!H113</f>
        <v>18999.989999999998</v>
      </c>
      <c r="I58" s="26">
        <f t="shared" si="7"/>
        <v>281900.88</v>
      </c>
      <c r="L58" s="24"/>
    </row>
    <row r="59" spans="1:12" s="22" customFormat="1" ht="30" customHeight="1" x14ac:dyDescent="0.3">
      <c r="A59" s="22" t="s">
        <v>267</v>
      </c>
      <c r="B59" s="26">
        <f>'Summary YTD 10.31.19'!B103</f>
        <v>-197136.65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-3173.1900000000005</v>
      </c>
      <c r="F59" s="26">
        <f>'Summary YTD 10.31.19'!F103</f>
        <v>-36208.5</v>
      </c>
      <c r="G59" s="26">
        <f>'Summary YTD 10.31.19'!G103</f>
        <v>-3000.06</v>
      </c>
      <c r="H59" s="26">
        <f>'Summary YTD 10.31.19'!H103</f>
        <v>-28901.64</v>
      </c>
      <c r="I59" s="26">
        <f t="shared" si="7"/>
        <v>-268420.03999999998</v>
      </c>
      <c r="L59" s="24"/>
    </row>
    <row r="60" spans="1:12" s="22" customFormat="1" ht="30" customHeight="1" x14ac:dyDescent="0.3">
      <c r="A60" s="22" t="s">
        <v>592</v>
      </c>
      <c r="B60" s="26">
        <f>'Summary YTD 10.31.19'!B104</f>
        <v>-2210.94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-2210.94</v>
      </c>
      <c r="L60" s="24"/>
    </row>
    <row r="61" spans="1:12" s="22" customFormat="1" ht="30" customHeight="1" x14ac:dyDescent="0.3">
      <c r="A61" s="22" t="s">
        <v>406</v>
      </c>
      <c r="B61" s="26">
        <v>0</v>
      </c>
      <c r="C61" s="26">
        <f>'Summary YTD 10.31.19'!C99+'Summary YTD 10.31.19'!C100</f>
        <v>0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0</v>
      </c>
      <c r="L61" s="24"/>
    </row>
    <row r="62" spans="1:12" s="22" customFormat="1" ht="30" customHeight="1" x14ac:dyDescent="0.3">
      <c r="A62" s="25" t="s">
        <v>453</v>
      </c>
      <c r="B62" s="27">
        <f>SUM(B56:B61)</f>
        <v>121840.75000000003</v>
      </c>
      <c r="C62" s="27">
        <f t="shared" ref="C62:H62" si="8">SUM(C56:C61)</f>
        <v>3000</v>
      </c>
      <c r="D62" s="27">
        <f t="shared" si="8"/>
        <v>146684.23000000001</v>
      </c>
      <c r="E62" s="27">
        <f t="shared" si="8"/>
        <v>13942.570000000002</v>
      </c>
      <c r="F62" s="27">
        <f t="shared" si="8"/>
        <v>-16208.5</v>
      </c>
      <c r="G62" s="27">
        <f t="shared" si="8"/>
        <v>92940.27</v>
      </c>
      <c r="H62" s="27">
        <f t="shared" si="8"/>
        <v>120098.34999999999</v>
      </c>
      <c r="I62" s="27">
        <f t="shared" si="7"/>
        <v>482297.67000000004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262</v>
      </c>
      <c r="B64" s="29">
        <f t="shared" ref="B64:H64" si="9">B11-B53+B62</f>
        <v>20696055.880000286</v>
      </c>
      <c r="C64" s="29">
        <f t="shared" si="9"/>
        <v>-8125.82</v>
      </c>
      <c r="D64" s="29">
        <f t="shared" si="9"/>
        <v>1242377.5500000003</v>
      </c>
      <c r="E64" s="29">
        <f t="shared" si="9"/>
        <v>11121.420000000002</v>
      </c>
      <c r="F64" s="29">
        <f t="shared" si="9"/>
        <v>-108956.34999999999</v>
      </c>
      <c r="G64" s="29">
        <f t="shared" si="9"/>
        <v>51473.48</v>
      </c>
      <c r="H64" s="29">
        <f t="shared" si="9"/>
        <v>35222.189999999988</v>
      </c>
      <c r="I64" s="29">
        <f>SUM(B64:H64)</f>
        <v>21919168.350000288</v>
      </c>
      <c r="L64" s="24"/>
    </row>
    <row r="65" spans="1:9" ht="15.75" thickTop="1" x14ac:dyDescent="0.25">
      <c r="A65" t="s">
        <v>325</v>
      </c>
      <c r="B65" s="1">
        <f>CNT!N311</f>
        <v>20696055.880000047</v>
      </c>
      <c r="C65" s="1">
        <f>BPM!N90</f>
        <v>-8125.82</v>
      </c>
      <c r="D65" s="1">
        <f>DEP!N92</f>
        <v>1242377.5500000003</v>
      </c>
      <c r="E65" s="1">
        <f>Lending!N22</f>
        <v>11121.420000000002</v>
      </c>
      <c r="F65" s="1">
        <f>'BSC (Dome)'!N86</f>
        <v>-109412.34999999999</v>
      </c>
      <c r="G65" s="1">
        <f>'Oliari Co.'!N33</f>
        <v>51473.48</v>
      </c>
      <c r="H65" s="1">
        <f>'722 Bedford St'!N30</f>
        <v>35222.189999999988</v>
      </c>
      <c r="I65" s="1">
        <f>SUM(B65:H65)</f>
        <v>21918712.35000005</v>
      </c>
    </row>
    <row r="66" spans="1:9" x14ac:dyDescent="0.25">
      <c r="B66" s="4">
        <f>B64-B65</f>
        <v>2.384185791015625E-7</v>
      </c>
      <c r="C66" s="4">
        <f>C64-C65</f>
        <v>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52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7" t="s">
        <v>536</v>
      </c>
      <c r="B1" s="307"/>
      <c r="C1" s="307"/>
      <c r="D1" s="307"/>
      <c r="E1" s="307"/>
      <c r="F1" s="307"/>
      <c r="G1" s="307"/>
      <c r="H1" s="307"/>
      <c r="I1" s="307"/>
    </row>
    <row r="2" spans="1:12" ht="36" x14ac:dyDescent="0.55000000000000004">
      <c r="A2" s="307" t="s">
        <v>537</v>
      </c>
      <c r="B2" s="307"/>
      <c r="C2" s="307"/>
      <c r="D2" s="307"/>
      <c r="E2" s="307"/>
      <c r="F2" s="307"/>
      <c r="G2" s="307"/>
      <c r="H2" s="307"/>
      <c r="I2" s="307"/>
    </row>
    <row r="3" spans="1:12" ht="36" x14ac:dyDescent="0.55000000000000004">
      <c r="A3" s="307" t="s">
        <v>261</v>
      </c>
      <c r="B3" s="307"/>
      <c r="C3" s="307"/>
      <c r="D3" s="307"/>
      <c r="E3" s="307"/>
      <c r="F3" s="307"/>
      <c r="G3" s="307"/>
      <c r="H3" s="307"/>
      <c r="I3" s="307"/>
    </row>
    <row r="4" spans="1:12" ht="36" x14ac:dyDescent="0.55000000000000004">
      <c r="A4" s="308">
        <f>'Comp Summary YTD 2020-2019 '!A12:I12</f>
        <v>44316</v>
      </c>
      <c r="B4" s="309"/>
      <c r="C4" s="309"/>
      <c r="D4" s="309"/>
      <c r="E4" s="309"/>
      <c r="F4" s="309"/>
      <c r="G4" s="309"/>
      <c r="H4" s="309"/>
      <c r="I4" s="309"/>
    </row>
    <row r="6" spans="1:12" s="22" customFormat="1" ht="30" customHeight="1" x14ac:dyDescent="0.5">
      <c r="A6" s="6"/>
      <c r="B6" s="11" t="s">
        <v>208</v>
      </c>
      <c r="C6" s="11" t="s">
        <v>210</v>
      </c>
      <c r="D6" s="11" t="s">
        <v>209</v>
      </c>
      <c r="E6" s="11" t="s">
        <v>211</v>
      </c>
      <c r="F6" s="11" t="s">
        <v>212</v>
      </c>
      <c r="G6" s="11" t="s">
        <v>399</v>
      </c>
      <c r="H6" s="11" t="s">
        <v>409</v>
      </c>
      <c r="I6" s="11" t="s">
        <v>203</v>
      </c>
      <c r="L6" s="24"/>
    </row>
    <row r="7" spans="1:12" s="22" customFormat="1" ht="42.75" customHeight="1" x14ac:dyDescent="0.5">
      <c r="A7" s="12" t="s">
        <v>58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213</v>
      </c>
      <c r="B8" s="13">
        <f>'Comp YTD 2021-2020 '!B12</f>
        <v>1669053488.49</v>
      </c>
      <c r="C8" s="13">
        <f>'Comp YTD 2021-2020 '!C12</f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1669053488.49</v>
      </c>
      <c r="L8" s="24"/>
    </row>
    <row r="9" spans="1:12" s="22" customFormat="1" ht="42.75" customHeight="1" x14ac:dyDescent="0.5">
      <c r="A9" s="6" t="s">
        <v>214</v>
      </c>
      <c r="B9" s="13">
        <f>'Comp YTD 2021-2020 '!B13</f>
        <v>550490403.1500001</v>
      </c>
      <c r="C9" s="13">
        <f>'Comp YTD 2021-2020 '!C13</f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550490403.1500001</v>
      </c>
      <c r="L9" s="24"/>
    </row>
    <row r="10" spans="1:12" s="22" customFormat="1" ht="42.75" customHeight="1" x14ac:dyDescent="0.5">
      <c r="A10" s="6" t="s">
        <v>215</v>
      </c>
      <c r="B10" s="13">
        <f>'Comp YTD 2021-2020 '!B14</f>
        <v>12166089.530000001</v>
      </c>
      <c r="C10" s="13">
        <f>'Comp YTD 2021-2020 '!C14</f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12166089.530000001</v>
      </c>
      <c r="L10" s="24"/>
    </row>
    <row r="11" spans="1:12" s="22" customFormat="1" ht="42.75" customHeight="1" x14ac:dyDescent="0.5">
      <c r="A11" s="6" t="s">
        <v>412</v>
      </c>
      <c r="B11" s="13">
        <f>'Comp YTD 2021-2020 '!B15</f>
        <v>12439430.93</v>
      </c>
      <c r="C11" s="13">
        <f>'Comp YTD 2021-2020 '!C15</f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12439430.93</v>
      </c>
      <c r="L11" s="24"/>
    </row>
    <row r="12" spans="1:12" s="22" customFormat="1" ht="42.75" customHeight="1" x14ac:dyDescent="0.5">
      <c r="A12" s="6" t="s">
        <v>216</v>
      </c>
      <c r="B12" s="13">
        <f>'Comp YTD 2021-2020 '!B16</f>
        <v>5169215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5169215</v>
      </c>
      <c r="L12" s="24"/>
    </row>
    <row r="13" spans="1:12" s="22" customFormat="1" ht="42.75" customHeight="1" x14ac:dyDescent="0.5">
      <c r="A13" s="6" t="s">
        <v>217</v>
      </c>
      <c r="B13" s="13">
        <f>'Comp YTD 2021-2020 '!B17</f>
        <v>107186760.00999999</v>
      </c>
      <c r="C13" s="13">
        <f>'Comp YTD 2021-2020 '!C17</f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107186760.00999999</v>
      </c>
      <c r="L13" s="24"/>
    </row>
    <row r="14" spans="1:12" s="22" customFormat="1" ht="42.75" customHeight="1" x14ac:dyDescent="0.5">
      <c r="A14" s="6" t="s">
        <v>218</v>
      </c>
      <c r="B14" s="13">
        <f>'Comp YTD 2021-2020 '!B18</f>
        <v>494121.9</v>
      </c>
      <c r="C14" s="13">
        <f>'Comp YTD 2021-2020 '!C18</f>
        <v>0</v>
      </c>
      <c r="D14" s="13">
        <f>DEP!N21</f>
        <v>2099298.6900000004</v>
      </c>
      <c r="E14" s="13">
        <v>0</v>
      </c>
      <c r="F14" s="13">
        <f>'BSC (Dome)'!N15</f>
        <v>-1159</v>
      </c>
      <c r="G14" s="13">
        <v>0</v>
      </c>
      <c r="H14" s="13">
        <v>0</v>
      </c>
      <c r="I14" s="13">
        <f t="shared" si="0"/>
        <v>2592261.5900000003</v>
      </c>
      <c r="L14" s="24"/>
    </row>
    <row r="15" spans="1:12" s="22" customFormat="1" ht="42.75" customHeight="1" x14ac:dyDescent="0.5">
      <c r="A15" s="12" t="s">
        <v>219</v>
      </c>
      <c r="B15" s="15">
        <f t="shared" ref="B15:H15" si="1">SUM(B8:B14)</f>
        <v>2356999509.0100007</v>
      </c>
      <c r="C15" s="15">
        <f t="shared" si="1"/>
        <v>0</v>
      </c>
      <c r="D15" s="15">
        <f t="shared" si="1"/>
        <v>2099298.6900000004</v>
      </c>
      <c r="E15" s="15">
        <f t="shared" si="1"/>
        <v>0</v>
      </c>
      <c r="F15" s="15">
        <f t="shared" si="1"/>
        <v>-1159</v>
      </c>
      <c r="G15" s="15">
        <f t="shared" si="1"/>
        <v>0</v>
      </c>
      <c r="H15" s="15">
        <f t="shared" si="1"/>
        <v>0</v>
      </c>
      <c r="I15" s="15">
        <f t="shared" si="0"/>
        <v>2359097648.7000008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204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213</v>
      </c>
      <c r="B18" s="13">
        <f>'Comp YTD 2021-2020 '!B22</f>
        <v>1661218177.3400006</v>
      </c>
      <c r="C18" s="13">
        <f>BPM!N20+BPM!N31</f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1661218177.3400006</v>
      </c>
      <c r="L18" s="24"/>
    </row>
    <row r="19" spans="1:12" s="22" customFormat="1" ht="42.75" customHeight="1" x14ac:dyDescent="0.5">
      <c r="A19" s="6" t="s">
        <v>214</v>
      </c>
      <c r="B19" s="13">
        <f>'Comp YTD 2021-2020 '!B23</f>
        <v>536236465.94000018</v>
      </c>
      <c r="C19" s="13">
        <f>BPM!N21+BPM!N32</f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536236465.94000018</v>
      </c>
      <c r="L19" s="24"/>
    </row>
    <row r="20" spans="1:12" s="22" customFormat="1" ht="42.75" customHeight="1" x14ac:dyDescent="0.5">
      <c r="A20" s="6" t="s">
        <v>215</v>
      </c>
      <c r="B20" s="13">
        <f>'Comp YTD 2021-2020 '!B24</f>
        <v>11826681.869999999</v>
      </c>
      <c r="C20" s="13">
        <f>BPM!N22+BPM!N33</f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11826681.869999999</v>
      </c>
      <c r="L20" s="24"/>
    </row>
    <row r="21" spans="1:12" s="22" customFormat="1" ht="42.75" customHeight="1" x14ac:dyDescent="0.5">
      <c r="A21" s="6" t="s">
        <v>412</v>
      </c>
      <c r="B21" s="13">
        <f>'Comp YTD 2021-2020 '!B25</f>
        <v>12242799.979999997</v>
      </c>
      <c r="C21" s="13">
        <f>BPM!N23</f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12242799.979999997</v>
      </c>
      <c r="L21" s="24"/>
    </row>
    <row r="22" spans="1:12" s="22" customFormat="1" ht="42.75" customHeight="1" x14ac:dyDescent="0.5">
      <c r="A22" s="6" t="s">
        <v>216</v>
      </c>
      <c r="B22" s="13">
        <f>'Comp YTD 2021-2020 '!B26</f>
        <v>5001215.84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5001215.84</v>
      </c>
      <c r="L22" s="24"/>
    </row>
    <row r="23" spans="1:12" s="22" customFormat="1" ht="42.75" customHeight="1" x14ac:dyDescent="0.5">
      <c r="A23" s="6" t="s">
        <v>217</v>
      </c>
      <c r="B23" s="13">
        <f>'Comp YTD 2021-2020 '!B27</f>
        <v>102913380.64</v>
      </c>
      <c r="C23" s="13">
        <f>BPM!N25</f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102913380.64</v>
      </c>
      <c r="L23" s="24"/>
    </row>
    <row r="24" spans="1:12" s="22" customFormat="1" ht="42.75" customHeight="1" x14ac:dyDescent="0.5">
      <c r="A24" s="6" t="s">
        <v>218</v>
      </c>
      <c r="B24" s="13">
        <f>'Comp YTD 2021-2020 '!B28</f>
        <v>1552226.95</v>
      </c>
      <c r="C24" s="13">
        <f>BPM!N24+BPM!N26+BPM!N27+BPM!N35+BPM!N36+BPM!N29+BPM!N30+BPM!N28</f>
        <v>0</v>
      </c>
      <c r="D24" s="13">
        <f>DEP!N27</f>
        <v>6269.04</v>
      </c>
      <c r="E24" s="13">
        <v>0</v>
      </c>
      <c r="F24" s="13">
        <f>'BSC (Dome)'!N18</f>
        <v>0</v>
      </c>
      <c r="G24" s="13">
        <v>0</v>
      </c>
      <c r="H24" s="13">
        <v>0</v>
      </c>
      <c r="I24" s="13">
        <f t="shared" si="2"/>
        <v>1558495.99</v>
      </c>
      <c r="L24" s="24"/>
    </row>
    <row r="25" spans="1:12" s="22" customFormat="1" ht="42.75" customHeight="1" x14ac:dyDescent="0.5">
      <c r="A25" s="12" t="s">
        <v>220</v>
      </c>
      <c r="B25" s="15">
        <f t="shared" ref="B25:H25" si="3">SUM(B18:B24)</f>
        <v>2330990948.5600004</v>
      </c>
      <c r="C25" s="15">
        <f t="shared" si="3"/>
        <v>0</v>
      </c>
      <c r="D25" s="15">
        <f t="shared" si="3"/>
        <v>6269.04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2"/>
        <v>2330997217.6000004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207</v>
      </c>
      <c r="B27" s="18">
        <f t="shared" ref="B27:H27" si="4">B15-B25</f>
        <v>26008560.450000286</v>
      </c>
      <c r="C27" s="18">
        <f t="shared" si="4"/>
        <v>0</v>
      </c>
      <c r="D27" s="18">
        <f t="shared" si="4"/>
        <v>2093029.6500000004</v>
      </c>
      <c r="E27" s="18">
        <f t="shared" si="4"/>
        <v>0</v>
      </c>
      <c r="F27" s="18">
        <f t="shared" si="4"/>
        <v>-1159</v>
      </c>
      <c r="G27" s="18">
        <f t="shared" si="4"/>
        <v>0</v>
      </c>
      <c r="H27" s="18">
        <f t="shared" si="4"/>
        <v>0</v>
      </c>
      <c r="I27" s="18">
        <f>SUM(B27:H27)</f>
        <v>28100431.100000285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221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222</v>
      </c>
      <c r="B32" s="13">
        <f>'Comp YTD 2021-2020 '!B37</f>
        <v>1235111.6400000001</v>
      </c>
      <c r="C32" s="13">
        <f>BPM!N44</f>
        <v>0</v>
      </c>
      <c r="D32" s="13">
        <f>DEP!N33</f>
        <v>418369.41</v>
      </c>
      <c r="E32" s="13">
        <v>0</v>
      </c>
      <c r="F32" s="13">
        <f>'BSC (Dome)'!N25+'BSC (Dome)'!N33</f>
        <v>14326.740000000002</v>
      </c>
      <c r="G32" s="13">
        <v>0</v>
      </c>
      <c r="H32" s="13">
        <v>0</v>
      </c>
      <c r="I32" s="13">
        <f t="shared" ref="I32:I42" si="5">SUM(B32:H32)</f>
        <v>1667807.79</v>
      </c>
      <c r="L32" s="24"/>
    </row>
    <row r="33" spans="1:12" s="22" customFormat="1" ht="42.75" customHeight="1" x14ac:dyDescent="0.5">
      <c r="A33" s="6" t="s">
        <v>528</v>
      </c>
      <c r="B33" s="13">
        <f>'Comp YTD 2021-2020 '!B38</f>
        <v>2645266.66</v>
      </c>
      <c r="C33" s="13">
        <f>BPM!N45</f>
        <v>0</v>
      </c>
      <c r="D33" s="13">
        <f>DEP!N34</f>
        <v>32258.34</v>
      </c>
      <c r="E33" s="13">
        <v>0</v>
      </c>
      <c r="F33" s="13">
        <f>'Comp YTD 2021-2020 '!F38</f>
        <v>0</v>
      </c>
      <c r="G33" s="13">
        <v>0</v>
      </c>
      <c r="H33" s="13">
        <v>0</v>
      </c>
      <c r="I33" s="13">
        <f t="shared" si="5"/>
        <v>2677525</v>
      </c>
      <c r="L33" s="24"/>
    </row>
    <row r="34" spans="1:12" s="22" customFormat="1" ht="42.75" customHeight="1" x14ac:dyDescent="0.5">
      <c r="A34" s="6" t="s">
        <v>223</v>
      </c>
      <c r="B34" s="13">
        <f>'Comp YTD 2021-2020 '!B39</f>
        <v>14926.960000000001</v>
      </c>
      <c r="C34" s="13">
        <f>'Comp YTD 2021-2020 '!C39</f>
        <v>0</v>
      </c>
      <c r="D34" s="13">
        <f>'Comp YTD 2021-2020 '!D39</f>
        <v>1447.03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16373.990000000002</v>
      </c>
      <c r="L34" s="24"/>
    </row>
    <row r="35" spans="1:12" s="22" customFormat="1" ht="42.75" customHeight="1" x14ac:dyDescent="0.5">
      <c r="A35" s="6" t="s">
        <v>224</v>
      </c>
      <c r="B35" s="13">
        <f>'Comp YTD 2021-2020 '!B40</f>
        <v>135199.62</v>
      </c>
      <c r="C35" s="13">
        <f>BPM!N47</f>
        <v>0</v>
      </c>
      <c r="D35" s="13">
        <f>DEP!N36</f>
        <v>41511.040000000001</v>
      </c>
      <c r="E35" s="13">
        <v>0</v>
      </c>
      <c r="F35" s="13">
        <f>'BSC (Dome)'!N27</f>
        <v>1700.77</v>
      </c>
      <c r="G35" s="13">
        <v>0</v>
      </c>
      <c r="H35" s="13">
        <v>0</v>
      </c>
      <c r="I35" s="13">
        <f t="shared" si="5"/>
        <v>178411.43</v>
      </c>
      <c r="L35" s="24"/>
    </row>
    <row r="36" spans="1:12" s="22" customFormat="1" ht="42.75" customHeight="1" x14ac:dyDescent="0.5">
      <c r="A36" s="6" t="s">
        <v>225</v>
      </c>
      <c r="B36" s="13">
        <f>'Comp YTD 2021-2020 '!B41</f>
        <v>145067.91999999998</v>
      </c>
      <c r="C36" s="13">
        <f>BPM!N48</f>
        <v>0</v>
      </c>
      <c r="D36" s="13">
        <f>DEP!N37</f>
        <v>59324.719999999994</v>
      </c>
      <c r="E36" s="13">
        <v>0</v>
      </c>
      <c r="F36" s="13">
        <f>'BSC (Dome)'!N28</f>
        <v>-1944.1999999999998</v>
      </c>
      <c r="G36" s="13">
        <v>0</v>
      </c>
      <c r="H36" s="13">
        <v>0</v>
      </c>
      <c r="I36" s="13">
        <f t="shared" si="5"/>
        <v>202448.43999999997</v>
      </c>
      <c r="L36" s="24"/>
    </row>
    <row r="37" spans="1:12" s="22" customFormat="1" ht="42.75" customHeight="1" x14ac:dyDescent="0.5">
      <c r="A37" s="6" t="s">
        <v>226</v>
      </c>
      <c r="B37" s="13">
        <f>'Comp YTD 2021-2020 '!B42</f>
        <v>20378.919999999998</v>
      </c>
      <c r="C37" s="13">
        <f>BPM!N49</f>
        <v>0</v>
      </c>
      <c r="D37" s="13">
        <f>DEP!N38</f>
        <v>6693.2699999999995</v>
      </c>
      <c r="E37" s="13">
        <v>0</v>
      </c>
      <c r="F37" s="13">
        <f>'BSC (Dome)'!N29</f>
        <v>0</v>
      </c>
      <c r="G37" s="13">
        <v>0</v>
      </c>
      <c r="H37" s="13">
        <v>0</v>
      </c>
      <c r="I37" s="13">
        <f t="shared" si="5"/>
        <v>27072.19</v>
      </c>
      <c r="L37" s="24"/>
    </row>
    <row r="38" spans="1:12" s="22" customFormat="1" ht="42.75" customHeight="1" x14ac:dyDescent="0.5">
      <c r="A38" s="6" t="s">
        <v>227</v>
      </c>
      <c r="B38" s="13">
        <f>'Comp YTD 2021-2020 '!B43</f>
        <v>71908.340000000011</v>
      </c>
      <c r="C38" s="13">
        <f>BPM!N50</f>
        <v>0</v>
      </c>
      <c r="D38" s="13">
        <f>DEP!N39</f>
        <v>11962.43</v>
      </c>
      <c r="E38" s="13">
        <v>0</v>
      </c>
      <c r="F38" s="13">
        <f>'BSC (Dome)'!N31</f>
        <v>387</v>
      </c>
      <c r="G38" s="13">
        <v>0</v>
      </c>
      <c r="H38" s="13">
        <v>0</v>
      </c>
      <c r="I38" s="13">
        <f t="shared" si="5"/>
        <v>84257.770000000019</v>
      </c>
      <c r="L38" s="24"/>
    </row>
    <row r="39" spans="1:12" s="22" customFormat="1" ht="42.75" customHeight="1" x14ac:dyDescent="0.5">
      <c r="A39" s="6" t="s">
        <v>303</v>
      </c>
      <c r="B39" s="13">
        <f>'Comp YTD 2021-2020 '!B44</f>
        <v>55777.58</v>
      </c>
      <c r="C39" s="13">
        <f>'Comp YTD 2021-2020 '!C44</f>
        <v>0</v>
      </c>
      <c r="D39" s="13">
        <f>DEP!N40</f>
        <v>1022.25</v>
      </c>
      <c r="E39" s="13">
        <v>0</v>
      </c>
      <c r="F39" s="13">
        <f>'BSC (Dome)'!N30+'BSC (Dome)'!N32</f>
        <v>0</v>
      </c>
      <c r="G39" s="13">
        <v>0</v>
      </c>
      <c r="H39" s="13">
        <v>0</v>
      </c>
      <c r="I39" s="13">
        <f t="shared" si="5"/>
        <v>56799.83</v>
      </c>
      <c r="L39" s="24"/>
    </row>
    <row r="40" spans="1:12" s="22" customFormat="1" ht="42.75" customHeight="1" x14ac:dyDescent="0.5">
      <c r="A40" s="6" t="s">
        <v>228</v>
      </c>
      <c r="B40" s="13">
        <f>'Comp YTD 2021-2020 '!B45</f>
        <v>952.19</v>
      </c>
      <c r="C40" s="13">
        <v>0</v>
      </c>
      <c r="D40" s="13">
        <f>'Comp YTD 2021-2020 '!D45</f>
        <v>423.94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1376.13</v>
      </c>
      <c r="L40" s="24"/>
    </row>
    <row r="41" spans="1:12" s="22" customFormat="1" ht="42.75" customHeight="1" x14ac:dyDescent="0.5">
      <c r="A41" s="6" t="s">
        <v>242</v>
      </c>
      <c r="B41" s="13">
        <f>'Comp YTD 2021-2020 '!B46</f>
        <v>34303.089999999997</v>
      </c>
      <c r="C41" s="13">
        <f>BPM!N52</f>
        <v>0</v>
      </c>
      <c r="D41" s="13">
        <f>DEP!N41</f>
        <v>8812.2000000000007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43115.289999999994</v>
      </c>
      <c r="L41" s="24"/>
    </row>
    <row r="42" spans="1:12" s="22" customFormat="1" ht="42.75" customHeight="1" x14ac:dyDescent="0.5">
      <c r="A42" s="12" t="s">
        <v>229</v>
      </c>
      <c r="B42" s="15">
        <f>SUM(B32:B41)</f>
        <v>4358892.9200000009</v>
      </c>
      <c r="C42" s="15">
        <f t="shared" ref="C42:H42" si="6">SUM(C32:C41)</f>
        <v>0</v>
      </c>
      <c r="D42" s="15">
        <f t="shared" si="6"/>
        <v>581824.63</v>
      </c>
      <c r="E42" s="15">
        <f t="shared" si="6"/>
        <v>0</v>
      </c>
      <c r="F42" s="15">
        <f t="shared" si="6"/>
        <v>14470.310000000001</v>
      </c>
      <c r="G42" s="15">
        <f t="shared" si="6"/>
        <v>0</v>
      </c>
      <c r="H42" s="15">
        <f t="shared" si="6"/>
        <v>0</v>
      </c>
      <c r="I42" s="15">
        <f t="shared" si="5"/>
        <v>4955187.8600000003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475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230</v>
      </c>
      <c r="B45" s="13">
        <f>'Comp YTD 2021-2020 '!B50</f>
        <v>166800</v>
      </c>
      <c r="C45" s="13">
        <f>BPM!N57</f>
        <v>0</v>
      </c>
      <c r="D45" s="13">
        <f>DEP!N46</f>
        <v>150000</v>
      </c>
      <c r="E45" s="13">
        <v>0</v>
      </c>
      <c r="F45" s="13">
        <f>'BSC (Dome)'!N37</f>
        <v>4000</v>
      </c>
      <c r="G45" s="13">
        <v>0</v>
      </c>
      <c r="H45" s="13">
        <v>0</v>
      </c>
      <c r="I45" s="13">
        <f t="shared" ref="I45:I67" si="7">SUM(B45:H45)</f>
        <v>320800</v>
      </c>
      <c r="L45" s="24"/>
    </row>
    <row r="46" spans="1:12" s="22" customFormat="1" ht="42.75" customHeight="1" x14ac:dyDescent="0.5">
      <c r="A46" s="6" t="s">
        <v>231</v>
      </c>
      <c r="B46" s="13">
        <f>'Comp YTD 2021-2020 '!B51</f>
        <v>9594.17</v>
      </c>
      <c r="C46" s="13">
        <v>0</v>
      </c>
      <c r="D46" s="13">
        <f>DEP!N47</f>
        <v>-400</v>
      </c>
      <c r="E46" s="13">
        <v>0</v>
      </c>
      <c r="F46" s="13">
        <f>'BSC (Dome)'!N39</f>
        <v>3287.5</v>
      </c>
      <c r="G46" s="13">
        <f>'Comp YTD 2021-2020 '!G51</f>
        <v>0</v>
      </c>
      <c r="H46" s="13">
        <v>0</v>
      </c>
      <c r="I46" s="13">
        <f t="shared" si="7"/>
        <v>12481.67</v>
      </c>
      <c r="L46" s="24"/>
    </row>
    <row r="47" spans="1:12" s="22" customFormat="1" ht="42.75" customHeight="1" x14ac:dyDescent="0.5">
      <c r="A47" s="6" t="s">
        <v>232</v>
      </c>
      <c r="B47" s="13">
        <f>'Comp YTD 2021-2020 '!B52</f>
        <v>6487.7900000000009</v>
      </c>
      <c r="C47" s="13">
        <v>0</v>
      </c>
      <c r="D47" s="13">
        <f>'Comp YTD 2021-2020 '!D52</f>
        <v>8789.2199999999993</v>
      </c>
      <c r="E47" s="13">
        <v>0</v>
      </c>
      <c r="F47" s="13">
        <f>'BSC (Dome)'!N38</f>
        <v>21922.11</v>
      </c>
      <c r="G47" s="13">
        <v>0</v>
      </c>
      <c r="H47" s="13">
        <v>0</v>
      </c>
      <c r="I47" s="13">
        <f t="shared" si="7"/>
        <v>37199.120000000003</v>
      </c>
      <c r="L47" s="24"/>
    </row>
    <row r="48" spans="1:12" s="22" customFormat="1" ht="42.75" customHeight="1" x14ac:dyDescent="0.5">
      <c r="A48" s="6" t="s">
        <v>331</v>
      </c>
      <c r="B48" s="13">
        <f>'Comp YTD 2021-2020 '!B53</f>
        <v>932.71</v>
      </c>
      <c r="C48" s="13">
        <v>0</v>
      </c>
      <c r="D48" s="13">
        <f>'Comp YTD 2021-2020 '!D53</f>
        <v>182.25</v>
      </c>
      <c r="E48" s="13">
        <v>0</v>
      </c>
      <c r="F48" s="13">
        <f>'BSC (Dome)'!N40</f>
        <v>152.39999999999998</v>
      </c>
      <c r="G48" s="13">
        <v>0</v>
      </c>
      <c r="H48" s="13">
        <v>0</v>
      </c>
      <c r="I48" s="13">
        <f t="shared" si="7"/>
        <v>1267.3600000000001</v>
      </c>
      <c r="L48" s="24"/>
    </row>
    <row r="49" spans="1:12" s="22" customFormat="1" ht="42.75" customHeight="1" x14ac:dyDescent="0.5">
      <c r="A49" s="6" t="s">
        <v>286</v>
      </c>
      <c r="B49" s="13">
        <f>'Comp YTD 2021-2020 '!B54</f>
        <v>1978.12</v>
      </c>
      <c r="C49" s="13">
        <v>0</v>
      </c>
      <c r="D49" s="13">
        <f>DEP!N49</f>
        <v>1107</v>
      </c>
      <c r="E49" s="13">
        <v>0</v>
      </c>
      <c r="F49" s="13">
        <f>'BSC (Dome)'!N41</f>
        <v>0</v>
      </c>
      <c r="G49" s="13">
        <v>0</v>
      </c>
      <c r="H49" s="13">
        <v>0</v>
      </c>
      <c r="I49" s="13">
        <f t="shared" si="7"/>
        <v>3085.12</v>
      </c>
      <c r="L49" s="24"/>
    </row>
    <row r="50" spans="1:12" s="22" customFormat="1" ht="42.75" customHeight="1" x14ac:dyDescent="0.5">
      <c r="A50" s="6" t="s">
        <v>435</v>
      </c>
      <c r="B50" s="13">
        <f>'Comp YTD 2021-2020 '!B55</f>
        <v>10000</v>
      </c>
      <c r="C50" s="13">
        <v>0</v>
      </c>
      <c r="D50" s="13">
        <f>DEP!N50</f>
        <v>8400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18400</v>
      </c>
      <c r="L50" s="24"/>
    </row>
    <row r="51" spans="1:12" s="22" customFormat="1" ht="42.75" customHeight="1" x14ac:dyDescent="0.5">
      <c r="A51" s="6" t="s">
        <v>368</v>
      </c>
      <c r="B51" s="13">
        <f>'Comp YTD 2021-2020 '!B56</f>
        <v>40608.53</v>
      </c>
      <c r="C51" s="13">
        <f>BPM!N58</f>
        <v>0</v>
      </c>
      <c r="D51" s="13">
        <f>DEP!N51</f>
        <v>13193.859999999999</v>
      </c>
      <c r="E51" s="13">
        <v>0</v>
      </c>
      <c r="F51" s="13">
        <f>'BSC (Dome)'!N43</f>
        <v>500</v>
      </c>
      <c r="G51" s="13">
        <v>0</v>
      </c>
      <c r="H51" s="13">
        <v>0</v>
      </c>
      <c r="I51" s="13">
        <f t="shared" si="7"/>
        <v>54302.39</v>
      </c>
      <c r="L51" s="24"/>
    </row>
    <row r="52" spans="1:12" s="22" customFormat="1" ht="42.75" customHeight="1" x14ac:dyDescent="0.5">
      <c r="A52" s="6" t="s">
        <v>366</v>
      </c>
      <c r="B52" s="13">
        <f>'Comp YTD 2021-2020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0</v>
      </c>
      <c r="G52" s="13">
        <v>0</v>
      </c>
      <c r="H52" s="13">
        <v>0</v>
      </c>
      <c r="I52" s="13">
        <f t="shared" si="7"/>
        <v>0</v>
      </c>
      <c r="L52" s="24"/>
    </row>
    <row r="53" spans="1:12" s="22" customFormat="1" ht="42.75" customHeight="1" x14ac:dyDescent="0.5">
      <c r="A53" s="6" t="s">
        <v>235</v>
      </c>
      <c r="B53" s="13">
        <f>'Comp YTD 2021-2020 '!B58</f>
        <v>37178.129999999997</v>
      </c>
      <c r="C53" s="13">
        <v>0</v>
      </c>
      <c r="D53" s="13">
        <f>DEP!N52</f>
        <v>23850.720000000001</v>
      </c>
      <c r="E53" s="13">
        <v>0</v>
      </c>
      <c r="F53" s="13">
        <f>'BSC (Dome)'!N46</f>
        <v>450.5</v>
      </c>
      <c r="G53" s="13">
        <v>0</v>
      </c>
      <c r="H53" s="13">
        <v>0</v>
      </c>
      <c r="I53" s="13">
        <f t="shared" si="7"/>
        <v>61479.35</v>
      </c>
      <c r="L53" s="24"/>
    </row>
    <row r="54" spans="1:12" s="22" customFormat="1" ht="42.75" customHeight="1" x14ac:dyDescent="0.5">
      <c r="A54" s="6" t="s">
        <v>236</v>
      </c>
      <c r="B54" s="13">
        <f>'Comp YTD 2021-2020 '!B59</f>
        <v>10999.67</v>
      </c>
      <c r="C54" s="13">
        <v>0</v>
      </c>
      <c r="D54" s="13">
        <f>DEP!N54</f>
        <v>1866.31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12865.98</v>
      </c>
      <c r="L54" s="24"/>
    </row>
    <row r="55" spans="1:12" s="22" customFormat="1" ht="42.75" customHeight="1" x14ac:dyDescent="0.5">
      <c r="A55" s="6" t="s">
        <v>234</v>
      </c>
      <c r="B55" s="13">
        <f>'Comp YTD 2021-2020 '!B60</f>
        <v>26599.660000000003</v>
      </c>
      <c r="C55" s="13">
        <f>BPM!N59</f>
        <v>0</v>
      </c>
      <c r="D55" s="13">
        <f>DEP!N55</f>
        <v>100183.34</v>
      </c>
      <c r="E55" s="13">
        <v>0</v>
      </c>
      <c r="F55" s="13">
        <f>'BSC (Dome)'!N48</f>
        <v>5273.6900000000005</v>
      </c>
      <c r="G55" s="13">
        <v>0</v>
      </c>
      <c r="H55" s="13">
        <v>0</v>
      </c>
      <c r="I55" s="13">
        <f t="shared" si="7"/>
        <v>132056.69</v>
      </c>
      <c r="L55" s="24"/>
    </row>
    <row r="56" spans="1:12" s="22" customFormat="1" ht="42.75" customHeight="1" x14ac:dyDescent="0.5">
      <c r="A56" s="6" t="s">
        <v>348</v>
      </c>
      <c r="B56" s="13">
        <f>'Comp YTD 2021-2020 '!B67</f>
        <v>814.6</v>
      </c>
      <c r="C56" s="13">
        <f>BPM!N76</f>
        <v>0</v>
      </c>
      <c r="D56" s="13">
        <f>DEP!N80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0</v>
      </c>
      <c r="H56" s="13">
        <f>'722 Bedford St'!N10</f>
        <v>0</v>
      </c>
      <c r="I56" s="13">
        <f t="shared" si="7"/>
        <v>1144.5999999999999</v>
      </c>
      <c r="L56" s="24"/>
    </row>
    <row r="57" spans="1:12" s="22" customFormat="1" ht="42.75" customHeight="1" x14ac:dyDescent="0.5">
      <c r="A57" s="6" t="s">
        <v>351</v>
      </c>
      <c r="B57" s="13">
        <f>'Comp YTD 2021-2020 '!B61</f>
        <v>0</v>
      </c>
      <c r="C57" s="13">
        <v>0</v>
      </c>
      <c r="D57" s="13">
        <v>0</v>
      </c>
      <c r="E57" s="13">
        <v>0</v>
      </c>
      <c r="F57" s="13">
        <f>'BSC (Dome)'!N45</f>
        <v>607.46</v>
      </c>
      <c r="G57" s="13">
        <v>0</v>
      </c>
      <c r="H57" s="13">
        <v>0</v>
      </c>
      <c r="I57" s="13">
        <f t="shared" si="7"/>
        <v>607.46</v>
      </c>
      <c r="L57" s="24"/>
    </row>
    <row r="58" spans="1:12" s="22" customFormat="1" ht="42.75" customHeight="1" x14ac:dyDescent="0.5">
      <c r="A58" s="6" t="s">
        <v>237</v>
      </c>
      <c r="B58" s="13">
        <f>'Comp YTD 2021-2020 '!B62</f>
        <v>38504.049999999996</v>
      </c>
      <c r="C58" s="13">
        <v>0</v>
      </c>
      <c r="D58" s="13">
        <f>DEP!N56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38504.049999999996</v>
      </c>
      <c r="L58" s="24"/>
    </row>
    <row r="59" spans="1:12" s="22" customFormat="1" ht="42.75" customHeight="1" x14ac:dyDescent="0.5">
      <c r="A59" s="6" t="s">
        <v>238</v>
      </c>
      <c r="B59" s="13">
        <f>'Comp YTD 2021-2020 '!B63</f>
        <v>7127.52</v>
      </c>
      <c r="C59" s="13">
        <v>0</v>
      </c>
      <c r="D59" s="13">
        <f>DEP!N59</f>
        <v>1687.56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8815.08</v>
      </c>
      <c r="L59" s="24"/>
    </row>
    <row r="60" spans="1:12" s="22" customFormat="1" ht="42.75" customHeight="1" x14ac:dyDescent="0.5">
      <c r="A60" s="6" t="s">
        <v>239</v>
      </c>
      <c r="B60" s="13">
        <f>'Comp YTD 2021-2020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240</v>
      </c>
      <c r="B61" s="13">
        <f>'Comp YTD 2021-2020 '!B65</f>
        <v>451000.38</v>
      </c>
      <c r="C61" s="13">
        <f>BPM!N60</f>
        <v>1081.4000000000001</v>
      </c>
      <c r="D61" s="13">
        <f>DEP!N60</f>
        <v>57099.95</v>
      </c>
      <c r="E61" s="13">
        <v>0</v>
      </c>
      <c r="F61" s="13">
        <f>'BSC (Dome)'!N54</f>
        <v>36226.71</v>
      </c>
      <c r="G61" s="13">
        <f>'Oliari Co.'!N14</f>
        <v>37005.07</v>
      </c>
      <c r="H61" s="13">
        <f>'722 Bedford St'!N11</f>
        <v>83662.28</v>
      </c>
      <c r="I61" s="13">
        <f t="shared" si="7"/>
        <v>666075.79</v>
      </c>
      <c r="L61" s="24"/>
    </row>
    <row r="62" spans="1:12" s="22" customFormat="1" ht="42.75" customHeight="1" x14ac:dyDescent="0.5">
      <c r="A62" s="6" t="s">
        <v>250</v>
      </c>
      <c r="B62" s="13">
        <f>'Comp YTD 2021-2020 '!B66</f>
        <v>2776.58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2776.58</v>
      </c>
      <c r="L62" s="24"/>
    </row>
    <row r="63" spans="1:12" s="22" customFormat="1" ht="42.75" customHeight="1" x14ac:dyDescent="0.5">
      <c r="A63" s="6" t="s">
        <v>243</v>
      </c>
      <c r="B63" s="13">
        <f>'Comp YTD 2021-2020 '!B68</f>
        <v>6149.38</v>
      </c>
      <c r="C63" s="13">
        <f>BPM!N77</f>
        <v>0</v>
      </c>
      <c r="D63" s="13">
        <f>DEP!N62</f>
        <v>5300.2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11449.58</v>
      </c>
      <c r="L63" s="24"/>
    </row>
    <row r="64" spans="1:12" s="22" customFormat="1" ht="42.75" customHeight="1" x14ac:dyDescent="0.5">
      <c r="A64" s="6" t="s">
        <v>244</v>
      </c>
      <c r="B64" s="13">
        <f>'Comp YTD 2021-2020 '!B69</f>
        <v>36096.339999999997</v>
      </c>
      <c r="C64" s="13">
        <f>BPM!N71</f>
        <v>0</v>
      </c>
      <c r="D64" s="13">
        <f>DEP!N58</f>
        <v>21584.68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57681.02</v>
      </c>
      <c r="L64" s="24"/>
    </row>
    <row r="65" spans="1:12" s="22" customFormat="1" ht="42.75" customHeight="1" x14ac:dyDescent="0.5">
      <c r="A65" s="6" t="s">
        <v>360</v>
      </c>
      <c r="B65" s="13">
        <f>'Comp YTD 2021-2020 '!B70</f>
        <v>16762.82</v>
      </c>
      <c r="C65" s="13">
        <v>0</v>
      </c>
      <c r="D65" s="13">
        <f>DEP!N63</f>
        <v>0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16762.82</v>
      </c>
      <c r="L65" s="24"/>
    </row>
    <row r="66" spans="1:12" s="22" customFormat="1" ht="42.75" customHeight="1" x14ac:dyDescent="0.5">
      <c r="A66" s="6" t="s">
        <v>361</v>
      </c>
      <c r="B66" s="13">
        <f>'Comp YTD 2021-2020 '!B71</f>
        <v>29600.489999999998</v>
      </c>
      <c r="C66" s="13">
        <f>BPM!N69+BPM!N70</f>
        <v>0</v>
      </c>
      <c r="D66" s="13">
        <f>DEP!N64</f>
        <v>222.56</v>
      </c>
      <c r="E66" s="13">
        <v>0</v>
      </c>
      <c r="F66" s="13">
        <f>'BSC (Dome)'!N57</f>
        <v>2094.44</v>
      </c>
      <c r="G66" s="13">
        <v>0</v>
      </c>
      <c r="H66" s="13">
        <v>0</v>
      </c>
      <c r="I66" s="13">
        <f t="shared" si="7"/>
        <v>31917.489999999998</v>
      </c>
      <c r="L66" s="24"/>
    </row>
    <row r="67" spans="1:12" s="22" customFormat="1" ht="42.75" customHeight="1" x14ac:dyDescent="0.5">
      <c r="A67" s="12" t="s">
        <v>245</v>
      </c>
      <c r="B67" s="15">
        <f t="shared" ref="B67:H67" si="8">SUM(B45:B66)</f>
        <v>900010.94</v>
      </c>
      <c r="C67" s="15">
        <f t="shared" si="8"/>
        <v>1081.4000000000001</v>
      </c>
      <c r="D67" s="15">
        <f t="shared" si="8"/>
        <v>393177.64999999997</v>
      </c>
      <c r="E67" s="15">
        <f t="shared" si="8"/>
        <v>110</v>
      </c>
      <c r="F67" s="15">
        <f t="shared" si="8"/>
        <v>74624.81</v>
      </c>
      <c r="G67" s="15">
        <f t="shared" si="8"/>
        <v>37005.07</v>
      </c>
      <c r="H67" s="15">
        <f t="shared" si="8"/>
        <v>83662.28</v>
      </c>
      <c r="I67" s="15">
        <f t="shared" si="7"/>
        <v>1489672.1500000001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246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247</v>
      </c>
      <c r="B70" s="13">
        <f>'Comp YTD 2021-2020 '!B81</f>
        <v>6269.13</v>
      </c>
      <c r="C70" s="13">
        <v>0</v>
      </c>
      <c r="D70" s="13">
        <f>DEP!N68</f>
        <v>715.20999999999992</v>
      </c>
      <c r="E70" s="13">
        <v>0</v>
      </c>
      <c r="F70" s="13">
        <f>'BSC (Dome)'!N61</f>
        <v>328.75</v>
      </c>
      <c r="G70" s="13">
        <v>0</v>
      </c>
      <c r="H70" s="13">
        <v>0</v>
      </c>
      <c r="I70" s="13">
        <f t="shared" ref="I70:I91" si="9">SUM(B70:H70)</f>
        <v>7313.09</v>
      </c>
      <c r="L70" s="24"/>
    </row>
    <row r="71" spans="1:12" s="22" customFormat="1" ht="42.75" customHeight="1" x14ac:dyDescent="0.5">
      <c r="A71" s="6" t="s">
        <v>383</v>
      </c>
      <c r="B71" s="13">
        <f>'Comp YTD 2021-2020 '!B82</f>
        <v>922.32</v>
      </c>
      <c r="C71" s="13">
        <f>'Comp YTD 2021-2020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922.32</v>
      </c>
      <c r="L71" s="24"/>
    </row>
    <row r="72" spans="1:12" s="22" customFormat="1" ht="42.75" customHeight="1" x14ac:dyDescent="0.5">
      <c r="A72" s="6" t="s">
        <v>530</v>
      </c>
      <c r="B72" s="13">
        <v>0</v>
      </c>
      <c r="C72" s="13">
        <v>0</v>
      </c>
      <c r="D72" s="13">
        <v>0</v>
      </c>
      <c r="E72" s="13">
        <f>Lending!N9</f>
        <v>1595.44</v>
      </c>
      <c r="F72" s="13">
        <v>0</v>
      </c>
      <c r="G72" s="13">
        <v>0</v>
      </c>
      <c r="H72" s="13">
        <v>0</v>
      </c>
      <c r="I72" s="13">
        <f t="shared" si="9"/>
        <v>1595.44</v>
      </c>
      <c r="L72" s="24"/>
    </row>
    <row r="73" spans="1:12" s="22" customFormat="1" ht="42.75" customHeight="1" x14ac:dyDescent="0.5">
      <c r="A73" s="6" t="s">
        <v>248</v>
      </c>
      <c r="B73" s="13">
        <f>'Comp YTD 2021-2020 '!B84</f>
        <v>35074.800000000003</v>
      </c>
      <c r="C73" s="13">
        <f>BPM!N65</f>
        <v>362.41999999999996</v>
      </c>
      <c r="D73" s="13">
        <f>DEP!N69</f>
        <v>1341.5700000000002</v>
      </c>
      <c r="E73" s="13">
        <f>Lending!N10</f>
        <v>124.03999999999999</v>
      </c>
      <c r="F73" s="13">
        <f>'BSC (Dome)'!N62</f>
        <v>-110.65</v>
      </c>
      <c r="G73" s="13">
        <f>-'Oliari Co.'!N27</f>
        <v>18</v>
      </c>
      <c r="H73" s="13">
        <f>'722 Bedford St'!N16</f>
        <v>0</v>
      </c>
      <c r="I73" s="13">
        <f t="shared" si="9"/>
        <v>36810.18</v>
      </c>
      <c r="L73" s="24"/>
    </row>
    <row r="74" spans="1:12" s="22" customFormat="1" ht="42.75" customHeight="1" x14ac:dyDescent="0.5">
      <c r="A74" s="6" t="s">
        <v>355</v>
      </c>
      <c r="B74" s="13">
        <f>'Comp YTD 2021-2020 '!B85</f>
        <v>0</v>
      </c>
      <c r="C74" s="13">
        <v>0</v>
      </c>
      <c r="D74" s="13">
        <v>0</v>
      </c>
      <c r="E74" s="13">
        <v>0</v>
      </c>
      <c r="F74" s="13">
        <f>'BSC (Dome)'!N63</f>
        <v>531.63</v>
      </c>
      <c r="G74" s="13">
        <v>0</v>
      </c>
      <c r="H74" s="13">
        <v>0</v>
      </c>
      <c r="I74" s="13">
        <f t="shared" si="9"/>
        <v>531.63</v>
      </c>
      <c r="L74" s="24"/>
    </row>
    <row r="75" spans="1:12" s="22" customFormat="1" ht="42.75" customHeight="1" x14ac:dyDescent="0.5">
      <c r="A75" s="6" t="s">
        <v>249</v>
      </c>
      <c r="B75" s="13">
        <f>'Comp YTD 2021-2020 '!B86</f>
        <v>2275.8500000000004</v>
      </c>
      <c r="C75" s="13">
        <v>0</v>
      </c>
      <c r="D75" s="13">
        <f>DEP!N79</f>
        <v>0</v>
      </c>
      <c r="E75" s="13">
        <v>0</v>
      </c>
      <c r="F75" s="13">
        <f>'BSC (Dome)'!N67</f>
        <v>189.84</v>
      </c>
      <c r="G75" s="13">
        <f>'Comp YTD 2021-2020 '!G86</f>
        <v>3443.72</v>
      </c>
      <c r="H75" s="13">
        <v>0</v>
      </c>
      <c r="I75" s="13">
        <f t="shared" si="9"/>
        <v>5909.41</v>
      </c>
      <c r="L75" s="24"/>
    </row>
    <row r="76" spans="1:12" s="22" customFormat="1" ht="42.75" customHeight="1" x14ac:dyDescent="0.5">
      <c r="A76" s="6" t="s">
        <v>352</v>
      </c>
      <c r="B76" s="13">
        <f>'Comp YTD 2021-2020 '!B87</f>
        <v>78333.320000000007</v>
      </c>
      <c r="C76" s="13">
        <f>BPM!N73</f>
        <v>1572</v>
      </c>
      <c r="D76" s="13">
        <f>DEP!N73</f>
        <v>13000</v>
      </c>
      <c r="E76" s="13">
        <v>0</v>
      </c>
      <c r="F76" s="13">
        <f>'BSC (Dome)'!N68</f>
        <v>1022.9200000000001</v>
      </c>
      <c r="G76" s="13">
        <f>'Oliari Co.'!N18</f>
        <v>1000</v>
      </c>
      <c r="H76" s="13">
        <f>'722 Bedford St'!N15</f>
        <v>1213.8800000000001</v>
      </c>
      <c r="I76" s="13">
        <f t="shared" si="9"/>
        <v>96142.12000000001</v>
      </c>
      <c r="L76" s="24"/>
    </row>
    <row r="77" spans="1:12" s="22" customFormat="1" ht="42.75" customHeight="1" x14ac:dyDescent="0.5">
      <c r="A77" s="6" t="s">
        <v>353</v>
      </c>
      <c r="B77" s="13">
        <f>'Comp YTD 2021-2020 '!B88</f>
        <v>1788.75</v>
      </c>
      <c r="C77" s="13">
        <f>BPM!N74</f>
        <v>110</v>
      </c>
      <c r="D77" s="13">
        <f>DEP!N74</f>
        <v>0</v>
      </c>
      <c r="E77" s="13">
        <f>Lending!N12</f>
        <v>0</v>
      </c>
      <c r="F77" s="13">
        <f>'BSC (Dome)'!N69</f>
        <v>0</v>
      </c>
      <c r="G77" s="13">
        <v>0</v>
      </c>
      <c r="H77" s="13">
        <v>0</v>
      </c>
      <c r="I77" s="13">
        <f t="shared" si="9"/>
        <v>1898.75</v>
      </c>
      <c r="L77" s="24"/>
    </row>
    <row r="78" spans="1:12" s="22" customFormat="1" ht="42.75" customHeight="1" x14ac:dyDescent="0.5">
      <c r="A78" s="6" t="s">
        <v>354</v>
      </c>
      <c r="B78" s="13">
        <f>'Comp YTD 2021-2020 '!B89</f>
        <v>29561.760000000002</v>
      </c>
      <c r="C78" s="13">
        <f>BPM!N72</f>
        <v>8000</v>
      </c>
      <c r="D78" s="13">
        <f>DEP!N72</f>
        <v>1333.32</v>
      </c>
      <c r="E78" s="13">
        <f>Lending!N13</f>
        <v>991.67</v>
      </c>
      <c r="F78" s="13">
        <v>0</v>
      </c>
      <c r="G78" s="13">
        <v>0</v>
      </c>
      <c r="H78" s="13">
        <v>0</v>
      </c>
      <c r="I78" s="13">
        <f t="shared" si="9"/>
        <v>39886.75</v>
      </c>
      <c r="L78" s="24"/>
    </row>
    <row r="79" spans="1:12" s="22" customFormat="1" ht="42.75" customHeight="1" x14ac:dyDescent="0.5">
      <c r="A79" s="6" t="s">
        <v>392</v>
      </c>
      <c r="B79" s="13">
        <f>'Comp YTD 2021-2020 '!B90</f>
        <v>2074</v>
      </c>
      <c r="C79" s="13">
        <f>BPM!N75</f>
        <v>0</v>
      </c>
      <c r="D79" s="13">
        <f>DEP!N76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2074</v>
      </c>
      <c r="L79" s="24"/>
    </row>
    <row r="80" spans="1:12" s="22" customFormat="1" ht="42.75" customHeight="1" x14ac:dyDescent="0.5">
      <c r="A80" s="6" t="s">
        <v>381</v>
      </c>
      <c r="B80" s="13">
        <f>'Comp YTD 2021-2020 '!B91</f>
        <v>0</v>
      </c>
      <c r="C80" s="13">
        <v>0</v>
      </c>
      <c r="D80" s="13">
        <f>DEP!N75</f>
        <v>3125.01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3125.01</v>
      </c>
      <c r="L80" s="24"/>
    </row>
    <row r="81" spans="1:12" s="22" customFormat="1" ht="42.75" customHeight="1" x14ac:dyDescent="0.5">
      <c r="A81" s="6" t="s">
        <v>619</v>
      </c>
      <c r="B81" s="13">
        <f>'Comp YTD 2021-2020 '!B92</f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0</v>
      </c>
      <c r="L81" s="24"/>
    </row>
    <row r="82" spans="1:12" s="22" customFormat="1" ht="42.75" customHeight="1" x14ac:dyDescent="0.5">
      <c r="A82" s="6" t="s">
        <v>251</v>
      </c>
      <c r="B82" s="13">
        <f>'Comp YTD 2021-2020 '!B93</f>
        <v>1801.27</v>
      </c>
      <c r="C82" s="13">
        <f>BPM!N66</f>
        <v>0</v>
      </c>
      <c r="D82" s="13">
        <f>DEP!N71</f>
        <v>0</v>
      </c>
      <c r="E82" s="13">
        <v>0</v>
      </c>
      <c r="F82" s="13">
        <f>'BSC (Dome)'!N65</f>
        <v>531.24</v>
      </c>
      <c r="G82" s="13">
        <v>0</v>
      </c>
      <c r="H82" s="13">
        <v>0</v>
      </c>
      <c r="I82" s="13">
        <f t="shared" si="9"/>
        <v>2332.5100000000002</v>
      </c>
      <c r="L82" s="24"/>
    </row>
    <row r="83" spans="1:12" s="22" customFormat="1" ht="42.75" customHeight="1" x14ac:dyDescent="0.5">
      <c r="A83" s="6" t="s">
        <v>252</v>
      </c>
      <c r="B83" s="13">
        <f>'Comp YTD 2021-2020 '!B94</f>
        <v>8771.48</v>
      </c>
      <c r="C83" s="13">
        <f>BPM!N68</f>
        <v>0</v>
      </c>
      <c r="D83" s="13">
        <f>DEP!N81</f>
        <v>725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9496.48</v>
      </c>
      <c r="L83" s="24"/>
    </row>
    <row r="84" spans="1:12" s="22" customFormat="1" ht="42.75" customHeight="1" x14ac:dyDescent="0.5">
      <c r="A84" s="6" t="s">
        <v>253</v>
      </c>
      <c r="B84" s="13">
        <f>'Comp YTD 2021-2020 '!B95</f>
        <v>1883.9</v>
      </c>
      <c r="C84" s="13">
        <f>0</f>
        <v>0</v>
      </c>
      <c r="D84" s="13">
        <f>DEP!N78</f>
        <v>2093.94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3977.84</v>
      </c>
      <c r="L84" s="24"/>
    </row>
    <row r="85" spans="1:12" s="22" customFormat="1" ht="42.75" customHeight="1" x14ac:dyDescent="0.5">
      <c r="A85" s="6" t="s">
        <v>290</v>
      </c>
      <c r="B85" s="13">
        <f>'Comp YTD 2021-2020 '!B96</f>
        <v>0</v>
      </c>
      <c r="C85" s="13">
        <f>0</f>
        <v>0</v>
      </c>
      <c r="D85" s="13">
        <f>DEP!N70</f>
        <v>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0</v>
      </c>
      <c r="L85" s="24"/>
    </row>
    <row r="86" spans="1:12" s="22" customFormat="1" ht="42.75" customHeight="1" x14ac:dyDescent="0.5">
      <c r="A86" s="6" t="s">
        <v>369</v>
      </c>
      <c r="B86" s="13">
        <f>'Comp YTD 2021-2020 '!B97</f>
        <v>94.98</v>
      </c>
      <c r="C86" s="13">
        <f>BPM!N67</f>
        <v>0</v>
      </c>
      <c r="D86" s="13">
        <v>0</v>
      </c>
      <c r="E86" s="13">
        <v>0</v>
      </c>
      <c r="F86" s="13">
        <f>'BSC (Dome)'!N66</f>
        <v>0</v>
      </c>
      <c r="G86" s="13">
        <v>0</v>
      </c>
      <c r="H86" s="13">
        <v>0</v>
      </c>
      <c r="I86" s="13">
        <f t="shared" si="9"/>
        <v>94.98</v>
      </c>
      <c r="L86" s="24"/>
    </row>
    <row r="87" spans="1:12" s="22" customFormat="1" ht="42.75" customHeight="1" x14ac:dyDescent="0.5">
      <c r="A87" s="6" t="s">
        <v>254</v>
      </c>
      <c r="B87" s="13">
        <f>'Comp YTD 2021-2020 '!B98</f>
        <v>1950</v>
      </c>
      <c r="C87" s="13">
        <f>BPM!N79</f>
        <v>0</v>
      </c>
      <c r="D87" s="13">
        <f>DEP!N77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1950</v>
      </c>
      <c r="L87" s="24"/>
    </row>
    <row r="88" spans="1:12" s="22" customFormat="1" ht="42.75" customHeight="1" x14ac:dyDescent="0.5">
      <c r="A88" s="6" t="s">
        <v>255</v>
      </c>
      <c r="B88" s="13">
        <f>'Comp YTD 2021-2020 '!B99</f>
        <v>0</v>
      </c>
      <c r="C88" s="13">
        <v>0</v>
      </c>
      <c r="D88" s="13">
        <f>DEP!N57</f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0</v>
      </c>
      <c r="L88" s="24"/>
    </row>
    <row r="89" spans="1:12" s="22" customFormat="1" ht="42.75" customHeight="1" x14ac:dyDescent="0.5">
      <c r="A89" s="6" t="s">
        <v>612</v>
      </c>
      <c r="B89" s="13">
        <f>'Comp YTD 2021-2020 '!B100</f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0</v>
      </c>
      <c r="L89" s="24"/>
    </row>
    <row r="90" spans="1:12" s="22" customFormat="1" ht="42.75" customHeight="1" x14ac:dyDescent="0.5">
      <c r="A90" s="6" t="s">
        <v>256</v>
      </c>
      <c r="B90" s="13">
        <f>'Comp YTD 2021-2020 '!B101</f>
        <v>972.08999999999992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972.08999999999992</v>
      </c>
      <c r="L90" s="24"/>
    </row>
    <row r="91" spans="1:12" s="22" customFormat="1" ht="42.75" customHeight="1" x14ac:dyDescent="0.5">
      <c r="A91" s="6" t="s">
        <v>257</v>
      </c>
      <c r="B91" s="13">
        <f>'Comp YTD 2021-2020 '!B102</f>
        <v>3667.81</v>
      </c>
      <c r="C91" s="13">
        <f>BPM!N78</f>
        <v>0</v>
      </c>
      <c r="D91" s="13">
        <f>'Comp YTD 2021-2020 '!D102</f>
        <v>0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3667.81</v>
      </c>
      <c r="L91" s="24"/>
    </row>
    <row r="92" spans="1:12" s="22" customFormat="1" ht="42.75" customHeight="1" x14ac:dyDescent="0.5">
      <c r="A92" s="12" t="s">
        <v>259</v>
      </c>
      <c r="B92" s="15">
        <f>SUM(B70:B91)</f>
        <v>175441.46000000002</v>
      </c>
      <c r="C92" s="15">
        <f t="shared" ref="C92:H92" si="10">SUM(C70:C91)</f>
        <v>10044.42</v>
      </c>
      <c r="D92" s="15">
        <f t="shared" si="10"/>
        <v>22334.05</v>
      </c>
      <c r="E92" s="15">
        <f t="shared" si="10"/>
        <v>2711.15</v>
      </c>
      <c r="F92" s="15">
        <f t="shared" si="10"/>
        <v>2493.7300000000005</v>
      </c>
      <c r="G92" s="15">
        <f t="shared" si="10"/>
        <v>4461.7199999999993</v>
      </c>
      <c r="H92" s="15">
        <f t="shared" si="10"/>
        <v>1213.8800000000001</v>
      </c>
      <c r="I92" s="15">
        <f>SUM(B92:H92)</f>
        <v>218700.41000000003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260</v>
      </c>
      <c r="B94" s="18">
        <f t="shared" ref="B94:H94" si="11">B42+B67+B92</f>
        <v>5434345.3200000012</v>
      </c>
      <c r="C94" s="18">
        <f t="shared" si="11"/>
        <v>11125.82</v>
      </c>
      <c r="D94" s="18">
        <f t="shared" si="11"/>
        <v>997336.33000000007</v>
      </c>
      <c r="E94" s="18">
        <f t="shared" si="11"/>
        <v>2821.15</v>
      </c>
      <c r="F94" s="18">
        <f t="shared" si="11"/>
        <v>91588.849999999991</v>
      </c>
      <c r="G94" s="18">
        <f t="shared" si="11"/>
        <v>41466.79</v>
      </c>
      <c r="H94" s="18">
        <f t="shared" si="11"/>
        <v>84876.160000000003</v>
      </c>
      <c r="I94" s="18">
        <f>SUM(B94:H94)</f>
        <v>6663560.4200000018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452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263</v>
      </c>
      <c r="B97" s="13">
        <f>'Comp YTD 2021-2020 '!B108</f>
        <v>50000</v>
      </c>
      <c r="C97" s="13">
        <v>0</v>
      </c>
      <c r="D97" s="13">
        <f>DEP!N87</f>
        <v>50000</v>
      </c>
      <c r="E97" s="13">
        <v>0</v>
      </c>
      <c r="F97" s="13">
        <f>'BSC (Dome)'!N78+'BSC (Dome)'!N79</f>
        <v>20000</v>
      </c>
      <c r="G97" s="13">
        <f>'Oliari Co.'!N24+'Oliari Co.'!N25+'Oliari Co.'!N26</f>
        <v>70800</v>
      </c>
      <c r="H97" s="13">
        <f>'722 Bedford St'!N22+'722 Bedford St'!N23</f>
        <v>130000</v>
      </c>
      <c r="I97" s="13">
        <f t="shared" ref="I97:I111" si="12">SUM(B97:H97)</f>
        <v>320800</v>
      </c>
      <c r="L97" s="24"/>
    </row>
    <row r="98" spans="1:12" s="22" customFormat="1" ht="42.75" customHeight="1" x14ac:dyDescent="0.5">
      <c r="A98" s="6" t="s">
        <v>264</v>
      </c>
      <c r="B98" s="13">
        <f>'Comp YTD 2021-2020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322</v>
      </c>
      <c r="B99" s="13">
        <f>'Comp YTD 2021-2020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378</v>
      </c>
      <c r="B100" s="13">
        <f>'Comp YTD 2021-2020 '!B111</f>
        <v>0</v>
      </c>
      <c r="C100" s="13">
        <f>BPM!N84</f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265</v>
      </c>
      <c r="B101" s="13">
        <f>'Comp YTD 2021-2020 '!B112</f>
        <v>56534.070000000007</v>
      </c>
      <c r="C101" s="13">
        <v>0</v>
      </c>
      <c r="D101" s="13">
        <f>'Comp YTD 2021-2020 '!D112</f>
        <v>6417.57</v>
      </c>
      <c r="E101" s="13">
        <v>0</v>
      </c>
      <c r="F101" s="13">
        <v>0</v>
      </c>
      <c r="G101" s="13">
        <v>0</v>
      </c>
      <c r="H101" s="13">
        <f>'Comp YTD 2021-2020 '!H112</f>
        <v>0</v>
      </c>
      <c r="I101" s="13">
        <f t="shared" si="12"/>
        <v>62951.640000000007</v>
      </c>
      <c r="L101" s="24"/>
    </row>
    <row r="102" spans="1:12" s="22" customFormat="1" ht="42.75" customHeight="1" x14ac:dyDescent="0.5">
      <c r="A102" s="6" t="s">
        <v>266</v>
      </c>
      <c r="B102" s="13">
        <f>'Comp YTD 2021-2020 '!B113</f>
        <v>127378.14</v>
      </c>
      <c r="C102" s="13">
        <f>BPM!N85</f>
        <v>3000</v>
      </c>
      <c r="D102" s="13">
        <f>DEP!N89</f>
        <v>90266.66</v>
      </c>
      <c r="E102" s="13">
        <f>Lending!N17</f>
        <v>17115.760000000002</v>
      </c>
      <c r="F102" s="13">
        <f>'Comp YTD 2021-2020 '!F113</f>
        <v>0</v>
      </c>
      <c r="G102" s="13">
        <f>'Oliari Co.'!N29</f>
        <v>25140.33</v>
      </c>
      <c r="H102" s="13">
        <f>'Comp YTD 2021-2020 '!H113</f>
        <v>18999.989999999998</v>
      </c>
      <c r="I102" s="13">
        <f t="shared" si="12"/>
        <v>281900.88</v>
      </c>
      <c r="L102" s="24"/>
    </row>
    <row r="103" spans="1:12" s="22" customFormat="1" ht="42.75" customHeight="1" x14ac:dyDescent="0.5">
      <c r="A103" s="6" t="s">
        <v>267</v>
      </c>
      <c r="B103" s="13">
        <f>'Comp YTD 2021-2020 '!B114</f>
        <v>-197136.65</v>
      </c>
      <c r="C103" s="13">
        <v>0</v>
      </c>
      <c r="D103" s="13">
        <v>0</v>
      </c>
      <c r="E103" s="13">
        <f>Lending!N18</f>
        <v>-3173.1900000000005</v>
      </c>
      <c r="F103" s="13">
        <f>'BSC (Dome)'!N82+'BSC (Dome)'!N83</f>
        <v>-36208.5</v>
      </c>
      <c r="G103" s="13">
        <f>'Oliari Co.'!N30</f>
        <v>-3000.06</v>
      </c>
      <c r="H103" s="13">
        <f>'722 Bedford St'!N27</f>
        <v>-28901.64</v>
      </c>
      <c r="I103" s="13">
        <f t="shared" si="12"/>
        <v>-268420.03999999998</v>
      </c>
      <c r="L103" s="24"/>
    </row>
    <row r="104" spans="1:12" s="22" customFormat="1" ht="42.75" customHeight="1" x14ac:dyDescent="0.5">
      <c r="A104" s="6" t="s">
        <v>591</v>
      </c>
      <c r="B104" s="13">
        <f>'Comp YTD 2021-2020 '!B115</f>
        <v>-2210.94</v>
      </c>
      <c r="C104" s="13">
        <f>'Comp YTD 2021-2020 '!C115</f>
        <v>0</v>
      </c>
      <c r="D104" s="13">
        <f>'Comp YTD 2021-2020 '!D115</f>
        <v>0</v>
      </c>
      <c r="E104" s="13">
        <f>'Comp YTD 2021-2020 '!E115</f>
        <v>0</v>
      </c>
      <c r="F104" s="13">
        <f>'Comp YTD 2021-2020 '!F115</f>
        <v>0</v>
      </c>
      <c r="G104" s="13">
        <f>'Comp YTD 2021-2020 '!G115</f>
        <v>0</v>
      </c>
      <c r="H104" s="13">
        <f>'Comp YTD 2021-2020 '!H115</f>
        <v>0</v>
      </c>
      <c r="I104" s="13">
        <f t="shared" si="12"/>
        <v>-2210.94</v>
      </c>
      <c r="L104" s="24"/>
    </row>
    <row r="105" spans="1:12" s="22" customFormat="1" ht="42.75" customHeight="1" x14ac:dyDescent="0.5">
      <c r="A105" s="6" t="s">
        <v>268</v>
      </c>
      <c r="B105" s="13">
        <f>'Comp YTD 2021-2020 '!B116+'Comp YTD 2021-2020 '!C443</f>
        <v>715.89</v>
      </c>
      <c r="C105" s="13">
        <v>0</v>
      </c>
      <c r="D105" s="13">
        <v>0</v>
      </c>
      <c r="E105" s="13"/>
      <c r="F105" s="13">
        <f>'BSC (Dome)'!N81</f>
        <v>0</v>
      </c>
      <c r="G105" s="13">
        <f>'Oliari Co.'!N28</f>
        <v>0</v>
      </c>
      <c r="H105" s="13">
        <f>'Comp YTD 2021-2020 '!H116</f>
        <v>0</v>
      </c>
      <c r="I105" s="13">
        <f t="shared" si="12"/>
        <v>715.89</v>
      </c>
      <c r="L105" s="24"/>
    </row>
    <row r="106" spans="1:12" s="22" customFormat="1" ht="42.75" customHeight="1" x14ac:dyDescent="0.5">
      <c r="A106" s="6" t="s">
        <v>578</v>
      </c>
      <c r="B106" s="13">
        <v>0</v>
      </c>
      <c r="C106" s="13">
        <v>0</v>
      </c>
      <c r="D106" s="13">
        <v>0</v>
      </c>
      <c r="E106" s="13">
        <f>'Comp YTD 2021-2020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393</v>
      </c>
      <c r="B107" s="13">
        <f>'Comp YTD 2021-2020 '!B119</f>
        <v>60363.41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60363.41</v>
      </c>
      <c r="L107" s="24"/>
    </row>
    <row r="108" spans="1:12" s="22" customFormat="1" ht="42.75" customHeight="1" x14ac:dyDescent="0.5">
      <c r="A108" s="6" t="s">
        <v>428</v>
      </c>
      <c r="B108" s="13">
        <f>'Comp YTD 2021-2020 '!B120</f>
        <v>7366.78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7366.78</v>
      </c>
      <c r="L108" s="24"/>
    </row>
    <row r="109" spans="1:12" s="22" customFormat="1" ht="42.75" customHeight="1" x14ac:dyDescent="0.5">
      <c r="A109" s="6" t="s">
        <v>429</v>
      </c>
      <c r="B109" s="13">
        <f>'Comp YTD 2021-2020 '!B121</f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0</v>
      </c>
      <c r="L109" s="24"/>
    </row>
    <row r="110" spans="1:12" s="22" customFormat="1" ht="42.75" customHeight="1" x14ac:dyDescent="0.5">
      <c r="A110" s="6" t="s">
        <v>394</v>
      </c>
      <c r="B110" s="13">
        <f>'Comp YTD 2021-2020 '!B122</f>
        <v>18830.050000000003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18830.050000000003</v>
      </c>
      <c r="L110" s="24"/>
    </row>
    <row r="111" spans="1:12" s="22" customFormat="1" ht="42.75" customHeight="1" x14ac:dyDescent="0.5">
      <c r="A111" s="6" t="s">
        <v>439</v>
      </c>
      <c r="B111" s="13">
        <f>'Comp YTD 2021-2020 '!B124</f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0</v>
      </c>
      <c r="L111" s="24"/>
    </row>
    <row r="112" spans="1:12" s="22" customFormat="1" ht="42.75" customHeight="1" x14ac:dyDescent="0.5">
      <c r="A112" s="12" t="s">
        <v>453</v>
      </c>
      <c r="B112" s="15">
        <f t="shared" ref="B112:I112" si="13">SUM(B97:B111)</f>
        <v>121840.75000000003</v>
      </c>
      <c r="C112" s="15">
        <f t="shared" si="13"/>
        <v>3000</v>
      </c>
      <c r="D112" s="15">
        <f t="shared" si="13"/>
        <v>146684.23000000001</v>
      </c>
      <c r="E112" s="15">
        <f t="shared" si="13"/>
        <v>13942.570000000002</v>
      </c>
      <c r="F112" s="15">
        <f t="shared" si="13"/>
        <v>-16208.5</v>
      </c>
      <c r="G112" s="15">
        <f t="shared" si="13"/>
        <v>92940.27</v>
      </c>
      <c r="H112" s="15">
        <f t="shared" si="13"/>
        <v>120098.34999999999</v>
      </c>
      <c r="I112" s="15">
        <f t="shared" si="13"/>
        <v>482297.6700000001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262</v>
      </c>
      <c r="B114" s="21">
        <f t="shared" ref="B114:H114" si="14">B27-B94+B112</f>
        <v>20696055.880000286</v>
      </c>
      <c r="C114" s="21">
        <f t="shared" si="14"/>
        <v>-8125.82</v>
      </c>
      <c r="D114" s="21">
        <f t="shared" si="14"/>
        <v>1242377.5500000003</v>
      </c>
      <c r="E114" s="21">
        <f t="shared" si="14"/>
        <v>11121.420000000002</v>
      </c>
      <c r="F114" s="21">
        <f t="shared" si="14"/>
        <v>-108956.34999999999</v>
      </c>
      <c r="G114" s="21">
        <f t="shared" si="14"/>
        <v>51473.48</v>
      </c>
      <c r="H114" s="21">
        <f t="shared" si="14"/>
        <v>35222.189999999988</v>
      </c>
      <c r="I114" s="21">
        <f>SUM(B114:H114)</f>
        <v>21919168.350000288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325</v>
      </c>
      <c r="B117" s="13">
        <f>CNT!N311</f>
        <v>20696055.880000047</v>
      </c>
      <c r="C117" s="13">
        <f>BPM!N90</f>
        <v>-8125.82</v>
      </c>
      <c r="D117" s="13">
        <f>DEP!N92</f>
        <v>1242377.5500000003</v>
      </c>
      <c r="E117" s="13">
        <f>Lending!N22</f>
        <v>11121.420000000002</v>
      </c>
      <c r="F117" s="13">
        <f>'BSC (Dome)'!N86</f>
        <v>-109412.34999999999</v>
      </c>
      <c r="G117" s="13">
        <f>'Oliari Co.'!N33</f>
        <v>51473.48</v>
      </c>
      <c r="H117" s="13">
        <f>'722 Bedford St'!N30</f>
        <v>35222.189999999988</v>
      </c>
      <c r="I117" s="1">
        <f>SUM(B117:H117)</f>
        <v>21918712.35000005</v>
      </c>
    </row>
    <row r="118" spans="1:12" x14ac:dyDescent="0.25">
      <c r="B118" s="1">
        <f t="shared" ref="B118:H118" si="15">B114-B117</f>
        <v>2.384185791015625E-7</v>
      </c>
      <c r="C118" s="1">
        <f t="shared" si="15"/>
        <v>0</v>
      </c>
      <c r="D118" s="1">
        <f t="shared" si="15"/>
        <v>0</v>
      </c>
      <c r="E118" s="1">
        <f t="shared" si="15"/>
        <v>0</v>
      </c>
      <c r="F118" s="1">
        <f t="shared" si="15"/>
        <v>456</v>
      </c>
      <c r="G118" s="1">
        <f t="shared" si="15"/>
        <v>0</v>
      </c>
      <c r="H118" s="1">
        <f t="shared" si="15"/>
        <v>0</v>
      </c>
      <c r="I118" s="1">
        <f>I114-I117</f>
        <v>456.00000023841858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topLeftCell="I1" zoomScale="60" zoomScaleNormal="50" workbookViewId="0">
      <pane ySplit="18" topLeftCell="A19" activePane="bottomLeft" state="frozen"/>
      <selection activeCell="A297" sqref="A297"/>
      <selection pane="bottomLeft" activeCell="A8" sqref="A8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6" t="s">
        <v>402</v>
      </c>
      <c r="B1" s="316"/>
      <c r="C1" s="316"/>
      <c r="D1" s="316"/>
      <c r="E1" s="316"/>
      <c r="F1" s="316"/>
      <c r="G1" s="316"/>
      <c r="H1" s="316"/>
      <c r="I1" s="316"/>
    </row>
    <row r="2" spans="1:31" ht="24.95" customHeight="1" x14ac:dyDescent="0.25">
      <c r="A2" s="316"/>
      <c r="B2" s="316"/>
      <c r="C2" s="316"/>
      <c r="D2" s="316"/>
      <c r="E2" s="316"/>
      <c r="F2" s="316"/>
      <c r="G2" s="316"/>
      <c r="H2" s="316"/>
      <c r="I2" s="316"/>
    </row>
    <row r="3" spans="1:31" ht="24.95" customHeight="1" x14ac:dyDescent="0.25">
      <c r="A3" s="316"/>
      <c r="B3" s="316"/>
      <c r="C3" s="316"/>
      <c r="D3" s="316"/>
      <c r="E3" s="316"/>
      <c r="F3" s="316"/>
      <c r="G3" s="316"/>
      <c r="H3" s="316"/>
      <c r="I3" s="316"/>
    </row>
    <row r="4" spans="1:31" ht="24.95" customHeight="1" x14ac:dyDescent="0.25">
      <c r="A4" s="316"/>
      <c r="B4" s="316"/>
      <c r="C4" s="316"/>
      <c r="D4" s="316"/>
      <c r="E4" s="316"/>
      <c r="F4" s="316"/>
      <c r="G4" s="316"/>
      <c r="H4" s="316"/>
      <c r="I4" s="316"/>
    </row>
    <row r="5" spans="1:31" x14ac:dyDescent="0.25">
      <c r="A5" s="316"/>
      <c r="B5" s="316"/>
      <c r="C5" s="316"/>
      <c r="D5" s="316"/>
      <c r="E5" s="316"/>
      <c r="F5" s="316"/>
      <c r="G5" s="316"/>
      <c r="H5" s="316"/>
      <c r="I5" s="316"/>
    </row>
    <row r="6" spans="1:31" ht="40.5" customHeight="1" x14ac:dyDescent="0.7">
      <c r="A6" s="317" t="s">
        <v>339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</row>
    <row r="7" spans="1:31" ht="40.5" customHeight="1" x14ac:dyDescent="0.7">
      <c r="A7" s="317" t="s">
        <v>670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</row>
    <row r="8" spans="1:31" ht="14.25" customHeight="1" thickBot="1" x14ac:dyDescent="0.3"/>
    <row r="9" spans="1:31" s="3" customFormat="1" ht="55.5" customHeight="1" x14ac:dyDescent="0.7">
      <c r="A9" s="318">
        <v>2020</v>
      </c>
      <c r="B9" s="319"/>
      <c r="C9" s="319"/>
      <c r="D9" s="319"/>
      <c r="E9" s="319"/>
      <c r="F9" s="319"/>
      <c r="G9" s="319"/>
      <c r="H9" s="319"/>
      <c r="I9" s="320"/>
      <c r="K9" s="318">
        <v>2019</v>
      </c>
      <c r="L9" s="319"/>
      <c r="M9" s="319"/>
      <c r="N9" s="319"/>
      <c r="O9" s="319"/>
      <c r="P9" s="319"/>
      <c r="Q9" s="319"/>
      <c r="R9" s="319"/>
      <c r="S9" s="320"/>
      <c r="T9" s="59"/>
      <c r="U9" s="321" t="s">
        <v>604</v>
      </c>
      <c r="V9" s="322"/>
      <c r="W9" s="322"/>
      <c r="X9" s="322"/>
      <c r="Y9" s="322"/>
      <c r="Z9" s="322"/>
      <c r="AA9" s="322"/>
      <c r="AB9" s="322"/>
      <c r="AC9" s="322"/>
      <c r="AD9" s="322"/>
      <c r="AE9" s="323"/>
    </row>
    <row r="10" spans="1:31" s="3" customFormat="1" ht="30" customHeight="1" x14ac:dyDescent="0.5">
      <c r="A10" s="310" t="s">
        <v>396</v>
      </c>
      <c r="B10" s="311"/>
      <c r="C10" s="311"/>
      <c r="D10" s="311"/>
      <c r="E10" s="311"/>
      <c r="F10" s="311"/>
      <c r="G10" s="311"/>
      <c r="H10" s="311"/>
      <c r="I10" s="312"/>
      <c r="K10" s="310" t="s">
        <v>396</v>
      </c>
      <c r="L10" s="311"/>
      <c r="M10" s="311"/>
      <c r="N10" s="311"/>
      <c r="O10" s="311"/>
      <c r="P10" s="311"/>
      <c r="Q10" s="311"/>
      <c r="R10" s="311"/>
      <c r="S10" s="312"/>
      <c r="T10" s="5"/>
      <c r="U10" s="324"/>
      <c r="V10" s="325"/>
      <c r="W10" s="325"/>
      <c r="X10" s="325"/>
      <c r="Y10" s="325"/>
      <c r="Z10" s="325"/>
      <c r="AA10" s="325"/>
      <c r="AB10" s="325"/>
      <c r="AC10" s="325"/>
      <c r="AD10" s="325"/>
      <c r="AE10" s="326"/>
    </row>
    <row r="11" spans="1:31" s="3" customFormat="1" ht="30" customHeight="1" x14ac:dyDescent="0.5">
      <c r="A11" s="310" t="s">
        <v>338</v>
      </c>
      <c r="B11" s="311"/>
      <c r="C11" s="311"/>
      <c r="D11" s="311"/>
      <c r="E11" s="311"/>
      <c r="F11" s="311"/>
      <c r="G11" s="311"/>
      <c r="H11" s="311"/>
      <c r="I11" s="312"/>
      <c r="K11" s="310" t="s">
        <v>338</v>
      </c>
      <c r="L11" s="311"/>
      <c r="M11" s="311"/>
      <c r="N11" s="311"/>
      <c r="O11" s="311"/>
      <c r="P11" s="311"/>
      <c r="Q11" s="311"/>
      <c r="R11" s="311"/>
      <c r="S11" s="312"/>
      <c r="T11" s="5"/>
      <c r="U11" s="324"/>
      <c r="V11" s="325"/>
      <c r="W11" s="325"/>
      <c r="X11" s="325"/>
      <c r="Y11" s="325"/>
      <c r="Z11" s="325"/>
      <c r="AA11" s="325"/>
      <c r="AB11" s="325"/>
      <c r="AC11" s="325"/>
      <c r="AD11" s="325"/>
      <c r="AE11" s="326"/>
    </row>
    <row r="12" spans="1:31" s="3" customFormat="1" ht="30" customHeight="1" thickBot="1" x14ac:dyDescent="0.55000000000000004">
      <c r="A12" s="313">
        <f>'Comp YTD 2021-2020 '!A4:J4</f>
        <v>44316</v>
      </c>
      <c r="B12" s="314"/>
      <c r="C12" s="314"/>
      <c r="D12" s="314"/>
      <c r="E12" s="314"/>
      <c r="F12" s="314"/>
      <c r="G12" s="314"/>
      <c r="H12" s="314"/>
      <c r="I12" s="315"/>
      <c r="K12" s="313">
        <f>A12-366</f>
        <v>43950</v>
      </c>
      <c r="L12" s="314"/>
      <c r="M12" s="314"/>
      <c r="N12" s="314"/>
      <c r="O12" s="314"/>
      <c r="P12" s="314"/>
      <c r="Q12" s="314"/>
      <c r="R12" s="314"/>
      <c r="S12" s="315"/>
      <c r="T12" s="5"/>
      <c r="U12" s="327"/>
      <c r="V12" s="328"/>
      <c r="W12" s="328"/>
      <c r="X12" s="328"/>
      <c r="Y12" s="328"/>
      <c r="Z12" s="328"/>
      <c r="AA12" s="328"/>
      <c r="AB12" s="328"/>
      <c r="AC12" s="328"/>
      <c r="AD12" s="328"/>
      <c r="AE12" s="329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533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335</v>
      </c>
      <c r="AD16" s="5"/>
      <c r="AE16" s="5" t="s">
        <v>334</v>
      </c>
    </row>
    <row r="17" spans="1:31" s="6" customFormat="1" ht="24.75" customHeight="1" x14ac:dyDescent="0.5">
      <c r="I17" s="5" t="s">
        <v>203</v>
      </c>
      <c r="J17" s="5"/>
      <c r="S17" s="5" t="s">
        <v>203</v>
      </c>
      <c r="T17" s="5"/>
      <c r="V17" s="5"/>
      <c r="W17" s="5">
        <v>2020</v>
      </c>
      <c r="X17" s="5"/>
      <c r="Y17" s="5">
        <v>2019</v>
      </c>
      <c r="Z17" s="5"/>
      <c r="AA17" s="5" t="s">
        <v>603</v>
      </c>
      <c r="AB17" s="5"/>
      <c r="AC17" s="5" t="s">
        <v>603</v>
      </c>
      <c r="AD17" s="5"/>
      <c r="AE17" s="5" t="s">
        <v>336</v>
      </c>
    </row>
    <row r="18" spans="1:31" s="6" customFormat="1" ht="24.75" customHeight="1" x14ac:dyDescent="0.5">
      <c r="B18" s="11" t="s">
        <v>208</v>
      </c>
      <c r="C18" s="11" t="s">
        <v>210</v>
      </c>
      <c r="D18" s="11" t="s">
        <v>209</v>
      </c>
      <c r="E18" s="11" t="s">
        <v>211</v>
      </c>
      <c r="F18" s="11" t="s">
        <v>212</v>
      </c>
      <c r="G18" s="11" t="s">
        <v>397</v>
      </c>
      <c r="H18" s="11" t="s">
        <v>409</v>
      </c>
      <c r="I18" s="11">
        <v>2020</v>
      </c>
      <c r="J18" s="5"/>
      <c r="L18" s="11" t="s">
        <v>208</v>
      </c>
      <c r="M18" s="11" t="s">
        <v>210</v>
      </c>
      <c r="N18" s="11" t="s">
        <v>209</v>
      </c>
      <c r="O18" s="11" t="s">
        <v>211</v>
      </c>
      <c r="P18" s="11" t="s">
        <v>212</v>
      </c>
      <c r="Q18" s="11" t="s">
        <v>397</v>
      </c>
      <c r="R18" s="11" t="s">
        <v>409</v>
      </c>
      <c r="S18" s="11">
        <v>2019</v>
      </c>
      <c r="T18" s="5"/>
      <c r="V18" s="5"/>
      <c r="W18" s="11"/>
      <c r="X18" s="5"/>
      <c r="Y18" s="11"/>
      <c r="Z18" s="5"/>
      <c r="AA18" s="11" t="s">
        <v>332</v>
      </c>
      <c r="AB18" s="5"/>
      <c r="AC18" s="11" t="s">
        <v>333</v>
      </c>
      <c r="AD18" s="11"/>
      <c r="AE18" s="11" t="s">
        <v>333</v>
      </c>
    </row>
    <row r="19" spans="1:31" s="6" customFormat="1" ht="30" customHeight="1" x14ac:dyDescent="0.5">
      <c r="A19" s="12" t="s">
        <v>58</v>
      </c>
      <c r="K19" s="12" t="s">
        <v>58</v>
      </c>
      <c r="U19" s="12" t="s">
        <v>58</v>
      </c>
      <c r="AC19" s="10"/>
      <c r="AE19" s="10"/>
    </row>
    <row r="20" spans="1:31" s="6" customFormat="1" ht="30" customHeight="1" x14ac:dyDescent="0.5">
      <c r="A20" s="6" t="s">
        <v>400</v>
      </c>
      <c r="B20" s="13">
        <f>'Comp YTD 2021-2020 '!B19</f>
        <v>2356999509.0100007</v>
      </c>
      <c r="C20" s="13">
        <f>'Comp YTD 2021-2020 '!C19</f>
        <v>0</v>
      </c>
      <c r="D20" s="13">
        <f>'Comp YTD 2021-2020 '!D19</f>
        <v>2099298.6900000004</v>
      </c>
      <c r="E20" s="13">
        <f>'Comp YTD 2021-2020 '!E19</f>
        <v>0</v>
      </c>
      <c r="F20" s="13">
        <f>'Comp YTD 2021-2020 '!F19</f>
        <v>-1159</v>
      </c>
      <c r="G20" s="13">
        <f>'Comp YTD 2021-2020 '!G19</f>
        <v>0</v>
      </c>
      <c r="H20" s="13">
        <f>'Comp YTD 2021-2020 '!H19</f>
        <v>0</v>
      </c>
      <c r="I20" s="13">
        <f>SUM(B20:H20)</f>
        <v>2359097648.7000008</v>
      </c>
      <c r="J20" s="14"/>
      <c r="K20" s="6" t="s">
        <v>400</v>
      </c>
      <c r="L20" s="13">
        <f>'Comp YTD 2021-2020 '!B204</f>
        <v>2451188768.6799998</v>
      </c>
      <c r="M20" s="13">
        <f>'Comp YTD 2021-2020 '!C204</f>
        <v>7832892.9499999993</v>
      </c>
      <c r="N20" s="13">
        <f>'Comp YTD 2021-2020 '!D204</f>
        <v>2070342.7200000002</v>
      </c>
      <c r="O20" s="13">
        <f>'Comp YTD 2021-2020 '!E204</f>
        <v>0</v>
      </c>
      <c r="P20" s="13">
        <f>'Comp YTD 2021-2020 '!F204</f>
        <v>283910.69</v>
      </c>
      <c r="Q20" s="13">
        <f>'Comp YTD 2021-2020 '!G204</f>
        <v>0</v>
      </c>
      <c r="R20" s="13">
        <f>'Comp YTD 2021-2020 '!H204</f>
        <v>0</v>
      </c>
      <c r="S20" s="13">
        <f t="shared" ref="S20:S27" si="0">SUM(L20:R20)</f>
        <v>2461375915.0399995</v>
      </c>
      <c r="T20" s="13"/>
      <c r="U20" s="6" t="s">
        <v>400</v>
      </c>
      <c r="V20" s="14"/>
      <c r="W20" s="13">
        <f>I20</f>
        <v>2359097648.7000008</v>
      </c>
      <c r="X20" s="14"/>
      <c r="Y20" s="13">
        <f t="shared" ref="Y20:Y27" si="1">S20</f>
        <v>2461375915.0399995</v>
      </c>
      <c r="Z20" s="14"/>
      <c r="AA20" s="13">
        <f>I20-S20</f>
        <v>-102278266.33999872</v>
      </c>
      <c r="AB20" s="13"/>
      <c r="AC20" s="14">
        <f>I20/S20</f>
        <v>0.95844671034804674</v>
      </c>
      <c r="AD20" s="13"/>
      <c r="AE20" s="14">
        <f>AC20-1</f>
        <v>-4.1553289651953262E-2</v>
      </c>
    </row>
    <row r="21" spans="1:31" s="6" customFormat="1" ht="30" customHeight="1" x14ac:dyDescent="0.5">
      <c r="A21" s="12" t="s">
        <v>219</v>
      </c>
      <c r="B21" s="15">
        <f t="shared" ref="B21:H21" si="2">SUM(B20:B20)</f>
        <v>2356999509.0100007</v>
      </c>
      <c r="C21" s="15">
        <f t="shared" si="2"/>
        <v>0</v>
      </c>
      <c r="D21" s="15">
        <f t="shared" si="2"/>
        <v>2099298.6900000004</v>
      </c>
      <c r="E21" s="15">
        <f t="shared" si="2"/>
        <v>0</v>
      </c>
      <c r="F21" s="15">
        <f t="shared" si="2"/>
        <v>-1159</v>
      </c>
      <c r="G21" s="15">
        <f t="shared" si="2"/>
        <v>0</v>
      </c>
      <c r="H21" s="15">
        <f t="shared" si="2"/>
        <v>0</v>
      </c>
      <c r="I21" s="15">
        <f>SUM(B21:H21)</f>
        <v>2359097648.7000008</v>
      </c>
      <c r="J21" s="14"/>
      <c r="K21" s="12" t="s">
        <v>219</v>
      </c>
      <c r="L21" s="15">
        <f>SUM(L20:L20)</f>
        <v>2451188768.6799998</v>
      </c>
      <c r="M21" s="15">
        <f t="shared" ref="M21:R21" si="3">SUM(M20:M20)</f>
        <v>7832892.9499999993</v>
      </c>
      <c r="N21" s="15">
        <f t="shared" si="3"/>
        <v>2070342.7200000002</v>
      </c>
      <c r="O21" s="15">
        <f t="shared" si="3"/>
        <v>0</v>
      </c>
      <c r="P21" s="15">
        <f t="shared" si="3"/>
        <v>283910.69</v>
      </c>
      <c r="Q21" s="15">
        <f>SUM(Q20:Q20)</f>
        <v>0</v>
      </c>
      <c r="R21" s="15">
        <f t="shared" si="3"/>
        <v>0</v>
      </c>
      <c r="S21" s="15">
        <f t="shared" si="0"/>
        <v>2461375915.0399995</v>
      </c>
      <c r="T21" s="13"/>
      <c r="U21" s="12" t="s">
        <v>219</v>
      </c>
      <c r="V21" s="14"/>
      <c r="W21" s="15">
        <f>I21</f>
        <v>2359097648.7000008</v>
      </c>
      <c r="X21" s="14"/>
      <c r="Y21" s="15">
        <f t="shared" si="1"/>
        <v>2461375915.0399995</v>
      </c>
      <c r="Z21" s="14"/>
      <c r="AA21" s="15">
        <f>I21-S21</f>
        <v>-102278266.33999872</v>
      </c>
      <c r="AB21" s="13"/>
      <c r="AC21" s="16">
        <f>I21/S21</f>
        <v>0.95844671034804674</v>
      </c>
      <c r="AD21" s="15"/>
      <c r="AE21" s="16">
        <f t="shared" ref="AE21:AE27" si="4">AC21-1</f>
        <v>-4.1553289651953262E-2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204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204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204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401</v>
      </c>
      <c r="B24" s="13">
        <f>'Comp YTD 2021-2020 '!B30</f>
        <v>2330990948.5600004</v>
      </c>
      <c r="C24" s="13">
        <f>'Comp YTD 2021-2020 '!C30</f>
        <v>0</v>
      </c>
      <c r="D24" s="13">
        <f>'Comp YTD 2021-2020 '!D30</f>
        <v>6269.04</v>
      </c>
      <c r="E24" s="13">
        <f>'Comp YTD 2021-2020 '!E30</f>
        <v>0</v>
      </c>
      <c r="F24" s="13">
        <f>'Comp YTD 2021-2020 '!F30</f>
        <v>0</v>
      </c>
      <c r="G24" s="13">
        <f>'Comp YTD 2021-2020 '!G30</f>
        <v>0</v>
      </c>
      <c r="H24" s="13">
        <f>'Comp YTD 2021-2020 '!H30</f>
        <v>0</v>
      </c>
      <c r="I24" s="13">
        <f>'Comp YTD 2021-2020 '!I30</f>
        <v>2330997217.6000004</v>
      </c>
      <c r="J24" s="14"/>
      <c r="K24" s="6" t="s">
        <v>401</v>
      </c>
      <c r="L24" s="13">
        <f>'Comp YTD 2021-2020 '!B215</f>
        <v>2428789487.2700014</v>
      </c>
      <c r="M24" s="13">
        <f>'Comp YTD 2021-2020 '!C215</f>
        <v>7687219.8100000005</v>
      </c>
      <c r="N24" s="13">
        <f>'Comp YTD 2021-2020 '!D215</f>
        <v>49342.94</v>
      </c>
      <c r="O24" s="13">
        <f>'Comp YTD 2021-2020 '!E215</f>
        <v>0</v>
      </c>
      <c r="P24" s="13">
        <f>'Comp YTD 2021-2020 '!F215</f>
        <v>959.06000000000006</v>
      </c>
      <c r="Q24" s="13">
        <f>'Comp YTD 2021-2020 '!G215</f>
        <v>0</v>
      </c>
      <c r="R24" s="13">
        <f>'Comp YTD 2021-2020 '!H215</f>
        <v>0</v>
      </c>
      <c r="S24" s="13">
        <f t="shared" si="0"/>
        <v>2436527009.0800014</v>
      </c>
      <c r="T24" s="13"/>
      <c r="U24" s="6" t="s">
        <v>401</v>
      </c>
      <c r="V24" s="14"/>
      <c r="W24" s="13">
        <f>I24</f>
        <v>2330997217.6000004</v>
      </c>
      <c r="X24" s="14"/>
      <c r="Y24" s="13">
        <f t="shared" si="1"/>
        <v>2436527009.0800014</v>
      </c>
      <c r="Z24" s="14"/>
      <c r="AA24" s="13">
        <f>I24-S24</f>
        <v>-105529791.48000097</v>
      </c>
      <c r="AB24" s="13"/>
      <c r="AC24" s="14">
        <f>I24/S24</f>
        <v>0.95668843764639921</v>
      </c>
      <c r="AD24" s="13"/>
      <c r="AE24" s="14">
        <f t="shared" si="4"/>
        <v>-4.3311562353600785E-2</v>
      </c>
    </row>
    <row r="25" spans="1:31" s="6" customFormat="1" ht="30" customHeight="1" x14ac:dyDescent="0.5">
      <c r="A25" s="12" t="s">
        <v>220</v>
      </c>
      <c r="B25" s="15">
        <f t="shared" ref="B25:H25" si="5">SUM(B24:B24)</f>
        <v>2330990948.5600004</v>
      </c>
      <c r="C25" s="15">
        <f>SUM(C24:C24)</f>
        <v>0</v>
      </c>
      <c r="D25" s="15">
        <f t="shared" si="5"/>
        <v>6269.04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2330997217.6000004</v>
      </c>
      <c r="J25" s="14"/>
      <c r="K25" s="12" t="s">
        <v>220</v>
      </c>
      <c r="L25" s="15">
        <f t="shared" ref="L25:R25" si="7">SUM(L24:L24)</f>
        <v>2428789487.2700014</v>
      </c>
      <c r="M25" s="15">
        <f t="shared" si="7"/>
        <v>7687219.8100000005</v>
      </c>
      <c r="N25" s="15">
        <f t="shared" si="7"/>
        <v>49342.94</v>
      </c>
      <c r="O25" s="15">
        <f t="shared" si="7"/>
        <v>0</v>
      </c>
      <c r="P25" s="15">
        <f t="shared" si="7"/>
        <v>959.06000000000006</v>
      </c>
      <c r="Q25" s="15">
        <f t="shared" si="7"/>
        <v>0</v>
      </c>
      <c r="R25" s="15">
        <f t="shared" si="7"/>
        <v>0</v>
      </c>
      <c r="S25" s="15">
        <f t="shared" si="0"/>
        <v>2436527009.0800014</v>
      </c>
      <c r="T25" s="13"/>
      <c r="U25" s="12" t="s">
        <v>220</v>
      </c>
      <c r="V25" s="14"/>
      <c r="W25" s="15">
        <f>I25</f>
        <v>2330997217.6000004</v>
      </c>
      <c r="X25" s="14"/>
      <c r="Y25" s="15">
        <f t="shared" si="1"/>
        <v>2436527009.0800014</v>
      </c>
      <c r="Z25" s="14"/>
      <c r="AA25" s="15">
        <f>SUM(AA24:AA24)</f>
        <v>-105529791.48000097</v>
      </c>
      <c r="AB25" s="13"/>
      <c r="AC25" s="16">
        <f>I25/S25</f>
        <v>0.95668843764639921</v>
      </c>
      <c r="AD25" s="15"/>
      <c r="AE25" s="16">
        <f t="shared" si="4"/>
        <v>-4.3311562353600785E-2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207</v>
      </c>
      <c r="B27" s="18">
        <f t="shared" ref="B27:H27" si="8">B21-B25</f>
        <v>26008560.450000286</v>
      </c>
      <c r="C27" s="18">
        <f t="shared" si="8"/>
        <v>0</v>
      </c>
      <c r="D27" s="18">
        <f t="shared" si="8"/>
        <v>2093029.6500000004</v>
      </c>
      <c r="E27" s="18">
        <f t="shared" si="8"/>
        <v>0</v>
      </c>
      <c r="F27" s="18">
        <f t="shared" si="8"/>
        <v>-1159</v>
      </c>
      <c r="G27" s="18">
        <f>G21-G25</f>
        <v>0</v>
      </c>
      <c r="H27" s="18">
        <f t="shared" si="8"/>
        <v>0</v>
      </c>
      <c r="I27" s="18">
        <f t="shared" si="6"/>
        <v>28100431.100000285</v>
      </c>
      <c r="K27" s="12" t="s">
        <v>207</v>
      </c>
      <c r="L27" s="18">
        <f t="shared" ref="L27:R27" si="9">L21-L25</f>
        <v>22399281.409998417</v>
      </c>
      <c r="M27" s="18">
        <f t="shared" si="9"/>
        <v>145673.13999999873</v>
      </c>
      <c r="N27" s="18">
        <f t="shared" si="9"/>
        <v>2020999.7800000003</v>
      </c>
      <c r="O27" s="18">
        <f t="shared" si="9"/>
        <v>0</v>
      </c>
      <c r="P27" s="18">
        <f t="shared" si="9"/>
        <v>282951.63</v>
      </c>
      <c r="Q27" s="18">
        <f>Q21-Q25</f>
        <v>0</v>
      </c>
      <c r="R27" s="18">
        <f t="shared" si="9"/>
        <v>0</v>
      </c>
      <c r="S27" s="18">
        <f t="shared" si="0"/>
        <v>24848905.959998418</v>
      </c>
      <c r="T27" s="13"/>
      <c r="U27" s="12" t="s">
        <v>207</v>
      </c>
      <c r="W27" s="18">
        <f>I27</f>
        <v>28100431.100000285</v>
      </c>
      <c r="Y27" s="18">
        <f t="shared" si="1"/>
        <v>24848905.959998418</v>
      </c>
      <c r="AA27" s="18">
        <f>I27-S27</f>
        <v>3251525.140001867</v>
      </c>
      <c r="AB27" s="13"/>
      <c r="AC27" s="19">
        <f>I27/S27</f>
        <v>1.1308518429437557</v>
      </c>
      <c r="AD27" s="18"/>
      <c r="AE27" s="19">
        <f t="shared" si="4"/>
        <v>0.13085184294375574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205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205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221</v>
      </c>
      <c r="B30" s="13">
        <f>'Comp YTD 2021-2020 '!B47</f>
        <v>4358892.9200000009</v>
      </c>
      <c r="C30" s="13">
        <f>'Comp YTD 2021-2020 '!C47</f>
        <v>0</v>
      </c>
      <c r="D30" s="13">
        <f>'Comp YTD 2021-2020 '!D47</f>
        <v>581824.63</v>
      </c>
      <c r="E30" s="13">
        <f>'Comp YTD 2021-2020 '!E47</f>
        <v>0</v>
      </c>
      <c r="F30" s="13">
        <f>'Comp YTD 2021-2020 '!F47</f>
        <v>14470.310000000001</v>
      </c>
      <c r="G30" s="13">
        <f>'Comp YTD 2021-2020 '!G47</f>
        <v>0</v>
      </c>
      <c r="H30" s="13">
        <f>'Comp YTD 2021-2020 '!H47</f>
        <v>0</v>
      </c>
      <c r="I30" s="13">
        <f t="shared" si="6"/>
        <v>4955187.8600000003</v>
      </c>
      <c r="K30" s="12" t="s">
        <v>221</v>
      </c>
      <c r="L30" s="13">
        <f>'Comp YTD 2021-2020 '!B232</f>
        <v>4475169.5200000005</v>
      </c>
      <c r="M30" s="13">
        <f>'Comp YTD 2021-2020 '!C232</f>
        <v>90669.190000000031</v>
      </c>
      <c r="N30" s="13">
        <f>'Comp YTD 2021-2020 '!D232</f>
        <v>510106.34000000008</v>
      </c>
      <c r="O30" s="13">
        <f>'Comp YTD 2021-2020 '!E232</f>
        <v>0</v>
      </c>
      <c r="P30" s="13">
        <f>'Comp YTD 2021-2020 '!F232</f>
        <v>138745.62</v>
      </c>
      <c r="Q30" s="13">
        <f>'Comp YTD 2021-2020 '!G232</f>
        <v>0</v>
      </c>
      <c r="R30" s="13">
        <f>'Comp YTD 2021-2020 '!H232</f>
        <v>0</v>
      </c>
      <c r="S30" s="13">
        <f>SUM(L30:R30)</f>
        <v>5214690.6700000009</v>
      </c>
      <c r="T30" s="13"/>
      <c r="U30" s="12" t="s">
        <v>221</v>
      </c>
      <c r="W30" s="13">
        <f>I30</f>
        <v>4955187.8600000003</v>
      </c>
      <c r="Y30" s="13">
        <f t="shared" ref="Y30:Y37" si="10">S30</f>
        <v>5214690.6700000009</v>
      </c>
      <c r="AA30" s="13">
        <f>I30-S30</f>
        <v>-259502.81000000052</v>
      </c>
      <c r="AB30" s="13"/>
      <c r="AC30" s="17">
        <f>I30/S30</f>
        <v>0.95023620260106423</v>
      </c>
      <c r="AD30" s="13"/>
      <c r="AE30" s="17">
        <f>AC30-1</f>
        <v>-4.9763797398935772E-2</v>
      </c>
    </row>
    <row r="31" spans="1:31" s="6" customFormat="1" ht="30" customHeight="1" x14ac:dyDescent="0.5">
      <c r="A31" s="12" t="s">
        <v>475</v>
      </c>
      <c r="B31" s="13">
        <f>'Comp YTD 2021-2020 '!B72</f>
        <v>900010.93999999983</v>
      </c>
      <c r="C31" s="13">
        <f>'Comp YTD 2021-2020 '!C72</f>
        <v>1081.4000000000001</v>
      </c>
      <c r="D31" s="13">
        <f>'Comp YTD 2021-2020 '!D72</f>
        <v>393177.64999999997</v>
      </c>
      <c r="E31" s="13">
        <f>'Comp YTD 2021-2020 '!E72</f>
        <v>110</v>
      </c>
      <c r="F31" s="13">
        <f>'Comp YTD 2021-2020 '!F72</f>
        <v>74624.81</v>
      </c>
      <c r="G31" s="13">
        <f>'Comp YTD 2021-2020 '!G72</f>
        <v>37005.07</v>
      </c>
      <c r="H31" s="13">
        <f>'Comp YTD 2021-2020 '!H72</f>
        <v>83662.28</v>
      </c>
      <c r="I31" s="13">
        <f t="shared" si="6"/>
        <v>1489672.15</v>
      </c>
      <c r="K31" s="12" t="s">
        <v>475</v>
      </c>
      <c r="L31" s="13">
        <f>'Comp YTD 2021-2020 '!B262</f>
        <v>853458.78</v>
      </c>
      <c r="M31" s="13">
        <f>'Comp YTD 2021-2020 '!C262</f>
        <v>23550.76</v>
      </c>
      <c r="N31" s="13">
        <f>'Comp YTD 2021-2020 '!D262</f>
        <v>381681.15</v>
      </c>
      <c r="O31" s="13">
        <f>'Comp YTD 2021-2020 '!E262</f>
        <v>110</v>
      </c>
      <c r="P31" s="13">
        <f>'Comp YTD 2021-2020 '!F262</f>
        <v>108759.31</v>
      </c>
      <c r="Q31" s="13">
        <f>'Comp YTD 2021-2020 '!G262</f>
        <v>37168.720000000001</v>
      </c>
      <c r="R31" s="13">
        <f>'Comp YTD 2021-2020 '!H262</f>
        <v>58185.68</v>
      </c>
      <c r="S31" s="13">
        <f>SUM(L31:R31)</f>
        <v>1462914.4</v>
      </c>
      <c r="T31" s="13"/>
      <c r="U31" s="12" t="s">
        <v>475</v>
      </c>
      <c r="W31" s="13">
        <f>I31</f>
        <v>1489672.15</v>
      </c>
      <c r="Y31" s="13">
        <f t="shared" si="10"/>
        <v>1462914.4</v>
      </c>
      <c r="AA31" s="13">
        <f>I31-S31</f>
        <v>26757.75</v>
      </c>
      <c r="AB31" s="13"/>
      <c r="AC31" s="17">
        <f>I31/S31</f>
        <v>1.0182907147540554</v>
      </c>
      <c r="AD31" s="13"/>
      <c r="AE31" s="17">
        <f>AC31-1</f>
        <v>1.8290714754055415E-2</v>
      </c>
    </row>
    <row r="32" spans="1:31" s="6" customFormat="1" ht="30" customHeight="1" x14ac:dyDescent="0.5">
      <c r="A32" s="12" t="s">
        <v>246</v>
      </c>
      <c r="B32" s="13">
        <f>'Comp YTD 2021-2020 '!B103</f>
        <v>175441.46000000002</v>
      </c>
      <c r="C32" s="13">
        <f>'Comp YTD 2021-2020 '!C103</f>
        <v>10044.42</v>
      </c>
      <c r="D32" s="13">
        <f>'Comp YTD 2021-2020 '!D103</f>
        <v>22334.05</v>
      </c>
      <c r="E32" s="13">
        <f>'Comp YTD 2021-2020 '!E103</f>
        <v>2711.15</v>
      </c>
      <c r="F32" s="13">
        <f>'Comp YTD 2021-2020 '!F103</f>
        <v>2493.7300000000005</v>
      </c>
      <c r="G32" s="13">
        <f>'Comp YTD 2021-2020 '!G103</f>
        <v>4461.7199999999993</v>
      </c>
      <c r="H32" s="13">
        <f>'Comp YTD 2021-2020 '!H103</f>
        <v>1213.8800000000001</v>
      </c>
      <c r="I32" s="13">
        <f>'Comp YTD 2021-2020 '!I103</f>
        <v>218700.41000000003</v>
      </c>
      <c r="K32" s="12" t="s">
        <v>246</v>
      </c>
      <c r="L32" s="13">
        <f>'Comp YTD 2021-2020 '!B287</f>
        <v>227714.16</v>
      </c>
      <c r="M32" s="13">
        <f>'Comp YTD 2021-2020 '!C287</f>
        <v>21904.35</v>
      </c>
      <c r="N32" s="13">
        <f>'Comp YTD 2021-2020 '!D287</f>
        <v>34151.5</v>
      </c>
      <c r="O32" s="13">
        <f>'Comp YTD 2021-2020 '!E287</f>
        <v>1007.89</v>
      </c>
      <c r="P32" s="13">
        <f>'Comp YTD 2021-2020 '!F287</f>
        <v>21180.699999999997</v>
      </c>
      <c r="Q32" s="13">
        <f>'Comp YTD 2021-2020 '!G287</f>
        <v>4443.7199999999993</v>
      </c>
      <c r="R32" s="13">
        <f>'Comp YTD 2021-2020 '!H287</f>
        <v>1333.32</v>
      </c>
      <c r="S32" s="13">
        <f>SUM(L32:R32)</f>
        <v>311735.64</v>
      </c>
      <c r="T32" s="13"/>
      <c r="U32" s="12" t="s">
        <v>246</v>
      </c>
      <c r="W32" s="13">
        <f>I32</f>
        <v>218700.41000000003</v>
      </c>
      <c r="Y32" s="13">
        <f t="shared" si="10"/>
        <v>311735.64</v>
      </c>
      <c r="AA32" s="13">
        <f>I32-S32</f>
        <v>-93035.229999999981</v>
      </c>
      <c r="AB32" s="13"/>
      <c r="AC32" s="17">
        <f>I32/S32</f>
        <v>0.70155728745035384</v>
      </c>
      <c r="AD32" s="13"/>
      <c r="AE32" s="17">
        <f>AC32-1</f>
        <v>-0.29844271254964616</v>
      </c>
    </row>
    <row r="33" spans="1:32" s="6" customFormat="1" ht="30" customHeight="1" thickBot="1" x14ac:dyDescent="0.55000000000000004">
      <c r="A33" s="12" t="s">
        <v>260</v>
      </c>
      <c r="B33" s="18">
        <f>SUM(B30:B32)</f>
        <v>5434345.3200000003</v>
      </c>
      <c r="C33" s="18">
        <f>SUM(C30:C32)</f>
        <v>11125.82</v>
      </c>
      <c r="D33" s="18">
        <f t="shared" ref="D33:I33" si="11">SUM(D30:D32)</f>
        <v>997336.33000000007</v>
      </c>
      <c r="E33" s="18">
        <f t="shared" si="11"/>
        <v>2821.15</v>
      </c>
      <c r="F33" s="18">
        <f t="shared" si="11"/>
        <v>91588.849999999991</v>
      </c>
      <c r="G33" s="18">
        <f>SUM(G30:G32)</f>
        <v>41466.79</v>
      </c>
      <c r="H33" s="18">
        <f t="shared" si="11"/>
        <v>84876.160000000003</v>
      </c>
      <c r="I33" s="18">
        <f t="shared" si="11"/>
        <v>6663560.4199999999</v>
      </c>
      <c r="K33" s="12" t="s">
        <v>260</v>
      </c>
      <c r="L33" s="18">
        <f>SUM(L30:L32)</f>
        <v>5556342.4600000009</v>
      </c>
      <c r="M33" s="18">
        <f t="shared" ref="M33:R33" si="12">SUM(M30:M32)</f>
        <v>136124.30000000002</v>
      </c>
      <c r="N33" s="18">
        <f t="shared" si="12"/>
        <v>925938.99000000011</v>
      </c>
      <c r="O33" s="18">
        <f t="shared" si="12"/>
        <v>1117.8899999999999</v>
      </c>
      <c r="P33" s="18">
        <f t="shared" si="12"/>
        <v>268685.63</v>
      </c>
      <c r="Q33" s="18">
        <f>SUM(Q30:Q32)</f>
        <v>41612.44</v>
      </c>
      <c r="R33" s="18">
        <f t="shared" si="12"/>
        <v>59519</v>
      </c>
      <c r="S33" s="18">
        <f>SUM(S30:S32)</f>
        <v>6989340.71</v>
      </c>
      <c r="T33" s="13"/>
      <c r="U33" s="12" t="s">
        <v>260</v>
      </c>
      <c r="W33" s="18">
        <f>I33</f>
        <v>6663560.4199999999</v>
      </c>
      <c r="Y33" s="18">
        <f t="shared" si="10"/>
        <v>6989340.71</v>
      </c>
      <c r="AA33" s="18">
        <f>I33-S33</f>
        <v>-325780.29000000004</v>
      </c>
      <c r="AB33" s="13"/>
      <c r="AC33" s="20">
        <f>I33/S33</f>
        <v>0.95338898137647088</v>
      </c>
      <c r="AD33" s="18"/>
      <c r="AE33" s="20">
        <f>AC33-1</f>
        <v>-4.6611018623529121E-2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452</v>
      </c>
      <c r="B35" s="13">
        <f>'Comp YTD 2021-2020 '!B125</f>
        <v>121840.75000000003</v>
      </c>
      <c r="C35" s="13">
        <f>'Comp YTD 2021-2020 '!C125</f>
        <v>3000</v>
      </c>
      <c r="D35" s="13">
        <f>'Comp YTD 2021-2020 '!D125</f>
        <v>146684.23000000001</v>
      </c>
      <c r="E35" s="13">
        <f>'Comp YTD 2021-2020 '!E125</f>
        <v>13942.570000000002</v>
      </c>
      <c r="F35" s="13">
        <f>'Comp YTD 2021-2020 '!F125</f>
        <v>-16664.5</v>
      </c>
      <c r="G35" s="13">
        <f>'Comp YTD 2021-2020 '!G125</f>
        <v>92940.27</v>
      </c>
      <c r="H35" s="13">
        <f>'Comp YTD 2021-2020 '!H125</f>
        <v>120098.34999999999</v>
      </c>
      <c r="I35" s="13">
        <f>SUM(B35:H35)</f>
        <v>481841.67000000004</v>
      </c>
      <c r="K35" s="12" t="s">
        <v>452</v>
      </c>
      <c r="L35" s="13">
        <f>'Comp YTD 2021-2020 '!B314</f>
        <v>233393.58</v>
      </c>
      <c r="M35" s="13">
        <f>'Comp YTD 2021-2020 '!C314</f>
        <v>-218.25</v>
      </c>
      <c r="N35" s="13">
        <f>'Comp YTD 2021-2020 '!D314</f>
        <v>114062.72</v>
      </c>
      <c r="O35" s="13">
        <f>'Comp YTD 2021-2020 '!E314</f>
        <v>17593.630000000005</v>
      </c>
      <c r="P35" s="13">
        <f>'Comp YTD 2021-2020 '!F314</f>
        <v>-13612.399999999994</v>
      </c>
      <c r="Q35" s="13">
        <f>'Comp YTD 2021-2020 '!G314</f>
        <v>103740.06</v>
      </c>
      <c r="R35" s="13">
        <f>'Comp YTD 2021-2020 '!H314</f>
        <v>137562.5</v>
      </c>
      <c r="S35" s="13">
        <f>SUM(L35:R35)</f>
        <v>592521.84000000008</v>
      </c>
      <c r="T35" s="13"/>
      <c r="U35" s="12" t="s">
        <v>452</v>
      </c>
      <c r="W35" s="9">
        <f>I35</f>
        <v>481841.67000000004</v>
      </c>
      <c r="Y35" s="9">
        <f t="shared" si="10"/>
        <v>592521.84000000008</v>
      </c>
      <c r="AA35" s="9">
        <f>I35-S35</f>
        <v>-110680.17000000004</v>
      </c>
      <c r="AB35" s="9"/>
      <c r="AC35" s="17">
        <f>I35/S35</f>
        <v>0.81320491072531598</v>
      </c>
      <c r="AD35" s="10"/>
      <c r="AE35" s="17">
        <f>AC35-1</f>
        <v>-0.18679508927468402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262</v>
      </c>
      <c r="B37" s="21">
        <f t="shared" ref="B37:I37" si="13">B27-B33+B35</f>
        <v>20696055.880000286</v>
      </c>
      <c r="C37" s="21">
        <f t="shared" si="13"/>
        <v>-8125.82</v>
      </c>
      <c r="D37" s="21">
        <f t="shared" si="13"/>
        <v>1242377.5500000003</v>
      </c>
      <c r="E37" s="21">
        <f t="shared" si="13"/>
        <v>11121.420000000002</v>
      </c>
      <c r="F37" s="21">
        <f t="shared" si="13"/>
        <v>-109412.34999999999</v>
      </c>
      <c r="G37" s="21">
        <f>G27-G33+G35</f>
        <v>51473.48</v>
      </c>
      <c r="H37" s="21">
        <f t="shared" si="13"/>
        <v>35222.189999999988</v>
      </c>
      <c r="I37" s="21">
        <f t="shared" si="13"/>
        <v>21918712.350000285</v>
      </c>
      <c r="K37" s="12" t="s">
        <v>262</v>
      </c>
      <c r="L37" s="21">
        <f t="shared" ref="L37:R37" si="14">L27-L33+L35</f>
        <v>17076332.529998414</v>
      </c>
      <c r="M37" s="21">
        <f t="shared" si="14"/>
        <v>9330.5899999987159</v>
      </c>
      <c r="N37" s="21">
        <f t="shared" si="14"/>
        <v>1209123.51</v>
      </c>
      <c r="O37" s="21">
        <f t="shared" si="14"/>
        <v>16475.740000000005</v>
      </c>
      <c r="P37" s="21">
        <f t="shared" si="14"/>
        <v>653.60000000000582</v>
      </c>
      <c r="Q37" s="21">
        <f>Q27-Q33+Q35</f>
        <v>62127.619999999995</v>
      </c>
      <c r="R37" s="21">
        <f t="shared" si="14"/>
        <v>78043.5</v>
      </c>
      <c r="S37" s="21">
        <f>SUM(L37:R37)</f>
        <v>18452087.089998417</v>
      </c>
      <c r="T37" s="30"/>
      <c r="U37" s="12" t="s">
        <v>262</v>
      </c>
      <c r="W37" s="21">
        <f>W27-W33+W35</f>
        <v>21918712.350000285</v>
      </c>
      <c r="Y37" s="21">
        <f t="shared" si="10"/>
        <v>18452087.089998417</v>
      </c>
      <c r="AA37" s="21">
        <f>I37-S37</f>
        <v>3466625.260001868</v>
      </c>
      <c r="AB37" s="30"/>
      <c r="AC37" s="19">
        <f>I37/S37</f>
        <v>1.1878717157085652</v>
      </c>
      <c r="AD37" s="18"/>
      <c r="AE37" s="19">
        <f>AC37-1</f>
        <v>0.1878717157085652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325</v>
      </c>
      <c r="B40" s="13">
        <f>B37-CNT!N311</f>
        <v>2.384185791015625E-7</v>
      </c>
      <c r="C40" s="13">
        <f>C37-BPM!N90</f>
        <v>0</v>
      </c>
      <c r="D40" s="13">
        <f>D37-DEP!N92</f>
        <v>0</v>
      </c>
      <c r="E40" s="13">
        <f>E37-Lending!N22</f>
        <v>0</v>
      </c>
      <c r="F40" s="13">
        <f>F37-'BSC (Dome)'!N86</f>
        <v>0</v>
      </c>
      <c r="G40" s="13">
        <f>G37-'Oliari Co.'!N33</f>
        <v>0</v>
      </c>
      <c r="H40" s="13">
        <f>H37-'722 Bedford St'!N30</f>
        <v>0</v>
      </c>
      <c r="I40" s="13">
        <f>SUM(B40:H40)</f>
        <v>2.384185791015625E-7</v>
      </c>
      <c r="J40" s="14"/>
      <c r="L40" s="13">
        <f>'Comp YTD 2021-2020 '!B316</f>
        <v>17076332.529998414</v>
      </c>
      <c r="M40" s="13">
        <f>'Comp YTD 2021-2020 '!C316</f>
        <v>9330.5899999987159</v>
      </c>
      <c r="N40" s="13">
        <f>'Comp YTD 2021-2020 '!D316</f>
        <v>1209123.51</v>
      </c>
      <c r="O40" s="13">
        <f>'Comp YTD 2021-2020 '!E316</f>
        <v>16475.740000000005</v>
      </c>
      <c r="P40" s="13">
        <f>'Comp YTD 2021-2020 '!F316</f>
        <v>653.60000000000582</v>
      </c>
      <c r="Q40" s="13">
        <f>'Comp YTD 2021-2020 '!G316</f>
        <v>62127.619999999995</v>
      </c>
      <c r="R40" s="13">
        <f>'Comp YTD 2021-2020 '!H316</f>
        <v>78043.5</v>
      </c>
      <c r="S40" s="13">
        <f>'Comp YTD 2021-2020 '!I316</f>
        <v>18452087.089998417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3.8277357816696167E-7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11" activePane="bottomLeft" state="frozen"/>
      <selection activeCell="J121" sqref="J121"/>
      <selection pane="bottomLeft" activeCell="E117" sqref="E117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3">
        <v>2021</v>
      </c>
      <c r="B1" s="334"/>
      <c r="C1" s="334"/>
      <c r="D1" s="334"/>
      <c r="E1" s="334"/>
      <c r="F1" s="334"/>
      <c r="G1" s="334"/>
      <c r="H1" s="334"/>
      <c r="I1" s="334"/>
      <c r="J1" s="335"/>
      <c r="K1" s="31"/>
    </row>
    <row r="2" spans="1:11" s="3" customFormat="1" ht="92.25" x14ac:dyDescent="1.35">
      <c r="A2" s="336" t="s">
        <v>396</v>
      </c>
      <c r="B2" s="337"/>
      <c r="C2" s="337"/>
      <c r="D2" s="337"/>
      <c r="E2" s="337"/>
      <c r="F2" s="337"/>
      <c r="G2" s="337"/>
      <c r="H2" s="337"/>
      <c r="I2" s="337"/>
      <c r="J2" s="338"/>
      <c r="K2" s="31"/>
    </row>
    <row r="3" spans="1:11" s="3" customFormat="1" ht="92.25" x14ac:dyDescent="1.35">
      <c r="A3" s="336" t="s">
        <v>338</v>
      </c>
      <c r="B3" s="337"/>
      <c r="C3" s="337"/>
      <c r="D3" s="337"/>
      <c r="E3" s="337"/>
      <c r="F3" s="337"/>
      <c r="G3" s="337"/>
      <c r="H3" s="337"/>
      <c r="I3" s="337"/>
      <c r="J3" s="338"/>
      <c r="K3" s="31"/>
    </row>
    <row r="4" spans="1:11" s="3" customFormat="1" ht="92.25" x14ac:dyDescent="1.35">
      <c r="A4" s="330">
        <v>44316</v>
      </c>
      <c r="B4" s="331"/>
      <c r="C4" s="331"/>
      <c r="D4" s="331"/>
      <c r="E4" s="331"/>
      <c r="F4" s="331"/>
      <c r="G4" s="331"/>
      <c r="H4" s="331"/>
      <c r="I4" s="331"/>
      <c r="J4" s="332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2021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337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335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203</v>
      </c>
      <c r="J9" s="32" t="s">
        <v>203</v>
      </c>
      <c r="K9" s="32"/>
    </row>
    <row r="10" spans="1:11" s="6" customFormat="1" ht="54.95" customHeight="1" x14ac:dyDescent="0.85">
      <c r="A10" s="31"/>
      <c r="B10" s="34" t="s">
        <v>208</v>
      </c>
      <c r="C10" s="34" t="s">
        <v>210</v>
      </c>
      <c r="D10" s="34" t="s">
        <v>209</v>
      </c>
      <c r="E10" s="34" t="s">
        <v>211</v>
      </c>
      <c r="F10" s="34" t="s">
        <v>212</v>
      </c>
      <c r="G10" s="34" t="s">
        <v>397</v>
      </c>
      <c r="H10" s="34" t="s">
        <v>409</v>
      </c>
      <c r="I10" s="34">
        <v>2021</v>
      </c>
      <c r="J10" s="32" t="s">
        <v>333</v>
      </c>
      <c r="K10" s="32"/>
    </row>
    <row r="11" spans="1:11" s="6" customFormat="1" ht="54.95" customHeight="1" x14ac:dyDescent="0.85">
      <c r="A11" s="35" t="s">
        <v>58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213</v>
      </c>
      <c r="B12" s="36">
        <f>CNT!N108+CNT!N120</f>
        <v>1669053488.49</v>
      </c>
      <c r="C12" s="36">
        <f>BPM!N8+BPM!N15</f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1669053488.49</v>
      </c>
      <c r="J12" s="37">
        <f>I12/$I$19</f>
        <v>0.70749656734630928</v>
      </c>
      <c r="K12" s="37"/>
    </row>
    <row r="13" spans="1:11" s="6" customFormat="1" ht="54.95" customHeight="1" x14ac:dyDescent="0.85">
      <c r="A13" s="31" t="s">
        <v>214</v>
      </c>
      <c r="B13" s="36">
        <f>CNT!N109+CNT!N121</f>
        <v>550490403.1500001</v>
      </c>
      <c r="C13" s="36">
        <f>BPM!N9+BPM!N16</f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550490403.1500001</v>
      </c>
      <c r="J13" s="37">
        <f t="shared" ref="J13:J18" si="1">I13/$I$19</f>
        <v>0.23334786648333619</v>
      </c>
      <c r="K13" s="37"/>
    </row>
    <row r="14" spans="1:11" s="6" customFormat="1" ht="54.95" customHeight="1" x14ac:dyDescent="0.85">
      <c r="A14" s="31" t="s">
        <v>215</v>
      </c>
      <c r="B14" s="36">
        <f>CNT!N110+CNT!N122</f>
        <v>12166089.530000001</v>
      </c>
      <c r="C14" s="36">
        <f>BPM!N10</f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12166089.530000001</v>
      </c>
      <c r="J14" s="37">
        <f t="shared" si="1"/>
        <v>5.1570945088704658E-3</v>
      </c>
      <c r="K14" s="37"/>
    </row>
    <row r="15" spans="1:11" s="6" customFormat="1" ht="54.95" customHeight="1" x14ac:dyDescent="0.85">
      <c r="A15" s="31" t="s">
        <v>412</v>
      </c>
      <c r="B15" s="36">
        <f>CNT!N111+CNT!N123</f>
        <v>12439430.93</v>
      </c>
      <c r="C15" s="36">
        <f>BPM!N11</f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12439430.93</v>
      </c>
      <c r="J15" s="37">
        <f t="shared" si="1"/>
        <v>5.2729614379696602E-3</v>
      </c>
      <c r="K15" s="37"/>
    </row>
    <row r="16" spans="1:11" s="6" customFormat="1" ht="54.95" customHeight="1" x14ac:dyDescent="0.85">
      <c r="A16" s="31" t="s">
        <v>216</v>
      </c>
      <c r="B16" s="36">
        <f>CNT!N115+CNT!N126</f>
        <v>5169215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5169215</v>
      </c>
      <c r="J16" s="37">
        <f t="shared" si="1"/>
        <v>2.1911831427785691E-3</v>
      </c>
      <c r="K16" s="37"/>
    </row>
    <row r="17" spans="1:11" s="6" customFormat="1" ht="54.95" customHeight="1" x14ac:dyDescent="0.85">
      <c r="A17" s="31" t="s">
        <v>217</v>
      </c>
      <c r="B17" s="36">
        <f>CNT!N128+CNT!N130+CNT!N129+CNT!N127+CNT!N131</f>
        <v>107186760.00999999</v>
      </c>
      <c r="C17" s="36">
        <f>BPM!N12</f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107186760.00999999</v>
      </c>
      <c r="J17" s="37">
        <f t="shared" si="1"/>
        <v>4.5435491010330196E-2</v>
      </c>
      <c r="K17" s="37"/>
    </row>
    <row r="18" spans="1:11" s="6" customFormat="1" ht="54.95" customHeight="1" x14ac:dyDescent="0.85">
      <c r="A18" s="31" t="s">
        <v>218</v>
      </c>
      <c r="B18" s="36">
        <f>CNT!N113+CNT!N114+CNT!N116+CNT!N117+CNT!N118+CNT!N112+CNT!N125+CNT!N119</f>
        <v>494121.9</v>
      </c>
      <c r="C18" s="36">
        <f>BPM!N14+BPM!N13</f>
        <v>0</v>
      </c>
      <c r="D18" s="36">
        <f>DEP!N21</f>
        <v>2099298.6900000004</v>
      </c>
      <c r="E18" s="36">
        <v>0</v>
      </c>
      <c r="F18" s="36">
        <f>'BSC (Dome)'!N15</f>
        <v>-1159</v>
      </c>
      <c r="G18" s="36">
        <v>0</v>
      </c>
      <c r="H18" s="36">
        <v>0</v>
      </c>
      <c r="I18" s="36">
        <f t="shared" si="0"/>
        <v>2592261.5900000003</v>
      </c>
      <c r="J18" s="37">
        <f t="shared" si="1"/>
        <v>1.098836070405346E-3</v>
      </c>
      <c r="K18" s="37"/>
    </row>
    <row r="19" spans="1:11" s="6" customFormat="1" ht="54.95" customHeight="1" x14ac:dyDescent="0.85">
      <c r="A19" s="35" t="s">
        <v>219</v>
      </c>
      <c r="B19" s="38">
        <f>SUM(B12:B18)</f>
        <v>2356999509.0100007</v>
      </c>
      <c r="C19" s="38">
        <f>SUM(C12:C18)</f>
        <v>0</v>
      </c>
      <c r="D19" s="38">
        <f t="shared" ref="D19:H19" si="2">SUM(D12:D18)</f>
        <v>2099298.6900000004</v>
      </c>
      <c r="E19" s="38">
        <f t="shared" si="2"/>
        <v>0</v>
      </c>
      <c r="F19" s="38">
        <f>SUM(F12:F18)</f>
        <v>-1159</v>
      </c>
      <c r="G19" s="38">
        <f>SUM(G12:G18)</f>
        <v>0</v>
      </c>
      <c r="H19" s="38">
        <f t="shared" si="2"/>
        <v>0</v>
      </c>
      <c r="I19" s="38">
        <f t="shared" si="0"/>
        <v>2359097648.7000008</v>
      </c>
      <c r="J19" s="39">
        <f>SUM(J12:J18)</f>
        <v>0.99999999999999967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204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213</v>
      </c>
      <c r="B22" s="36">
        <f>CNT!N136+CNT!N141+CNT!N154+CNT!N158+CNT!N159+CNT!N163+CNT!N167+CNT!N174</f>
        <v>1661218177.3400006</v>
      </c>
      <c r="C22" s="36">
        <f>BPM!N20+BPM!N31</f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1661218177.3400006</v>
      </c>
      <c r="J22" s="37">
        <f t="shared" ref="J22:J29" si="3">I22/$I$30</f>
        <v>0.71266416141431277</v>
      </c>
      <c r="K22" s="37"/>
    </row>
    <row r="23" spans="1:11" s="6" customFormat="1" ht="54.95" customHeight="1" x14ac:dyDescent="0.85">
      <c r="A23" s="31" t="s">
        <v>214</v>
      </c>
      <c r="B23" s="36">
        <f>CNT!N137+CNT!N142+CNT!N155+CNT!N160+CNT!N164+CNT!N168+CNT!N171+CNT!N175</f>
        <v>536236465.94000018</v>
      </c>
      <c r="C23" s="36">
        <f>BPM!N21+BPM!N32</f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536236465.94000018</v>
      </c>
      <c r="J23" s="37">
        <f t="shared" si="3"/>
        <v>0.230045948528463</v>
      </c>
      <c r="K23" s="37"/>
    </row>
    <row r="24" spans="1:11" s="6" customFormat="1" ht="54.95" customHeight="1" x14ac:dyDescent="0.85">
      <c r="A24" s="31" t="s">
        <v>215</v>
      </c>
      <c r="B24" s="36">
        <f>CNT!N138+CNT!N143+CNT!N156+CNT!N161+CNT!N165+CNT!N169+CNT!N173+CNT!N176+CNT!N190</f>
        <v>11826681.869999999</v>
      </c>
      <c r="C24" s="36">
        <f>BPM!N22+BPM!N33</f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11826681.869999999</v>
      </c>
      <c r="J24" s="37">
        <f t="shared" si="3"/>
        <v>5.0736576520570781E-3</v>
      </c>
      <c r="K24" s="37"/>
    </row>
    <row r="25" spans="1:11" s="6" customFormat="1" ht="54.95" customHeight="1" x14ac:dyDescent="0.85">
      <c r="A25" s="31" t="s">
        <v>412</v>
      </c>
      <c r="B25" s="36">
        <f>CNT!N139+CNT!N144+CNT!N157+CNT!N162+CNT!N166+CNT!N170+CNT!N177+CNT!N178</f>
        <v>12242799.979999997</v>
      </c>
      <c r="C25" s="36">
        <f>BPM!N23</f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12242799.979999997</v>
      </c>
      <c r="J25" s="37">
        <f t="shared" si="3"/>
        <v>5.2521727128465685E-3</v>
      </c>
      <c r="K25" s="37"/>
    </row>
    <row r="26" spans="1:11" s="6" customFormat="1" ht="54.95" customHeight="1" x14ac:dyDescent="0.85">
      <c r="A26" s="31" t="s">
        <v>216</v>
      </c>
      <c r="B26" s="36">
        <f>CNT!N140+CNT!N147+CNT!N172+CNT!N183</f>
        <v>5001215.84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5001215.84</v>
      </c>
      <c r="J26" s="37">
        <f t="shared" si="3"/>
        <v>2.1455263018929135E-3</v>
      </c>
      <c r="K26" s="37"/>
    </row>
    <row r="27" spans="1:11" s="6" customFormat="1" ht="54.95" customHeight="1" x14ac:dyDescent="0.85">
      <c r="A27" s="31" t="s">
        <v>217</v>
      </c>
      <c r="B27" s="36">
        <f>CNT!N195+CNT!N196+CNT!N197+CNT!N200+CNT!N202+CNT!N203+CNT!N204+CNT!N205+CNT!N206+CNT!N201+CNT!N199+CNT!N198</f>
        <v>102913380.64</v>
      </c>
      <c r="C27" s="36">
        <f>BPM!N25+BPM!N34</f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102913380.64</v>
      </c>
      <c r="J27" s="37">
        <f t="shared" si="3"/>
        <v>4.4149937144051951E-2</v>
      </c>
      <c r="K27" s="37"/>
    </row>
    <row r="28" spans="1:11" s="6" customFormat="1" ht="54.95" customHeight="1" x14ac:dyDescent="0.85">
      <c r="A28" s="31" t="s">
        <v>218</v>
      </c>
      <c r="B28" s="36">
        <f>CNT!N134+CNT!N145+CNT!N146+CNT!N148+CNT!N152+CNT!N153+CNT!N182+CNT!N180+CNT!N181+CNT!N184+CNT!N185+CNT!N186+CNT!N187+CNT!N188+CNT!N189+CNT!N191+CNT!N192+CNT!N193+CNT!N194+CNT!N179+CNT!B135+CNT!N149</f>
        <v>1552226.95</v>
      </c>
      <c r="C28" s="36">
        <f>BPM!N26+BPM!N27+BPM!N28+BPM!N29+BPM!N30+BPM!N35+BPM!N36+BPM!N24</f>
        <v>0</v>
      </c>
      <c r="D28" s="36">
        <f>DEP!N27</f>
        <v>6269.04</v>
      </c>
      <c r="E28" s="36">
        <v>0</v>
      </c>
      <c r="F28" s="36">
        <f>'BSC (Dome)'!N18</f>
        <v>0</v>
      </c>
      <c r="G28" s="36">
        <v>0</v>
      </c>
      <c r="H28" s="36">
        <v>0</v>
      </c>
      <c r="I28" s="36">
        <f t="shared" ref="I28" si="4">SUM(B28:H28)</f>
        <v>1558495.99</v>
      </c>
      <c r="J28" s="37">
        <f t="shared" si="3"/>
        <v>6.6859624637588826E-4</v>
      </c>
      <c r="K28" s="37"/>
    </row>
    <row r="29" spans="1:11" s="6" customFormat="1" ht="54.95" customHeight="1" x14ac:dyDescent="0.85">
      <c r="A29" s="31" t="s">
        <v>524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220</v>
      </c>
      <c r="B30" s="38">
        <f>SUM(B22:B29)</f>
        <v>2330990948.5600004</v>
      </c>
      <c r="C30" s="38">
        <f t="shared" ref="C30:H30" si="5">SUM(C22:C29)</f>
        <v>0</v>
      </c>
      <c r="D30" s="38">
        <f t="shared" si="5"/>
        <v>6269.04</v>
      </c>
      <c r="E30" s="38">
        <f t="shared" si="5"/>
        <v>0</v>
      </c>
      <c r="F30" s="38">
        <f>SUM(F22:F29)</f>
        <v>0</v>
      </c>
      <c r="G30" s="38">
        <f>SUM(G22:G29)</f>
        <v>0</v>
      </c>
      <c r="H30" s="38">
        <f t="shared" si="5"/>
        <v>0</v>
      </c>
      <c r="I30" s="38">
        <f t="shared" si="0"/>
        <v>2330997217.6000004</v>
      </c>
      <c r="J30" s="39">
        <f>SUM(J22:J29)</f>
        <v>1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207</v>
      </c>
      <c r="B32" s="40">
        <f>B19-B30</f>
        <v>26008560.450000286</v>
      </c>
      <c r="C32" s="40">
        <f t="shared" ref="C32:H32" si="6">C19-C30</f>
        <v>0</v>
      </c>
      <c r="D32" s="40">
        <f t="shared" si="6"/>
        <v>2093029.6500000004</v>
      </c>
      <c r="E32" s="40">
        <f t="shared" si="6"/>
        <v>0</v>
      </c>
      <c r="F32" s="40">
        <f>F19-F30</f>
        <v>-1159</v>
      </c>
      <c r="G32" s="40">
        <f>G19-G30</f>
        <v>0</v>
      </c>
      <c r="H32" s="40">
        <f t="shared" si="6"/>
        <v>0</v>
      </c>
      <c r="I32" s="40">
        <f t="shared" si="0"/>
        <v>28100431.100000285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205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221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222</v>
      </c>
      <c r="B37" s="36">
        <f>CNT!N210+CNT!N220</f>
        <v>1235111.6400000001</v>
      </c>
      <c r="C37" s="36">
        <f>BPM!N44</f>
        <v>0</v>
      </c>
      <c r="D37" s="36">
        <f>DEP!N33</f>
        <v>418369.41</v>
      </c>
      <c r="E37" s="36">
        <v>0</v>
      </c>
      <c r="F37" s="36">
        <f>'BSC (Dome)'!N25+'BSC (Dome)'!N33</f>
        <v>14326.740000000002</v>
      </c>
      <c r="G37" s="36">
        <v>0</v>
      </c>
      <c r="H37" s="36">
        <v>0</v>
      </c>
      <c r="I37" s="36">
        <f t="shared" si="0"/>
        <v>1667807.79</v>
      </c>
      <c r="J37" s="37">
        <f>I37/$I$47</f>
        <v>0.3365781151231671</v>
      </c>
      <c r="K37" s="37"/>
      <c r="M37" s="297"/>
    </row>
    <row r="38" spans="1:13" s="6" customFormat="1" ht="54.95" customHeight="1" x14ac:dyDescent="0.9">
      <c r="A38" s="31" t="s">
        <v>528</v>
      </c>
      <c r="B38" s="36">
        <f>CNT!N211+CNT!N222</f>
        <v>2645266.66</v>
      </c>
      <c r="C38" s="36">
        <f>BPM!N45</f>
        <v>0</v>
      </c>
      <c r="D38" s="36">
        <f>DEP!N34</f>
        <v>32258.34</v>
      </c>
      <c r="E38" s="36"/>
      <c r="F38" s="36">
        <f>'BSC (Dome)'!N26</f>
        <v>0</v>
      </c>
      <c r="G38" s="36"/>
      <c r="H38" s="36"/>
      <c r="I38" s="36">
        <f t="shared" si="0"/>
        <v>2677525</v>
      </c>
      <c r="J38" s="37">
        <f>I38/$I$47</f>
        <v>0.54034782850795893</v>
      </c>
      <c r="K38" s="37"/>
      <c r="M38" s="298"/>
    </row>
    <row r="39" spans="1:13" s="6" customFormat="1" ht="54.95" customHeight="1" x14ac:dyDescent="0.9">
      <c r="A39" s="31" t="s">
        <v>223</v>
      </c>
      <c r="B39" s="36">
        <f>CNT!N212</f>
        <v>14926.960000000001</v>
      </c>
      <c r="C39" s="36">
        <f>BPM!N46</f>
        <v>0</v>
      </c>
      <c r="D39" s="36">
        <f>DEP!N35</f>
        <v>1447.03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16373.990000000002</v>
      </c>
      <c r="J39" s="37">
        <f t="shared" ref="J39:J46" si="7">I39/$I$47</f>
        <v>3.304413568691622E-3</v>
      </c>
      <c r="K39" s="37"/>
      <c r="M39" s="298"/>
    </row>
    <row r="40" spans="1:13" s="6" customFormat="1" ht="54.95" customHeight="1" x14ac:dyDescent="0.9">
      <c r="A40" s="31" t="s">
        <v>224</v>
      </c>
      <c r="B40" s="36">
        <f>CNT!N213+CNT!N223</f>
        <v>135199.62</v>
      </c>
      <c r="C40" s="36">
        <f>BPM!N47</f>
        <v>0</v>
      </c>
      <c r="D40" s="36">
        <f>DEP!N36</f>
        <v>41511.040000000001</v>
      </c>
      <c r="E40" s="36">
        <v>0</v>
      </c>
      <c r="F40" s="36">
        <f>'BSC (Dome)'!N27</f>
        <v>1700.77</v>
      </c>
      <c r="G40" s="36">
        <v>0</v>
      </c>
      <c r="H40" s="36">
        <v>0</v>
      </c>
      <c r="I40" s="36">
        <f t="shared" si="0"/>
        <v>178411.43</v>
      </c>
      <c r="J40" s="37">
        <f t="shared" si="7"/>
        <v>3.6004978023174275E-2</v>
      </c>
      <c r="K40" s="37"/>
      <c r="M40" s="298"/>
    </row>
    <row r="41" spans="1:13" s="6" customFormat="1" ht="54.95" customHeight="1" x14ac:dyDescent="0.9">
      <c r="A41" s="31" t="s">
        <v>225</v>
      </c>
      <c r="B41" s="36">
        <f>CNT!N214</f>
        <v>145067.91999999998</v>
      </c>
      <c r="C41" s="36">
        <f>BPM!N48</f>
        <v>0</v>
      </c>
      <c r="D41" s="36">
        <f>DEP!N37</f>
        <v>59324.719999999994</v>
      </c>
      <c r="E41" s="36">
        <v>0</v>
      </c>
      <c r="F41" s="36">
        <f>'BSC (Dome)'!N28</f>
        <v>-1944.1999999999998</v>
      </c>
      <c r="G41" s="36">
        <v>0</v>
      </c>
      <c r="H41" s="36">
        <v>0</v>
      </c>
      <c r="I41" s="36">
        <f t="shared" si="0"/>
        <v>202448.43999999997</v>
      </c>
      <c r="J41" s="37">
        <f t="shared" si="7"/>
        <v>4.085585566477392E-2</v>
      </c>
      <c r="K41" s="37"/>
      <c r="M41" s="298"/>
    </row>
    <row r="42" spans="1:13" s="6" customFormat="1" ht="54.95" customHeight="1" x14ac:dyDescent="0.9">
      <c r="A42" s="31" t="s">
        <v>226</v>
      </c>
      <c r="B42" s="36">
        <f>CNT!N215</f>
        <v>20378.919999999998</v>
      </c>
      <c r="C42" s="36">
        <f>BPM!N49</f>
        <v>0</v>
      </c>
      <c r="D42" s="36">
        <f>DEP!N38</f>
        <v>6693.2699999999995</v>
      </c>
      <c r="E42" s="36">
        <v>0</v>
      </c>
      <c r="F42" s="36">
        <f>'BSC (Dome)'!N29</f>
        <v>0</v>
      </c>
      <c r="G42" s="36">
        <v>0</v>
      </c>
      <c r="H42" s="36">
        <v>0</v>
      </c>
      <c r="I42" s="36">
        <f t="shared" si="0"/>
        <v>27072.19</v>
      </c>
      <c r="J42" s="37">
        <f t="shared" si="7"/>
        <v>5.463403359242165E-3</v>
      </c>
      <c r="K42" s="37"/>
      <c r="M42" s="298"/>
    </row>
    <row r="43" spans="1:13" s="6" customFormat="1" ht="54.95" customHeight="1" x14ac:dyDescent="0.9">
      <c r="A43" s="31" t="s">
        <v>227</v>
      </c>
      <c r="B43" s="36">
        <f>CNT!N216</f>
        <v>71908.340000000011</v>
      </c>
      <c r="C43" s="36">
        <f>BPM!N50</f>
        <v>0</v>
      </c>
      <c r="D43" s="36">
        <f>DEP!N39</f>
        <v>11962.43</v>
      </c>
      <c r="E43" s="36">
        <v>0</v>
      </c>
      <c r="F43" s="36">
        <f>'BSC (Dome)'!N31</f>
        <v>387</v>
      </c>
      <c r="G43" s="36">
        <v>0</v>
      </c>
      <c r="H43" s="36">
        <v>0</v>
      </c>
      <c r="I43" s="36">
        <f t="shared" si="0"/>
        <v>84257.770000000019</v>
      </c>
      <c r="J43" s="37">
        <f t="shared" si="7"/>
        <v>1.7003950683718381E-2</v>
      </c>
      <c r="K43" s="37"/>
      <c r="M43" s="298"/>
    </row>
    <row r="44" spans="1:13" s="6" customFormat="1" ht="54.95" customHeight="1" x14ac:dyDescent="0.9">
      <c r="A44" s="31" t="s">
        <v>303</v>
      </c>
      <c r="B44" s="36">
        <f>CNT!N218+CNT!N217+CNT!N224</f>
        <v>55777.58</v>
      </c>
      <c r="C44" s="36">
        <f>BPM!N53+BPM!N51</f>
        <v>0</v>
      </c>
      <c r="D44" s="36">
        <f>DEP!N40</f>
        <v>1022.25</v>
      </c>
      <c r="E44" s="36">
        <v>0</v>
      </c>
      <c r="F44" s="36">
        <f>'BSC (Dome)'!N30+'BSC (Dome)'!N32</f>
        <v>0</v>
      </c>
      <c r="G44" s="36">
        <v>0</v>
      </c>
      <c r="H44" s="36">
        <v>0</v>
      </c>
      <c r="I44" s="36">
        <f t="shared" si="0"/>
        <v>56799.83</v>
      </c>
      <c r="J44" s="37">
        <f t="shared" si="7"/>
        <v>1.1462699620030147E-2</v>
      </c>
      <c r="K44" s="37"/>
      <c r="M44" s="298"/>
    </row>
    <row r="45" spans="1:13" s="6" customFormat="1" ht="54.95" customHeight="1" x14ac:dyDescent="0.9">
      <c r="A45" s="31" t="s">
        <v>228</v>
      </c>
      <c r="B45" s="36">
        <f>CNT!N219+CNT!N221</f>
        <v>952.19</v>
      </c>
      <c r="C45" s="36">
        <v>0</v>
      </c>
      <c r="D45" s="36">
        <f>DEP!N42</f>
        <v>423.94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1376.13</v>
      </c>
      <c r="J45" s="37">
        <f t="shared" si="7"/>
        <v>2.7771500069827829E-4</v>
      </c>
      <c r="K45" s="37"/>
      <c r="M45" s="298"/>
    </row>
    <row r="46" spans="1:13" s="6" customFormat="1" ht="54.95" customHeight="1" x14ac:dyDescent="0.9">
      <c r="A46" s="31" t="s">
        <v>242</v>
      </c>
      <c r="B46" s="36">
        <f>CNT!N254</f>
        <v>34303.089999999997</v>
      </c>
      <c r="C46" s="36">
        <f>BPM!N52</f>
        <v>0</v>
      </c>
      <c r="D46" s="36">
        <f>DEP!N41</f>
        <v>8812.2000000000007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43115.289999999994</v>
      </c>
      <c r="J46" s="37">
        <f t="shared" si="7"/>
        <v>8.7010404485451717E-3</v>
      </c>
      <c r="K46" s="37"/>
      <c r="M46" s="298"/>
    </row>
    <row r="47" spans="1:13" s="6" customFormat="1" ht="54.95" customHeight="1" x14ac:dyDescent="0.85">
      <c r="A47" s="35" t="s">
        <v>229</v>
      </c>
      <c r="B47" s="38">
        <f t="shared" ref="B47:H47" si="8">SUM(B37:B46)</f>
        <v>4358892.9200000009</v>
      </c>
      <c r="C47" s="38">
        <f t="shared" si="8"/>
        <v>0</v>
      </c>
      <c r="D47" s="38">
        <f t="shared" si="8"/>
        <v>581824.63</v>
      </c>
      <c r="E47" s="38">
        <f t="shared" si="8"/>
        <v>0</v>
      </c>
      <c r="F47" s="38">
        <f>SUM(F37:F46)</f>
        <v>14470.310000000001</v>
      </c>
      <c r="G47" s="38">
        <f t="shared" si="8"/>
        <v>0</v>
      </c>
      <c r="H47" s="38">
        <f t="shared" si="8"/>
        <v>0</v>
      </c>
      <c r="I47" s="38">
        <f t="shared" si="0"/>
        <v>4955187.8600000003</v>
      </c>
      <c r="J47" s="39">
        <f>SUM(J37:J46)</f>
        <v>0.99999999999999989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475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230</v>
      </c>
      <c r="B50" s="36">
        <f>CNT!N227+CNT!N228+CNT!N249</f>
        <v>166800</v>
      </c>
      <c r="C50" s="36">
        <f>BPM!N57</f>
        <v>0</v>
      </c>
      <c r="D50" s="36">
        <f>DEP!N46</f>
        <v>150000</v>
      </c>
      <c r="E50" s="36">
        <v>0</v>
      </c>
      <c r="F50" s="36">
        <f>'BSC (Dome)'!N37</f>
        <v>4000</v>
      </c>
      <c r="G50" s="36">
        <v>0</v>
      </c>
      <c r="H50" s="36">
        <v>0</v>
      </c>
      <c r="I50" s="36">
        <f t="shared" ref="I50:I72" si="9">SUM(B50:H50)</f>
        <v>320800</v>
      </c>
      <c r="J50" s="37">
        <f t="shared" ref="J50:J71" si="10">I50/$I$72</f>
        <v>0.21534939751676235</v>
      </c>
      <c r="K50" s="37"/>
    </row>
    <row r="51" spans="1:11" s="6" customFormat="1" ht="54.95" customHeight="1" x14ac:dyDescent="0.85">
      <c r="A51" s="31" t="s">
        <v>231</v>
      </c>
      <c r="B51" s="36">
        <f>CNT!N229+CNT!N250</f>
        <v>9594.17</v>
      </c>
      <c r="C51" s="36">
        <v>0</v>
      </c>
      <c r="D51" s="36">
        <f>DEP!N47</f>
        <v>-400</v>
      </c>
      <c r="E51" s="36">
        <v>0</v>
      </c>
      <c r="F51" s="36">
        <f>'BSC (Dome)'!N39</f>
        <v>3287.5</v>
      </c>
      <c r="G51" s="36">
        <f>'Oliari Co.'!N11</f>
        <v>0</v>
      </c>
      <c r="H51" s="36">
        <v>0</v>
      </c>
      <c r="I51" s="36">
        <f t="shared" si="9"/>
        <v>12481.67</v>
      </c>
      <c r="J51" s="37">
        <f t="shared" si="10"/>
        <v>8.3788033494484014E-3</v>
      </c>
      <c r="K51" s="37"/>
    </row>
    <row r="52" spans="1:11" s="6" customFormat="1" ht="54.95" customHeight="1" x14ac:dyDescent="0.85">
      <c r="A52" s="31" t="s">
        <v>232</v>
      </c>
      <c r="B52" s="36">
        <f>CNT!N230</f>
        <v>6487.7900000000009</v>
      </c>
      <c r="C52" s="36">
        <v>0</v>
      </c>
      <c r="D52" s="36">
        <f>DEP!N53</f>
        <v>8789.2199999999993</v>
      </c>
      <c r="E52" s="36">
        <v>0</v>
      </c>
      <c r="F52" s="36">
        <f>'BSC (Dome)'!N38</f>
        <v>21922.11</v>
      </c>
      <c r="G52" s="36">
        <v>0</v>
      </c>
      <c r="H52" s="36">
        <v>0</v>
      </c>
      <c r="I52" s="36">
        <f t="shared" si="9"/>
        <v>37199.120000000003</v>
      </c>
      <c r="J52" s="37">
        <f t="shared" si="10"/>
        <v>2.4971346883272273E-2</v>
      </c>
      <c r="K52" s="37"/>
    </row>
    <row r="53" spans="1:11" s="6" customFormat="1" ht="54.95" customHeight="1" x14ac:dyDescent="0.85">
      <c r="A53" s="31" t="s">
        <v>331</v>
      </c>
      <c r="B53" s="36">
        <f>CNT!N231</f>
        <v>932.71</v>
      </c>
      <c r="C53" s="36">
        <v>0</v>
      </c>
      <c r="D53" s="36">
        <f>DEP!N48</f>
        <v>182.25</v>
      </c>
      <c r="E53" s="36">
        <v>0</v>
      </c>
      <c r="F53" s="36">
        <f>'BSC (Dome)'!N40</f>
        <v>152.39999999999998</v>
      </c>
      <c r="G53" s="36">
        <v>0</v>
      </c>
      <c r="H53" s="36">
        <v>0</v>
      </c>
      <c r="I53" s="36">
        <f t="shared" si="9"/>
        <v>1267.3600000000001</v>
      </c>
      <c r="J53" s="37">
        <f t="shared" si="10"/>
        <v>8.5076437792033647E-4</v>
      </c>
      <c r="K53" s="37"/>
    </row>
    <row r="54" spans="1:11" s="6" customFormat="1" ht="54.95" customHeight="1" x14ac:dyDescent="0.85">
      <c r="A54" s="31" t="s">
        <v>286</v>
      </c>
      <c r="B54" s="36">
        <f>CNT!N232</f>
        <v>1978.12</v>
      </c>
      <c r="C54" s="36">
        <v>0</v>
      </c>
      <c r="D54" s="36">
        <f>DEP!N49</f>
        <v>1107</v>
      </c>
      <c r="E54" s="36">
        <v>0</v>
      </c>
      <c r="F54" s="36">
        <f>'BSC (Dome)'!N41</f>
        <v>0</v>
      </c>
      <c r="G54" s="36">
        <v>0</v>
      </c>
      <c r="H54" s="36">
        <v>0</v>
      </c>
      <c r="I54" s="36">
        <f t="shared" si="9"/>
        <v>3085.12</v>
      </c>
      <c r="J54" s="37">
        <f t="shared" si="10"/>
        <v>2.0710060263931227E-3</v>
      </c>
      <c r="K54" s="37"/>
    </row>
    <row r="55" spans="1:11" s="6" customFormat="1" ht="54.95" customHeight="1" x14ac:dyDescent="0.85">
      <c r="A55" s="31" t="s">
        <v>435</v>
      </c>
      <c r="B55" s="55">
        <f>CNT!N233</f>
        <v>10000</v>
      </c>
      <c r="C55" s="36">
        <v>0</v>
      </c>
      <c r="D55" s="36">
        <f>DEP!N50</f>
        <v>8400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18400</v>
      </c>
      <c r="J55" s="37">
        <f t="shared" si="10"/>
        <v>1.2351711079515047E-2</v>
      </c>
      <c r="K55" s="37"/>
    </row>
    <row r="56" spans="1:11" s="6" customFormat="1" ht="54.95" customHeight="1" x14ac:dyDescent="0.85">
      <c r="A56" s="31" t="s">
        <v>365</v>
      </c>
      <c r="B56" s="36">
        <f>CNT!N234+CNT!N246</f>
        <v>40608.53</v>
      </c>
      <c r="C56" s="36">
        <v>0</v>
      </c>
      <c r="D56" s="36">
        <f>DEP!N51</f>
        <v>13193.859999999999</v>
      </c>
      <c r="E56" s="36">
        <v>0</v>
      </c>
      <c r="F56" s="36">
        <f>'BSC (Dome)'!N43</f>
        <v>500</v>
      </c>
      <c r="G56" s="36">
        <v>0</v>
      </c>
      <c r="H56" s="36">
        <v>0</v>
      </c>
      <c r="I56" s="36">
        <f t="shared" si="9"/>
        <v>54302.39</v>
      </c>
      <c r="J56" s="37">
        <f t="shared" si="10"/>
        <v>3.645257783734495E-2</v>
      </c>
      <c r="K56" s="37"/>
    </row>
    <row r="57" spans="1:11" s="6" customFormat="1" ht="54.95" customHeight="1" x14ac:dyDescent="0.85">
      <c r="A57" s="31" t="s">
        <v>366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0</v>
      </c>
      <c r="G57" s="36">
        <v>0</v>
      </c>
      <c r="H57" s="36">
        <v>0</v>
      </c>
      <c r="I57" s="36">
        <f t="shared" si="9"/>
        <v>0</v>
      </c>
      <c r="J57" s="37">
        <f t="shared" si="10"/>
        <v>0</v>
      </c>
      <c r="K57" s="37"/>
    </row>
    <row r="58" spans="1:11" s="6" customFormat="1" ht="54.95" customHeight="1" x14ac:dyDescent="0.85">
      <c r="A58" s="31" t="s">
        <v>235</v>
      </c>
      <c r="B58" s="36">
        <f>CNT!N235</f>
        <v>37178.129999999997</v>
      </c>
      <c r="C58" s="36">
        <v>0</v>
      </c>
      <c r="D58" s="36">
        <f>DEP!N52</f>
        <v>23850.720000000001</v>
      </c>
      <c r="E58" s="36">
        <v>0</v>
      </c>
      <c r="F58" s="36">
        <f>'BSC (Dome)'!N46</f>
        <v>450.5</v>
      </c>
      <c r="G58" s="36">
        <v>0</v>
      </c>
      <c r="H58" s="36">
        <v>0</v>
      </c>
      <c r="I58" s="36">
        <f t="shared" si="9"/>
        <v>61479.35</v>
      </c>
      <c r="J58" s="37">
        <f t="shared" si="10"/>
        <v>4.127038959545562E-2</v>
      </c>
      <c r="K58" s="37"/>
    </row>
    <row r="59" spans="1:11" s="6" customFormat="1" ht="54.95" customHeight="1" x14ac:dyDescent="0.85">
      <c r="A59" s="31" t="s">
        <v>236</v>
      </c>
      <c r="B59" s="36">
        <f>CNT!N237</f>
        <v>10999.67</v>
      </c>
      <c r="C59" s="36">
        <v>0</v>
      </c>
      <c r="D59" s="36">
        <f>DEP!N54</f>
        <v>1866.31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12865.98</v>
      </c>
      <c r="J59" s="37">
        <f t="shared" si="10"/>
        <v>8.6367862888488585E-3</v>
      </c>
      <c r="K59" s="37"/>
    </row>
    <row r="60" spans="1:11" s="6" customFormat="1" ht="54.95" customHeight="1" x14ac:dyDescent="0.85">
      <c r="A60" s="31" t="s">
        <v>234</v>
      </c>
      <c r="B60" s="36">
        <f>CNT!N238+CNT!N236</f>
        <v>26599.660000000003</v>
      </c>
      <c r="C60" s="36">
        <f>BPM!N59</f>
        <v>0</v>
      </c>
      <c r="D60" s="36">
        <f>DEP!N55</f>
        <v>100183.34</v>
      </c>
      <c r="E60" s="36">
        <v>0</v>
      </c>
      <c r="F60" s="36">
        <f>'BSC (Dome)'!N48</f>
        <v>5273.6900000000005</v>
      </c>
      <c r="G60" s="36">
        <v>0</v>
      </c>
      <c r="H60" s="36">
        <v>0</v>
      </c>
      <c r="I60" s="36">
        <f t="shared" si="9"/>
        <v>132056.69</v>
      </c>
      <c r="J60" s="37">
        <f t="shared" si="10"/>
        <v>8.8648156575928477E-2</v>
      </c>
      <c r="K60" s="37"/>
    </row>
    <row r="61" spans="1:11" s="6" customFormat="1" ht="54.95" customHeight="1" x14ac:dyDescent="0.85">
      <c r="A61" s="31" t="s">
        <v>351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607.46</v>
      </c>
      <c r="G61" s="36">
        <v>0</v>
      </c>
      <c r="H61" s="36">
        <v>0</v>
      </c>
      <c r="I61" s="36">
        <f t="shared" si="9"/>
        <v>607.46</v>
      </c>
      <c r="J61" s="37">
        <f t="shared" si="10"/>
        <v>4.0778100067185929E-4</v>
      </c>
      <c r="K61" s="37"/>
    </row>
    <row r="62" spans="1:11" s="6" customFormat="1" ht="54.95" customHeight="1" x14ac:dyDescent="0.85">
      <c r="A62" s="31" t="s">
        <v>237</v>
      </c>
      <c r="B62" s="36">
        <f>CNT!N284+CNT!N239+CNT!N265</f>
        <v>38504.049999999996</v>
      </c>
      <c r="C62" s="36">
        <v>0</v>
      </c>
      <c r="D62" s="36">
        <f>DEP!N56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38504.049999999996</v>
      </c>
      <c r="J62" s="37">
        <f t="shared" si="10"/>
        <v>2.5847331575608767E-2</v>
      </c>
      <c r="K62" s="37"/>
    </row>
    <row r="63" spans="1:11" s="6" customFormat="1" ht="54.95" customHeight="1" x14ac:dyDescent="0.85">
      <c r="A63" s="31" t="s">
        <v>238</v>
      </c>
      <c r="B63" s="36">
        <f>CNT!N240</f>
        <v>7127.52</v>
      </c>
      <c r="C63" s="36">
        <v>0</v>
      </c>
      <c r="D63" s="36">
        <f>DEP!N59</f>
        <v>1687.56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8815.08</v>
      </c>
      <c r="J63" s="37">
        <f t="shared" si="10"/>
        <v>5.9174631142832335E-3</v>
      </c>
      <c r="K63" s="37"/>
    </row>
    <row r="64" spans="1:11" s="6" customFormat="1" ht="54.95" customHeight="1" x14ac:dyDescent="0.85">
      <c r="A64" s="31" t="s">
        <v>239</v>
      </c>
      <c r="B64" s="36">
        <f>CNT!N242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240</v>
      </c>
      <c r="B65" s="36">
        <f>CNT!N243+CNT!N248</f>
        <v>451000.38</v>
      </c>
      <c r="C65" s="36">
        <f>BPM!N60</f>
        <v>1081.4000000000001</v>
      </c>
      <c r="D65" s="36">
        <f>DEP!N60</f>
        <v>57099.95</v>
      </c>
      <c r="E65" s="36">
        <v>0</v>
      </c>
      <c r="F65" s="36">
        <f>'BSC (Dome)'!N54</f>
        <v>36226.71</v>
      </c>
      <c r="G65" s="36">
        <f>'Oliari Co.'!N14</f>
        <v>37005.07</v>
      </c>
      <c r="H65" s="36">
        <f>'722 Bedford St'!N11</f>
        <v>83662.28</v>
      </c>
      <c r="I65" s="36">
        <f t="shared" si="9"/>
        <v>666075.79</v>
      </c>
      <c r="J65" s="37">
        <f t="shared" si="10"/>
        <v>0.44712911495324664</v>
      </c>
      <c r="K65" s="37"/>
    </row>
    <row r="66" spans="1:11" s="6" customFormat="1" ht="54.95" customHeight="1" x14ac:dyDescent="0.85">
      <c r="A66" s="31" t="s">
        <v>250</v>
      </c>
      <c r="B66" s="36">
        <f>CNT!N266</f>
        <v>2776.58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2776.58</v>
      </c>
      <c r="J66" s="37">
        <f t="shared" si="10"/>
        <v>1.8638866276717331E-3</v>
      </c>
      <c r="K66" s="37"/>
    </row>
    <row r="67" spans="1:11" s="6" customFormat="1" ht="54.95" customHeight="1" x14ac:dyDescent="0.85">
      <c r="A67" s="31" t="s">
        <v>348</v>
      </c>
      <c r="B67" s="36">
        <f>CNT!N280</f>
        <v>814.6</v>
      </c>
      <c r="C67" s="36">
        <f>BPM!N76</f>
        <v>0</v>
      </c>
      <c r="D67" s="36">
        <f>DEP!N80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0</v>
      </c>
      <c r="H67" s="36">
        <f>'722 Bedford St'!N10</f>
        <v>0</v>
      </c>
      <c r="I67" s="36">
        <f t="shared" si="9"/>
        <v>1144.5999999999999</v>
      </c>
      <c r="J67" s="37">
        <f t="shared" si="10"/>
        <v>7.6835698378331099E-4</v>
      </c>
      <c r="K67" s="37"/>
    </row>
    <row r="68" spans="1:11" s="6" customFormat="1" ht="54.95" customHeight="1" x14ac:dyDescent="0.85">
      <c r="A68" s="31" t="s">
        <v>243</v>
      </c>
      <c r="B68" s="36">
        <f>CNT!N264</f>
        <v>6149.38</v>
      </c>
      <c r="C68" s="36">
        <f>BPM!N77</f>
        <v>0</v>
      </c>
      <c r="D68" s="36">
        <f>DEP!N62</f>
        <v>5300.2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11449.58</v>
      </c>
      <c r="J68" s="37">
        <f t="shared" si="10"/>
        <v>7.6859730511844504E-3</v>
      </c>
      <c r="K68" s="37"/>
    </row>
    <row r="69" spans="1:11" s="6" customFormat="1" ht="54.95" customHeight="1" x14ac:dyDescent="0.85">
      <c r="A69" s="31" t="s">
        <v>244</v>
      </c>
      <c r="B69" s="36">
        <f>CNT!N269+CNT!N247+CNT!N241</f>
        <v>36096.339999999997</v>
      </c>
      <c r="C69" s="36">
        <f>BPM!N71</f>
        <v>0</v>
      </c>
      <c r="D69" s="36">
        <f>DEP!N58</f>
        <v>21584.68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57681.02</v>
      </c>
      <c r="J69" s="37">
        <f t="shared" si="10"/>
        <v>3.8720613794115705E-2</v>
      </c>
      <c r="K69" s="37"/>
    </row>
    <row r="70" spans="1:11" s="6" customFormat="1" ht="54.95" customHeight="1" x14ac:dyDescent="0.85">
      <c r="A70" s="31" t="s">
        <v>360</v>
      </c>
      <c r="B70" s="36">
        <f>CNT!N244</f>
        <v>16762.82</v>
      </c>
      <c r="C70" s="36">
        <v>0</v>
      </c>
      <c r="D70" s="36">
        <f>DEP!N63</f>
        <v>0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16762.82</v>
      </c>
      <c r="J70" s="37">
        <f t="shared" si="10"/>
        <v>1.125269073466937E-2</v>
      </c>
      <c r="K70" s="37"/>
    </row>
    <row r="71" spans="1:11" s="6" customFormat="1" ht="54.95" customHeight="1" x14ac:dyDescent="0.85">
      <c r="A71" s="31" t="s">
        <v>361</v>
      </c>
      <c r="B71" s="36">
        <f>CNT!N245+CNT!N286</f>
        <v>29600.489999999998</v>
      </c>
      <c r="C71" s="36">
        <f>BPM!N69+BPM!N70</f>
        <v>0</v>
      </c>
      <c r="D71" s="36">
        <f>DEP!N64</f>
        <v>222.56</v>
      </c>
      <c r="E71" s="36">
        <v>0</v>
      </c>
      <c r="F71" s="36">
        <f>'BSC (Dome)'!N57</f>
        <v>2094.44</v>
      </c>
      <c r="G71" s="36">
        <v>0</v>
      </c>
      <c r="H71" s="36">
        <v>0</v>
      </c>
      <c r="I71" s="36">
        <f t="shared" si="9"/>
        <v>31917.489999999998</v>
      </c>
      <c r="J71" s="37">
        <f t="shared" si="10"/>
        <v>2.1425848633875581E-2</v>
      </c>
      <c r="K71" s="37"/>
    </row>
    <row r="72" spans="1:11" s="6" customFormat="1" ht="54.95" customHeight="1" x14ac:dyDescent="0.85">
      <c r="A72" s="35" t="s">
        <v>245</v>
      </c>
      <c r="B72" s="38">
        <f t="shared" ref="B72:H72" si="11">SUM(B50:B71)</f>
        <v>900010.93999999983</v>
      </c>
      <c r="C72" s="38">
        <f t="shared" si="11"/>
        <v>1081.4000000000001</v>
      </c>
      <c r="D72" s="38">
        <f t="shared" si="11"/>
        <v>393177.64999999997</v>
      </c>
      <c r="E72" s="38">
        <f t="shared" si="11"/>
        <v>110</v>
      </c>
      <c r="F72" s="38">
        <f t="shared" si="11"/>
        <v>74624.81</v>
      </c>
      <c r="G72" s="38">
        <f t="shared" si="11"/>
        <v>37005.07</v>
      </c>
      <c r="H72" s="38">
        <f t="shared" si="11"/>
        <v>83662.28</v>
      </c>
      <c r="I72" s="38">
        <f t="shared" si="9"/>
        <v>1489672.15</v>
      </c>
      <c r="J72" s="39">
        <f>SUM(J50:J71)</f>
        <v>1</v>
      </c>
      <c r="K72" s="37"/>
    </row>
    <row r="73" spans="1:11" s="6" customFormat="1" ht="92.25" x14ac:dyDescent="1.35">
      <c r="A73" s="333">
        <v>2021</v>
      </c>
      <c r="B73" s="334"/>
      <c r="C73" s="334"/>
      <c r="D73" s="334"/>
      <c r="E73" s="334"/>
      <c r="F73" s="334"/>
      <c r="G73" s="334"/>
      <c r="H73" s="334"/>
      <c r="I73" s="334"/>
      <c r="J73" s="335"/>
      <c r="K73" s="31"/>
    </row>
    <row r="74" spans="1:11" s="6" customFormat="1" ht="92.25" x14ac:dyDescent="1.35">
      <c r="A74" s="336" t="s">
        <v>396</v>
      </c>
      <c r="B74" s="337"/>
      <c r="C74" s="337"/>
      <c r="D74" s="337"/>
      <c r="E74" s="337"/>
      <c r="F74" s="337"/>
      <c r="G74" s="337"/>
      <c r="H74" s="337"/>
      <c r="I74" s="337"/>
      <c r="J74" s="338"/>
      <c r="K74" s="32"/>
    </row>
    <row r="75" spans="1:11" s="6" customFormat="1" ht="92.25" x14ac:dyDescent="1.35">
      <c r="A75" s="336" t="s">
        <v>338</v>
      </c>
      <c r="B75" s="337"/>
      <c r="C75" s="337"/>
      <c r="D75" s="337"/>
      <c r="E75" s="337"/>
      <c r="F75" s="337"/>
      <c r="G75" s="337"/>
      <c r="H75" s="337"/>
      <c r="I75" s="337"/>
      <c r="J75" s="338"/>
      <c r="K75" s="32"/>
    </row>
    <row r="76" spans="1:11" s="6" customFormat="1" ht="92.25" x14ac:dyDescent="1.35">
      <c r="A76" s="330">
        <f>A4</f>
        <v>44316</v>
      </c>
      <c r="B76" s="331"/>
      <c r="C76" s="331"/>
      <c r="D76" s="331"/>
      <c r="E76" s="331"/>
      <c r="F76" s="331"/>
      <c r="G76" s="331"/>
      <c r="H76" s="331"/>
      <c r="I76" s="331"/>
      <c r="J76" s="332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203</v>
      </c>
      <c r="J77" s="32" t="s">
        <v>203</v>
      </c>
      <c r="K77" s="32"/>
    </row>
    <row r="78" spans="1:11" s="6" customFormat="1" ht="54.95" customHeight="1" x14ac:dyDescent="0.85">
      <c r="A78" s="31"/>
      <c r="B78" s="34" t="s">
        <v>208</v>
      </c>
      <c r="C78" s="34" t="s">
        <v>210</v>
      </c>
      <c r="D78" s="34" t="s">
        <v>209</v>
      </c>
      <c r="E78" s="34" t="s">
        <v>211</v>
      </c>
      <c r="F78" s="34" t="s">
        <v>212</v>
      </c>
      <c r="G78" s="34" t="s">
        <v>397</v>
      </c>
      <c r="H78" s="34" t="s">
        <v>409</v>
      </c>
      <c r="I78" s="34">
        <v>2021</v>
      </c>
      <c r="J78" s="32" t="s">
        <v>333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246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247</v>
      </c>
      <c r="B81" s="36">
        <f>CNT!N255</f>
        <v>6269.13</v>
      </c>
      <c r="C81" s="36">
        <v>0</v>
      </c>
      <c r="D81" s="36">
        <f>DEP!N68</f>
        <v>715.20999999999992</v>
      </c>
      <c r="E81" s="36">
        <v>0</v>
      </c>
      <c r="F81" s="36">
        <f>'BSC (Dome)'!N61</f>
        <v>328.75</v>
      </c>
      <c r="G81" s="36">
        <v>0</v>
      </c>
      <c r="H81" s="36">
        <v>0</v>
      </c>
      <c r="I81" s="36">
        <f t="shared" ref="I81:I105" si="12">SUM(B81:H81)</f>
        <v>7313.09</v>
      </c>
      <c r="J81" s="37">
        <f t="shared" ref="J81:J102" si="13">I81/$I$103</f>
        <v>3.3438849062971572E-2</v>
      </c>
      <c r="K81" s="37"/>
    </row>
    <row r="82" spans="1:11" s="6" customFormat="1" ht="54.95" customHeight="1" x14ac:dyDescent="0.85">
      <c r="A82" s="31" t="s">
        <v>383</v>
      </c>
      <c r="B82" s="36">
        <f>CNT!N253</f>
        <v>922.32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922.32</v>
      </c>
      <c r="J82" s="37">
        <f t="shared" si="13"/>
        <v>4.2172760444299118E-3</v>
      </c>
      <c r="K82" s="37"/>
    </row>
    <row r="83" spans="1:11" s="6" customFormat="1" ht="54.95" customHeight="1" x14ac:dyDescent="0.85">
      <c r="A83" s="31" t="s">
        <v>530</v>
      </c>
      <c r="B83" s="36">
        <v>0</v>
      </c>
      <c r="C83" s="36">
        <v>0</v>
      </c>
      <c r="D83" s="36">
        <v>0</v>
      </c>
      <c r="E83" s="36">
        <f>Lending!N9</f>
        <v>1595.44</v>
      </c>
      <c r="F83" s="36">
        <v>0</v>
      </c>
      <c r="G83" s="36">
        <v>0</v>
      </c>
      <c r="H83" s="36">
        <v>0</v>
      </c>
      <c r="I83" s="36">
        <f t="shared" si="12"/>
        <v>1595.44</v>
      </c>
      <c r="J83" s="37">
        <f t="shared" si="13"/>
        <v>7.2950937769161008E-3</v>
      </c>
      <c r="K83" s="37"/>
    </row>
    <row r="84" spans="1:11" s="6" customFormat="1" ht="54.95" customHeight="1" x14ac:dyDescent="0.85">
      <c r="A84" s="31" t="s">
        <v>248</v>
      </c>
      <c r="B84" s="36">
        <f>CNT!N256</f>
        <v>35074.800000000003</v>
      </c>
      <c r="C84" s="36">
        <f>BPM!N65</f>
        <v>362.41999999999996</v>
      </c>
      <c r="D84" s="36">
        <f>DEP!N69</f>
        <v>1341.5700000000002</v>
      </c>
      <c r="E84" s="36">
        <f>Lending!N10</f>
        <v>124.03999999999999</v>
      </c>
      <c r="F84" s="36">
        <f>'BSC (Dome)'!N62</f>
        <v>-110.65</v>
      </c>
      <c r="G84" s="36">
        <f>-'Oliari Co.'!N27</f>
        <v>18</v>
      </c>
      <c r="H84" s="36">
        <f>'722 Bedford St'!N16</f>
        <v>0</v>
      </c>
      <c r="I84" s="36">
        <f t="shared" si="12"/>
        <v>36810.18</v>
      </c>
      <c r="J84" s="37">
        <f t="shared" si="13"/>
        <v>0.16831326470764274</v>
      </c>
      <c r="K84" s="37"/>
    </row>
    <row r="85" spans="1:11" s="6" customFormat="1" ht="54.95" customHeight="1" x14ac:dyDescent="0.85">
      <c r="A85" s="31" t="s">
        <v>355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531.63</v>
      </c>
      <c r="G85" s="36">
        <v>0</v>
      </c>
      <c r="H85" s="36">
        <v>0</v>
      </c>
      <c r="I85" s="36">
        <f t="shared" si="12"/>
        <v>531.63</v>
      </c>
      <c r="J85" s="37">
        <f t="shared" si="13"/>
        <v>2.4308596403637282E-3</v>
      </c>
      <c r="K85" s="37"/>
    </row>
    <row r="86" spans="1:11" s="6" customFormat="1" ht="54.95" customHeight="1" x14ac:dyDescent="0.85">
      <c r="A86" s="31" t="s">
        <v>249</v>
      </c>
      <c r="B86" s="36">
        <f>CNT!N258</f>
        <v>2275.8500000000004</v>
      </c>
      <c r="C86" s="36">
        <v>0</v>
      </c>
      <c r="D86" s="36">
        <f>DEP!N79</f>
        <v>0</v>
      </c>
      <c r="E86" s="36">
        <v>0</v>
      </c>
      <c r="F86" s="36">
        <f>'BSC (Dome)'!N67</f>
        <v>189.84</v>
      </c>
      <c r="G86" s="36">
        <f>'Oliari Co.'!N12</f>
        <v>3443.72</v>
      </c>
      <c r="H86" s="36">
        <v>0</v>
      </c>
      <c r="I86" s="36">
        <f t="shared" si="12"/>
        <v>5909.41</v>
      </c>
      <c r="J86" s="37">
        <f t="shared" si="13"/>
        <v>2.7020571200575248E-2</v>
      </c>
      <c r="K86" s="37"/>
    </row>
    <row r="87" spans="1:11" s="6" customFormat="1" ht="54.95" customHeight="1" x14ac:dyDescent="0.85">
      <c r="A87" s="31" t="s">
        <v>352</v>
      </c>
      <c r="B87" s="36">
        <f>CNT!N277</f>
        <v>78333.320000000007</v>
      </c>
      <c r="C87" s="36">
        <f>BPM!N73</f>
        <v>1572</v>
      </c>
      <c r="D87" s="36">
        <f>DEP!N73</f>
        <v>13000</v>
      </c>
      <c r="E87" s="36">
        <f>Lending!N13</f>
        <v>991.67</v>
      </c>
      <c r="F87" s="36">
        <f>'BSC (Dome)'!N68</f>
        <v>1022.9200000000001</v>
      </c>
      <c r="G87" s="36">
        <f>'Oliari Co.'!N18</f>
        <v>1000</v>
      </c>
      <c r="H87" s="36">
        <f>'722 Bedford St'!N15</f>
        <v>1213.8800000000001</v>
      </c>
      <c r="I87" s="36">
        <f t="shared" si="12"/>
        <v>97133.790000000008</v>
      </c>
      <c r="J87" s="37">
        <f t="shared" si="13"/>
        <v>0.44414086832301775</v>
      </c>
      <c r="K87" s="37"/>
    </row>
    <row r="88" spans="1:11" s="6" customFormat="1" ht="54.95" customHeight="1" x14ac:dyDescent="0.85">
      <c r="A88" s="31" t="s">
        <v>353</v>
      </c>
      <c r="B88" s="36">
        <f>CNT!N278+CNT!N259</f>
        <v>1788.75</v>
      </c>
      <c r="C88" s="36">
        <f>BPM!N74</f>
        <v>110</v>
      </c>
      <c r="D88" s="36">
        <f>DEP!N74</f>
        <v>0</v>
      </c>
      <c r="E88" s="36">
        <v>0</v>
      </c>
      <c r="F88" s="36">
        <f>'BSC (Dome)'!N69</f>
        <v>0</v>
      </c>
      <c r="G88" s="36">
        <v>0</v>
      </c>
      <c r="H88" s="36">
        <v>0</v>
      </c>
      <c r="I88" s="36">
        <f t="shared" si="12"/>
        <v>1898.75</v>
      </c>
      <c r="J88" s="37">
        <f t="shared" si="13"/>
        <v>8.6819681773801869E-3</v>
      </c>
      <c r="K88" s="37"/>
    </row>
    <row r="89" spans="1:11" s="6" customFormat="1" ht="54.95" customHeight="1" x14ac:dyDescent="0.85">
      <c r="A89" s="31" t="s">
        <v>354</v>
      </c>
      <c r="B89" s="36">
        <f>CNT!N276</f>
        <v>29561.760000000002</v>
      </c>
      <c r="C89" s="36">
        <f>BPM!N72</f>
        <v>8000</v>
      </c>
      <c r="D89" s="36">
        <f>DEP!N72</f>
        <v>1333.32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38895.08</v>
      </c>
      <c r="J89" s="37">
        <f t="shared" si="13"/>
        <v>0.17784639727012855</v>
      </c>
      <c r="K89" s="37"/>
    </row>
    <row r="90" spans="1:11" s="6" customFormat="1" ht="54.95" customHeight="1" x14ac:dyDescent="0.85">
      <c r="A90" s="31" t="s">
        <v>392</v>
      </c>
      <c r="B90" s="36">
        <f>CNT!N279</f>
        <v>2074</v>
      </c>
      <c r="C90" s="36">
        <f>BPM!N75</f>
        <v>0</v>
      </c>
      <c r="D90" s="36">
        <f>DEP!N76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2074</v>
      </c>
      <c r="J90" s="37">
        <f t="shared" si="13"/>
        <v>9.4832926925011232E-3</v>
      </c>
      <c r="K90" s="37"/>
    </row>
    <row r="91" spans="1:11" s="6" customFormat="1" ht="54.95" customHeight="1" x14ac:dyDescent="0.85">
      <c r="A91" s="31" t="s">
        <v>381</v>
      </c>
      <c r="B91" s="36">
        <v>0</v>
      </c>
      <c r="C91" s="36">
        <v>0</v>
      </c>
      <c r="D91" s="36">
        <f>DEP!N75</f>
        <v>3125.01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3125.01</v>
      </c>
      <c r="J91" s="37">
        <f t="shared" si="13"/>
        <v>1.4288999275309999E-2</v>
      </c>
      <c r="K91" s="37"/>
    </row>
    <row r="92" spans="1:11" s="6" customFormat="1" ht="54.95" customHeight="1" x14ac:dyDescent="0.85">
      <c r="A92" s="31" t="s">
        <v>619</v>
      </c>
      <c r="B92" s="36">
        <f>CNT!N287</f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0</v>
      </c>
      <c r="J92" s="37">
        <f t="shared" si="13"/>
        <v>0</v>
      </c>
      <c r="K92" s="37"/>
    </row>
    <row r="93" spans="1:11" s="6" customFormat="1" ht="54.95" customHeight="1" x14ac:dyDescent="0.85">
      <c r="A93" s="31" t="s">
        <v>251</v>
      </c>
      <c r="B93" s="36">
        <f>CNT!N262+CNT!N281</f>
        <v>1801.27</v>
      </c>
      <c r="C93" s="36">
        <f>BPM!N66</f>
        <v>0</v>
      </c>
      <c r="D93" s="36">
        <f>DEP!N71</f>
        <v>0</v>
      </c>
      <c r="E93" s="36">
        <v>0</v>
      </c>
      <c r="F93" s="36">
        <f>'BSC (Dome)'!N65:N65</f>
        <v>531.24</v>
      </c>
      <c r="G93" s="36">
        <v>0</v>
      </c>
      <c r="H93" s="36">
        <v>0</v>
      </c>
      <c r="I93" s="36">
        <f t="shared" si="12"/>
        <v>2332.5100000000002</v>
      </c>
      <c r="J93" s="37">
        <f t="shared" si="13"/>
        <v>1.066532065486297E-2</v>
      </c>
      <c r="K93" s="37"/>
    </row>
    <row r="94" spans="1:11" s="6" customFormat="1" ht="54.95" customHeight="1" x14ac:dyDescent="0.85">
      <c r="A94" s="31" t="s">
        <v>252</v>
      </c>
      <c r="B94" s="36">
        <f>CNT!N267</f>
        <v>8771.48</v>
      </c>
      <c r="C94" s="36">
        <f>BPM!N68</f>
        <v>0</v>
      </c>
      <c r="D94" s="36">
        <f>DEP!N81</f>
        <v>725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9496.48</v>
      </c>
      <c r="J94" s="37">
        <f t="shared" si="13"/>
        <v>4.3422323716722791E-2</v>
      </c>
      <c r="K94" s="37"/>
    </row>
    <row r="95" spans="1:11" s="6" customFormat="1" ht="54.95" customHeight="1" x14ac:dyDescent="0.85">
      <c r="A95" s="31" t="s">
        <v>253</v>
      </c>
      <c r="B95" s="36">
        <f>CNT!N268</f>
        <v>1883.9</v>
      </c>
      <c r="C95" s="36">
        <f>0</f>
        <v>0</v>
      </c>
      <c r="D95" s="36">
        <f>DEP!N78</f>
        <v>2093.94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3977.84</v>
      </c>
      <c r="J95" s="37">
        <f t="shared" si="13"/>
        <v>1.8188534717424626E-2</v>
      </c>
      <c r="K95" s="37"/>
    </row>
    <row r="96" spans="1:11" s="6" customFormat="1" ht="54.95" customHeight="1" x14ac:dyDescent="0.85">
      <c r="A96" s="31" t="s">
        <v>290</v>
      </c>
      <c r="B96" s="36">
        <f>CNT!N257</f>
        <v>0</v>
      </c>
      <c r="C96" s="36">
        <f>0</f>
        <v>0</v>
      </c>
      <c r="D96" s="36">
        <f>DEP!N70</f>
        <v>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0</v>
      </c>
      <c r="J96" s="37">
        <f t="shared" si="13"/>
        <v>0</v>
      </c>
      <c r="K96" s="37"/>
    </row>
    <row r="97" spans="1:33" s="6" customFormat="1" ht="54.95" customHeight="1" x14ac:dyDescent="0.85">
      <c r="A97" s="31" t="s">
        <v>367</v>
      </c>
      <c r="B97" s="36">
        <f>CNT!N263</f>
        <v>94.98</v>
      </c>
      <c r="C97" s="36">
        <f>BPM!N67</f>
        <v>0</v>
      </c>
      <c r="D97" s="36">
        <v>0</v>
      </c>
      <c r="E97" s="36">
        <v>0</v>
      </c>
      <c r="F97" s="36">
        <f>'BSC (Dome)'!N66</f>
        <v>0</v>
      </c>
      <c r="G97" s="36">
        <v>0</v>
      </c>
      <c r="H97" s="36">
        <v>0</v>
      </c>
      <c r="I97" s="36">
        <f t="shared" si="12"/>
        <v>94.98</v>
      </c>
      <c r="J97" s="37">
        <f t="shared" si="13"/>
        <v>4.3429273863729832E-4</v>
      </c>
      <c r="K97" s="37"/>
    </row>
    <row r="98" spans="1:33" s="6" customFormat="1" ht="54.95" customHeight="1" x14ac:dyDescent="0.85">
      <c r="A98" s="31" t="s">
        <v>254</v>
      </c>
      <c r="B98" s="36">
        <f>CNT!N270</f>
        <v>1950</v>
      </c>
      <c r="C98" s="36">
        <f>BPM!N79</f>
        <v>0</v>
      </c>
      <c r="D98" s="36">
        <f>DEP!N77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1950</v>
      </c>
      <c r="J98" s="37">
        <f t="shared" si="13"/>
        <v>8.9163070156109882E-3</v>
      </c>
      <c r="K98" s="37"/>
    </row>
    <row r="99" spans="1:33" s="6" customFormat="1" ht="54.95" customHeight="1" x14ac:dyDescent="0.85">
      <c r="A99" s="31" t="s">
        <v>255</v>
      </c>
      <c r="B99" s="36">
        <f>CNT!N271+CNT!N283</f>
        <v>0</v>
      </c>
      <c r="C99" s="36">
        <v>0</v>
      </c>
      <c r="D99" s="36">
        <f>DEP!N57</f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0</v>
      </c>
      <c r="J99" s="37">
        <f t="shared" si="13"/>
        <v>0</v>
      </c>
      <c r="K99" s="37"/>
    </row>
    <row r="100" spans="1:33" s="6" customFormat="1" ht="54.95" customHeight="1" x14ac:dyDescent="0.85">
      <c r="A100" s="31" t="s">
        <v>612</v>
      </c>
      <c r="B100" s="36">
        <f>CNT!N282</f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0</v>
      </c>
      <c r="J100" s="37">
        <f t="shared" si="13"/>
        <v>0</v>
      </c>
      <c r="K100" s="37"/>
    </row>
    <row r="101" spans="1:33" s="6" customFormat="1" ht="54.95" customHeight="1" x14ac:dyDescent="0.85">
      <c r="A101" s="31" t="s">
        <v>256</v>
      </c>
      <c r="B101" s="36">
        <f>CNT!N272</f>
        <v>972.08999999999992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972.08999999999992</v>
      </c>
      <c r="J101" s="37">
        <f t="shared" si="13"/>
        <v>4.444847634259121E-3</v>
      </c>
      <c r="K101" s="37"/>
    </row>
    <row r="102" spans="1:33" s="6" customFormat="1" ht="54.95" customHeight="1" x14ac:dyDescent="0.85">
      <c r="A102" s="31" t="s">
        <v>257</v>
      </c>
      <c r="B102" s="36">
        <f>CNT!N273+CNT!N285</f>
        <v>3667.81</v>
      </c>
      <c r="C102" s="36">
        <f>BPM!N78</f>
        <v>0</v>
      </c>
      <c r="D102" s="36">
        <f>DEP!N61</f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3667.81</v>
      </c>
      <c r="J102" s="37">
        <f t="shared" si="13"/>
        <v>1.6770933351245201E-2</v>
      </c>
      <c r="K102" s="37"/>
      <c r="AG102" s="10"/>
    </row>
    <row r="103" spans="1:33" s="6" customFormat="1" ht="54.95" customHeight="1" x14ac:dyDescent="0.85">
      <c r="A103" s="35" t="s">
        <v>259</v>
      </c>
      <c r="B103" s="38">
        <f>SUM(B81:B102)</f>
        <v>175441.46000000002</v>
      </c>
      <c r="C103" s="38">
        <f t="shared" ref="C103:H103" si="14">SUM(C81:C102)</f>
        <v>10044.42</v>
      </c>
      <c r="D103" s="38">
        <f t="shared" si="14"/>
        <v>22334.05</v>
      </c>
      <c r="E103" s="38">
        <f t="shared" si="14"/>
        <v>2711.15</v>
      </c>
      <c r="F103" s="38">
        <f>SUM(F81:F102)</f>
        <v>2493.7300000000005</v>
      </c>
      <c r="G103" s="38">
        <f t="shared" si="14"/>
        <v>4461.7199999999993</v>
      </c>
      <c r="H103" s="38">
        <f t="shared" si="14"/>
        <v>1213.8800000000001</v>
      </c>
      <c r="I103" s="38">
        <f t="shared" si="12"/>
        <v>218700.41000000003</v>
      </c>
      <c r="J103" s="39">
        <f>SUM(J81:J102)</f>
        <v>1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260</v>
      </c>
      <c r="B105" s="203">
        <f t="shared" ref="B105:H105" si="15">B47+B72+B103</f>
        <v>5434345.3200000003</v>
      </c>
      <c r="C105" s="40">
        <f t="shared" si="15"/>
        <v>11125.82</v>
      </c>
      <c r="D105" s="40">
        <f t="shared" si="15"/>
        <v>997336.33000000007</v>
      </c>
      <c r="E105" s="40">
        <f t="shared" si="15"/>
        <v>2821.15</v>
      </c>
      <c r="F105" s="40">
        <f t="shared" si="15"/>
        <v>91588.849999999991</v>
      </c>
      <c r="G105" s="40">
        <f t="shared" si="15"/>
        <v>41466.79</v>
      </c>
      <c r="H105" s="40">
        <f t="shared" si="15"/>
        <v>84876.160000000003</v>
      </c>
      <c r="I105" s="40">
        <f t="shared" si="12"/>
        <v>6663560.4200000009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452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263</v>
      </c>
      <c r="B108" s="36">
        <f>CNT!N291</f>
        <v>50000</v>
      </c>
      <c r="C108" s="36">
        <v>0</v>
      </c>
      <c r="D108" s="36">
        <f>DEP!N87</f>
        <v>50000</v>
      </c>
      <c r="E108" s="36">
        <v>0</v>
      </c>
      <c r="F108" s="36">
        <f>'BSC (Dome)'!N78+'BSC (Dome)'!N79</f>
        <v>20000</v>
      </c>
      <c r="G108" s="36">
        <f>'Oliari Co.'!N24+'Oliari Co.'!N25+'Oliari Co.'!N26</f>
        <v>70800</v>
      </c>
      <c r="H108" s="36">
        <f>'722 Bedford St'!N22+'722 Bedford St'!N23</f>
        <v>130000</v>
      </c>
      <c r="I108" s="36">
        <f t="shared" ref="I108:I127" si="16">SUM(B108:H108)</f>
        <v>320800</v>
      </c>
      <c r="J108" s="37"/>
      <c r="K108" s="37"/>
      <c r="AG108" s="10"/>
    </row>
    <row r="109" spans="1:33" s="6" customFormat="1" ht="54.95" customHeight="1" x14ac:dyDescent="0.85">
      <c r="A109" s="31" t="s">
        <v>264</v>
      </c>
      <c r="B109" s="36">
        <f>CNT!N292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322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378</v>
      </c>
      <c r="B111" s="36">
        <f>CNT!N293</f>
        <v>0</v>
      </c>
      <c r="C111" s="36">
        <f>BPM!N84</f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265</v>
      </c>
      <c r="B112" s="36">
        <f>CNT!N294</f>
        <v>56534.070000000007</v>
      </c>
      <c r="C112" s="36">
        <v>0</v>
      </c>
      <c r="D112" s="36">
        <f>DEP!N88</f>
        <v>6417.57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62951.640000000007</v>
      </c>
      <c r="J112" s="37"/>
      <c r="K112" s="37"/>
      <c r="AG112" s="10"/>
    </row>
    <row r="113" spans="1:33" s="6" customFormat="1" ht="54.95" customHeight="1" x14ac:dyDescent="0.85">
      <c r="A113" s="31" t="s">
        <v>266</v>
      </c>
      <c r="B113" s="36">
        <f>CNT!N295+CNT!N296+CNT!N297</f>
        <v>127378.14</v>
      </c>
      <c r="C113" s="36">
        <f>BPM!N85</f>
        <v>3000</v>
      </c>
      <c r="D113" s="36">
        <f>DEP!N89</f>
        <v>90266.66</v>
      </c>
      <c r="E113" s="36">
        <f>Lending!N17</f>
        <v>17115.760000000002</v>
      </c>
      <c r="F113" s="36">
        <f>'BSC (Dome)'!N80</f>
        <v>0</v>
      </c>
      <c r="G113" s="36">
        <f>'Oliari Co.'!N29</f>
        <v>25140.33</v>
      </c>
      <c r="H113" s="36">
        <f>'722 Bedford St'!N26</f>
        <v>18999.989999999998</v>
      </c>
      <c r="I113" s="36">
        <f t="shared" si="16"/>
        <v>281900.88</v>
      </c>
      <c r="J113" s="37"/>
      <c r="K113" s="37"/>
      <c r="AG113" s="10"/>
    </row>
    <row r="114" spans="1:33" s="6" customFormat="1" ht="54.95" customHeight="1" x14ac:dyDescent="0.85">
      <c r="A114" s="31" t="s">
        <v>267</v>
      </c>
      <c r="B114" s="36">
        <f>CNT!N298+CNT!N299+CNT!N300</f>
        <v>-197136.65</v>
      </c>
      <c r="C114" s="36">
        <v>0</v>
      </c>
      <c r="D114" s="36">
        <v>0</v>
      </c>
      <c r="E114" s="36">
        <f>Lending!N18</f>
        <v>-3173.1900000000005</v>
      </c>
      <c r="F114" s="36">
        <f>'BSC (Dome)'!N82+'BSC (Dome)'!N83</f>
        <v>-36208.5</v>
      </c>
      <c r="G114" s="36">
        <f>'Oliari Co.'!N30</f>
        <v>-3000.06</v>
      </c>
      <c r="H114" s="36">
        <f>'722 Bedford St'!N27</f>
        <v>-28901.64</v>
      </c>
      <c r="I114" s="36">
        <f t="shared" si="16"/>
        <v>-268420.03999999998</v>
      </c>
      <c r="J114" s="37"/>
      <c r="K114" s="37"/>
      <c r="AG114" s="10"/>
    </row>
    <row r="115" spans="1:33" s="6" customFormat="1" ht="54.95" customHeight="1" x14ac:dyDescent="0.85">
      <c r="A115" s="31" t="s">
        <v>591</v>
      </c>
      <c r="B115" s="36">
        <f>CNT!N301</f>
        <v>-2210.94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-2210.94</v>
      </c>
      <c r="J115" s="37"/>
      <c r="K115" s="37"/>
      <c r="AG115" s="10"/>
    </row>
    <row r="116" spans="1:33" s="6" customFormat="1" ht="54.95" customHeight="1" x14ac:dyDescent="0.85">
      <c r="A116" s="31" t="s">
        <v>268</v>
      </c>
      <c r="B116" s="36">
        <f>CNT!N302</f>
        <v>0</v>
      </c>
      <c r="C116" s="36">
        <v>0</v>
      </c>
      <c r="D116" s="36">
        <v>0</v>
      </c>
      <c r="E116" s="36">
        <v>0</v>
      </c>
      <c r="F116" s="36">
        <f>'BSC (Dome)'!N81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578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f>-'BSC (Dome)'!N72</f>
        <v>-456</v>
      </c>
      <c r="G117" s="36">
        <v>0</v>
      </c>
      <c r="H117" s="36">
        <v>0</v>
      </c>
      <c r="I117" s="36">
        <f t="shared" si="16"/>
        <v>-456</v>
      </c>
      <c r="J117" s="37"/>
      <c r="K117" s="37"/>
      <c r="AG117" s="10"/>
    </row>
    <row r="118" spans="1:33" s="6" customFormat="1" ht="54.95" customHeight="1" x14ac:dyDescent="0.85">
      <c r="A118" s="31" t="s">
        <v>666</v>
      </c>
      <c r="B118" s="36">
        <f>CNT!N303</f>
        <v>715.89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715.89</v>
      </c>
      <c r="J118" s="37"/>
      <c r="K118" s="37"/>
      <c r="AG118" s="10"/>
    </row>
    <row r="119" spans="1:33" s="6" customFormat="1" ht="54.95" customHeight="1" x14ac:dyDescent="0.85">
      <c r="A119" s="31" t="s">
        <v>393</v>
      </c>
      <c r="B119" s="36">
        <f>CNT!N304</f>
        <v>60363.41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60363.41</v>
      </c>
      <c r="J119" s="37"/>
      <c r="K119" s="37"/>
      <c r="AG119" s="10"/>
    </row>
    <row r="120" spans="1:33" s="6" customFormat="1" ht="54.95" customHeight="1" x14ac:dyDescent="0.85">
      <c r="A120" s="31" t="s">
        <v>428</v>
      </c>
      <c r="B120" s="36">
        <f>CNT!N305</f>
        <v>7366.78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7366.78</v>
      </c>
      <c r="J120" s="37"/>
      <c r="K120" s="37"/>
      <c r="AG120" s="10"/>
    </row>
    <row r="121" spans="1:33" s="6" customFormat="1" ht="54.95" customHeight="1" x14ac:dyDescent="0.85">
      <c r="A121" s="31" t="s">
        <v>429</v>
      </c>
      <c r="B121" s="36">
        <f>CNT!N306</f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0</v>
      </c>
      <c r="J121" s="37"/>
      <c r="K121" s="37"/>
      <c r="AG121" s="10"/>
    </row>
    <row r="122" spans="1:33" s="42" customFormat="1" ht="69.95" customHeight="1" x14ac:dyDescent="1.05">
      <c r="A122" s="31" t="s">
        <v>395</v>
      </c>
      <c r="B122" s="36">
        <f>CNT!N307</f>
        <v>18830.050000000003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18830.050000000003</v>
      </c>
      <c r="J122" s="37"/>
      <c r="K122" s="37"/>
      <c r="L122" s="6"/>
      <c r="AG122" s="43"/>
    </row>
    <row r="123" spans="1:33" x14ac:dyDescent="0.85">
      <c r="A123" s="31" t="s">
        <v>523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439</v>
      </c>
      <c r="B124" s="36">
        <f>CNT!N308</f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0</v>
      </c>
      <c r="J124" s="37"/>
      <c r="K124" s="37"/>
      <c r="L124" s="6"/>
    </row>
    <row r="125" spans="1:33" s="46" customFormat="1" x14ac:dyDescent="0.85">
      <c r="A125" s="35" t="s">
        <v>453</v>
      </c>
      <c r="B125" s="204">
        <f>SUM(B108:B124)</f>
        <v>121840.75000000003</v>
      </c>
      <c r="C125" s="38">
        <f>SUM(C108:C124)</f>
        <v>3000</v>
      </c>
      <c r="D125" s="38">
        <f t="shared" ref="D125:H125" si="17">SUM(D108:D124)</f>
        <v>146684.23000000001</v>
      </c>
      <c r="E125" s="38">
        <f t="shared" si="17"/>
        <v>13942.570000000002</v>
      </c>
      <c r="F125" s="38">
        <f t="shared" si="17"/>
        <v>-16664.5</v>
      </c>
      <c r="G125" s="38">
        <f t="shared" si="17"/>
        <v>92940.27</v>
      </c>
      <c r="H125" s="38">
        <f t="shared" si="17"/>
        <v>120098.34999999999</v>
      </c>
      <c r="I125" s="38">
        <f>SUM(I108:I124)</f>
        <v>481841.6700000001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498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262</v>
      </c>
      <c r="B127" s="44">
        <f t="shared" ref="B127:H127" si="18">B32-B105+B125</f>
        <v>20696055.880000286</v>
      </c>
      <c r="C127" s="44">
        <f t="shared" si="18"/>
        <v>-8125.82</v>
      </c>
      <c r="D127" s="44">
        <f t="shared" si="18"/>
        <v>1242377.5500000003</v>
      </c>
      <c r="E127" s="44">
        <f t="shared" si="18"/>
        <v>11121.420000000002</v>
      </c>
      <c r="F127" s="44">
        <f t="shared" si="18"/>
        <v>-109412.34999999999</v>
      </c>
      <c r="G127" s="44">
        <f t="shared" si="18"/>
        <v>51473.48</v>
      </c>
      <c r="H127" s="44">
        <f t="shared" si="18"/>
        <v>35222.189999999988</v>
      </c>
      <c r="I127" s="44">
        <f t="shared" si="16"/>
        <v>21918712.350000288</v>
      </c>
      <c r="J127" s="42"/>
      <c r="K127" s="42"/>
      <c r="L127" s="42"/>
      <c r="M127" s="64"/>
      <c r="N127" s="64"/>
      <c r="O127" s="64"/>
      <c r="P127" s="64"/>
      <c r="Q127" s="64"/>
      <c r="R127" s="64" t="s">
        <v>500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525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526</v>
      </c>
      <c r="B129" s="70">
        <f>B127+B128</f>
        <v>20696055.880000286</v>
      </c>
      <c r="C129" s="51">
        <f t="shared" ref="C129" si="19">C127+C128</f>
        <v>-8125.82</v>
      </c>
      <c r="D129" s="70">
        <f t="shared" ref="D129" si="20">D127+D128</f>
        <v>1242377.5500000003</v>
      </c>
      <c r="E129" s="70">
        <f t="shared" ref="E129" si="21">E127+E128</f>
        <v>11121.420000000002</v>
      </c>
      <c r="F129" s="70">
        <f t="shared" ref="F129" si="22">F127+F128</f>
        <v>-109412.34999999999</v>
      </c>
      <c r="G129" s="70">
        <f t="shared" ref="G129" si="23">G127+G128</f>
        <v>51473.48</v>
      </c>
      <c r="H129" s="70">
        <f t="shared" ref="H129" si="24">H127+H128</f>
        <v>35222.189999999988</v>
      </c>
      <c r="I129" s="70">
        <f>I127+I128</f>
        <v>21918712.350000288</v>
      </c>
      <c r="J129" s="50"/>
      <c r="K129" s="50"/>
      <c r="L129" s="46"/>
      <c r="M129" s="64"/>
      <c r="N129" s="64"/>
      <c r="O129" s="64"/>
      <c r="P129" s="64"/>
      <c r="Q129" s="64"/>
      <c r="R129" s="64" t="s">
        <v>503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503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497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499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501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502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504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505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506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507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508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509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510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511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512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513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514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515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516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517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518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520</v>
      </c>
    </row>
    <row r="155" spans="1:33" ht="69.75" hidden="1" customHeight="1" x14ac:dyDescent="0.85">
      <c r="A155" s="31" t="s">
        <v>479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480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481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482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483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484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485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486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487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488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489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490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491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492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493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494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519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495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496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262</v>
      </c>
      <c r="B178" s="44">
        <f>B32-B105+B125</f>
        <v>20696055.880000286</v>
      </c>
      <c r="C178" s="44">
        <f t="shared" ref="C178:H178" si="33">C32-C105+C125</f>
        <v>-8125.82</v>
      </c>
      <c r="D178" s="44">
        <f t="shared" si="33"/>
        <v>1242377.5500000003</v>
      </c>
      <c r="E178" s="44">
        <f t="shared" si="33"/>
        <v>11121.420000000002</v>
      </c>
      <c r="F178" s="44">
        <f t="shared" si="33"/>
        <v>-109412.34999999999</v>
      </c>
      <c r="G178" s="44">
        <f t="shared" si="33"/>
        <v>51473.48</v>
      </c>
      <c r="H178" s="44">
        <f t="shared" si="33"/>
        <v>35222.189999999988</v>
      </c>
      <c r="I178" s="44">
        <f>SUM(B178:H178)</f>
        <v>21918712.350000288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B178-CNT!N311</f>
        <v>2.384185791015625E-7</v>
      </c>
      <c r="C179" s="75">
        <f>C178-BPM!N90</f>
        <v>0</v>
      </c>
      <c r="D179" s="75">
        <f>D178-DEP!N92</f>
        <v>0</v>
      </c>
      <c r="E179" s="75">
        <f>E178-Lending!N22</f>
        <v>0</v>
      </c>
      <c r="F179" s="75">
        <f>F178-'BSC (Dome)'!N86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525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526</v>
      </c>
      <c r="B181" s="70">
        <f>B178+B180</f>
        <v>20696055.880000286</v>
      </c>
      <c r="C181" s="70">
        <f t="shared" ref="C181:H181" si="34">C178+C180</f>
        <v>-8125.82</v>
      </c>
      <c r="D181" s="70">
        <f t="shared" si="34"/>
        <v>1242377.5500000003</v>
      </c>
      <c r="E181" s="70">
        <f t="shared" si="34"/>
        <v>11121.420000000002</v>
      </c>
      <c r="F181" s="70">
        <f t="shared" si="34"/>
        <v>-109412.34999999999</v>
      </c>
      <c r="G181" s="70">
        <f t="shared" si="34"/>
        <v>51473.48</v>
      </c>
      <c r="H181" s="70">
        <f t="shared" si="34"/>
        <v>35222.189999999988</v>
      </c>
      <c r="I181" s="70">
        <f>I178+I180</f>
        <v>21918712.350000288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3">
        <v>2020</v>
      </c>
      <c r="B186" s="334"/>
      <c r="C186" s="334"/>
      <c r="D186" s="334"/>
      <c r="E186" s="334"/>
      <c r="F186" s="334"/>
      <c r="G186" s="334"/>
      <c r="H186" s="334"/>
      <c r="I186" s="334"/>
      <c r="J186" s="335"/>
    </row>
    <row r="187" spans="1:32" ht="92.25" x14ac:dyDescent="1.35">
      <c r="A187" s="336" t="s">
        <v>396</v>
      </c>
      <c r="B187" s="337"/>
      <c r="C187" s="337"/>
      <c r="D187" s="337"/>
      <c r="E187" s="337"/>
      <c r="F187" s="337"/>
      <c r="G187" s="337"/>
      <c r="H187" s="337"/>
      <c r="I187" s="337"/>
      <c r="J187" s="338"/>
    </row>
    <row r="188" spans="1:32" ht="92.25" x14ac:dyDescent="1.35">
      <c r="A188" s="336" t="s">
        <v>338</v>
      </c>
      <c r="B188" s="337"/>
      <c r="C188" s="337"/>
      <c r="D188" s="337"/>
      <c r="E188" s="337"/>
      <c r="F188" s="337"/>
      <c r="G188" s="337"/>
      <c r="H188" s="337"/>
      <c r="I188" s="337"/>
      <c r="J188" s="338"/>
    </row>
    <row r="189" spans="1:32" ht="92.25" x14ac:dyDescent="1.35">
      <c r="A189" s="330">
        <v>43951</v>
      </c>
      <c r="B189" s="331"/>
      <c r="C189" s="331"/>
      <c r="D189" s="331"/>
      <c r="E189" s="331"/>
      <c r="F189" s="331"/>
      <c r="G189" s="331"/>
      <c r="H189" s="331"/>
      <c r="I189" s="331"/>
      <c r="J189" s="332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2020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337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335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203</v>
      </c>
      <c r="J194" s="32" t="s">
        <v>203</v>
      </c>
    </row>
    <row r="195" spans="1:10" x14ac:dyDescent="0.85">
      <c r="B195" s="63" t="s">
        <v>208</v>
      </c>
      <c r="C195" s="63" t="s">
        <v>210</v>
      </c>
      <c r="D195" s="63" t="s">
        <v>209</v>
      </c>
      <c r="E195" s="63" t="s">
        <v>211</v>
      </c>
      <c r="F195" s="63" t="s">
        <v>212</v>
      </c>
      <c r="G195" s="63" t="s">
        <v>397</v>
      </c>
      <c r="H195" s="63" t="s">
        <v>409</v>
      </c>
      <c r="I195" s="34">
        <v>2020</v>
      </c>
      <c r="J195" s="32" t="s">
        <v>333</v>
      </c>
    </row>
    <row r="196" spans="1:10" x14ac:dyDescent="0.85">
      <c r="A196" s="35" t="s">
        <v>58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213</v>
      </c>
      <c r="B197" s="64">
        <v>1097290359.1500001</v>
      </c>
      <c r="C197" s="64">
        <v>6630858.9000000004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1103921218.0500002</v>
      </c>
      <c r="J197" s="37">
        <f t="shared" ref="J197:J203" si="35">I197/$I$204</f>
        <v>0.44849761115504394</v>
      </c>
    </row>
    <row r="198" spans="1:10" x14ac:dyDescent="0.85">
      <c r="A198" s="31" t="s">
        <v>214</v>
      </c>
      <c r="B198" s="64">
        <v>1228239585.6900001</v>
      </c>
      <c r="C198" s="64">
        <v>951446.44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1229191032.1300001</v>
      </c>
      <c r="J198" s="37">
        <f t="shared" si="35"/>
        <v>0.49939183390035924</v>
      </c>
    </row>
    <row r="199" spans="1:10" x14ac:dyDescent="0.85">
      <c r="A199" s="31" t="s">
        <v>215</v>
      </c>
      <c r="B199" s="64">
        <v>15112181.949999999</v>
      </c>
      <c r="C199" s="64">
        <v>15229.84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15127411.789999999</v>
      </c>
      <c r="J199" s="37">
        <f t="shared" si="35"/>
        <v>6.1459168823280556E-3</v>
      </c>
    </row>
    <row r="200" spans="1:10" x14ac:dyDescent="0.85">
      <c r="A200" s="31" t="s">
        <v>412</v>
      </c>
      <c r="B200" s="64">
        <v>52653902.969999999</v>
      </c>
      <c r="C200" s="64">
        <v>43279.8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52697182.769999996</v>
      </c>
      <c r="J200" s="37">
        <f t="shared" si="35"/>
        <v>2.1409644275788578E-2</v>
      </c>
    </row>
    <row r="201" spans="1:10" x14ac:dyDescent="0.85">
      <c r="A201" s="31" t="s">
        <v>216</v>
      </c>
      <c r="B201" s="64">
        <v>20715619.399999999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20715619.399999999</v>
      </c>
      <c r="J201" s="37">
        <f t="shared" si="35"/>
        <v>8.4162761459634066E-3</v>
      </c>
    </row>
    <row r="202" spans="1:10" x14ac:dyDescent="0.85">
      <c r="A202" s="31" t="s">
        <v>217</v>
      </c>
      <c r="B202" s="64">
        <v>36662970.149999999</v>
      </c>
      <c r="C202" s="64">
        <v>75.97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36663046.119999997</v>
      </c>
      <c r="J202" s="37">
        <f t="shared" si="35"/>
        <v>1.4895346093205024E-2</v>
      </c>
    </row>
    <row r="203" spans="1:10" x14ac:dyDescent="0.85">
      <c r="A203" s="31" t="s">
        <v>218</v>
      </c>
      <c r="B203" s="64">
        <v>514149.37</v>
      </c>
      <c r="C203" s="64">
        <v>192002.00000000003</v>
      </c>
      <c r="D203" s="64">
        <v>2070342.7200000002</v>
      </c>
      <c r="E203" s="64">
        <v>0</v>
      </c>
      <c r="F203" s="64">
        <v>283910.69</v>
      </c>
      <c r="G203" s="64">
        <v>0</v>
      </c>
      <c r="H203" s="64">
        <v>0</v>
      </c>
      <c r="I203" s="36">
        <f>SUM(B203:H203)</f>
        <v>3060404.7800000003</v>
      </c>
      <c r="J203" s="37">
        <f t="shared" si="35"/>
        <v>1.243371547312092E-3</v>
      </c>
    </row>
    <row r="204" spans="1:10" x14ac:dyDescent="0.85">
      <c r="A204" s="35" t="s">
        <v>219</v>
      </c>
      <c r="B204" s="65">
        <f>SUM(B197:B203)</f>
        <v>2451188768.6799998</v>
      </c>
      <c r="C204" s="65">
        <f t="shared" ref="C204:H204" si="37">SUM(C197:C203)</f>
        <v>7832892.9499999993</v>
      </c>
      <c r="D204" s="65">
        <f t="shared" si="37"/>
        <v>2070342.7200000002</v>
      </c>
      <c r="E204" s="65">
        <f t="shared" si="37"/>
        <v>0</v>
      </c>
      <c r="F204" s="65">
        <f>SUM(F197:F203)</f>
        <v>283910.69</v>
      </c>
      <c r="G204" s="65">
        <f>SUM(G197:G203)</f>
        <v>0</v>
      </c>
      <c r="H204" s="65">
        <f t="shared" si="37"/>
        <v>0</v>
      </c>
      <c r="I204" s="38">
        <f t="shared" si="36"/>
        <v>2461375915.0399995</v>
      </c>
      <c r="J204" s="39">
        <f>SUM(J197:J203)</f>
        <v>1.0000000000000002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204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213</v>
      </c>
      <c r="B207" s="64">
        <v>1088751762.02</v>
      </c>
      <c r="C207" s="64">
        <v>6468387.3300000001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1095220149.3499999</v>
      </c>
      <c r="J207" s="37">
        <f t="shared" ref="J207:J214" si="38">I207/$I$215</f>
        <v>0.44950051662408608</v>
      </c>
    </row>
    <row r="208" spans="1:10" x14ac:dyDescent="0.85">
      <c r="A208" s="31" t="s">
        <v>214</v>
      </c>
      <c r="B208" s="64">
        <v>1217045904.2600012</v>
      </c>
      <c r="C208" s="64">
        <v>878069.50000000012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1217923973.7600012</v>
      </c>
      <c r="J208" s="37">
        <f t="shared" si="38"/>
        <v>0.49986064969576194</v>
      </c>
    </row>
    <row r="209" spans="1:10" x14ac:dyDescent="0.85">
      <c r="A209" s="31" t="s">
        <v>215</v>
      </c>
      <c r="B209" s="64">
        <v>14753635.110000003</v>
      </c>
      <c r="C209" s="64">
        <v>13768.460000000001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14767403.570000004</v>
      </c>
      <c r="J209" s="37">
        <f t="shared" si="38"/>
        <v>6.0608413183878352E-3</v>
      </c>
    </row>
    <row r="210" spans="1:10" x14ac:dyDescent="0.85">
      <c r="A210" s="31" t="s">
        <v>412</v>
      </c>
      <c r="B210" s="64">
        <v>51896815.360000007</v>
      </c>
      <c r="C210" s="64">
        <v>40652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51937467.360000007</v>
      </c>
      <c r="J210" s="37">
        <f t="shared" si="38"/>
        <v>2.1316187822441119E-2</v>
      </c>
    </row>
    <row r="211" spans="1:10" x14ac:dyDescent="0.85">
      <c r="A211" s="31" t="s">
        <v>216</v>
      </c>
      <c r="B211" s="64">
        <v>19906002.350000001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19906002.350000001</v>
      </c>
      <c r="J211" s="37">
        <f t="shared" si="38"/>
        <v>8.1698262632911387E-3</v>
      </c>
    </row>
    <row r="212" spans="1:10" x14ac:dyDescent="0.85">
      <c r="A212" s="31" t="s">
        <v>217</v>
      </c>
      <c r="B212" s="64">
        <v>34996576.359999999</v>
      </c>
      <c r="C212" s="64">
        <v>66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34996642.359999999</v>
      </c>
      <c r="J212" s="37">
        <f t="shared" si="38"/>
        <v>1.4363330358982658E-2</v>
      </c>
    </row>
    <row r="213" spans="1:10" x14ac:dyDescent="0.85">
      <c r="A213" s="31" t="s">
        <v>218</v>
      </c>
      <c r="B213" s="64">
        <v>1438791.8099999998</v>
      </c>
      <c r="C213" s="64">
        <v>286276.52</v>
      </c>
      <c r="D213" s="64">
        <v>49342.94</v>
      </c>
      <c r="E213" s="64">
        <v>0</v>
      </c>
      <c r="F213" s="64">
        <v>959.06000000000006</v>
      </c>
      <c r="G213" s="64">
        <v>0</v>
      </c>
      <c r="H213" s="64">
        <v>0</v>
      </c>
      <c r="I213" s="36">
        <f t="shared" ref="I213" si="39">SUM(B213:H213)</f>
        <v>1775370.3299999998</v>
      </c>
      <c r="J213" s="37">
        <f t="shared" si="38"/>
        <v>7.2864791704909315E-4</v>
      </c>
    </row>
    <row r="214" spans="1:10" x14ac:dyDescent="0.85">
      <c r="A214" s="31" t="s">
        <v>524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220</v>
      </c>
      <c r="B215" s="65">
        <f>SUM(B207:B214)</f>
        <v>2428789487.2700014</v>
      </c>
      <c r="C215" s="65">
        <f t="shared" ref="C215:H215" si="40">SUM(C207:C214)</f>
        <v>7687219.8100000005</v>
      </c>
      <c r="D215" s="65">
        <f t="shared" si="40"/>
        <v>49342.94</v>
      </c>
      <c r="E215" s="65">
        <f t="shared" si="40"/>
        <v>0</v>
      </c>
      <c r="F215" s="65">
        <f>SUM(F207:F214)</f>
        <v>959.06000000000006</v>
      </c>
      <c r="G215" s="65">
        <f>SUM(G207:G214)</f>
        <v>0</v>
      </c>
      <c r="H215" s="65">
        <f t="shared" si="40"/>
        <v>0</v>
      </c>
      <c r="I215" s="38">
        <f t="shared" si="36"/>
        <v>2436527009.0800014</v>
      </c>
      <c r="J215" s="39">
        <f>SUM(J207:J214)</f>
        <v>0.99999999999999978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207</v>
      </c>
      <c r="B217" s="66">
        <f>B204-B215</f>
        <v>22399281.409998417</v>
      </c>
      <c r="C217" s="66">
        <f>C204-C215</f>
        <v>145673.13999999873</v>
      </c>
      <c r="D217" s="66">
        <f t="shared" ref="D217:H217" si="41">D204-D215</f>
        <v>2020999.7800000003</v>
      </c>
      <c r="E217" s="66">
        <f t="shared" si="41"/>
        <v>0</v>
      </c>
      <c r="F217" s="66">
        <f>F204-F215</f>
        <v>282951.63</v>
      </c>
      <c r="G217" s="66">
        <f>G204-G215</f>
        <v>0</v>
      </c>
      <c r="H217" s="66">
        <f t="shared" si="41"/>
        <v>0</v>
      </c>
      <c r="I217" s="40">
        <f t="shared" si="36"/>
        <v>24848905.959998418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205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221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222</v>
      </c>
      <c r="B222" s="64">
        <v>1048131.2599999999</v>
      </c>
      <c r="C222" s="64">
        <v>59873.320000000007</v>
      </c>
      <c r="D222" s="64">
        <v>363940.02</v>
      </c>
      <c r="E222" s="64">
        <v>0</v>
      </c>
      <c r="F222" s="64">
        <v>110428.29000000001</v>
      </c>
      <c r="G222" s="64">
        <v>0</v>
      </c>
      <c r="H222" s="64">
        <v>0</v>
      </c>
      <c r="I222" s="36">
        <f t="shared" si="36"/>
        <v>1582372.89</v>
      </c>
      <c r="J222" s="37">
        <f t="shared" ref="J222:J231" si="42">I222/$I$232</f>
        <v>0.30344520703852212</v>
      </c>
    </row>
    <row r="223" spans="1:10" x14ac:dyDescent="0.85">
      <c r="A223" s="31" t="s">
        <v>528</v>
      </c>
      <c r="B223" s="64">
        <v>3077797.6100000003</v>
      </c>
      <c r="C223" s="64">
        <v>7339.8899999999994</v>
      </c>
      <c r="D223" s="64">
        <v>29220.82</v>
      </c>
      <c r="E223" s="64"/>
      <c r="F223" s="64">
        <v>2250</v>
      </c>
      <c r="G223" s="64"/>
      <c r="H223" s="64"/>
      <c r="I223" s="36">
        <f t="shared" si="36"/>
        <v>3116608.3200000003</v>
      </c>
      <c r="J223" s="37">
        <f t="shared" si="42"/>
        <v>0.59765928934764601</v>
      </c>
    </row>
    <row r="224" spans="1:10" x14ac:dyDescent="0.85">
      <c r="A224" s="31" t="s">
        <v>223</v>
      </c>
      <c r="B224" s="64">
        <v>6472.47</v>
      </c>
      <c r="C224" s="64">
        <v>510.21</v>
      </c>
      <c r="D224" s="64">
        <v>1430.3199999999997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8413</v>
      </c>
      <c r="J224" s="37">
        <f t="shared" si="42"/>
        <v>1.6133267594183106E-3</v>
      </c>
    </row>
    <row r="225" spans="1:10" x14ac:dyDescent="0.85">
      <c r="A225" s="31" t="s">
        <v>224</v>
      </c>
      <c r="B225" s="64">
        <v>83709.73</v>
      </c>
      <c r="C225" s="64">
        <v>6067.9600000000009</v>
      </c>
      <c r="D225" s="64">
        <v>34727.46</v>
      </c>
      <c r="E225" s="64">
        <v>0</v>
      </c>
      <c r="F225" s="64">
        <v>8223.2099999999991</v>
      </c>
      <c r="G225" s="64">
        <v>0</v>
      </c>
      <c r="H225" s="64">
        <v>0</v>
      </c>
      <c r="I225" s="36">
        <f t="shared" si="36"/>
        <v>132728.35999999999</v>
      </c>
      <c r="J225" s="37">
        <f t="shared" si="42"/>
        <v>2.5452777240188622E-2</v>
      </c>
    </row>
    <row r="226" spans="1:10" x14ac:dyDescent="0.85">
      <c r="A226" s="31" t="s">
        <v>225</v>
      </c>
      <c r="B226" s="64">
        <v>99444.159999999989</v>
      </c>
      <c r="C226" s="64">
        <v>11442.710000000001</v>
      </c>
      <c r="D226" s="64">
        <v>52500.259999999995</v>
      </c>
      <c r="E226" s="64">
        <v>0</v>
      </c>
      <c r="F226" s="64">
        <v>14795.34</v>
      </c>
      <c r="G226" s="64">
        <v>0</v>
      </c>
      <c r="H226" s="64">
        <v>0</v>
      </c>
      <c r="I226" s="36">
        <f t="shared" si="36"/>
        <v>178182.47</v>
      </c>
      <c r="J226" s="37">
        <f t="shared" si="42"/>
        <v>3.4169326864406317E-2</v>
      </c>
    </row>
    <row r="227" spans="1:10" x14ac:dyDescent="0.85">
      <c r="A227" s="31" t="s">
        <v>226</v>
      </c>
      <c r="B227" s="64">
        <v>18069.059999999998</v>
      </c>
      <c r="C227" s="64">
        <v>1736.52</v>
      </c>
      <c r="D227" s="64">
        <v>6673.9800000000005</v>
      </c>
      <c r="E227" s="64">
        <v>0</v>
      </c>
      <c r="F227" s="64">
        <v>1025.82</v>
      </c>
      <c r="G227" s="64">
        <v>0</v>
      </c>
      <c r="H227" s="64">
        <v>0</v>
      </c>
      <c r="I227" s="36">
        <f t="shared" si="36"/>
        <v>27505.379999999997</v>
      </c>
      <c r="J227" s="37">
        <f t="shared" si="42"/>
        <v>5.2745947440828722E-3</v>
      </c>
    </row>
    <row r="228" spans="1:10" x14ac:dyDescent="0.85">
      <c r="A228" s="31" t="s">
        <v>227</v>
      </c>
      <c r="B228" s="64">
        <v>82332.899999999994</v>
      </c>
      <c r="C228" s="64">
        <v>2948.5800000000004</v>
      </c>
      <c r="D228" s="64">
        <v>11820.53</v>
      </c>
      <c r="E228" s="64">
        <v>0</v>
      </c>
      <c r="F228" s="64">
        <v>1500</v>
      </c>
      <c r="G228" s="64">
        <v>0</v>
      </c>
      <c r="H228" s="64">
        <v>0</v>
      </c>
      <c r="I228" s="36">
        <f t="shared" si="36"/>
        <v>98602.01</v>
      </c>
      <c r="J228" s="37">
        <f t="shared" si="42"/>
        <v>1.89085060341652E-2</v>
      </c>
    </row>
    <row r="229" spans="1:10" x14ac:dyDescent="0.85">
      <c r="A229" s="31" t="s">
        <v>303</v>
      </c>
      <c r="B229" s="64">
        <v>32963.53</v>
      </c>
      <c r="C229" s="64">
        <v>0</v>
      </c>
      <c r="D229" s="64">
        <v>980.75</v>
      </c>
      <c r="E229" s="64">
        <v>0</v>
      </c>
      <c r="F229" s="64">
        <v>522.96</v>
      </c>
      <c r="G229" s="64">
        <v>0</v>
      </c>
      <c r="H229" s="64">
        <v>0</v>
      </c>
      <c r="I229" s="36">
        <f t="shared" si="36"/>
        <v>34467.24</v>
      </c>
      <c r="J229" s="37">
        <f t="shared" si="42"/>
        <v>6.6096422935092315E-3</v>
      </c>
    </row>
    <row r="230" spans="1:10" x14ac:dyDescent="0.85">
      <c r="A230" s="31" t="s">
        <v>228</v>
      </c>
      <c r="B230" s="64">
        <v>365</v>
      </c>
      <c r="C230" s="64">
        <v>0</v>
      </c>
      <c r="D230" s="64">
        <v>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365</v>
      </c>
      <c r="J230" s="37">
        <f t="shared" si="42"/>
        <v>6.9994564030391465E-5</v>
      </c>
    </row>
    <row r="231" spans="1:10" x14ac:dyDescent="0.85">
      <c r="A231" s="31" t="s">
        <v>242</v>
      </c>
      <c r="B231" s="64">
        <v>25883.8</v>
      </c>
      <c r="C231" s="64">
        <v>750</v>
      </c>
      <c r="D231" s="64">
        <v>8812.2000000000007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35446</v>
      </c>
      <c r="J231" s="37">
        <f t="shared" si="42"/>
        <v>6.7973351140308376E-3</v>
      </c>
    </row>
    <row r="232" spans="1:10" x14ac:dyDescent="0.85">
      <c r="A232" s="35" t="s">
        <v>229</v>
      </c>
      <c r="B232" s="65">
        <f t="shared" ref="B232:H232" si="43">SUM(B222:B231)</f>
        <v>4475169.5200000005</v>
      </c>
      <c r="C232" s="65">
        <f t="shared" si="43"/>
        <v>90669.190000000031</v>
      </c>
      <c r="D232" s="65">
        <f t="shared" si="43"/>
        <v>510106.34000000008</v>
      </c>
      <c r="E232" s="65">
        <f t="shared" si="43"/>
        <v>0</v>
      </c>
      <c r="F232" s="65">
        <f t="shared" si="43"/>
        <v>138745.62</v>
      </c>
      <c r="G232" s="65">
        <f t="shared" si="43"/>
        <v>0</v>
      </c>
      <c r="H232" s="65">
        <f t="shared" si="43"/>
        <v>0</v>
      </c>
      <c r="I232" s="38">
        <f t="shared" si="36"/>
        <v>5214690.6700000009</v>
      </c>
      <c r="J232" s="39">
        <f>SUM(J222:J231)</f>
        <v>0.99999999999999967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2020</v>
      </c>
      <c r="F234" s="62"/>
      <c r="G234" s="62"/>
      <c r="H234" s="62"/>
      <c r="I234" s="33"/>
      <c r="J234" s="32">
        <v>2020</v>
      </c>
    </row>
    <row r="235" spans="1:10" ht="92.25" x14ac:dyDescent="0.85">
      <c r="A235" s="33"/>
      <c r="B235" s="62"/>
      <c r="C235" s="62"/>
      <c r="D235" s="62"/>
      <c r="E235" s="162" t="s">
        <v>538</v>
      </c>
      <c r="F235" s="62"/>
      <c r="G235" s="62"/>
      <c r="H235" s="62"/>
      <c r="I235" s="33"/>
      <c r="J235" s="32" t="s">
        <v>337</v>
      </c>
    </row>
    <row r="236" spans="1:10" ht="92.25" x14ac:dyDescent="1.35">
      <c r="B236" s="60"/>
      <c r="C236" s="60"/>
      <c r="D236" s="60"/>
      <c r="E236" s="163" t="s">
        <v>338</v>
      </c>
      <c r="F236" s="60"/>
      <c r="G236" s="60"/>
      <c r="H236" s="60"/>
      <c r="J236" s="32" t="s">
        <v>335</v>
      </c>
    </row>
    <row r="237" spans="1:10" ht="92.25" x14ac:dyDescent="1.35">
      <c r="B237" s="60"/>
      <c r="C237" s="60"/>
      <c r="D237" s="60"/>
      <c r="E237" s="164">
        <f>A189</f>
        <v>43951</v>
      </c>
      <c r="F237" s="60"/>
      <c r="G237" s="60"/>
      <c r="H237" s="60"/>
      <c r="I237" s="32" t="s">
        <v>203</v>
      </c>
      <c r="J237" s="32" t="s">
        <v>203</v>
      </c>
    </row>
    <row r="238" spans="1:10" x14ac:dyDescent="0.85">
      <c r="B238" s="63" t="s">
        <v>208</v>
      </c>
      <c r="C238" s="63" t="s">
        <v>210</v>
      </c>
      <c r="D238" s="63" t="s">
        <v>209</v>
      </c>
      <c r="E238" s="63" t="s">
        <v>211</v>
      </c>
      <c r="F238" s="63" t="s">
        <v>212</v>
      </c>
      <c r="G238" s="63" t="s">
        <v>397</v>
      </c>
      <c r="H238" s="63" t="s">
        <v>409</v>
      </c>
      <c r="I238" s="34">
        <v>2020</v>
      </c>
      <c r="J238" s="32" t="s">
        <v>333</v>
      </c>
    </row>
    <row r="239" spans="1:10" x14ac:dyDescent="0.85">
      <c r="A239" s="35" t="s">
        <v>475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230</v>
      </c>
      <c r="B240" s="64">
        <v>166800</v>
      </c>
      <c r="C240" s="64">
        <v>15000</v>
      </c>
      <c r="D240" s="64">
        <v>150000</v>
      </c>
      <c r="E240" s="64">
        <v>0</v>
      </c>
      <c r="F240" s="64">
        <v>4000</v>
      </c>
      <c r="G240" s="64">
        <v>0</v>
      </c>
      <c r="H240" s="64">
        <v>0</v>
      </c>
      <c r="I240" s="36">
        <f t="shared" si="36"/>
        <v>335800</v>
      </c>
      <c r="J240" s="37">
        <f t="shared" ref="J240:J261" si="44">I240/$I$262</f>
        <v>0.22954179684060805</v>
      </c>
    </row>
    <row r="241" spans="1:10" x14ac:dyDescent="0.85">
      <c r="A241" s="31" t="s">
        <v>231</v>
      </c>
      <c r="B241" s="64">
        <v>12501.609999999999</v>
      </c>
      <c r="C241" s="64">
        <v>0</v>
      </c>
      <c r="D241" s="64">
        <v>-3572.62</v>
      </c>
      <c r="E241" s="64">
        <v>0</v>
      </c>
      <c r="F241" s="64">
        <v>3287.5</v>
      </c>
      <c r="G241" s="64">
        <v>161.63</v>
      </c>
      <c r="H241" s="64">
        <v>0</v>
      </c>
      <c r="I241" s="36">
        <f t="shared" si="36"/>
        <v>12378.119999999997</v>
      </c>
      <c r="J241" s="37">
        <f t="shared" si="44"/>
        <v>8.4612742891860236E-3</v>
      </c>
    </row>
    <row r="242" spans="1:10" x14ac:dyDescent="0.85">
      <c r="A242" s="31" t="s">
        <v>232</v>
      </c>
      <c r="B242" s="64">
        <v>5257.74</v>
      </c>
      <c r="C242" s="64">
        <v>0</v>
      </c>
      <c r="D242" s="64">
        <v>5892.38</v>
      </c>
      <c r="E242" s="64">
        <v>0</v>
      </c>
      <c r="F242" s="64">
        <v>35941.71</v>
      </c>
      <c r="G242" s="64">
        <v>0</v>
      </c>
      <c r="H242" s="64">
        <v>0</v>
      </c>
      <c r="I242" s="36">
        <f t="shared" si="36"/>
        <v>47091.83</v>
      </c>
      <c r="J242" s="37">
        <f t="shared" si="44"/>
        <v>3.2190420710876869E-2</v>
      </c>
    </row>
    <row r="243" spans="1:10" x14ac:dyDescent="0.85">
      <c r="A243" s="31" t="s">
        <v>331</v>
      </c>
      <c r="B243" s="64">
        <v>664.62</v>
      </c>
      <c r="C243" s="64">
        <v>0</v>
      </c>
      <c r="D243" s="64">
        <v>215.28</v>
      </c>
      <c r="E243" s="64">
        <v>0</v>
      </c>
      <c r="F243" s="64">
        <v>1092.7</v>
      </c>
      <c r="G243" s="64">
        <v>0</v>
      </c>
      <c r="H243" s="64">
        <v>0</v>
      </c>
      <c r="I243" s="36">
        <f t="shared" si="36"/>
        <v>1972.6</v>
      </c>
      <c r="J243" s="37">
        <f t="shared" si="44"/>
        <v>1.3484042538647511E-3</v>
      </c>
    </row>
    <row r="244" spans="1:10" x14ac:dyDescent="0.85">
      <c r="A244" s="31" t="s">
        <v>286</v>
      </c>
      <c r="B244" s="64">
        <v>890.12</v>
      </c>
      <c r="C244" s="64">
        <v>0</v>
      </c>
      <c r="D244" s="64">
        <v>1100</v>
      </c>
      <c r="E244" s="64">
        <v>0</v>
      </c>
      <c r="F244" s="64">
        <v>2912.1800000000003</v>
      </c>
      <c r="G244" s="64">
        <v>0</v>
      </c>
      <c r="H244" s="64">
        <v>0</v>
      </c>
      <c r="I244" s="36">
        <f t="shared" si="36"/>
        <v>4902.3</v>
      </c>
      <c r="J244" s="37">
        <f t="shared" si="44"/>
        <v>3.3510504784148684E-3</v>
      </c>
    </row>
    <row r="245" spans="1:10" x14ac:dyDescent="0.85">
      <c r="A245" s="31" t="s">
        <v>435</v>
      </c>
      <c r="B245" s="64">
        <v>10000</v>
      </c>
      <c r="C245" s="64">
        <v>0</v>
      </c>
      <c r="D245" s="64">
        <v>8400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18400</v>
      </c>
      <c r="J245" s="37">
        <f t="shared" si="44"/>
        <v>1.2577632703594962E-2</v>
      </c>
    </row>
    <row r="246" spans="1:10" x14ac:dyDescent="0.85">
      <c r="A246" s="31" t="s">
        <v>233</v>
      </c>
      <c r="B246" s="64">
        <v>44097.82</v>
      </c>
      <c r="C246" s="64">
        <v>0</v>
      </c>
      <c r="D246" s="64">
        <v>11027.880000000001</v>
      </c>
      <c r="E246" s="64">
        <v>0</v>
      </c>
      <c r="F246" s="64">
        <v>1347.65</v>
      </c>
      <c r="G246" s="64">
        <v>0</v>
      </c>
      <c r="H246" s="64">
        <v>0</v>
      </c>
      <c r="I246" s="36">
        <f t="shared" si="36"/>
        <v>56473.35</v>
      </c>
      <c r="J246" s="37">
        <f t="shared" si="44"/>
        <v>3.8603318143563291E-2</v>
      </c>
    </row>
    <row r="247" spans="1:10" x14ac:dyDescent="0.85">
      <c r="A247" s="31" t="s">
        <v>366</v>
      </c>
      <c r="B247" s="64"/>
      <c r="C247" s="64">
        <v>0</v>
      </c>
      <c r="D247" s="64">
        <v>0</v>
      </c>
      <c r="E247" s="64">
        <v>0</v>
      </c>
      <c r="F247" s="64">
        <v>2576.14</v>
      </c>
      <c r="G247" s="64">
        <v>0</v>
      </c>
      <c r="H247" s="64">
        <v>0</v>
      </c>
      <c r="I247" s="36">
        <f t="shared" si="36"/>
        <v>2576.14</v>
      </c>
      <c r="J247" s="37">
        <f t="shared" si="44"/>
        <v>1.760964277882561E-3</v>
      </c>
    </row>
    <row r="248" spans="1:10" x14ac:dyDescent="0.85">
      <c r="A248" s="31" t="s">
        <v>235</v>
      </c>
      <c r="B248" s="64">
        <v>37072.199999999997</v>
      </c>
      <c r="C248" s="64">
        <v>0</v>
      </c>
      <c r="D248" s="64">
        <v>24051.72</v>
      </c>
      <c r="E248" s="64">
        <v>0</v>
      </c>
      <c r="F248" s="64">
        <v>919.43000000000006</v>
      </c>
      <c r="G248" s="64">
        <v>0</v>
      </c>
      <c r="H248" s="64">
        <v>0</v>
      </c>
      <c r="I248" s="36">
        <f t="shared" si="36"/>
        <v>62043.35</v>
      </c>
      <c r="J248" s="37">
        <f t="shared" si="44"/>
        <v>4.2410786304379805E-2</v>
      </c>
    </row>
    <row r="249" spans="1:10" x14ac:dyDescent="0.85">
      <c r="A249" s="31" t="s">
        <v>236</v>
      </c>
      <c r="B249" s="64">
        <v>11429.77</v>
      </c>
      <c r="C249" s="64">
        <v>0</v>
      </c>
      <c r="D249" s="64">
        <v>1673.7399999999998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13103.51</v>
      </c>
      <c r="J249" s="37">
        <f t="shared" si="44"/>
        <v>8.9571269515154144E-3</v>
      </c>
    </row>
    <row r="250" spans="1:10" x14ac:dyDescent="0.85">
      <c r="A250" s="31" t="s">
        <v>234</v>
      </c>
      <c r="B250" s="64">
        <v>22353.66</v>
      </c>
      <c r="C250" s="64">
        <v>300</v>
      </c>
      <c r="D250" s="64">
        <v>90625.04</v>
      </c>
      <c r="E250" s="64">
        <v>0</v>
      </c>
      <c r="F250" s="64">
        <v>10594.33</v>
      </c>
      <c r="G250" s="64">
        <v>0</v>
      </c>
      <c r="H250" s="64">
        <v>0</v>
      </c>
      <c r="I250" s="36">
        <f t="shared" si="36"/>
        <v>123873.03</v>
      </c>
      <c r="J250" s="37">
        <f t="shared" si="44"/>
        <v>8.4675514848989122E-2</v>
      </c>
    </row>
    <row r="251" spans="1:10" x14ac:dyDescent="0.85">
      <c r="A251" s="31" t="s">
        <v>351</v>
      </c>
      <c r="B251" s="64">
        <v>0</v>
      </c>
      <c r="C251" s="64">
        <v>0</v>
      </c>
      <c r="D251" s="64">
        <v>0</v>
      </c>
      <c r="E251" s="64">
        <v>0</v>
      </c>
      <c r="F251" s="64">
        <v>9098.15</v>
      </c>
      <c r="G251" s="64">
        <v>0</v>
      </c>
      <c r="H251" s="64">
        <v>0</v>
      </c>
      <c r="I251" s="36">
        <f t="shared" si="36"/>
        <v>9098.15</v>
      </c>
      <c r="J251" s="37">
        <f t="shared" si="44"/>
        <v>6.219195053381114E-3</v>
      </c>
    </row>
    <row r="252" spans="1:10" x14ac:dyDescent="0.85">
      <c r="A252" s="31" t="s">
        <v>237</v>
      </c>
      <c r="B252" s="64">
        <v>44119.18</v>
      </c>
      <c r="C252" s="64">
        <v>0</v>
      </c>
      <c r="D252" s="64">
        <v>0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44119.18</v>
      </c>
      <c r="J252" s="37">
        <f t="shared" si="44"/>
        <v>3.0158415283901781E-2</v>
      </c>
    </row>
    <row r="253" spans="1:10" x14ac:dyDescent="0.85">
      <c r="A253" s="31" t="s">
        <v>238</v>
      </c>
      <c r="B253" s="64">
        <v>6576.24</v>
      </c>
      <c r="C253" s="64">
        <v>0</v>
      </c>
      <c r="D253" s="64">
        <v>1602.28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8178.5199999999995</v>
      </c>
      <c r="J253" s="37">
        <f t="shared" si="44"/>
        <v>5.5905663379894272E-3</v>
      </c>
    </row>
    <row r="254" spans="1:10" x14ac:dyDescent="0.85">
      <c r="A254" s="31" t="s">
        <v>239</v>
      </c>
      <c r="B254" s="64">
        <v>0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0</v>
      </c>
      <c r="J254" s="37">
        <f t="shared" si="44"/>
        <v>0</v>
      </c>
    </row>
    <row r="255" spans="1:10" x14ac:dyDescent="0.85">
      <c r="A255" s="31" t="s">
        <v>240</v>
      </c>
      <c r="B255" s="64">
        <v>427204.03</v>
      </c>
      <c r="C255" s="64">
        <v>1673.16</v>
      </c>
      <c r="D255" s="64">
        <v>53828.75</v>
      </c>
      <c r="E255" s="64">
        <v>0</v>
      </c>
      <c r="F255" s="64">
        <v>33649.08</v>
      </c>
      <c r="G255" s="64">
        <v>37007.090000000004</v>
      </c>
      <c r="H255" s="64">
        <v>58185.68</v>
      </c>
      <c r="I255" s="36">
        <f t="shared" si="36"/>
        <v>611547.79</v>
      </c>
      <c r="J255" s="37">
        <f t="shared" si="44"/>
        <v>0.41803388496278393</v>
      </c>
    </row>
    <row r="256" spans="1:10" x14ac:dyDescent="0.85">
      <c r="A256" s="31" t="s">
        <v>250</v>
      </c>
      <c r="B256" s="64">
        <v>4304.5599999999995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4304.5599999999995</v>
      </c>
      <c r="J256" s="37">
        <f t="shared" si="44"/>
        <v>2.9424551429666698E-3</v>
      </c>
    </row>
    <row r="257" spans="1:10" x14ac:dyDescent="0.85">
      <c r="A257" s="31" t="s">
        <v>348</v>
      </c>
      <c r="B257" s="64">
        <v>110</v>
      </c>
      <c r="C257" s="64">
        <v>0</v>
      </c>
      <c r="D257" s="64">
        <v>110</v>
      </c>
      <c r="E257" s="64">
        <v>110</v>
      </c>
      <c r="F257" s="64">
        <v>110</v>
      </c>
      <c r="G257" s="64">
        <v>0</v>
      </c>
      <c r="H257" s="64">
        <v>0</v>
      </c>
      <c r="I257" s="36">
        <f t="shared" si="36"/>
        <v>440</v>
      </c>
      <c r="J257" s="37">
        <f t="shared" si="44"/>
        <v>3.0076947769466214E-4</v>
      </c>
    </row>
    <row r="258" spans="1:10" x14ac:dyDescent="0.85">
      <c r="A258" s="31" t="s">
        <v>243</v>
      </c>
      <c r="B258" s="64">
        <v>6646.21</v>
      </c>
      <c r="C258" s="64">
        <v>477</v>
      </c>
      <c r="D258" s="64">
        <v>5448.72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12571.93</v>
      </c>
      <c r="J258" s="37">
        <f t="shared" si="44"/>
        <v>8.5937564084405758E-3</v>
      </c>
    </row>
    <row r="259" spans="1:10" x14ac:dyDescent="0.85">
      <c r="A259" s="31" t="s">
        <v>244</v>
      </c>
      <c r="B259" s="64">
        <v>34309.08</v>
      </c>
      <c r="C259" s="64">
        <v>1350</v>
      </c>
      <c r="D259" s="64">
        <v>29810.33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65469.41</v>
      </c>
      <c r="J259" s="37">
        <f t="shared" si="44"/>
        <v>4.4752727842449297E-2</v>
      </c>
    </row>
    <row r="260" spans="1:10" x14ac:dyDescent="0.85">
      <c r="A260" s="31" t="s">
        <v>360</v>
      </c>
      <c r="B260" s="64">
        <v>8913.15</v>
      </c>
      <c r="C260" s="64">
        <v>0</v>
      </c>
      <c r="D260" s="64">
        <v>116.71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9029.8599999999988</v>
      </c>
      <c r="J260" s="37">
        <f t="shared" si="44"/>
        <v>6.1725142633089125E-3</v>
      </c>
    </row>
    <row r="261" spans="1:10" x14ac:dyDescent="0.85">
      <c r="A261" s="31" t="s">
        <v>361</v>
      </c>
      <c r="B261" s="64">
        <v>10208.789999999999</v>
      </c>
      <c r="C261" s="64">
        <v>4750.5999999999995</v>
      </c>
      <c r="D261" s="64">
        <v>1350.94</v>
      </c>
      <c r="E261" s="64">
        <v>0</v>
      </c>
      <c r="F261" s="64">
        <v>3230.44</v>
      </c>
      <c r="G261" s="64">
        <v>0</v>
      </c>
      <c r="H261" s="64">
        <v>0</v>
      </c>
      <c r="I261" s="36">
        <f t="shared" si="36"/>
        <v>19540.77</v>
      </c>
      <c r="J261" s="37">
        <f t="shared" si="44"/>
        <v>1.3357425424208006E-2</v>
      </c>
    </row>
    <row r="262" spans="1:10" x14ac:dyDescent="0.85">
      <c r="A262" s="35" t="s">
        <v>245</v>
      </c>
      <c r="B262" s="65">
        <f t="shared" ref="B262:H262" si="45">SUM(B240:B261)</f>
        <v>853458.78</v>
      </c>
      <c r="C262" s="65">
        <f t="shared" si="45"/>
        <v>23550.76</v>
      </c>
      <c r="D262" s="65">
        <f t="shared" si="45"/>
        <v>381681.15</v>
      </c>
      <c r="E262" s="65">
        <f t="shared" si="45"/>
        <v>110</v>
      </c>
      <c r="F262" s="65">
        <f t="shared" si="45"/>
        <v>108759.31</v>
      </c>
      <c r="G262" s="65">
        <f t="shared" si="45"/>
        <v>37168.720000000001</v>
      </c>
      <c r="H262" s="65">
        <f t="shared" si="45"/>
        <v>58185.68</v>
      </c>
      <c r="I262" s="38">
        <f t="shared" si="36"/>
        <v>1462914.4</v>
      </c>
      <c r="J262" s="39">
        <f>SUM(J240:J261)</f>
        <v>1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246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247</v>
      </c>
      <c r="B265" s="64">
        <v>6102.99</v>
      </c>
      <c r="C265" s="64">
        <v>0</v>
      </c>
      <c r="D265" s="64">
        <v>711.54000000000008</v>
      </c>
      <c r="E265" s="64">
        <v>0</v>
      </c>
      <c r="F265" s="64">
        <v>1551.92</v>
      </c>
      <c r="G265" s="64">
        <v>0</v>
      </c>
      <c r="H265" s="64">
        <v>0</v>
      </c>
      <c r="I265" s="36">
        <f t="shared" si="36"/>
        <v>8366.4500000000007</v>
      </c>
      <c r="J265" s="37">
        <f t="shared" ref="J265:J286" si="46">I265/$I$287</f>
        <v>2.6838285157256964E-2</v>
      </c>
    </row>
    <row r="266" spans="1:10" x14ac:dyDescent="0.85">
      <c r="A266" s="31" t="s">
        <v>383</v>
      </c>
      <c r="B266" s="64">
        <v>738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738</v>
      </c>
      <c r="J266" s="37">
        <f t="shared" si="46"/>
        <v>2.3673905235859459E-3</v>
      </c>
    </row>
    <row r="267" spans="1:10" x14ac:dyDescent="0.85">
      <c r="A267" s="31" t="s">
        <v>530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248</v>
      </c>
      <c r="B268" s="64">
        <v>29321.519999999997</v>
      </c>
      <c r="C268" s="64">
        <v>391.37</v>
      </c>
      <c r="D268" s="64">
        <v>1097.3600000000001</v>
      </c>
      <c r="E268" s="64">
        <v>7.8900000000000006</v>
      </c>
      <c r="F268" s="64">
        <v>0</v>
      </c>
      <c r="G268" s="64">
        <v>0</v>
      </c>
      <c r="H268" s="64">
        <v>0</v>
      </c>
      <c r="I268" s="36">
        <f t="shared" si="36"/>
        <v>30818.139999999996</v>
      </c>
      <c r="J268" s="37">
        <f t="shared" si="46"/>
        <v>9.8859854458733035E-2</v>
      </c>
    </row>
    <row r="269" spans="1:10" x14ac:dyDescent="0.85">
      <c r="A269" s="31" t="s">
        <v>355</v>
      </c>
      <c r="B269" s="64">
        <v>0</v>
      </c>
      <c r="C269" s="64">
        <v>0</v>
      </c>
      <c r="D269" s="64">
        <v>0</v>
      </c>
      <c r="E269" s="64">
        <v>0</v>
      </c>
      <c r="F269" s="64">
        <v>3386.15</v>
      </c>
      <c r="G269" s="64">
        <v>0</v>
      </c>
      <c r="H269" s="64">
        <v>0</v>
      </c>
      <c r="I269" s="36">
        <f>SUM(B269:H269)</f>
        <v>3386.15</v>
      </c>
      <c r="J269" s="37">
        <f t="shared" si="46"/>
        <v>1.0862248538537332E-2</v>
      </c>
    </row>
    <row r="270" spans="1:10" x14ac:dyDescent="0.85">
      <c r="A270" s="31" t="s">
        <v>249</v>
      </c>
      <c r="B270" s="64">
        <v>7094.8099999999995</v>
      </c>
      <c r="C270" s="64">
        <v>0</v>
      </c>
      <c r="D270" s="64">
        <v>0</v>
      </c>
      <c r="E270" s="64">
        <v>0</v>
      </c>
      <c r="F270" s="64">
        <v>179.83</v>
      </c>
      <c r="G270" s="64">
        <v>3443.72</v>
      </c>
      <c r="H270" s="64">
        <v>0</v>
      </c>
      <c r="I270" s="36">
        <f t="shared" si="36"/>
        <v>10718.359999999999</v>
      </c>
      <c r="J270" s="37">
        <f t="shared" si="46"/>
        <v>3.4382850802686528E-2</v>
      </c>
    </row>
    <row r="271" spans="1:10" x14ac:dyDescent="0.85">
      <c r="A271" s="31" t="s">
        <v>352</v>
      </c>
      <c r="B271" s="64">
        <v>78333.320000000007</v>
      </c>
      <c r="C271" s="64">
        <v>1540</v>
      </c>
      <c r="D271" s="64">
        <v>13000</v>
      </c>
      <c r="E271" s="64">
        <v>1000</v>
      </c>
      <c r="F271" s="64">
        <v>1000</v>
      </c>
      <c r="G271" s="64">
        <v>1000</v>
      </c>
      <c r="H271" s="64">
        <v>1333.32</v>
      </c>
      <c r="I271" s="36">
        <f t="shared" si="36"/>
        <v>97206.640000000014</v>
      </c>
      <c r="J271" s="37">
        <f t="shared" si="46"/>
        <v>0.31182395442497368</v>
      </c>
    </row>
    <row r="272" spans="1:10" x14ac:dyDescent="0.85">
      <c r="A272" s="31" t="s">
        <v>353</v>
      </c>
      <c r="B272" s="64">
        <v>33750</v>
      </c>
      <c r="C272" s="64">
        <v>11434.29</v>
      </c>
      <c r="D272" s="64">
        <v>10500</v>
      </c>
      <c r="E272" s="64">
        <v>0</v>
      </c>
      <c r="F272" s="64">
        <v>4500</v>
      </c>
      <c r="G272" s="64">
        <v>0</v>
      </c>
      <c r="H272" s="64">
        <v>0</v>
      </c>
      <c r="I272" s="36">
        <f>SUM(B272:H272)</f>
        <v>60184.29</v>
      </c>
      <c r="J272" s="37">
        <f t="shared" si="46"/>
        <v>0.19306194825846668</v>
      </c>
    </row>
    <row r="273" spans="1:10" x14ac:dyDescent="0.85">
      <c r="A273" s="31" t="s">
        <v>354</v>
      </c>
      <c r="B273" s="64">
        <v>29156.6</v>
      </c>
      <c r="C273" s="64">
        <v>8510</v>
      </c>
      <c r="D273" s="64">
        <v>1333.32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38999.919999999998</v>
      </c>
      <c r="J273" s="37">
        <f t="shared" si="46"/>
        <v>0.12510574665123306</v>
      </c>
    </row>
    <row r="274" spans="1:10" x14ac:dyDescent="0.85">
      <c r="A274" s="31" t="s">
        <v>392</v>
      </c>
      <c r="B274" s="64">
        <v>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0</v>
      </c>
      <c r="J274" s="37">
        <f t="shared" si="46"/>
        <v>0</v>
      </c>
    </row>
    <row r="275" spans="1:10" x14ac:dyDescent="0.85">
      <c r="A275" s="31" t="s">
        <v>381</v>
      </c>
      <c r="B275" s="64">
        <v>0</v>
      </c>
      <c r="C275" s="64">
        <v>0</v>
      </c>
      <c r="D275" s="64">
        <v>3666.67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3666.67</v>
      </c>
      <c r="J275" s="37">
        <f t="shared" si="46"/>
        <v>1.1762113565199026E-2</v>
      </c>
    </row>
    <row r="276" spans="1:10" x14ac:dyDescent="0.85">
      <c r="A276" s="31" t="s">
        <v>619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251</v>
      </c>
      <c r="B277" s="64">
        <v>4296.8599999999997</v>
      </c>
      <c r="C277" s="64">
        <v>0</v>
      </c>
      <c r="D277" s="64">
        <v>0</v>
      </c>
      <c r="E277" s="64">
        <v>0</v>
      </c>
      <c r="F277" s="64">
        <v>2123.89</v>
      </c>
      <c r="G277" s="64">
        <v>0</v>
      </c>
      <c r="H277" s="64">
        <v>0</v>
      </c>
      <c r="I277" s="36">
        <f t="shared" si="36"/>
        <v>6420.75</v>
      </c>
      <c r="J277" s="37">
        <f t="shared" si="46"/>
        <v>2.0596778732133419E-2</v>
      </c>
    </row>
    <row r="278" spans="1:10" x14ac:dyDescent="0.85">
      <c r="A278" s="31" t="s">
        <v>252</v>
      </c>
      <c r="B278" s="64">
        <v>3988</v>
      </c>
      <c r="C278" s="64">
        <v>0</v>
      </c>
      <c r="D278" s="64">
        <v>225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4213</v>
      </c>
      <c r="J278" s="37">
        <f t="shared" si="46"/>
        <v>1.3514656200362589E-2</v>
      </c>
    </row>
    <row r="279" spans="1:10" x14ac:dyDescent="0.85">
      <c r="A279" s="31" t="s">
        <v>253</v>
      </c>
      <c r="B279" s="64">
        <v>2927.44</v>
      </c>
      <c r="C279" s="64">
        <v>0</v>
      </c>
      <c r="D279" s="64">
        <v>2205.44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5132.88</v>
      </c>
      <c r="J279" s="37">
        <f t="shared" si="46"/>
        <v>1.6465489797701668E-2</v>
      </c>
    </row>
    <row r="280" spans="1:10" x14ac:dyDescent="0.85">
      <c r="A280" s="31" t="s">
        <v>290</v>
      </c>
      <c r="B280" s="64">
        <v>0</v>
      </c>
      <c r="C280" s="64">
        <v>0</v>
      </c>
      <c r="D280" s="64">
        <v>300</v>
      </c>
      <c r="E280" s="64">
        <v>0</v>
      </c>
      <c r="F280" s="64">
        <v>0</v>
      </c>
      <c r="G280" s="64">
        <v>0</v>
      </c>
      <c r="H280" s="64">
        <v>0</v>
      </c>
      <c r="I280" s="36">
        <f>SUM(B280:H280)</f>
        <v>300</v>
      </c>
      <c r="J280" s="37">
        <f t="shared" si="46"/>
        <v>9.6235387137640082E-4</v>
      </c>
    </row>
    <row r="281" spans="1:10" x14ac:dyDescent="0.85">
      <c r="A281" s="31" t="s">
        <v>367</v>
      </c>
      <c r="B281" s="64">
        <v>2479.3199999999997</v>
      </c>
      <c r="C281" s="64">
        <v>28.69</v>
      </c>
      <c r="D281" s="64">
        <v>0</v>
      </c>
      <c r="E281" s="64">
        <v>0</v>
      </c>
      <c r="F281" s="64">
        <v>8438.91</v>
      </c>
      <c r="G281" s="64">
        <v>0</v>
      </c>
      <c r="H281" s="64">
        <v>0</v>
      </c>
      <c r="I281" s="36">
        <f>SUM(B281:H281)</f>
        <v>10946.92</v>
      </c>
      <c r="J281" s="37">
        <f t="shared" si="46"/>
        <v>3.5116036138825829E-2</v>
      </c>
    </row>
    <row r="282" spans="1:10" x14ac:dyDescent="0.85">
      <c r="A282" s="31" t="s">
        <v>254</v>
      </c>
      <c r="B282" s="64">
        <v>8986.0499999999993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8986.0499999999993</v>
      </c>
      <c r="J282" s="37">
        <f t="shared" si="46"/>
        <v>2.882586668627302E-2</v>
      </c>
    </row>
    <row r="283" spans="1:10" x14ac:dyDescent="0.85">
      <c r="A283" s="31" t="s">
        <v>255</v>
      </c>
      <c r="B283" s="64">
        <v>8351</v>
      </c>
      <c r="C283" s="64">
        <v>0</v>
      </c>
      <c r="D283" s="64">
        <v>365.96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8716.9599999999991</v>
      </c>
      <c r="J283" s="37">
        <f t="shared" si="46"/>
        <v>2.7962667342110767E-2</v>
      </c>
    </row>
    <row r="284" spans="1:10" x14ac:dyDescent="0.85">
      <c r="A284" s="31" t="s">
        <v>612</v>
      </c>
      <c r="B284" s="64">
        <v>55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55</v>
      </c>
      <c r="J284" s="37">
        <f t="shared" si="46"/>
        <v>1.7643154308567347E-4</v>
      </c>
    </row>
    <row r="285" spans="1:10" x14ac:dyDescent="0.85">
      <c r="A285" s="31" t="s">
        <v>256</v>
      </c>
      <c r="B285" s="64">
        <v>1117.76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1117.76</v>
      </c>
      <c r="J285" s="37">
        <f t="shared" si="46"/>
        <v>3.5856022108989526E-3</v>
      </c>
    </row>
    <row r="286" spans="1:10" x14ac:dyDescent="0.85">
      <c r="A286" s="31" t="s">
        <v>257</v>
      </c>
      <c r="B286" s="64">
        <v>11015.49</v>
      </c>
      <c r="C286" s="64">
        <v>0</v>
      </c>
      <c r="D286" s="64">
        <v>746.21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11761.7</v>
      </c>
      <c r="J286" s="37">
        <f t="shared" si="46"/>
        <v>3.7729725096559377E-2</v>
      </c>
    </row>
    <row r="287" spans="1:10" x14ac:dyDescent="0.85">
      <c r="A287" s="35" t="s">
        <v>259</v>
      </c>
      <c r="B287" s="65">
        <f t="shared" ref="B287:H287" si="47">SUM(B265:B286)</f>
        <v>227714.16</v>
      </c>
      <c r="C287" s="65">
        <f t="shared" si="47"/>
        <v>21904.35</v>
      </c>
      <c r="D287" s="65">
        <f t="shared" si="47"/>
        <v>34151.5</v>
      </c>
      <c r="E287" s="65">
        <f t="shared" si="47"/>
        <v>1007.89</v>
      </c>
      <c r="F287" s="65">
        <f t="shared" si="47"/>
        <v>21180.699999999997</v>
      </c>
      <c r="G287" s="65">
        <f t="shared" si="47"/>
        <v>4443.7199999999993</v>
      </c>
      <c r="H287" s="65">
        <f t="shared" si="47"/>
        <v>1333.32</v>
      </c>
      <c r="I287" s="38">
        <f>SUM(B287:H287)</f>
        <v>311735.64</v>
      </c>
      <c r="J287" s="39">
        <f>SUM(J265:J286)</f>
        <v>1.0000000000000002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260</v>
      </c>
      <c r="B289" s="66">
        <f t="shared" ref="B289:G289" si="48">B232+B262+B287</f>
        <v>5556342.4600000009</v>
      </c>
      <c r="C289" s="66">
        <f t="shared" si="48"/>
        <v>136124.30000000002</v>
      </c>
      <c r="D289" s="66">
        <f t="shared" si="48"/>
        <v>925938.99000000011</v>
      </c>
      <c r="E289" s="66">
        <f t="shared" si="48"/>
        <v>1117.8899999999999</v>
      </c>
      <c r="F289" s="66">
        <f t="shared" si="48"/>
        <v>268685.63</v>
      </c>
      <c r="G289" s="66">
        <f t="shared" si="48"/>
        <v>41612.44</v>
      </c>
      <c r="H289" s="66">
        <f>H232+H262+H287</f>
        <v>59519</v>
      </c>
      <c r="I289" s="40">
        <f>SUM(B289:H289)</f>
        <v>6989340.7100000009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2020</v>
      </c>
      <c r="F291" s="62"/>
      <c r="G291" s="62"/>
      <c r="H291" s="62"/>
      <c r="I291" s="33"/>
      <c r="J291" s="32">
        <v>2020</v>
      </c>
    </row>
    <row r="292" spans="1:32" ht="92.25" x14ac:dyDescent="0.85">
      <c r="A292" s="33"/>
      <c r="B292" s="62"/>
      <c r="C292" s="62"/>
      <c r="D292" s="62"/>
      <c r="E292" s="162" t="s">
        <v>538</v>
      </c>
      <c r="F292" s="62"/>
      <c r="G292" s="62"/>
      <c r="H292" s="62"/>
      <c r="I292" s="33"/>
      <c r="J292" s="32" t="s">
        <v>337</v>
      </c>
    </row>
    <row r="293" spans="1:32" ht="92.25" x14ac:dyDescent="1.35">
      <c r="B293" s="60"/>
      <c r="C293" s="60"/>
      <c r="D293" s="60"/>
      <c r="E293" s="163" t="s">
        <v>338</v>
      </c>
      <c r="F293" s="60"/>
      <c r="G293" s="60"/>
      <c r="H293" s="60"/>
      <c r="J293" s="32" t="s">
        <v>335</v>
      </c>
    </row>
    <row r="294" spans="1:32" ht="92.25" x14ac:dyDescent="1.35">
      <c r="B294" s="60"/>
      <c r="C294" s="60"/>
      <c r="D294" s="60"/>
      <c r="E294" s="164">
        <f>E237</f>
        <v>43951</v>
      </c>
      <c r="F294" s="60"/>
      <c r="G294" s="60"/>
      <c r="H294" s="60"/>
      <c r="I294" s="32" t="s">
        <v>203</v>
      </c>
      <c r="J294" s="32" t="s">
        <v>203</v>
      </c>
    </row>
    <row r="295" spans="1:32" x14ac:dyDescent="0.85">
      <c r="B295" s="63" t="s">
        <v>208</v>
      </c>
      <c r="C295" s="63" t="s">
        <v>210</v>
      </c>
      <c r="D295" s="63" t="s">
        <v>209</v>
      </c>
      <c r="E295" s="63" t="s">
        <v>211</v>
      </c>
      <c r="F295" s="63" t="s">
        <v>212</v>
      </c>
      <c r="G295" s="63" t="s">
        <v>397</v>
      </c>
      <c r="H295" s="63" t="s">
        <v>409</v>
      </c>
      <c r="I295" s="34">
        <v>2020</v>
      </c>
      <c r="J295" s="32" t="s">
        <v>333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452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263</v>
      </c>
      <c r="B298" s="64">
        <v>50000</v>
      </c>
      <c r="C298" s="64">
        <v>0</v>
      </c>
      <c r="D298" s="64">
        <v>50000</v>
      </c>
      <c r="E298" s="64">
        <v>0</v>
      </c>
      <c r="F298" s="64">
        <v>21000</v>
      </c>
      <c r="G298" s="64">
        <v>85800</v>
      </c>
      <c r="H298" s="64">
        <v>130000</v>
      </c>
      <c r="I298" s="36">
        <f>SUM(B298:H298)</f>
        <v>336800</v>
      </c>
      <c r="J298" s="37"/>
    </row>
    <row r="299" spans="1:32" s="74" customFormat="1" x14ac:dyDescent="0.85">
      <c r="A299" s="31" t="s">
        <v>264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322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378</v>
      </c>
      <c r="B301" s="64">
        <v>1408.25</v>
      </c>
      <c r="C301" s="64">
        <v>-1408.25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265</v>
      </c>
      <c r="B302" s="64">
        <v>52599</v>
      </c>
      <c r="C302" s="64">
        <v>0</v>
      </c>
      <c r="D302" s="64">
        <v>6587.7199999999993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ref="I302:I315" si="49">SUM(B302:H302)</f>
        <v>59186.720000000001</v>
      </c>
      <c r="J302" s="37"/>
    </row>
    <row r="303" spans="1:32" x14ac:dyDescent="0.85">
      <c r="A303" s="31" t="s">
        <v>266</v>
      </c>
      <c r="B303" s="64">
        <v>87335.18</v>
      </c>
      <c r="C303" s="64">
        <v>1190</v>
      </c>
      <c r="D303" s="64">
        <v>57475</v>
      </c>
      <c r="E303" s="64">
        <v>22848.980000000003</v>
      </c>
      <c r="F303" s="64">
        <v>2520.83</v>
      </c>
      <c r="G303" s="64">
        <v>17940.059999999998</v>
      </c>
      <c r="H303" s="64">
        <v>7562.5</v>
      </c>
      <c r="I303" s="36">
        <f>SUM(B303:H303)</f>
        <v>196872.55</v>
      </c>
      <c r="J303" s="37"/>
    </row>
    <row r="304" spans="1:32" x14ac:dyDescent="0.85">
      <c r="A304" s="31" t="s">
        <v>267</v>
      </c>
      <c r="B304" s="64">
        <v>-119592.64000000001</v>
      </c>
      <c r="C304" s="64">
        <v>0</v>
      </c>
      <c r="D304" s="64">
        <v>0</v>
      </c>
      <c r="E304" s="64">
        <v>-5255.35</v>
      </c>
      <c r="F304" s="64">
        <v>-37133.229999999996</v>
      </c>
      <c r="G304" s="64">
        <v>0</v>
      </c>
      <c r="H304" s="64">
        <v>0</v>
      </c>
      <c r="I304" s="36">
        <f t="shared" si="49"/>
        <v>-161981.22000000003</v>
      </c>
      <c r="J304" s="37"/>
    </row>
    <row r="305" spans="1:12" x14ac:dyDescent="0.85">
      <c r="A305" s="31" t="s">
        <v>591</v>
      </c>
      <c r="B305" s="64">
        <v>-363.79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-363.79</v>
      </c>
      <c r="J305" s="37"/>
    </row>
    <row r="306" spans="1:12" x14ac:dyDescent="0.85">
      <c r="A306" s="31" t="s">
        <v>268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0</v>
      </c>
      <c r="J306" s="37"/>
    </row>
    <row r="307" spans="1:12" x14ac:dyDescent="0.85">
      <c r="A307" s="31" t="s">
        <v>578</v>
      </c>
      <c r="B307" s="64">
        <v>0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0</v>
      </c>
      <c r="J307" s="37"/>
    </row>
    <row r="308" spans="1:12" x14ac:dyDescent="0.85">
      <c r="A308" s="31" t="s">
        <v>393</v>
      </c>
      <c r="B308" s="64">
        <v>76388.679999999993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76388.679999999993</v>
      </c>
      <c r="J308" s="37"/>
    </row>
    <row r="309" spans="1:12" x14ac:dyDescent="0.85">
      <c r="A309" s="31" t="s">
        <v>428</v>
      </c>
      <c r="B309" s="64">
        <v>2783.0600000000004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2783.0600000000004</v>
      </c>
      <c r="J309" s="37"/>
    </row>
    <row r="310" spans="1:12" x14ac:dyDescent="0.85">
      <c r="A310" s="31" t="s">
        <v>429</v>
      </c>
      <c r="B310" s="64">
        <v>1564.3600000000001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1564.3600000000001</v>
      </c>
      <c r="J310" s="37"/>
    </row>
    <row r="311" spans="1:12" x14ac:dyDescent="0.85">
      <c r="A311" s="31" t="s">
        <v>395</v>
      </c>
      <c r="B311" s="64">
        <v>80465.759999999995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80465.759999999995</v>
      </c>
      <c r="J311" s="37"/>
    </row>
    <row r="312" spans="1:12" x14ac:dyDescent="0.85">
      <c r="A312" s="31" t="s">
        <v>523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439</v>
      </c>
      <c r="B313" s="64">
        <v>805.72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805.72</v>
      </c>
      <c r="J313" s="37"/>
    </row>
    <row r="314" spans="1:12" x14ac:dyDescent="0.85">
      <c r="A314" s="35" t="s">
        <v>453</v>
      </c>
      <c r="B314" s="65">
        <f t="shared" ref="B314:G314" si="50">SUM(B298:B313)</f>
        <v>233393.58</v>
      </c>
      <c r="C314" s="65">
        <f t="shared" si="50"/>
        <v>-218.25</v>
      </c>
      <c r="D314" s="65">
        <f t="shared" si="50"/>
        <v>114062.72</v>
      </c>
      <c r="E314" s="65">
        <f t="shared" si="50"/>
        <v>17593.630000000005</v>
      </c>
      <c r="F314" s="65">
        <f t="shared" si="50"/>
        <v>-13612.399999999994</v>
      </c>
      <c r="G314" s="65">
        <f t="shared" si="50"/>
        <v>103740.06</v>
      </c>
      <c r="H314" s="65">
        <f>SUM(H298:H313)</f>
        <v>137562.5</v>
      </c>
      <c r="I314" s="38">
        <f>SUM(B314:H314)</f>
        <v>592521.84000000008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262</v>
      </c>
      <c r="B316" s="67">
        <f>B217-B289+B314</f>
        <v>17076332.529998414</v>
      </c>
      <c r="C316" s="67">
        <f t="shared" ref="C316:G316" si="51">C217-C289+C314</f>
        <v>9330.5899999987159</v>
      </c>
      <c r="D316" s="67">
        <f t="shared" si="51"/>
        <v>1209123.51</v>
      </c>
      <c r="E316" s="67">
        <f t="shared" si="51"/>
        <v>16475.740000000005</v>
      </c>
      <c r="F316" s="67">
        <f t="shared" si="51"/>
        <v>653.60000000000582</v>
      </c>
      <c r="G316" s="67">
        <f t="shared" si="51"/>
        <v>62127.619999999995</v>
      </c>
      <c r="H316" s="67">
        <f>H217-H289+H314</f>
        <v>78043.5</v>
      </c>
      <c r="I316" s="44">
        <f>SUM(B316:H316)</f>
        <v>18452087.089998417</v>
      </c>
      <c r="J316" s="42"/>
      <c r="L316" s="71"/>
    </row>
    <row r="317" spans="1:12" ht="72" thickTop="1" thickBot="1" x14ac:dyDescent="1.1000000000000001">
      <c r="A317" s="35" t="s">
        <v>525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526</v>
      </c>
      <c r="B318" s="70">
        <f>B316+B317</f>
        <v>17076332.529998414</v>
      </c>
      <c r="C318" s="70">
        <f t="shared" ref="C318:H318" si="52">C316+C317</f>
        <v>9330.5899999987159</v>
      </c>
      <c r="D318" s="70">
        <f t="shared" si="52"/>
        <v>1209123.51</v>
      </c>
      <c r="E318" s="70">
        <f t="shared" si="52"/>
        <v>16475.740000000005</v>
      </c>
      <c r="F318" s="70">
        <f t="shared" si="52"/>
        <v>653.60000000000582</v>
      </c>
      <c r="G318" s="70">
        <f t="shared" si="52"/>
        <v>62127.619999999995</v>
      </c>
      <c r="H318" s="70">
        <f t="shared" si="52"/>
        <v>78043.5</v>
      </c>
      <c r="I318" s="70">
        <f>I316+I317</f>
        <v>18452087.089998417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672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538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338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539</v>
      </c>
      <c r="F324" s="32"/>
      <c r="G324" s="50"/>
      <c r="H324" s="50"/>
      <c r="I324" s="32" t="s">
        <v>603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603</v>
      </c>
      <c r="H325" s="32"/>
      <c r="I325" s="52" t="s">
        <v>335</v>
      </c>
      <c r="J325" s="32"/>
      <c r="K325" s="32" t="s">
        <v>334</v>
      </c>
    </row>
    <row r="326" spans="1:11" x14ac:dyDescent="0.85">
      <c r="B326" s="32"/>
      <c r="C326" s="32">
        <v>2021</v>
      </c>
      <c r="D326" s="32"/>
      <c r="E326" s="32">
        <v>2020</v>
      </c>
      <c r="F326" s="32"/>
      <c r="G326" s="32" t="s">
        <v>673</v>
      </c>
      <c r="H326" s="32"/>
      <c r="I326" s="32" t="s">
        <v>673</v>
      </c>
      <c r="J326" s="32"/>
      <c r="K326" s="32" t="s">
        <v>336</v>
      </c>
    </row>
    <row r="327" spans="1:11" x14ac:dyDescent="0.85">
      <c r="B327" s="32"/>
      <c r="C327" s="34"/>
      <c r="D327" s="32"/>
      <c r="E327" s="34"/>
      <c r="F327" s="32"/>
      <c r="G327" s="34" t="s">
        <v>332</v>
      </c>
      <c r="H327" s="34"/>
      <c r="I327" s="34" t="s">
        <v>333</v>
      </c>
      <c r="J327" s="34"/>
      <c r="K327" s="34" t="s">
        <v>333</v>
      </c>
    </row>
    <row r="328" spans="1:11" x14ac:dyDescent="0.85">
      <c r="A328" s="35" t="s">
        <v>58</v>
      </c>
      <c r="I328" s="52"/>
      <c r="K328" s="52"/>
    </row>
    <row r="329" spans="1:11" x14ac:dyDescent="0.85">
      <c r="A329" s="31" t="s">
        <v>213</v>
      </c>
      <c r="B329" s="37"/>
      <c r="C329" s="36">
        <f t="shared" ref="C329:C335" si="53">I12</f>
        <v>1669053488.49</v>
      </c>
      <c r="D329" s="37"/>
      <c r="E329" s="36">
        <f t="shared" ref="E329:E335" si="54">I197</f>
        <v>1103921218.0500002</v>
      </c>
      <c r="F329" s="37"/>
      <c r="G329" s="36">
        <f t="shared" ref="G329:G336" si="55">I12-I197</f>
        <v>565132270.43999982</v>
      </c>
      <c r="H329" s="36"/>
      <c r="I329" s="37">
        <f t="shared" ref="I329:I336" si="56">I12/I197</f>
        <v>1.5119317041829003</v>
      </c>
      <c r="J329" s="36"/>
      <c r="K329" s="37">
        <f>I329-1</f>
        <v>0.51193170418290035</v>
      </c>
    </row>
    <row r="330" spans="1:11" x14ac:dyDescent="0.85">
      <c r="A330" s="31" t="s">
        <v>214</v>
      </c>
      <c r="B330" s="37"/>
      <c r="C330" s="36">
        <f t="shared" si="53"/>
        <v>550490403.1500001</v>
      </c>
      <c r="D330" s="37"/>
      <c r="E330" s="36">
        <f t="shared" si="54"/>
        <v>1229191032.1300001</v>
      </c>
      <c r="F330" s="37"/>
      <c r="G330" s="36">
        <f t="shared" si="55"/>
        <v>-678700628.98000002</v>
      </c>
      <c r="H330" s="36"/>
      <c r="I330" s="37">
        <f t="shared" si="56"/>
        <v>0.44784772159953395</v>
      </c>
      <c r="J330" s="36"/>
      <c r="K330" s="37">
        <f t="shared" ref="K330:K413" si="57">I330-1</f>
        <v>-0.55215227840046599</v>
      </c>
    </row>
    <row r="331" spans="1:11" x14ac:dyDescent="0.85">
      <c r="A331" s="31" t="s">
        <v>215</v>
      </c>
      <c r="B331" s="37"/>
      <c r="C331" s="36">
        <f t="shared" si="53"/>
        <v>12166089.530000001</v>
      </c>
      <c r="D331" s="37"/>
      <c r="E331" s="36">
        <f t="shared" si="54"/>
        <v>15127411.789999999</v>
      </c>
      <c r="F331" s="37"/>
      <c r="G331" s="36">
        <f t="shared" si="55"/>
        <v>-2961322.2599999979</v>
      </c>
      <c r="H331" s="36"/>
      <c r="I331" s="37">
        <f t="shared" si="56"/>
        <v>0.80424131364245766</v>
      </c>
      <c r="J331" s="36"/>
      <c r="K331" s="37">
        <f t="shared" si="57"/>
        <v>-0.19575868635754234</v>
      </c>
    </row>
    <row r="332" spans="1:11" x14ac:dyDescent="0.85">
      <c r="A332" s="31" t="s">
        <v>412</v>
      </c>
      <c r="B332" s="37"/>
      <c r="C332" s="36">
        <f t="shared" si="53"/>
        <v>12439430.93</v>
      </c>
      <c r="D332" s="37"/>
      <c r="E332" s="36">
        <f t="shared" si="54"/>
        <v>52697182.769999996</v>
      </c>
      <c r="F332" s="37"/>
      <c r="G332" s="36">
        <f t="shared" si="55"/>
        <v>-40257751.839999996</v>
      </c>
      <c r="H332" s="36"/>
      <c r="I332" s="37">
        <f t="shared" si="56"/>
        <v>0.23605495163361273</v>
      </c>
      <c r="J332" s="36"/>
      <c r="K332" s="37">
        <f t="shared" si="57"/>
        <v>-0.76394504836638721</v>
      </c>
    </row>
    <row r="333" spans="1:11" x14ac:dyDescent="0.85">
      <c r="A333" s="31" t="s">
        <v>216</v>
      </c>
      <c r="B333" s="37"/>
      <c r="C333" s="36">
        <f t="shared" si="53"/>
        <v>5169215</v>
      </c>
      <c r="D333" s="37"/>
      <c r="E333" s="36">
        <f t="shared" si="54"/>
        <v>20715619.399999999</v>
      </c>
      <c r="F333" s="37"/>
      <c r="G333" s="36">
        <f t="shared" si="55"/>
        <v>-15546404.399999999</v>
      </c>
      <c r="H333" s="36"/>
      <c r="I333" s="37">
        <f t="shared" si="56"/>
        <v>0.24953224425430409</v>
      </c>
      <c r="J333" s="36"/>
      <c r="K333" s="37">
        <f t="shared" si="57"/>
        <v>-0.75046775574569591</v>
      </c>
    </row>
    <row r="334" spans="1:11" x14ac:dyDescent="0.85">
      <c r="A334" s="31" t="s">
        <v>217</v>
      </c>
      <c r="B334" s="37"/>
      <c r="C334" s="36">
        <f t="shared" si="53"/>
        <v>107186760.00999999</v>
      </c>
      <c r="D334" s="37"/>
      <c r="E334" s="36">
        <f t="shared" si="54"/>
        <v>36663046.119999997</v>
      </c>
      <c r="F334" s="37"/>
      <c r="G334" s="36">
        <f t="shared" si="55"/>
        <v>70523713.889999986</v>
      </c>
      <c r="H334" s="36"/>
      <c r="I334" s="37">
        <f t="shared" si="56"/>
        <v>2.9235639520833137</v>
      </c>
      <c r="J334" s="36"/>
      <c r="K334" s="37">
        <f t="shared" si="57"/>
        <v>1.9235639520833137</v>
      </c>
    </row>
    <row r="335" spans="1:11" x14ac:dyDescent="0.85">
      <c r="A335" s="31" t="s">
        <v>218</v>
      </c>
      <c r="B335" s="37"/>
      <c r="C335" s="36">
        <f t="shared" si="53"/>
        <v>2592261.5900000003</v>
      </c>
      <c r="D335" s="37"/>
      <c r="E335" s="36">
        <f t="shared" si="54"/>
        <v>3060404.7800000003</v>
      </c>
      <c r="F335" s="37"/>
      <c r="G335" s="36">
        <f t="shared" si="55"/>
        <v>-468143.18999999994</v>
      </c>
      <c r="H335" s="36"/>
      <c r="I335" s="37">
        <f t="shared" si="56"/>
        <v>0.84703226414383004</v>
      </c>
      <c r="J335" s="36"/>
      <c r="K335" s="37">
        <f t="shared" si="57"/>
        <v>-0.15296773585616996</v>
      </c>
    </row>
    <row r="336" spans="1:11" x14ac:dyDescent="0.85">
      <c r="A336" s="35" t="s">
        <v>219</v>
      </c>
      <c r="B336" s="37"/>
      <c r="C336" s="38">
        <f>SUM(C329:C335)</f>
        <v>2359097648.7000008</v>
      </c>
      <c r="D336" s="37"/>
      <c r="E336" s="38">
        <f>SUM(E329:E335)</f>
        <v>2461375915.0400004</v>
      </c>
      <c r="F336" s="37"/>
      <c r="G336" s="38">
        <f t="shared" si="55"/>
        <v>-102278266.33999872</v>
      </c>
      <c r="H336" s="38"/>
      <c r="I336" s="39">
        <f t="shared" si="56"/>
        <v>0.95844671034804674</v>
      </c>
      <c r="J336" s="38"/>
      <c r="K336" s="39">
        <f t="shared" si="57"/>
        <v>-4.1553289651953262E-2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204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213</v>
      </c>
      <c r="B339" s="37"/>
      <c r="C339" s="36">
        <f t="shared" ref="C339:C346" si="58">I22</f>
        <v>1661218177.3400006</v>
      </c>
      <c r="D339" s="37"/>
      <c r="E339" s="36">
        <f t="shared" ref="E339:E346" si="59">I207</f>
        <v>1095220149.3499999</v>
      </c>
      <c r="F339" s="37"/>
      <c r="G339" s="36">
        <f t="shared" ref="G339:G346" si="60">I22-I207</f>
        <v>565998027.99000072</v>
      </c>
      <c r="H339" s="36"/>
      <c r="I339" s="37">
        <f t="shared" ref="I339:I347" si="61">I22/I207</f>
        <v>1.5167892759514274</v>
      </c>
      <c r="J339" s="36"/>
      <c r="K339" s="37">
        <f t="shared" si="57"/>
        <v>0.51678927595142743</v>
      </c>
    </row>
    <row r="340" spans="1:11" x14ac:dyDescent="0.85">
      <c r="A340" s="31" t="s">
        <v>214</v>
      </c>
      <c r="B340" s="37"/>
      <c r="C340" s="36">
        <f t="shared" si="58"/>
        <v>536236465.94000018</v>
      </c>
      <c r="D340" s="37"/>
      <c r="E340" s="36">
        <f t="shared" si="59"/>
        <v>1217923973.7600012</v>
      </c>
      <c r="F340" s="37"/>
      <c r="G340" s="36">
        <f t="shared" si="60"/>
        <v>-681687507.82000101</v>
      </c>
      <c r="H340" s="36"/>
      <c r="I340" s="37">
        <f t="shared" si="61"/>
        <v>0.44028730650938697</v>
      </c>
      <c r="J340" s="36"/>
      <c r="K340" s="37">
        <f t="shared" si="57"/>
        <v>-0.55971269349061303</v>
      </c>
    </row>
    <row r="341" spans="1:11" x14ac:dyDescent="0.85">
      <c r="A341" s="31" t="s">
        <v>215</v>
      </c>
      <c r="B341" s="37"/>
      <c r="C341" s="36">
        <f t="shared" si="58"/>
        <v>11826681.869999999</v>
      </c>
      <c r="D341" s="37"/>
      <c r="E341" s="36">
        <f t="shared" si="59"/>
        <v>14767403.570000004</v>
      </c>
      <c r="F341" s="37"/>
      <c r="G341" s="36">
        <f t="shared" si="60"/>
        <v>-2940721.7000000048</v>
      </c>
      <c r="H341" s="36"/>
      <c r="I341" s="37">
        <f t="shared" si="61"/>
        <v>0.80086399846388134</v>
      </c>
      <c r="J341" s="36"/>
      <c r="K341" s="37">
        <f t="shared" si="57"/>
        <v>-0.19913600153611866</v>
      </c>
    </row>
    <row r="342" spans="1:11" x14ac:dyDescent="0.85">
      <c r="A342" s="31" t="s">
        <v>412</v>
      </c>
      <c r="B342" s="37"/>
      <c r="C342" s="36">
        <f t="shared" si="58"/>
        <v>12242799.979999997</v>
      </c>
      <c r="D342" s="37"/>
      <c r="E342" s="36">
        <f t="shared" si="59"/>
        <v>51937467.360000007</v>
      </c>
      <c r="F342" s="37"/>
      <c r="G342" s="36">
        <f t="shared" si="60"/>
        <v>-39694667.38000001</v>
      </c>
      <c r="H342" s="36"/>
      <c r="I342" s="37">
        <f t="shared" si="61"/>
        <v>0.2357219287405776</v>
      </c>
      <c r="J342" s="36"/>
      <c r="K342" s="37">
        <f t="shared" si="57"/>
        <v>-0.76427807125942238</v>
      </c>
    </row>
    <row r="343" spans="1:11" x14ac:dyDescent="0.85">
      <c r="A343" s="31" t="s">
        <v>216</v>
      </c>
      <c r="B343" s="37"/>
      <c r="C343" s="36">
        <f t="shared" si="58"/>
        <v>5001215.84</v>
      </c>
      <c r="D343" s="37"/>
      <c r="E343" s="36">
        <f t="shared" si="59"/>
        <v>19906002.350000001</v>
      </c>
      <c r="F343" s="37"/>
      <c r="G343" s="36">
        <f t="shared" si="60"/>
        <v>-14904786.510000002</v>
      </c>
      <c r="H343" s="36"/>
      <c r="I343" s="37">
        <f t="shared" si="61"/>
        <v>0.25124159798966361</v>
      </c>
      <c r="J343" s="36"/>
      <c r="K343" s="37">
        <f t="shared" si="57"/>
        <v>-0.74875840201033639</v>
      </c>
    </row>
    <row r="344" spans="1:11" x14ac:dyDescent="0.85">
      <c r="A344" s="31" t="s">
        <v>217</v>
      </c>
      <c r="B344" s="37"/>
      <c r="C344" s="36">
        <f t="shared" si="58"/>
        <v>102913380.64</v>
      </c>
      <c r="D344" s="37"/>
      <c r="E344" s="36">
        <f t="shared" si="59"/>
        <v>34996642.359999999</v>
      </c>
      <c r="F344" s="37"/>
      <c r="G344" s="36">
        <f t="shared" si="60"/>
        <v>67916738.280000001</v>
      </c>
      <c r="H344" s="36"/>
      <c r="I344" s="37">
        <f t="shared" si="61"/>
        <v>2.9406644094985119</v>
      </c>
      <c r="J344" s="36"/>
      <c r="K344" s="37">
        <f t="shared" si="57"/>
        <v>1.9406644094985119</v>
      </c>
    </row>
    <row r="345" spans="1:11" x14ac:dyDescent="0.85">
      <c r="A345" s="31" t="s">
        <v>218</v>
      </c>
      <c r="B345" s="37"/>
      <c r="C345" s="36">
        <f t="shared" si="58"/>
        <v>1558495.99</v>
      </c>
      <c r="D345" s="37"/>
      <c r="E345" s="36">
        <f t="shared" si="59"/>
        <v>1775370.3299999998</v>
      </c>
      <c r="F345" s="37"/>
      <c r="G345" s="36">
        <f t="shared" si="60"/>
        <v>-216874.33999999985</v>
      </c>
      <c r="H345" s="36"/>
      <c r="I345" s="37">
        <f t="shared" si="61"/>
        <v>0.87784275971312431</v>
      </c>
      <c r="J345" s="36"/>
      <c r="K345" s="37">
        <f t="shared" ref="K345" si="62">I345-1</f>
        <v>-0.12215724028687569</v>
      </c>
    </row>
    <row r="346" spans="1:11" x14ac:dyDescent="0.85">
      <c r="A346" s="31" t="s">
        <v>218</v>
      </c>
      <c r="B346" s="37"/>
      <c r="C346" s="36">
        <f t="shared" si="58"/>
        <v>0</v>
      </c>
      <c r="D346" s="37"/>
      <c r="E346" s="36">
        <f t="shared" si="59"/>
        <v>0</v>
      </c>
      <c r="F346" s="37"/>
      <c r="G346" s="36">
        <f t="shared" si="60"/>
        <v>0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220</v>
      </c>
      <c r="B347" s="37"/>
      <c r="C347" s="38">
        <f>SUM(C339:C346)</f>
        <v>2330997217.6000004</v>
      </c>
      <c r="D347" s="37"/>
      <c r="E347" s="38">
        <f>SUM(E339:E346)</f>
        <v>2436527009.0800014</v>
      </c>
      <c r="F347" s="37"/>
      <c r="G347" s="38">
        <f>SUM(G339:G346)</f>
        <v>-105529791.48000029</v>
      </c>
      <c r="H347" s="38"/>
      <c r="I347" s="39">
        <f t="shared" si="61"/>
        <v>0.95668843764639921</v>
      </c>
      <c r="J347" s="38"/>
      <c r="K347" s="39">
        <f t="shared" si="57"/>
        <v>-4.3311562353600785E-2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207</v>
      </c>
      <c r="C349" s="40">
        <f>C336-C347</f>
        <v>28100431.100000381</v>
      </c>
      <c r="E349" s="40">
        <f>E336-E347</f>
        <v>24848905.959999084</v>
      </c>
      <c r="G349" s="40">
        <f>I32-I217</f>
        <v>3251525.140001867</v>
      </c>
      <c r="H349" s="40"/>
      <c r="I349" s="54">
        <f>I32/I217</f>
        <v>1.1308518429437557</v>
      </c>
      <c r="J349" s="40"/>
      <c r="K349" s="54">
        <f t="shared" si="57"/>
        <v>0.13085184294375574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205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221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222</v>
      </c>
      <c r="B354" s="37"/>
      <c r="C354" s="36">
        <f t="shared" ref="C354:C363" si="63">I37</f>
        <v>1667807.79</v>
      </c>
      <c r="D354" s="37"/>
      <c r="E354" s="36">
        <f t="shared" ref="E354:E363" si="64">I222</f>
        <v>1582372.89</v>
      </c>
      <c r="F354" s="37"/>
      <c r="G354" s="36">
        <f>I37-I222</f>
        <v>85434.90000000014</v>
      </c>
      <c r="H354" s="36"/>
      <c r="I354" s="37">
        <f>I37/I222</f>
        <v>1.0539916353091718</v>
      </c>
      <c r="J354" s="36"/>
      <c r="K354" s="37">
        <f t="shared" si="57"/>
        <v>5.3991635309171837E-2</v>
      </c>
    </row>
    <row r="355" spans="1:11" x14ac:dyDescent="0.85">
      <c r="A355" s="31" t="s">
        <v>528</v>
      </c>
      <c r="B355" s="37"/>
      <c r="C355" s="36">
        <f t="shared" si="63"/>
        <v>2677525</v>
      </c>
      <c r="D355" s="37"/>
      <c r="E355" s="36">
        <f t="shared" si="64"/>
        <v>3116608.3200000003</v>
      </c>
      <c r="F355" s="37"/>
      <c r="G355" s="36">
        <f>I38</f>
        <v>2677525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223</v>
      </c>
      <c r="B356" s="37"/>
      <c r="C356" s="36">
        <f t="shared" si="63"/>
        <v>16373.990000000002</v>
      </c>
      <c r="D356" s="37"/>
      <c r="E356" s="36">
        <f t="shared" si="64"/>
        <v>8413</v>
      </c>
      <c r="F356" s="37"/>
      <c r="G356" s="36">
        <f t="shared" ref="G356:G364" si="65">I39-I224</f>
        <v>7960.9900000000016</v>
      </c>
      <c r="H356" s="36"/>
      <c r="I356" s="37">
        <f t="shared" ref="I356:I361" si="66">I39/I224</f>
        <v>1.9462724355164629</v>
      </c>
      <c r="J356" s="36"/>
      <c r="K356" s="37">
        <f t="shared" si="57"/>
        <v>0.9462724355164629</v>
      </c>
    </row>
    <row r="357" spans="1:11" x14ac:dyDescent="0.85">
      <c r="A357" s="31" t="s">
        <v>224</v>
      </c>
      <c r="B357" s="37"/>
      <c r="C357" s="36">
        <f t="shared" si="63"/>
        <v>178411.43</v>
      </c>
      <c r="D357" s="37"/>
      <c r="E357" s="36">
        <f t="shared" si="64"/>
        <v>132728.35999999999</v>
      </c>
      <c r="F357" s="37"/>
      <c r="G357" s="36">
        <f t="shared" si="65"/>
        <v>45683.070000000007</v>
      </c>
      <c r="H357" s="36"/>
      <c r="I357" s="37">
        <f t="shared" si="66"/>
        <v>1.3441846942130529</v>
      </c>
      <c r="J357" s="36"/>
      <c r="K357" s="37">
        <f t="shared" si="57"/>
        <v>0.34418469421305287</v>
      </c>
    </row>
    <row r="358" spans="1:11" x14ac:dyDescent="0.85">
      <c r="A358" s="31" t="s">
        <v>225</v>
      </c>
      <c r="B358" s="37"/>
      <c r="C358" s="36">
        <f t="shared" si="63"/>
        <v>202448.43999999997</v>
      </c>
      <c r="D358" s="37"/>
      <c r="E358" s="36">
        <f t="shared" si="64"/>
        <v>178182.47</v>
      </c>
      <c r="F358" s="37"/>
      <c r="G358" s="36">
        <f t="shared" si="65"/>
        <v>24265.969999999972</v>
      </c>
      <c r="H358" s="36"/>
      <c r="I358" s="37">
        <f t="shared" si="66"/>
        <v>1.1361860681356588</v>
      </c>
      <c r="J358" s="36"/>
      <c r="K358" s="37">
        <f t="shared" si="57"/>
        <v>0.13618606813565881</v>
      </c>
    </row>
    <row r="359" spans="1:11" x14ac:dyDescent="0.85">
      <c r="A359" s="31" t="s">
        <v>226</v>
      </c>
      <c r="B359" s="37"/>
      <c r="C359" s="36">
        <f t="shared" si="63"/>
        <v>27072.19</v>
      </c>
      <c r="D359" s="37"/>
      <c r="E359" s="36">
        <f t="shared" si="64"/>
        <v>27505.379999999997</v>
      </c>
      <c r="F359" s="37"/>
      <c r="G359" s="36">
        <f t="shared" si="65"/>
        <v>-433.18999999999869</v>
      </c>
      <c r="H359" s="36"/>
      <c r="I359" s="37">
        <f t="shared" si="66"/>
        <v>0.98425071749599535</v>
      </c>
      <c r="J359" s="36"/>
      <c r="K359" s="37">
        <f t="shared" si="57"/>
        <v>-1.5749282504004647E-2</v>
      </c>
    </row>
    <row r="360" spans="1:11" x14ac:dyDescent="0.85">
      <c r="A360" s="31" t="s">
        <v>227</v>
      </c>
      <c r="B360" s="37"/>
      <c r="C360" s="36">
        <f t="shared" si="63"/>
        <v>84257.770000000019</v>
      </c>
      <c r="D360" s="37"/>
      <c r="E360" s="36">
        <f t="shared" si="64"/>
        <v>98602.01</v>
      </c>
      <c r="F360" s="37"/>
      <c r="G360" s="36">
        <f t="shared" si="65"/>
        <v>-14344.239999999976</v>
      </c>
      <c r="H360" s="36"/>
      <c r="I360" s="37">
        <f t="shared" si="66"/>
        <v>0.85452385808362352</v>
      </c>
      <c r="J360" s="36"/>
      <c r="K360" s="37">
        <f t="shared" si="57"/>
        <v>-0.14547614191637648</v>
      </c>
    </row>
    <row r="361" spans="1:11" x14ac:dyDescent="0.85">
      <c r="A361" s="31" t="s">
        <v>303</v>
      </c>
      <c r="B361" s="37"/>
      <c r="C361" s="36">
        <f t="shared" si="63"/>
        <v>56799.83</v>
      </c>
      <c r="D361" s="37"/>
      <c r="E361" s="36">
        <f t="shared" si="64"/>
        <v>34467.24</v>
      </c>
      <c r="F361" s="37"/>
      <c r="G361" s="36">
        <f t="shared" si="65"/>
        <v>22332.590000000004</v>
      </c>
      <c r="H361" s="36"/>
      <c r="I361" s="37">
        <f t="shared" si="66"/>
        <v>1.6479367074358147</v>
      </c>
      <c r="J361" s="36"/>
      <c r="K361" s="37">
        <f t="shared" si="57"/>
        <v>0.64793670743581466</v>
      </c>
    </row>
    <row r="362" spans="1:11" x14ac:dyDescent="0.85">
      <c r="A362" s="31" t="s">
        <v>228</v>
      </c>
      <c r="B362" s="37"/>
      <c r="C362" s="36">
        <f t="shared" si="63"/>
        <v>1376.13</v>
      </c>
      <c r="D362" s="37"/>
      <c r="E362" s="36">
        <f t="shared" si="64"/>
        <v>365</v>
      </c>
      <c r="F362" s="37"/>
      <c r="G362" s="36">
        <f t="shared" si="65"/>
        <v>1011.1300000000001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242</v>
      </c>
      <c r="B363" s="37"/>
      <c r="C363" s="36">
        <f t="shared" si="63"/>
        <v>43115.289999999994</v>
      </c>
      <c r="D363" s="37"/>
      <c r="E363" s="36">
        <f t="shared" si="64"/>
        <v>35446</v>
      </c>
      <c r="F363" s="37"/>
      <c r="G363" s="36">
        <f t="shared" si="65"/>
        <v>7669.2899999999936</v>
      </c>
      <c r="H363" s="36"/>
      <c r="I363" s="37">
        <f>I46/I231</f>
        <v>1.2163654573153528</v>
      </c>
      <c r="J363" s="36"/>
      <c r="K363" s="37">
        <f t="shared" si="57"/>
        <v>0.21636545731535284</v>
      </c>
    </row>
    <row r="364" spans="1:11" x14ac:dyDescent="0.85">
      <c r="A364" s="35" t="s">
        <v>229</v>
      </c>
      <c r="B364" s="37"/>
      <c r="C364" s="38">
        <f>SUM(C354:C363)</f>
        <v>4955187.8600000013</v>
      </c>
      <c r="D364" s="37"/>
      <c r="E364" s="38">
        <f>SUM(E354:E363)</f>
        <v>5214690.67</v>
      </c>
      <c r="F364" s="37"/>
      <c r="G364" s="38">
        <f t="shared" si="65"/>
        <v>-259502.81000000052</v>
      </c>
      <c r="H364" s="38"/>
      <c r="I364" s="39">
        <f>I47/I232</f>
        <v>0.95023620260106423</v>
      </c>
      <c r="J364" s="38"/>
      <c r="K364" s="39">
        <f t="shared" si="57"/>
        <v>-4.9763797398935772E-2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2021 and 2020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538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338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539</v>
      </c>
      <c r="F369" s="32"/>
      <c r="G369" s="50"/>
      <c r="H369" s="50"/>
      <c r="I369" s="32" t="str">
        <f>I324</f>
        <v>2020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2020 YTD</v>
      </c>
      <c r="H370" s="32"/>
      <c r="I370" s="52" t="s">
        <v>335</v>
      </c>
      <c r="J370" s="32"/>
      <c r="K370" s="32" t="s">
        <v>334</v>
      </c>
    </row>
    <row r="371" spans="1:11" x14ac:dyDescent="0.85">
      <c r="B371" s="32"/>
      <c r="C371" s="32">
        <f>C326</f>
        <v>2021</v>
      </c>
      <c r="D371" s="32"/>
      <c r="E371" s="32">
        <f>E326</f>
        <v>2020</v>
      </c>
      <c r="F371" s="32"/>
      <c r="G371" s="32" t="str">
        <f>G326</f>
        <v>2021 YTD</v>
      </c>
      <c r="H371" s="32"/>
      <c r="I371" s="32" t="str">
        <f>I326</f>
        <v>2021 YTD</v>
      </c>
      <c r="J371" s="32"/>
      <c r="K371" s="32" t="s">
        <v>336</v>
      </c>
    </row>
    <row r="372" spans="1:11" x14ac:dyDescent="0.85">
      <c r="B372" s="32"/>
      <c r="C372" s="34"/>
      <c r="D372" s="32"/>
      <c r="E372" s="34"/>
      <c r="F372" s="32"/>
      <c r="G372" s="34" t="s">
        <v>332</v>
      </c>
      <c r="H372" s="34"/>
      <c r="I372" s="34" t="s">
        <v>333</v>
      </c>
      <c r="J372" s="34"/>
      <c r="K372" s="34" t="s">
        <v>333</v>
      </c>
    </row>
    <row r="373" spans="1:11" x14ac:dyDescent="0.85">
      <c r="A373" s="35" t="s">
        <v>475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230</v>
      </c>
      <c r="B374" s="37"/>
      <c r="C374" s="36">
        <f t="shared" ref="C374:C395" si="67">I50</f>
        <v>320800</v>
      </c>
      <c r="D374" s="37"/>
      <c r="E374" s="36">
        <f t="shared" ref="E374:E395" si="68">I240</f>
        <v>335800</v>
      </c>
      <c r="F374" s="37"/>
      <c r="G374" s="36">
        <f t="shared" ref="G374:G396" si="69">I50-I240</f>
        <v>-15000</v>
      </c>
      <c r="H374" s="36"/>
      <c r="I374" s="37">
        <f t="shared" ref="I374:I396" si="70">I50/I240</f>
        <v>0.95533055390113164</v>
      </c>
      <c r="J374" s="36"/>
      <c r="K374" s="37">
        <f t="shared" si="57"/>
        <v>-4.4669446098868359E-2</v>
      </c>
    </row>
    <row r="375" spans="1:11" x14ac:dyDescent="0.85">
      <c r="A375" s="31" t="s">
        <v>231</v>
      </c>
      <c r="B375" s="37"/>
      <c r="C375" s="36">
        <f t="shared" si="67"/>
        <v>12481.67</v>
      </c>
      <c r="D375" s="37"/>
      <c r="E375" s="36">
        <f t="shared" si="68"/>
        <v>12378.119999999997</v>
      </c>
      <c r="F375" s="37"/>
      <c r="G375" s="36">
        <f t="shared" si="69"/>
        <v>103.55000000000291</v>
      </c>
      <c r="H375" s="36"/>
      <c r="I375" s="37">
        <f t="shared" si="70"/>
        <v>1.0083655676306258</v>
      </c>
      <c r="J375" s="36"/>
      <c r="K375" s="37">
        <f t="shared" si="57"/>
        <v>8.365567630625792E-3</v>
      </c>
    </row>
    <row r="376" spans="1:11" x14ac:dyDescent="0.85">
      <c r="A376" s="31" t="s">
        <v>232</v>
      </c>
      <c r="B376" s="37"/>
      <c r="C376" s="36">
        <f t="shared" si="67"/>
        <v>37199.120000000003</v>
      </c>
      <c r="D376" s="37"/>
      <c r="E376" s="36">
        <f t="shared" si="68"/>
        <v>47091.83</v>
      </c>
      <c r="F376" s="37"/>
      <c r="G376" s="36">
        <f t="shared" si="69"/>
        <v>-9892.7099999999991</v>
      </c>
      <c r="H376" s="36"/>
      <c r="I376" s="37">
        <f t="shared" si="70"/>
        <v>0.78992725489750559</v>
      </c>
      <c r="J376" s="36"/>
      <c r="K376" s="37">
        <f t="shared" si="57"/>
        <v>-0.21007274510249441</v>
      </c>
    </row>
    <row r="377" spans="1:11" x14ac:dyDescent="0.85">
      <c r="A377" s="31" t="s">
        <v>331</v>
      </c>
      <c r="B377" s="37"/>
      <c r="C377" s="36">
        <f t="shared" si="67"/>
        <v>1267.3600000000001</v>
      </c>
      <c r="D377" s="37"/>
      <c r="E377" s="36">
        <f t="shared" si="68"/>
        <v>1972.6</v>
      </c>
      <c r="F377" s="37"/>
      <c r="G377" s="36">
        <f t="shared" si="69"/>
        <v>-705.23999999999978</v>
      </c>
      <c r="H377" s="36"/>
      <c r="I377" s="37">
        <f t="shared" si="70"/>
        <v>0.64248200344722706</v>
      </c>
      <c r="J377" s="36"/>
      <c r="K377" s="37">
        <f t="shared" si="57"/>
        <v>-0.35751799655277294</v>
      </c>
    </row>
    <row r="378" spans="1:11" x14ac:dyDescent="0.85">
      <c r="A378" s="31" t="s">
        <v>286</v>
      </c>
      <c r="B378" s="37"/>
      <c r="C378" s="36">
        <f t="shared" si="67"/>
        <v>3085.12</v>
      </c>
      <c r="D378" s="37"/>
      <c r="E378" s="36">
        <f t="shared" si="68"/>
        <v>4902.3</v>
      </c>
      <c r="F378" s="37"/>
      <c r="G378" s="36">
        <f t="shared" si="69"/>
        <v>-1817.1800000000003</v>
      </c>
      <c r="H378" s="36"/>
      <c r="I378" s="37">
        <f t="shared" si="70"/>
        <v>0.62932093099157538</v>
      </c>
      <c r="J378" s="36"/>
      <c r="K378" s="37">
        <f t="shared" si="57"/>
        <v>-0.37067906900842462</v>
      </c>
    </row>
    <row r="379" spans="1:11" x14ac:dyDescent="0.85">
      <c r="A379" s="31" t="s">
        <v>435</v>
      </c>
      <c r="B379" s="37"/>
      <c r="C379" s="36">
        <f t="shared" si="67"/>
        <v>18400</v>
      </c>
      <c r="D379" s="37"/>
      <c r="E379" s="36">
        <f t="shared" si="68"/>
        <v>18400</v>
      </c>
      <c r="F379" s="37"/>
      <c r="G379" s="36">
        <f t="shared" si="69"/>
        <v>0</v>
      </c>
      <c r="H379" s="36"/>
      <c r="I379" s="37">
        <f t="shared" si="70"/>
        <v>1</v>
      </c>
      <c r="J379" s="36"/>
      <c r="K379" s="37">
        <f t="shared" si="57"/>
        <v>0</v>
      </c>
    </row>
    <row r="380" spans="1:11" x14ac:dyDescent="0.85">
      <c r="A380" s="31" t="s">
        <v>233</v>
      </c>
      <c r="B380" s="37"/>
      <c r="C380" s="36">
        <f t="shared" si="67"/>
        <v>54302.39</v>
      </c>
      <c r="D380" s="37"/>
      <c r="E380" s="36">
        <f t="shared" si="68"/>
        <v>56473.35</v>
      </c>
      <c r="F380" s="37"/>
      <c r="G380" s="36">
        <f t="shared" si="69"/>
        <v>-2170.9599999999991</v>
      </c>
      <c r="H380" s="36"/>
      <c r="I380" s="37">
        <f t="shared" si="70"/>
        <v>0.96155779673067032</v>
      </c>
      <c r="J380" s="36"/>
      <c r="K380" s="37">
        <f t="shared" si="57"/>
        <v>-3.8442203269329678E-2</v>
      </c>
    </row>
    <row r="381" spans="1:11" x14ac:dyDescent="0.85">
      <c r="A381" s="31" t="s">
        <v>366</v>
      </c>
      <c r="B381" s="37"/>
      <c r="C381" s="36">
        <f t="shared" si="67"/>
        <v>0</v>
      </c>
      <c r="D381" s="37"/>
      <c r="E381" s="36">
        <f t="shared" si="68"/>
        <v>2576.14</v>
      </c>
      <c r="F381" s="37"/>
      <c r="G381" s="36">
        <f t="shared" si="69"/>
        <v>-2576.14</v>
      </c>
      <c r="H381" s="36"/>
      <c r="I381" s="37">
        <f t="shared" si="70"/>
        <v>0</v>
      </c>
      <c r="J381" s="36"/>
      <c r="K381" s="37">
        <f t="shared" si="57"/>
        <v>-1</v>
      </c>
    </row>
    <row r="382" spans="1:11" x14ac:dyDescent="0.85">
      <c r="A382" s="31" t="s">
        <v>235</v>
      </c>
      <c r="B382" s="37"/>
      <c r="C382" s="36">
        <f t="shared" si="67"/>
        <v>61479.35</v>
      </c>
      <c r="D382" s="37"/>
      <c r="E382" s="36">
        <f t="shared" si="68"/>
        <v>62043.35</v>
      </c>
      <c r="F382" s="37"/>
      <c r="G382" s="36">
        <f t="shared" si="69"/>
        <v>-564</v>
      </c>
      <c r="H382" s="36"/>
      <c r="I382" s="37">
        <f t="shared" si="70"/>
        <v>0.99090958176823141</v>
      </c>
      <c r="J382" s="36"/>
      <c r="K382" s="37">
        <f t="shared" si="57"/>
        <v>-9.0904182317685933E-3</v>
      </c>
    </row>
    <row r="383" spans="1:11" x14ac:dyDescent="0.85">
      <c r="A383" s="31" t="s">
        <v>236</v>
      </c>
      <c r="B383" s="37"/>
      <c r="C383" s="36">
        <f t="shared" si="67"/>
        <v>12865.98</v>
      </c>
      <c r="D383" s="37"/>
      <c r="E383" s="36">
        <f t="shared" si="68"/>
        <v>13103.51</v>
      </c>
      <c r="F383" s="37"/>
      <c r="G383" s="36">
        <f t="shared" si="69"/>
        <v>-237.53000000000065</v>
      </c>
      <c r="H383" s="36"/>
      <c r="I383" s="37">
        <f t="shared" si="70"/>
        <v>0.98187279591498766</v>
      </c>
      <c r="J383" s="36"/>
      <c r="K383" s="37">
        <f t="shared" si="57"/>
        <v>-1.8127204085012338E-2</v>
      </c>
    </row>
    <row r="384" spans="1:11" x14ac:dyDescent="0.85">
      <c r="A384" s="31" t="s">
        <v>234</v>
      </c>
      <c r="B384" s="37"/>
      <c r="C384" s="36">
        <f t="shared" si="67"/>
        <v>132056.69</v>
      </c>
      <c r="D384" s="37"/>
      <c r="E384" s="36">
        <f t="shared" si="68"/>
        <v>123873.03</v>
      </c>
      <c r="F384" s="37"/>
      <c r="G384" s="36">
        <f t="shared" si="69"/>
        <v>8183.6600000000035</v>
      </c>
      <c r="H384" s="36"/>
      <c r="I384" s="37">
        <f t="shared" si="70"/>
        <v>1.0660649053308859</v>
      </c>
      <c r="J384" s="36"/>
      <c r="K384" s="37">
        <f t="shared" si="57"/>
        <v>6.6064905330885937E-2</v>
      </c>
    </row>
    <row r="385" spans="1:11" x14ac:dyDescent="0.85">
      <c r="A385" s="31" t="s">
        <v>351</v>
      </c>
      <c r="B385" s="37"/>
      <c r="C385" s="36">
        <f t="shared" si="67"/>
        <v>607.46</v>
      </c>
      <c r="D385" s="37"/>
      <c r="E385" s="36">
        <f t="shared" si="68"/>
        <v>9098.15</v>
      </c>
      <c r="F385" s="37"/>
      <c r="G385" s="36">
        <f t="shared" si="69"/>
        <v>-8490.6899999999987</v>
      </c>
      <c r="H385" s="36"/>
      <c r="I385" s="37">
        <f t="shared" si="70"/>
        <v>6.6767419750168991E-2</v>
      </c>
      <c r="J385" s="36"/>
      <c r="K385" s="37">
        <f t="shared" si="57"/>
        <v>-0.93323258024983102</v>
      </c>
    </row>
    <row r="386" spans="1:11" x14ac:dyDescent="0.85">
      <c r="A386" s="31" t="s">
        <v>237</v>
      </c>
      <c r="B386" s="37"/>
      <c r="C386" s="36">
        <f t="shared" si="67"/>
        <v>38504.049999999996</v>
      </c>
      <c r="D386" s="37"/>
      <c r="E386" s="36">
        <f t="shared" si="68"/>
        <v>44119.18</v>
      </c>
      <c r="F386" s="37"/>
      <c r="G386" s="36">
        <f t="shared" si="69"/>
        <v>-5615.1300000000047</v>
      </c>
      <c r="H386" s="36"/>
      <c r="I386" s="37">
        <f t="shared" si="70"/>
        <v>0.87272814227281637</v>
      </c>
      <c r="J386" s="36"/>
      <c r="K386" s="37">
        <f t="shared" si="57"/>
        <v>-0.12727185772718363</v>
      </c>
    </row>
    <row r="387" spans="1:11" x14ac:dyDescent="0.85">
      <c r="A387" s="31" t="s">
        <v>238</v>
      </c>
      <c r="B387" s="37"/>
      <c r="C387" s="36">
        <f t="shared" si="67"/>
        <v>8815.08</v>
      </c>
      <c r="D387" s="37"/>
      <c r="E387" s="36">
        <f t="shared" si="68"/>
        <v>8178.5199999999995</v>
      </c>
      <c r="F387" s="37"/>
      <c r="G387" s="36">
        <f t="shared" si="69"/>
        <v>636.5600000000004</v>
      </c>
      <c r="H387" s="36"/>
      <c r="I387" s="37">
        <f t="shared" si="70"/>
        <v>1.0778331531866401</v>
      </c>
      <c r="J387" s="36"/>
      <c r="K387" s="37">
        <f t="shared" si="57"/>
        <v>7.7833153186640081E-2</v>
      </c>
    </row>
    <row r="388" spans="1:11" x14ac:dyDescent="0.85">
      <c r="A388" s="31" t="s">
        <v>239</v>
      </c>
      <c r="B388" s="37"/>
      <c r="C388" s="36">
        <f t="shared" si="67"/>
        <v>0</v>
      </c>
      <c r="D388" s="37"/>
      <c r="E388" s="36">
        <f t="shared" si="68"/>
        <v>0</v>
      </c>
      <c r="F388" s="37"/>
      <c r="G388" s="36">
        <f t="shared" si="69"/>
        <v>0</v>
      </c>
      <c r="H388" s="36"/>
      <c r="I388" s="37" t="e">
        <f t="shared" si="70"/>
        <v>#DIV/0!</v>
      </c>
      <c r="J388" s="36"/>
      <c r="K388" s="37" t="e">
        <f t="shared" si="57"/>
        <v>#DIV/0!</v>
      </c>
    </row>
    <row r="389" spans="1:11" x14ac:dyDescent="0.85">
      <c r="A389" s="31" t="s">
        <v>240</v>
      </c>
      <c r="B389" s="37"/>
      <c r="C389" s="36">
        <f t="shared" si="67"/>
        <v>666075.79</v>
      </c>
      <c r="D389" s="37"/>
      <c r="E389" s="36">
        <f t="shared" si="68"/>
        <v>611547.79</v>
      </c>
      <c r="F389" s="37"/>
      <c r="G389" s="36">
        <f t="shared" si="69"/>
        <v>54528</v>
      </c>
      <c r="H389" s="36"/>
      <c r="I389" s="37">
        <f t="shared" si="70"/>
        <v>1.0891639229045371</v>
      </c>
      <c r="J389" s="36"/>
      <c r="K389" s="37">
        <f t="shared" si="57"/>
        <v>8.9163922904537118E-2</v>
      </c>
    </row>
    <row r="390" spans="1:11" x14ac:dyDescent="0.85">
      <c r="A390" s="31" t="s">
        <v>250</v>
      </c>
      <c r="B390" s="37"/>
      <c r="C390" s="36">
        <f t="shared" si="67"/>
        <v>2776.58</v>
      </c>
      <c r="D390" s="37"/>
      <c r="E390" s="36">
        <f t="shared" si="68"/>
        <v>4304.5599999999995</v>
      </c>
      <c r="F390" s="37"/>
      <c r="G390" s="36">
        <f t="shared" si="69"/>
        <v>-1527.9799999999996</v>
      </c>
      <c r="H390" s="36"/>
      <c r="I390" s="37">
        <f t="shared" si="70"/>
        <v>0.64503224487520217</v>
      </c>
      <c r="J390" s="36"/>
      <c r="K390" s="37">
        <f t="shared" si="57"/>
        <v>-0.35496775512479783</v>
      </c>
    </row>
    <row r="391" spans="1:11" x14ac:dyDescent="0.85">
      <c r="A391" s="31" t="s">
        <v>348</v>
      </c>
      <c r="B391" s="37"/>
      <c r="C391" s="36">
        <f t="shared" si="67"/>
        <v>1144.5999999999999</v>
      </c>
      <c r="D391" s="37"/>
      <c r="E391" s="36">
        <f t="shared" si="68"/>
        <v>440</v>
      </c>
      <c r="F391" s="37"/>
      <c r="G391" s="36">
        <f t="shared" si="69"/>
        <v>704.59999999999991</v>
      </c>
      <c r="H391" s="36"/>
      <c r="I391" s="37">
        <f t="shared" si="70"/>
        <v>2.6013636363636361</v>
      </c>
      <c r="J391" s="36"/>
      <c r="K391" s="37">
        <f t="shared" si="57"/>
        <v>1.6013636363636361</v>
      </c>
    </row>
    <row r="392" spans="1:11" x14ac:dyDescent="0.85">
      <c r="A392" s="31" t="s">
        <v>243</v>
      </c>
      <c r="B392" s="37"/>
      <c r="C392" s="36">
        <f t="shared" si="67"/>
        <v>11449.58</v>
      </c>
      <c r="D392" s="37"/>
      <c r="E392" s="36">
        <f t="shared" si="68"/>
        <v>12571.93</v>
      </c>
      <c r="F392" s="37"/>
      <c r="G392" s="36">
        <f t="shared" si="69"/>
        <v>-1122.3500000000004</v>
      </c>
      <c r="H392" s="36"/>
      <c r="I392" s="37">
        <f t="shared" si="70"/>
        <v>0.91072571991730777</v>
      </c>
      <c r="J392" s="36"/>
      <c r="K392" s="37">
        <f t="shared" si="57"/>
        <v>-8.9274280082692226E-2</v>
      </c>
    </row>
    <row r="393" spans="1:11" x14ac:dyDescent="0.85">
      <c r="A393" s="31" t="s">
        <v>244</v>
      </c>
      <c r="B393" s="37"/>
      <c r="C393" s="36">
        <f t="shared" si="67"/>
        <v>57681.02</v>
      </c>
      <c r="D393" s="37"/>
      <c r="E393" s="36">
        <f t="shared" si="68"/>
        <v>65469.41</v>
      </c>
      <c r="F393" s="37"/>
      <c r="G393" s="36">
        <f t="shared" si="69"/>
        <v>-7788.3900000000067</v>
      </c>
      <c r="H393" s="36"/>
      <c r="I393" s="37">
        <f t="shared" si="70"/>
        <v>0.88103772433568583</v>
      </c>
      <c r="J393" s="36"/>
      <c r="K393" s="37">
        <f t="shared" si="57"/>
        <v>-0.11896227566431417</v>
      </c>
    </row>
    <row r="394" spans="1:11" x14ac:dyDescent="0.85">
      <c r="A394" s="31" t="s">
        <v>360</v>
      </c>
      <c r="B394" s="37"/>
      <c r="C394" s="36">
        <f t="shared" si="67"/>
        <v>16762.82</v>
      </c>
      <c r="D394" s="37"/>
      <c r="E394" s="36">
        <f t="shared" si="68"/>
        <v>9029.8599999999988</v>
      </c>
      <c r="F394" s="37"/>
      <c r="G394" s="36">
        <f t="shared" si="69"/>
        <v>7732.9600000000009</v>
      </c>
      <c r="H394" s="36"/>
      <c r="I394" s="37">
        <f t="shared" si="70"/>
        <v>1.8563765108207659</v>
      </c>
      <c r="J394" s="36"/>
      <c r="K394" s="37">
        <f t="shared" si="57"/>
        <v>0.85637651082076593</v>
      </c>
    </row>
    <row r="395" spans="1:11" x14ac:dyDescent="0.85">
      <c r="A395" s="31" t="s">
        <v>361</v>
      </c>
      <c r="B395" s="37"/>
      <c r="C395" s="36">
        <f t="shared" si="67"/>
        <v>31917.489999999998</v>
      </c>
      <c r="D395" s="37"/>
      <c r="E395" s="36">
        <f t="shared" si="68"/>
        <v>19540.77</v>
      </c>
      <c r="F395" s="37"/>
      <c r="G395" s="36">
        <f t="shared" si="69"/>
        <v>12376.719999999998</v>
      </c>
      <c r="H395" s="36"/>
      <c r="I395" s="37">
        <f t="shared" si="70"/>
        <v>1.6333793397087217</v>
      </c>
      <c r="J395" s="36"/>
      <c r="K395" s="56">
        <f t="shared" si="57"/>
        <v>0.63337933970872173</v>
      </c>
    </row>
    <row r="396" spans="1:11" x14ac:dyDescent="0.85">
      <c r="A396" s="35" t="s">
        <v>245</v>
      </c>
      <c r="B396" s="37"/>
      <c r="C396" s="38">
        <f>SUM(C374:C395)</f>
        <v>1489672.1500000004</v>
      </c>
      <c r="D396" s="37"/>
      <c r="E396" s="38">
        <f>SUM(E374:E395)</f>
        <v>1462914.4000000001</v>
      </c>
      <c r="F396" s="37"/>
      <c r="G396" s="38">
        <f t="shared" si="69"/>
        <v>26757.75</v>
      </c>
      <c r="H396" s="38"/>
      <c r="I396" s="39">
        <f t="shared" si="70"/>
        <v>1.0182907147540554</v>
      </c>
      <c r="J396" s="38"/>
      <c r="K396" s="39">
        <f t="shared" si="57"/>
        <v>1.8290714754055415E-2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246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247</v>
      </c>
      <c r="B399" s="37"/>
      <c r="C399" s="36">
        <f t="shared" ref="C399:C420" si="71">I81</f>
        <v>7313.09</v>
      </c>
      <c r="D399" s="37"/>
      <c r="E399" s="36">
        <f t="shared" ref="E399:E420" si="72">I265</f>
        <v>8366.4500000000007</v>
      </c>
      <c r="F399" s="37"/>
      <c r="G399" s="36">
        <f>I81-I265</f>
        <v>-1053.3600000000006</v>
      </c>
      <c r="H399" s="36"/>
      <c r="I399" s="37">
        <f>I81/I265</f>
        <v>0.87409713797369248</v>
      </c>
      <c r="J399" s="36"/>
      <c r="K399" s="37">
        <f t="shared" si="57"/>
        <v>-0.12590286202630752</v>
      </c>
    </row>
    <row r="400" spans="1:11" x14ac:dyDescent="0.85">
      <c r="A400" s="31" t="s">
        <v>383</v>
      </c>
      <c r="B400" s="37"/>
      <c r="C400" s="36">
        <f t="shared" si="71"/>
        <v>922.32</v>
      </c>
      <c r="D400" s="37"/>
      <c r="E400" s="36">
        <f t="shared" si="72"/>
        <v>738</v>
      </c>
      <c r="F400" s="37"/>
      <c r="G400" s="36">
        <f>I82-I266</f>
        <v>184.32000000000005</v>
      </c>
      <c r="H400" s="36"/>
      <c r="I400" s="37">
        <f>I82/I266</f>
        <v>1.2497560975609756</v>
      </c>
      <c r="J400" s="36"/>
      <c r="K400" s="37">
        <f>I400-1</f>
        <v>0.24975609756097561</v>
      </c>
    </row>
    <row r="401" spans="1:11" x14ac:dyDescent="0.85">
      <c r="A401" s="31" t="s">
        <v>530</v>
      </c>
      <c r="B401" s="37"/>
      <c r="C401" s="36">
        <f t="shared" si="71"/>
        <v>1595.44</v>
      </c>
      <c r="D401" s="37"/>
      <c r="E401" s="36">
        <f t="shared" si="72"/>
        <v>0</v>
      </c>
      <c r="F401" s="37"/>
      <c r="G401" s="36">
        <f>I83</f>
        <v>1595.44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248</v>
      </c>
      <c r="B402" s="37"/>
      <c r="C402" s="36">
        <f t="shared" si="71"/>
        <v>36810.18</v>
      </c>
      <c r="D402" s="37"/>
      <c r="E402" s="36">
        <f t="shared" si="72"/>
        <v>30818.139999999996</v>
      </c>
      <c r="F402" s="37"/>
      <c r="G402" s="36">
        <f t="shared" ref="G402:G421" si="73">I84-I268</f>
        <v>5992.0400000000045</v>
      </c>
      <c r="H402" s="36"/>
      <c r="I402" s="37">
        <f t="shared" ref="I402:I421" si="74">I84/I268</f>
        <v>1.1944322402325385</v>
      </c>
      <c r="J402" s="36"/>
      <c r="K402" s="37">
        <f t="shared" si="57"/>
        <v>0.19443224023253847</v>
      </c>
    </row>
    <row r="403" spans="1:11" x14ac:dyDescent="0.85">
      <c r="A403" s="31" t="s">
        <v>355</v>
      </c>
      <c r="B403" s="37"/>
      <c r="C403" s="36">
        <f t="shared" si="71"/>
        <v>531.63</v>
      </c>
      <c r="D403" s="37"/>
      <c r="E403" s="36">
        <f t="shared" si="72"/>
        <v>3386.15</v>
      </c>
      <c r="F403" s="37"/>
      <c r="G403" s="36">
        <f t="shared" si="73"/>
        <v>-2854.52</v>
      </c>
      <c r="H403" s="36"/>
      <c r="I403" s="37">
        <f t="shared" si="74"/>
        <v>0.15700131417686752</v>
      </c>
      <c r="J403" s="36"/>
      <c r="K403" s="37">
        <f t="shared" si="57"/>
        <v>-0.84299868582313242</v>
      </c>
    </row>
    <row r="404" spans="1:11" x14ac:dyDescent="0.85">
      <c r="A404" s="31" t="s">
        <v>249</v>
      </c>
      <c r="B404" s="37"/>
      <c r="C404" s="36">
        <f t="shared" si="71"/>
        <v>5909.41</v>
      </c>
      <c r="D404" s="37"/>
      <c r="E404" s="36">
        <f t="shared" si="72"/>
        <v>10718.359999999999</v>
      </c>
      <c r="F404" s="37"/>
      <c r="G404" s="36">
        <f t="shared" si="73"/>
        <v>-4808.9499999999989</v>
      </c>
      <c r="H404" s="36"/>
      <c r="I404" s="37">
        <f t="shared" si="74"/>
        <v>0.55133527890460854</v>
      </c>
      <c r="J404" s="36"/>
      <c r="K404" s="37">
        <f t="shared" si="57"/>
        <v>-0.44866472109539146</v>
      </c>
    </row>
    <row r="405" spans="1:11" x14ac:dyDescent="0.85">
      <c r="A405" s="31" t="s">
        <v>352</v>
      </c>
      <c r="B405" s="37"/>
      <c r="C405" s="36">
        <f t="shared" si="71"/>
        <v>97133.790000000008</v>
      </c>
      <c r="D405" s="37"/>
      <c r="E405" s="36">
        <f t="shared" si="72"/>
        <v>97206.640000000014</v>
      </c>
      <c r="F405" s="37"/>
      <c r="G405" s="36">
        <f t="shared" si="73"/>
        <v>-72.850000000005821</v>
      </c>
      <c r="H405" s="36"/>
      <c r="I405" s="37">
        <f t="shared" si="74"/>
        <v>0.99925056559922243</v>
      </c>
      <c r="J405" s="36"/>
      <c r="K405" s="37">
        <f t="shared" si="57"/>
        <v>-7.4943440077757106E-4</v>
      </c>
    </row>
    <row r="406" spans="1:11" x14ac:dyDescent="0.85">
      <c r="A406" s="31" t="s">
        <v>353</v>
      </c>
      <c r="B406" s="37"/>
      <c r="C406" s="36">
        <f t="shared" si="71"/>
        <v>1898.75</v>
      </c>
      <c r="D406" s="37"/>
      <c r="E406" s="36">
        <f t="shared" si="72"/>
        <v>60184.29</v>
      </c>
      <c r="F406" s="37"/>
      <c r="G406" s="36">
        <f t="shared" si="73"/>
        <v>-58285.54</v>
      </c>
      <c r="H406" s="36"/>
      <c r="I406" s="37">
        <f t="shared" si="74"/>
        <v>3.1548930792404464E-2</v>
      </c>
      <c r="J406" s="36"/>
      <c r="K406" s="37">
        <f t="shared" si="57"/>
        <v>-0.96845106920759549</v>
      </c>
    </row>
    <row r="407" spans="1:11" x14ac:dyDescent="0.85">
      <c r="A407" s="31" t="s">
        <v>354</v>
      </c>
      <c r="B407" s="37"/>
      <c r="C407" s="36">
        <f t="shared" si="71"/>
        <v>38895.08</v>
      </c>
      <c r="D407" s="37"/>
      <c r="E407" s="36">
        <f t="shared" si="72"/>
        <v>38999.919999999998</v>
      </c>
      <c r="F407" s="37"/>
      <c r="G407" s="36">
        <f t="shared" si="73"/>
        <v>-104.83999999999651</v>
      </c>
      <c r="H407" s="36"/>
      <c r="I407" s="37">
        <f t="shared" si="74"/>
        <v>0.99731178935751674</v>
      </c>
      <c r="J407" s="36"/>
      <c r="K407" s="37">
        <f t="shared" si="57"/>
        <v>-2.6882106424832575E-3</v>
      </c>
    </row>
    <row r="408" spans="1:11" x14ac:dyDescent="0.85">
      <c r="A408" s="31" t="s">
        <v>392</v>
      </c>
      <c r="B408" s="37"/>
      <c r="C408" s="36">
        <f t="shared" si="71"/>
        <v>2074</v>
      </c>
      <c r="D408" s="37"/>
      <c r="E408" s="36">
        <f t="shared" si="72"/>
        <v>0</v>
      </c>
      <c r="F408" s="37"/>
      <c r="G408" s="36">
        <f t="shared" si="73"/>
        <v>2074</v>
      </c>
      <c r="H408" s="36"/>
      <c r="I408" s="37" t="e">
        <f t="shared" si="74"/>
        <v>#DIV/0!</v>
      </c>
      <c r="J408" s="36"/>
      <c r="K408" s="37" t="e">
        <f t="shared" si="57"/>
        <v>#DIV/0!</v>
      </c>
    </row>
    <row r="409" spans="1:11" x14ac:dyDescent="0.85">
      <c r="A409" s="31" t="s">
        <v>381</v>
      </c>
      <c r="B409" s="37"/>
      <c r="C409" s="36">
        <f t="shared" si="71"/>
        <v>3125.01</v>
      </c>
      <c r="D409" s="37"/>
      <c r="E409" s="36">
        <f t="shared" si="72"/>
        <v>3666.67</v>
      </c>
      <c r="F409" s="37"/>
      <c r="G409" s="36">
        <f t="shared" si="73"/>
        <v>-541.65999999999985</v>
      </c>
      <c r="H409" s="36"/>
      <c r="I409" s="37">
        <f t="shared" si="74"/>
        <v>0.85227467975029114</v>
      </c>
      <c r="J409" s="36"/>
      <c r="K409" s="37">
        <f t="shared" si="57"/>
        <v>-0.14772532024970886</v>
      </c>
    </row>
    <row r="410" spans="1:11" x14ac:dyDescent="0.85">
      <c r="A410" s="31" t="s">
        <v>619</v>
      </c>
      <c r="B410" s="37"/>
      <c r="C410" s="36">
        <f t="shared" si="71"/>
        <v>0</v>
      </c>
      <c r="D410" s="37"/>
      <c r="E410" s="36">
        <f t="shared" si="72"/>
        <v>0</v>
      </c>
      <c r="F410" s="37"/>
      <c r="G410" s="36">
        <f t="shared" si="73"/>
        <v>0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251</v>
      </c>
      <c r="B411" s="37"/>
      <c r="C411" s="36">
        <f t="shared" si="71"/>
        <v>2332.5100000000002</v>
      </c>
      <c r="D411" s="37"/>
      <c r="E411" s="36">
        <f t="shared" si="72"/>
        <v>6420.75</v>
      </c>
      <c r="F411" s="37"/>
      <c r="G411" s="36">
        <f t="shared" si="73"/>
        <v>-4088.24</v>
      </c>
      <c r="H411" s="36"/>
      <c r="I411" s="37">
        <f t="shared" si="74"/>
        <v>0.36327687575439011</v>
      </c>
      <c r="J411" s="36"/>
      <c r="K411" s="37">
        <f t="shared" si="57"/>
        <v>-0.63672312424560995</v>
      </c>
    </row>
    <row r="412" spans="1:11" x14ac:dyDescent="0.85">
      <c r="A412" s="31" t="s">
        <v>252</v>
      </c>
      <c r="B412" s="37"/>
      <c r="C412" s="36">
        <f t="shared" si="71"/>
        <v>9496.48</v>
      </c>
      <c r="D412" s="37"/>
      <c r="E412" s="36">
        <f t="shared" si="72"/>
        <v>4213</v>
      </c>
      <c r="F412" s="37"/>
      <c r="G412" s="36">
        <f t="shared" si="73"/>
        <v>5283.48</v>
      </c>
      <c r="H412" s="36"/>
      <c r="I412" s="37">
        <f t="shared" si="74"/>
        <v>2.2540897222881555</v>
      </c>
      <c r="J412" s="36"/>
      <c r="K412" s="37">
        <f t="shared" si="57"/>
        <v>1.2540897222881555</v>
      </c>
    </row>
    <row r="413" spans="1:11" x14ac:dyDescent="0.85">
      <c r="A413" s="31" t="s">
        <v>253</v>
      </c>
      <c r="B413" s="37"/>
      <c r="C413" s="36">
        <f t="shared" si="71"/>
        <v>3977.84</v>
      </c>
      <c r="D413" s="37"/>
      <c r="E413" s="36">
        <f t="shared" si="72"/>
        <v>5132.88</v>
      </c>
      <c r="F413" s="37"/>
      <c r="G413" s="36">
        <f t="shared" si="73"/>
        <v>-1155.04</v>
      </c>
      <c r="H413" s="36"/>
      <c r="I413" s="37">
        <f t="shared" si="74"/>
        <v>0.77497233521921416</v>
      </c>
      <c r="J413" s="36"/>
      <c r="K413" s="37">
        <f t="shared" si="57"/>
        <v>-0.22502766478078584</v>
      </c>
    </row>
    <row r="414" spans="1:11" x14ac:dyDescent="0.85">
      <c r="A414" s="31" t="s">
        <v>290</v>
      </c>
      <c r="B414" s="37"/>
      <c r="C414" s="36">
        <f t="shared" si="71"/>
        <v>0</v>
      </c>
      <c r="D414" s="37"/>
      <c r="E414" s="36">
        <f t="shared" si="72"/>
        <v>300</v>
      </c>
      <c r="F414" s="37"/>
      <c r="G414" s="36">
        <f t="shared" si="73"/>
        <v>-300</v>
      </c>
      <c r="H414" s="36"/>
      <c r="I414" s="37">
        <f t="shared" si="74"/>
        <v>0</v>
      </c>
      <c r="J414" s="36"/>
      <c r="K414" s="56">
        <v>0</v>
      </c>
    </row>
    <row r="415" spans="1:11" x14ac:dyDescent="0.85">
      <c r="A415" s="31" t="s">
        <v>367</v>
      </c>
      <c r="B415" s="37"/>
      <c r="C415" s="36">
        <f t="shared" si="71"/>
        <v>94.98</v>
      </c>
      <c r="D415" s="37"/>
      <c r="E415" s="36">
        <f t="shared" si="72"/>
        <v>10946.92</v>
      </c>
      <c r="F415" s="37"/>
      <c r="G415" s="36">
        <f t="shared" si="73"/>
        <v>-10851.94</v>
      </c>
      <c r="H415" s="36"/>
      <c r="I415" s="37">
        <f t="shared" si="74"/>
        <v>8.6764130915362499E-3</v>
      </c>
      <c r="J415" s="36"/>
      <c r="K415" s="56">
        <v>0</v>
      </c>
    </row>
    <row r="416" spans="1:11" x14ac:dyDescent="0.85">
      <c r="A416" s="31" t="s">
        <v>254</v>
      </c>
      <c r="B416" s="37"/>
      <c r="C416" s="36">
        <f t="shared" si="71"/>
        <v>1950</v>
      </c>
      <c r="D416" s="37"/>
      <c r="E416" s="36">
        <f t="shared" si="72"/>
        <v>8986.0499999999993</v>
      </c>
      <c r="F416" s="37"/>
      <c r="G416" s="36">
        <f t="shared" si="73"/>
        <v>-7036.0499999999993</v>
      </c>
      <c r="H416" s="36"/>
      <c r="I416" s="37">
        <f t="shared" si="74"/>
        <v>0.21700302134975882</v>
      </c>
      <c r="J416" s="36"/>
      <c r="K416" s="37">
        <f>I416-1</f>
        <v>-0.7829969786502412</v>
      </c>
    </row>
    <row r="417" spans="1:11" x14ac:dyDescent="0.85">
      <c r="A417" s="31" t="s">
        <v>255</v>
      </c>
      <c r="B417" s="37"/>
      <c r="C417" s="36">
        <f t="shared" si="71"/>
        <v>0</v>
      </c>
      <c r="D417" s="37"/>
      <c r="E417" s="36">
        <f t="shared" si="72"/>
        <v>8716.9599999999991</v>
      </c>
      <c r="F417" s="37"/>
      <c r="G417" s="36">
        <f t="shared" si="73"/>
        <v>-8716.9599999999991</v>
      </c>
      <c r="H417" s="36"/>
      <c r="I417" s="37">
        <f t="shared" si="74"/>
        <v>0</v>
      </c>
      <c r="J417" s="36"/>
      <c r="K417" s="56">
        <v>0</v>
      </c>
    </row>
    <row r="418" spans="1:11" x14ac:dyDescent="0.85">
      <c r="A418" s="31" t="s">
        <v>612</v>
      </c>
      <c r="B418" s="37"/>
      <c r="C418" s="36">
        <f t="shared" si="71"/>
        <v>0</v>
      </c>
      <c r="D418" s="37"/>
      <c r="E418" s="36">
        <f t="shared" si="72"/>
        <v>55</v>
      </c>
      <c r="F418" s="37"/>
      <c r="G418" s="36">
        <f t="shared" si="73"/>
        <v>-55</v>
      </c>
      <c r="H418" s="36"/>
      <c r="I418" s="37">
        <f t="shared" si="74"/>
        <v>0</v>
      </c>
      <c r="J418" s="36"/>
      <c r="K418" s="56">
        <v>0</v>
      </c>
    </row>
    <row r="419" spans="1:11" x14ac:dyDescent="0.85">
      <c r="A419" s="31" t="s">
        <v>256</v>
      </c>
      <c r="B419" s="37"/>
      <c r="C419" s="36">
        <f t="shared" si="71"/>
        <v>972.08999999999992</v>
      </c>
      <c r="D419" s="37"/>
      <c r="E419" s="36">
        <f t="shared" si="72"/>
        <v>1117.76</v>
      </c>
      <c r="F419" s="37"/>
      <c r="G419" s="36">
        <f t="shared" si="73"/>
        <v>-145.67000000000007</v>
      </c>
      <c r="H419" s="36"/>
      <c r="I419" s="37">
        <f t="shared" si="74"/>
        <v>0.86967685370741477</v>
      </c>
      <c r="J419" s="36"/>
      <c r="K419" s="37">
        <f>I419-1</f>
        <v>-0.13032314629258523</v>
      </c>
    </row>
    <row r="420" spans="1:11" x14ac:dyDescent="0.85">
      <c r="A420" s="31" t="s">
        <v>257</v>
      </c>
      <c r="B420" s="37"/>
      <c r="C420" s="36">
        <f t="shared" si="71"/>
        <v>3667.81</v>
      </c>
      <c r="D420" s="37"/>
      <c r="E420" s="36">
        <f t="shared" si="72"/>
        <v>11761.7</v>
      </c>
      <c r="F420" s="37"/>
      <c r="G420" s="36">
        <f t="shared" si="73"/>
        <v>-8093.8900000000012</v>
      </c>
      <c r="H420" s="36"/>
      <c r="I420" s="37">
        <f t="shared" si="74"/>
        <v>0.31184352602089832</v>
      </c>
      <c r="J420" s="36"/>
      <c r="K420" s="56">
        <v>0</v>
      </c>
    </row>
    <row r="421" spans="1:11" x14ac:dyDescent="0.85">
      <c r="A421" s="35" t="s">
        <v>259</v>
      </c>
      <c r="B421" s="37"/>
      <c r="C421" s="38">
        <f>SUM(C399:C420)</f>
        <v>218700.41000000003</v>
      </c>
      <c r="D421" s="37"/>
      <c r="E421" s="38">
        <f>SUM(E399:E420)</f>
        <v>311735.64</v>
      </c>
      <c r="F421" s="37"/>
      <c r="G421" s="38">
        <f t="shared" si="73"/>
        <v>-93035.229999999981</v>
      </c>
      <c r="H421" s="38"/>
      <c r="I421" s="57">
        <f t="shared" si="74"/>
        <v>0.70155728745035384</v>
      </c>
      <c r="J421" s="38"/>
      <c r="K421" s="39">
        <f>I421-1</f>
        <v>-0.29844271254964616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260</v>
      </c>
      <c r="C423" s="40">
        <f>C364+C396+C421</f>
        <v>6663560.4200000018</v>
      </c>
      <c r="E423" s="40">
        <f>E364+E396+E421</f>
        <v>6989340.71</v>
      </c>
      <c r="G423" s="40">
        <f>I105-I289</f>
        <v>-325780.29000000004</v>
      </c>
      <c r="H423" s="40"/>
      <c r="I423" s="58">
        <f>I105/I289</f>
        <v>0.95338898137647088</v>
      </c>
      <c r="J423" s="40"/>
      <c r="K423" s="54">
        <v>0</v>
      </c>
    </row>
    <row r="424" spans="1:11" ht="92.25" x14ac:dyDescent="0.85">
      <c r="A424" s="35"/>
      <c r="C424" s="36"/>
      <c r="E424" s="165" t="str">
        <f>E366</f>
        <v>2021 and 2020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538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338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539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603</v>
      </c>
      <c r="H428" s="50"/>
      <c r="I428" s="52"/>
      <c r="J428" s="52"/>
      <c r="K428" s="52"/>
    </row>
    <row r="429" spans="1:11" x14ac:dyDescent="0.85">
      <c r="B429" s="32"/>
      <c r="C429" s="32">
        <f>C371</f>
        <v>2021</v>
      </c>
      <c r="D429" s="32"/>
      <c r="E429" s="32">
        <f>E371</f>
        <v>2020</v>
      </c>
      <c r="F429" s="32"/>
      <c r="G429" s="32" t="s">
        <v>673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332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452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263</v>
      </c>
      <c r="B433" s="37"/>
      <c r="C433" s="36">
        <f t="shared" ref="C433:C440" si="75">I108</f>
        <v>320800</v>
      </c>
      <c r="D433" s="37"/>
      <c r="E433" s="36">
        <f t="shared" ref="E433:E442" si="76">I298</f>
        <v>336800</v>
      </c>
      <c r="F433" s="37"/>
      <c r="G433" s="36">
        <f t="shared" ref="G433:G439" si="77">I108-I298</f>
        <v>-16000</v>
      </c>
      <c r="H433" s="36"/>
      <c r="I433" s="52"/>
      <c r="J433" s="52"/>
      <c r="K433" s="52"/>
    </row>
    <row r="434" spans="1:11" x14ac:dyDescent="0.85">
      <c r="A434" s="31" t="s">
        <v>264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322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378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265</v>
      </c>
      <c r="B437" s="37"/>
      <c r="C437" s="36">
        <f t="shared" si="75"/>
        <v>62951.640000000007</v>
      </c>
      <c r="D437" s="37"/>
      <c r="E437" s="36">
        <f t="shared" si="76"/>
        <v>59186.720000000001</v>
      </c>
      <c r="F437" s="37"/>
      <c r="G437" s="36">
        <f t="shared" si="77"/>
        <v>3764.9200000000055</v>
      </c>
      <c r="H437" s="36"/>
      <c r="I437" s="52"/>
      <c r="J437" s="52"/>
      <c r="K437" s="52"/>
    </row>
    <row r="438" spans="1:11" x14ac:dyDescent="0.85">
      <c r="A438" s="31" t="s">
        <v>266</v>
      </c>
      <c r="B438" s="37"/>
      <c r="C438" s="36">
        <f t="shared" si="75"/>
        <v>281900.88</v>
      </c>
      <c r="D438" s="37"/>
      <c r="E438" s="36">
        <f t="shared" si="76"/>
        <v>196872.55</v>
      </c>
      <c r="F438" s="37"/>
      <c r="G438" s="36">
        <f t="shared" si="77"/>
        <v>85028.330000000016</v>
      </c>
      <c r="H438" s="36"/>
      <c r="I438" s="52"/>
      <c r="J438" s="52"/>
      <c r="K438" s="52"/>
    </row>
    <row r="439" spans="1:11" x14ac:dyDescent="0.85">
      <c r="A439" s="31" t="s">
        <v>267</v>
      </c>
      <c r="B439" s="37"/>
      <c r="C439" s="36">
        <f t="shared" si="75"/>
        <v>-268420.03999999998</v>
      </c>
      <c r="D439" s="37"/>
      <c r="E439" s="36">
        <f t="shared" si="76"/>
        <v>-161981.22000000003</v>
      </c>
      <c r="F439" s="37"/>
      <c r="G439" s="36">
        <f t="shared" si="77"/>
        <v>-106438.81999999995</v>
      </c>
      <c r="H439" s="36"/>
      <c r="I439" s="52"/>
      <c r="J439" s="52"/>
      <c r="K439" s="52"/>
    </row>
    <row r="440" spans="1:11" x14ac:dyDescent="0.85">
      <c r="A440" s="31" t="s">
        <v>667</v>
      </c>
      <c r="B440" s="37"/>
      <c r="C440" s="36">
        <f t="shared" si="75"/>
        <v>-2210.94</v>
      </c>
      <c r="D440" s="37"/>
      <c r="E440" s="36">
        <f t="shared" si="76"/>
        <v>-363.79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268</v>
      </c>
      <c r="B441" s="37"/>
      <c r="C441" s="36">
        <f t="shared" ref="C441" si="78">I116</f>
        <v>0</v>
      </c>
      <c r="D441" s="37"/>
      <c r="E441" s="36">
        <f t="shared" si="76"/>
        <v>0</v>
      </c>
      <c r="F441" s="37"/>
      <c r="G441" s="36">
        <f>I116-I306</f>
        <v>0</v>
      </c>
      <c r="H441" s="36"/>
      <c r="I441" s="52"/>
      <c r="J441" s="52"/>
      <c r="K441" s="52"/>
    </row>
    <row r="442" spans="1:11" x14ac:dyDescent="0.85">
      <c r="A442" s="31" t="s">
        <v>578</v>
      </c>
      <c r="B442" s="37"/>
      <c r="C442" s="36">
        <f t="shared" ref="C442:C447" si="79">I117</f>
        <v>-456</v>
      </c>
      <c r="D442" s="37"/>
      <c r="E442" s="36">
        <f t="shared" si="76"/>
        <v>0</v>
      </c>
      <c r="F442" s="37"/>
      <c r="G442" s="36">
        <f>I117-I307</f>
        <v>-456</v>
      </c>
      <c r="H442" s="36"/>
      <c r="I442" s="52"/>
      <c r="J442" s="52"/>
      <c r="K442" s="52"/>
    </row>
    <row r="443" spans="1:11" x14ac:dyDescent="0.85">
      <c r="A443" s="31" t="s">
        <v>666</v>
      </c>
      <c r="B443" s="37"/>
      <c r="C443" s="36">
        <f t="shared" si="79"/>
        <v>715.89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393</v>
      </c>
      <c r="B444" s="37"/>
      <c r="C444" s="36">
        <f t="shared" si="79"/>
        <v>60363.41</v>
      </c>
      <c r="D444" s="37"/>
      <c r="E444" s="36">
        <f t="shared" ref="E444:E447" si="80">I308</f>
        <v>76388.679999999993</v>
      </c>
      <c r="F444" s="37"/>
      <c r="G444" s="36">
        <f t="shared" ref="G444:G450" si="81">I119-I308</f>
        <v>-16025.26999999999</v>
      </c>
      <c r="H444" s="36"/>
      <c r="I444" s="52"/>
      <c r="J444" s="52"/>
      <c r="K444" s="52"/>
    </row>
    <row r="445" spans="1:11" x14ac:dyDescent="0.85">
      <c r="A445" s="31" t="s">
        <v>428</v>
      </c>
      <c r="B445" s="37"/>
      <c r="C445" s="36">
        <f t="shared" si="79"/>
        <v>7366.78</v>
      </c>
      <c r="D445" s="37"/>
      <c r="E445" s="36">
        <f t="shared" si="80"/>
        <v>2783.0600000000004</v>
      </c>
      <c r="F445" s="37"/>
      <c r="G445" s="36">
        <f t="shared" si="81"/>
        <v>4583.7199999999993</v>
      </c>
      <c r="H445" s="36"/>
      <c r="I445" s="52"/>
      <c r="J445" s="52"/>
      <c r="K445" s="52"/>
    </row>
    <row r="446" spans="1:11" x14ac:dyDescent="0.85">
      <c r="A446" s="31" t="s">
        <v>429</v>
      </c>
      <c r="B446" s="37"/>
      <c r="C446" s="36">
        <f t="shared" si="79"/>
        <v>0</v>
      </c>
      <c r="D446" s="37"/>
      <c r="E446" s="36">
        <f t="shared" si="80"/>
        <v>1564.3600000000001</v>
      </c>
      <c r="F446" s="37"/>
      <c r="G446" s="36">
        <f t="shared" si="81"/>
        <v>-1564.3600000000001</v>
      </c>
      <c r="H446" s="36"/>
      <c r="I446" s="52"/>
      <c r="J446" s="52"/>
      <c r="K446" s="52"/>
    </row>
    <row r="447" spans="1:11" x14ac:dyDescent="0.85">
      <c r="A447" s="31" t="s">
        <v>395</v>
      </c>
      <c r="B447" s="37"/>
      <c r="C447" s="36">
        <f t="shared" si="79"/>
        <v>18830.050000000003</v>
      </c>
      <c r="D447" s="37"/>
      <c r="E447" s="36">
        <f t="shared" si="80"/>
        <v>80465.759999999995</v>
      </c>
      <c r="F447" s="37"/>
      <c r="G447" s="36">
        <f t="shared" si="81"/>
        <v>-61635.709999999992</v>
      </c>
      <c r="H447" s="36"/>
      <c r="I447" s="52"/>
      <c r="J447" s="52"/>
      <c r="K447" s="52"/>
    </row>
    <row r="448" spans="1:11" ht="70.5" x14ac:dyDescent="1.05">
      <c r="A448" s="31" t="s">
        <v>523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0</v>
      </c>
      <c r="H448" s="75"/>
      <c r="I448" s="43"/>
      <c r="J448" s="43"/>
      <c r="K448" s="43"/>
    </row>
    <row r="449" spans="1:11" x14ac:dyDescent="0.85">
      <c r="A449" s="31" t="s">
        <v>439</v>
      </c>
      <c r="B449" s="37"/>
      <c r="C449" s="36">
        <f>I124</f>
        <v>0</v>
      </c>
      <c r="D449" s="37"/>
      <c r="E449" s="36">
        <f>I313</f>
        <v>805.72</v>
      </c>
      <c r="F449" s="37"/>
      <c r="G449" s="36">
        <f t="shared" si="81"/>
        <v>-805.72</v>
      </c>
      <c r="H449" s="50"/>
      <c r="I449" s="52"/>
      <c r="J449" s="50"/>
      <c r="K449" s="52"/>
    </row>
    <row r="450" spans="1:11" x14ac:dyDescent="0.85">
      <c r="A450" s="35" t="s">
        <v>453</v>
      </c>
      <c r="B450" s="37"/>
      <c r="C450" s="38">
        <f>SUM(C433:C449)</f>
        <v>481841.6700000001</v>
      </c>
      <c r="D450" s="41"/>
      <c r="E450" s="38">
        <f>SUM(E433:E449)</f>
        <v>592521.84</v>
      </c>
      <c r="F450" s="37"/>
      <c r="G450" s="38">
        <f t="shared" si="81"/>
        <v>-110680.16999999998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262</v>
      </c>
      <c r="B452" s="42"/>
      <c r="C452" s="44">
        <f>C349-C423+C450</f>
        <v>21918712.350000381</v>
      </c>
      <c r="D452" s="42"/>
      <c r="E452" s="44">
        <f>E349-E423+E450</f>
        <v>18452087.089999083</v>
      </c>
      <c r="F452" s="42"/>
      <c r="G452" s="44">
        <f>I127-I316</f>
        <v>3466625.2600018717</v>
      </c>
    </row>
    <row r="453" spans="1:11" ht="58.5" thickTop="1" x14ac:dyDescent="0.85">
      <c r="C453" s="36">
        <f>C452-I181</f>
        <v>9.3132257461547852E-8</v>
      </c>
      <c r="E453" s="36">
        <f>E452-I316</f>
        <v>6.6682696342468262E-7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J121" sqref="J121"/>
      <selection pane="bottomLeft" activeCell="D13" sqref="D13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7" t="s">
        <v>544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ht="36" x14ac:dyDescent="0.55000000000000004">
      <c r="B2" s="307" t="s">
        <v>261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36" x14ac:dyDescent="0.55000000000000004">
      <c r="B3" s="308">
        <v>43524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533</v>
      </c>
      <c r="E5" s="11">
        <v>2019</v>
      </c>
      <c r="G5" s="11" t="s">
        <v>552</v>
      </c>
      <c r="I5" s="11">
        <v>2018</v>
      </c>
      <c r="K5" s="11" t="s">
        <v>556</v>
      </c>
      <c r="M5" s="11" t="s">
        <v>555</v>
      </c>
      <c r="O5" s="11" t="s">
        <v>553</v>
      </c>
    </row>
    <row r="6" spans="1:15" s="22" customFormat="1" ht="30" customHeight="1" x14ac:dyDescent="0.5">
      <c r="A6" s="84"/>
      <c r="B6" s="6"/>
      <c r="C6" s="11" t="s">
        <v>545</v>
      </c>
      <c r="D6" s="11" t="s">
        <v>551</v>
      </c>
      <c r="E6" s="11" t="s">
        <v>543</v>
      </c>
      <c r="G6" s="11" t="s">
        <v>551</v>
      </c>
      <c r="I6" s="11" t="s">
        <v>548</v>
      </c>
      <c r="K6" s="11" t="s">
        <v>557</v>
      </c>
      <c r="M6" s="11" t="s">
        <v>545</v>
      </c>
      <c r="O6" s="11" t="s">
        <v>554</v>
      </c>
    </row>
    <row r="7" spans="1:15" s="22" customFormat="1" ht="42.75" customHeight="1" x14ac:dyDescent="0.5">
      <c r="A7" s="93" t="s">
        <v>208</v>
      </c>
      <c r="B7" s="94" t="s">
        <v>58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208</v>
      </c>
      <c r="B8" s="96" t="s">
        <v>213</v>
      </c>
      <c r="C8" s="83">
        <f>'Comp YTD 2021-2020 '!B12</f>
        <v>1669053488.49</v>
      </c>
      <c r="D8" s="83">
        <f>CNT!P107+CNT!P108+CNT!P120</f>
        <v>906586347.42750001</v>
      </c>
      <c r="E8" s="83">
        <f>D8-C8</f>
        <v>-762467141.0625</v>
      </c>
      <c r="G8" s="83">
        <f>CNT!Q107+CNT!Q108+CNT!Q120</f>
        <v>1208781796.5699999</v>
      </c>
      <c r="I8" s="83">
        <f>CNT!R107+CNT!R108+CNT!R120</f>
        <v>1208781796.5699999</v>
      </c>
      <c r="J8" s="26"/>
      <c r="K8" s="83">
        <f>G8-D8</f>
        <v>302195449.14249992</v>
      </c>
      <c r="M8" s="83">
        <f>G8-C8</f>
        <v>-460271691.92000008</v>
      </c>
      <c r="O8" s="83">
        <f>M8-K8</f>
        <v>-762467141.0625</v>
      </c>
    </row>
    <row r="9" spans="1:15" s="22" customFormat="1" ht="42.75" customHeight="1" x14ac:dyDescent="0.5">
      <c r="A9" s="93" t="s">
        <v>208</v>
      </c>
      <c r="B9" s="96" t="s">
        <v>214</v>
      </c>
      <c r="C9" s="83">
        <f>'Comp YTD 2021-2020 '!B13</f>
        <v>550490403.1500001</v>
      </c>
      <c r="D9" s="83">
        <f>CNT!P109+CNT!P121</f>
        <v>2565549627.4800005</v>
      </c>
      <c r="E9" s="83">
        <f t="shared" ref="E9:E14" si="0">D9-C9</f>
        <v>2015059224.3300004</v>
      </c>
      <c r="G9" s="83">
        <f>CNT!Q109+CNT!Q121</f>
        <v>3420732836.6400003</v>
      </c>
      <c r="I9" s="83">
        <f>CNT!R109+CNT!R121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2870242433.4900002</v>
      </c>
      <c r="O9" s="83">
        <f t="shared" ref="O9:O14" si="3">M9-K9</f>
        <v>2015059224.3300004</v>
      </c>
    </row>
    <row r="10" spans="1:15" s="22" customFormat="1" ht="42.75" customHeight="1" x14ac:dyDescent="0.5">
      <c r="A10" s="93" t="s">
        <v>208</v>
      </c>
      <c r="B10" s="96" t="s">
        <v>215</v>
      </c>
      <c r="C10" s="83">
        <f>'Comp YTD 2021-2020 '!B14</f>
        <v>12166089.530000001</v>
      </c>
      <c r="D10" s="83">
        <f>CNT!P110+CNT!P122</f>
        <v>12572393.025</v>
      </c>
      <c r="E10" s="83">
        <f t="shared" si="0"/>
        <v>406303.49499999918</v>
      </c>
      <c r="G10" s="83">
        <f>CNT!Q110+CNT!Q122</f>
        <v>16763190.700000001</v>
      </c>
      <c r="I10" s="83">
        <f>CNT!R110+CNT!R122</f>
        <v>16763190.700000001</v>
      </c>
      <c r="J10" s="26"/>
      <c r="K10" s="83">
        <f t="shared" si="1"/>
        <v>4190797.6750000007</v>
      </c>
      <c r="M10" s="83">
        <f t="shared" si="2"/>
        <v>4597101.17</v>
      </c>
      <c r="O10" s="83">
        <f t="shared" si="3"/>
        <v>406303.49499999918</v>
      </c>
    </row>
    <row r="11" spans="1:15" s="22" customFormat="1" ht="42.75" customHeight="1" x14ac:dyDescent="0.5">
      <c r="A11" s="93" t="s">
        <v>208</v>
      </c>
      <c r="B11" s="96" t="s">
        <v>412</v>
      </c>
      <c r="C11" s="83">
        <f>'Comp YTD 2021-2020 '!B15</f>
        <v>12439430.93</v>
      </c>
      <c r="D11" s="83">
        <f>CNT!P111+CNT!P123</f>
        <v>16263463.7925</v>
      </c>
      <c r="E11" s="83">
        <f t="shared" si="0"/>
        <v>3824032.8625000007</v>
      </c>
      <c r="G11" s="83">
        <f>CNT!Q111+CNT!Q123</f>
        <v>21684618.390000001</v>
      </c>
      <c r="I11" s="83">
        <f>CNT!R111+CNT!R123</f>
        <v>21684618.390000001</v>
      </c>
      <c r="J11" s="26"/>
      <c r="K11" s="83">
        <f t="shared" si="1"/>
        <v>5421154.5975000001</v>
      </c>
      <c r="M11" s="83">
        <f t="shared" si="2"/>
        <v>9245187.4600000009</v>
      </c>
      <c r="O11" s="83">
        <f t="shared" si="3"/>
        <v>3824032.8625000007</v>
      </c>
    </row>
    <row r="12" spans="1:15" s="22" customFormat="1" ht="42.75" customHeight="1" x14ac:dyDescent="0.5">
      <c r="A12" s="93" t="s">
        <v>208</v>
      </c>
      <c r="B12" s="96" t="s">
        <v>216</v>
      </c>
      <c r="C12" s="83">
        <f>'Comp YTD 2021-2020 '!B16</f>
        <v>5169215</v>
      </c>
      <c r="D12" s="83">
        <f>CNT!P115+CNT!P126</f>
        <v>5044185.7275</v>
      </c>
      <c r="E12" s="83">
        <f t="shared" si="0"/>
        <v>-125029.27249999996</v>
      </c>
      <c r="G12" s="83">
        <f>CNT!Q115+CNT!Q126</f>
        <v>6725580.9700000007</v>
      </c>
      <c r="I12" s="83">
        <f>CNT!R115+CNT!R126</f>
        <v>6725580.9700000007</v>
      </c>
      <c r="J12" s="26"/>
      <c r="K12" s="83">
        <f t="shared" si="1"/>
        <v>1681395.2425000006</v>
      </c>
      <c r="M12" s="83">
        <f t="shared" si="2"/>
        <v>1556365.9700000007</v>
      </c>
      <c r="O12" s="83">
        <f t="shared" si="3"/>
        <v>-125029.27249999996</v>
      </c>
    </row>
    <row r="13" spans="1:15" s="22" customFormat="1" ht="42.75" customHeight="1" x14ac:dyDescent="0.5">
      <c r="A13" s="93" t="s">
        <v>208</v>
      </c>
      <c r="B13" s="96" t="s">
        <v>217</v>
      </c>
      <c r="C13" s="83">
        <f>'Comp YTD 2021-2020 '!B17</f>
        <v>107186760.00999999</v>
      </c>
      <c r="D13" s="83">
        <f>CNT!P127+CNT!P128+CNT!P129+CNT!P131</f>
        <v>7799893.9199999999</v>
      </c>
      <c r="E13" s="83">
        <f t="shared" si="0"/>
        <v>-99386866.089999989</v>
      </c>
      <c r="G13" s="83">
        <f>CNT!Q127+CNT!Q128+CNT!Q129+CNT!Q131</f>
        <v>10399858.559999999</v>
      </c>
      <c r="I13" s="83">
        <f>CNT!R127+CNT!R128+CNT!R129+CNT!R131</f>
        <v>10399858.559999999</v>
      </c>
      <c r="J13" s="26"/>
      <c r="K13" s="83">
        <f t="shared" si="1"/>
        <v>2599964.6399999987</v>
      </c>
      <c r="M13" s="83">
        <f t="shared" si="2"/>
        <v>-96786901.449999988</v>
      </c>
      <c r="O13" s="83">
        <f t="shared" si="3"/>
        <v>-99386866.089999989</v>
      </c>
    </row>
    <row r="14" spans="1:15" s="22" customFormat="1" ht="42.75" customHeight="1" x14ac:dyDescent="0.5">
      <c r="A14" s="93" t="s">
        <v>208</v>
      </c>
      <c r="B14" s="96" t="s">
        <v>218</v>
      </c>
      <c r="C14" s="83">
        <f>'Comp YTD 2021-2020 '!B18</f>
        <v>494121.9</v>
      </c>
      <c r="D14" s="83">
        <f>CNT!P112+CNT!P113+CNT!P114+CNT!P116+CNT!P117+CNT!P118+CNT!P124+CNT!P125</f>
        <v>904195.53750000009</v>
      </c>
      <c r="E14" s="83">
        <f t="shared" si="0"/>
        <v>410073.63750000007</v>
      </c>
      <c r="G14" s="83">
        <f>CNT!Q112+CNT!Q113+CNT!Q114+CNT!Q116+CNT!Q117+CNT!Q118+CNT!Q124+CNT!Q125</f>
        <v>1205594.05</v>
      </c>
      <c r="I14" s="83">
        <f>CNT!R112+CNT!R113+CNT!R114+CNT!R116+CNT!R117+CNT!R118+CNT!R124+CNT!R125</f>
        <v>1205594.05</v>
      </c>
      <c r="J14" s="26"/>
      <c r="K14" s="83">
        <f t="shared" si="1"/>
        <v>301398.51249999995</v>
      </c>
      <c r="M14" s="83">
        <f t="shared" si="2"/>
        <v>711472.15</v>
      </c>
      <c r="O14" s="83">
        <f t="shared" si="3"/>
        <v>410073.63750000007</v>
      </c>
    </row>
    <row r="15" spans="1:15" s="22" customFormat="1" ht="42.75" customHeight="1" x14ac:dyDescent="0.5">
      <c r="A15" s="93" t="s">
        <v>208</v>
      </c>
      <c r="B15" s="94" t="s">
        <v>219</v>
      </c>
      <c r="C15" s="97">
        <f>SUM(C8:C14)</f>
        <v>2356999509.0100007</v>
      </c>
      <c r="D15" s="97">
        <f>SUM(D8:D14)</f>
        <v>3514720106.9100003</v>
      </c>
      <c r="E15" s="97">
        <f>SUM(E8:E14)</f>
        <v>1157720597.9000003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2329293966.8700004</v>
      </c>
      <c r="O15" s="97">
        <f>SUM(O8:O14)</f>
        <v>1157720597.9000003</v>
      </c>
    </row>
    <row r="16" spans="1:15" s="22" customFormat="1" ht="42.75" customHeight="1" x14ac:dyDescent="0.5">
      <c r="A16" s="93" t="s">
        <v>208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208</v>
      </c>
      <c r="B17" s="94" t="s">
        <v>204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208</v>
      </c>
      <c r="B18" s="96" t="s">
        <v>213</v>
      </c>
      <c r="C18" s="83">
        <f>'Comp YTD 2021-2020 '!B22</f>
        <v>1661218177.3400006</v>
      </c>
      <c r="D18" s="83">
        <f>CNT!P136+CNT!P141+CNT!P154+CNT!P158+CNT!P159+CNT!P163+CNT!P167+CNT!P174</f>
        <v>918716534.01000035</v>
      </c>
      <c r="E18" s="83">
        <f>D18-C18</f>
        <v>-742501643.33000028</v>
      </c>
      <c r="G18" s="83">
        <f>CNT!Q136+CNT!Q141+CNT!Q154+CNT!Q158+CNT!Q159+CNT!Q163+CNT!Q167+CNT!Q174</f>
        <v>1224955378.6800001</v>
      </c>
      <c r="I18" s="83">
        <f>CNT!R136+CNT!R141+CNT!R154+CNT!R158+CNT!R159+CNT!R163+CNT!R167+CNT!R174</f>
        <v>1224955378.6800001</v>
      </c>
      <c r="J18" s="26"/>
      <c r="K18" s="83">
        <f>G18-D18</f>
        <v>306238844.66999972</v>
      </c>
      <c r="M18" s="83">
        <f>G18-C18</f>
        <v>-436262798.66000056</v>
      </c>
      <c r="O18" s="83">
        <f>M18-K18</f>
        <v>-742501643.33000028</v>
      </c>
    </row>
    <row r="19" spans="1:15" s="22" customFormat="1" ht="42.75" customHeight="1" x14ac:dyDescent="0.5">
      <c r="A19" s="93" t="s">
        <v>208</v>
      </c>
      <c r="B19" s="96" t="s">
        <v>214</v>
      </c>
      <c r="C19" s="83">
        <f>'Comp YTD 2021-2020 '!B23</f>
        <v>536236465.94000018</v>
      </c>
      <c r="D19" s="83">
        <f>CNT!P137+CNT!P142+CNT!P155+CNT!P160+CNT!P164+CNT!P168+CNT!P175+CNT!P171</f>
        <v>2561500932.1724997</v>
      </c>
      <c r="E19" s="83">
        <f t="shared" ref="E19:E24" si="4">D19-C19</f>
        <v>2025264466.2324996</v>
      </c>
      <c r="G19" s="83">
        <f>CNT!Q137+CNT!Q142+CNT!Q155+CNT!Q160+CNT!Q164+CNT!Q168+CNT!Q175+CNT!Q171</f>
        <v>3415334576.2300005</v>
      </c>
      <c r="I19" s="83">
        <f>CNT!R137+CNT!R142+CNT!R155+CNT!R160+CNT!R164+CNT!R168+CNT!R175+CNT!R171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2879098110.2900004</v>
      </c>
      <c r="O19" s="83">
        <f t="shared" ref="O19:O24" si="7">M19-K19</f>
        <v>2025264466.2324996</v>
      </c>
    </row>
    <row r="20" spans="1:15" s="22" customFormat="1" ht="42.75" customHeight="1" x14ac:dyDescent="0.5">
      <c r="A20" s="93" t="s">
        <v>208</v>
      </c>
      <c r="B20" s="96" t="s">
        <v>215</v>
      </c>
      <c r="C20" s="83">
        <f>'Comp YTD 2021-2020 '!B24</f>
        <v>11826681.869999999</v>
      </c>
      <c r="D20" s="83">
        <f>CNT!P138+CNT!P143+CNT!P156+CNT!P161+CNT!P165+CNT!P169+CNT!P176+CNT!P173</f>
        <v>12020981.782500001</v>
      </c>
      <c r="E20" s="83">
        <f t="shared" si="4"/>
        <v>194299.91250000149</v>
      </c>
      <c r="G20" s="83">
        <f>CNT!Q138+CNT!Q143+CNT!Q156+CNT!Q161+CNT!Q165+CNT!Q169+CNT!Q176+CNT!Q173</f>
        <v>16027975.710000005</v>
      </c>
      <c r="I20" s="83">
        <f>CNT!R138+CNT!R143+CNT!R156+CNT!R161+CNT!R165+CNT!R169+CNT!R176+CNT!R173</f>
        <v>16027975.710000005</v>
      </c>
      <c r="J20" s="26"/>
      <c r="K20" s="83">
        <f t="shared" si="5"/>
        <v>4006993.9275000039</v>
      </c>
      <c r="M20" s="83">
        <f t="shared" si="6"/>
        <v>4201293.8400000054</v>
      </c>
      <c r="O20" s="83">
        <f t="shared" si="7"/>
        <v>194299.91250000149</v>
      </c>
    </row>
    <row r="21" spans="1:15" s="22" customFormat="1" ht="42.75" customHeight="1" x14ac:dyDescent="0.5">
      <c r="A21" s="93" t="s">
        <v>208</v>
      </c>
      <c r="B21" s="96" t="s">
        <v>412</v>
      </c>
      <c r="C21" s="83">
        <f>'Comp YTD 2021-2020 '!B25</f>
        <v>12242799.979999997</v>
      </c>
      <c r="D21" s="83">
        <f>CNT!P139+CNT!P144+CNT!P157+CNT!P162+CNT!P166+CNT!P170+CNT!P177+CNT!P178</f>
        <v>16373117.340000004</v>
      </c>
      <c r="E21" s="83">
        <f t="shared" si="4"/>
        <v>4130317.3600000069</v>
      </c>
      <c r="G21" s="83">
        <f>CNT!Q139+CNT!Q144+CNT!Q157+CNT!Q162+CNT!Q166+CNT!Q170+CNT!Q177+CNT!Q178</f>
        <v>21830823.120000005</v>
      </c>
      <c r="I21" s="83">
        <f>CNT!R139+CNT!R144+CNT!R157+CNT!R162+CNT!R166+CNT!R170+CNT!R177+CNT!R178</f>
        <v>21830823.120000005</v>
      </c>
      <c r="J21" s="26"/>
      <c r="K21" s="83">
        <f t="shared" si="5"/>
        <v>5457705.7800000012</v>
      </c>
      <c r="M21" s="83">
        <f t="shared" si="6"/>
        <v>9588023.140000008</v>
      </c>
      <c r="O21" s="83">
        <f t="shared" si="7"/>
        <v>4130317.3600000069</v>
      </c>
    </row>
    <row r="22" spans="1:15" s="22" customFormat="1" ht="42.75" customHeight="1" x14ac:dyDescent="0.5">
      <c r="A22" s="93" t="s">
        <v>208</v>
      </c>
      <c r="B22" s="96" t="s">
        <v>216</v>
      </c>
      <c r="C22" s="83">
        <f>'Comp YTD 2021-2020 '!B26</f>
        <v>5001215.84</v>
      </c>
      <c r="D22" s="83">
        <f>CNT!P140+CNT!P147+CNT!P172+CNT!P183</f>
        <v>4901233.3274999997</v>
      </c>
      <c r="E22" s="83">
        <f t="shared" si="4"/>
        <v>-99982.512500000186</v>
      </c>
      <c r="G22" s="83">
        <f>CNT!Q140+CNT!Q147+CNT!Q172+CNT!Q183</f>
        <v>6534977.7699999986</v>
      </c>
      <c r="I22" s="83">
        <f>CNT!R140+CNT!R147+CNT!R172+CNT!R183</f>
        <v>6534977.7699999986</v>
      </c>
      <c r="J22" s="26"/>
      <c r="K22" s="83">
        <f t="shared" si="5"/>
        <v>1633744.442499999</v>
      </c>
      <c r="M22" s="83">
        <f t="shared" si="6"/>
        <v>1533761.9299999988</v>
      </c>
      <c r="O22" s="83">
        <f t="shared" si="7"/>
        <v>-99982.512500000186</v>
      </c>
    </row>
    <row r="23" spans="1:15" s="22" customFormat="1" ht="42.75" customHeight="1" x14ac:dyDescent="0.5">
      <c r="A23" s="93" t="s">
        <v>208</v>
      </c>
      <c r="B23" s="96" t="s">
        <v>217</v>
      </c>
      <c r="C23" s="83">
        <f>'Comp YTD 2021-2020 '!B27</f>
        <v>102913380.64</v>
      </c>
      <c r="D23" s="83">
        <f>CNT!P195+CNT!P196+CNT!P197+CNT!P200+CNT!P202+CNT!P203+CNT!P204+CNT!P205+CNT!P206</f>
        <v>7641937.5</v>
      </c>
      <c r="E23" s="83">
        <f>D23-C23</f>
        <v>-95271443.140000001</v>
      </c>
      <c r="G23" s="83">
        <f>CNT!Q195+CNT!Q196+CNT!Q197+CNT!Q200+CNT!Q202+CNT!Q203+CNT!Q204+CNT!Q205+CNT!Q206</f>
        <v>10189250</v>
      </c>
      <c r="I23" s="83">
        <f>CNT!R195+CNT!R196+CNT!R197+CNT!R200+CNT!R202+CNT!R203+CNT!R204+CNT!R205+CNT!R206</f>
        <v>10189250</v>
      </c>
      <c r="J23" s="26"/>
      <c r="K23" s="83">
        <f t="shared" si="5"/>
        <v>2547312.5</v>
      </c>
      <c r="M23" s="83">
        <f t="shared" si="6"/>
        <v>-92724130.640000001</v>
      </c>
      <c r="O23" s="83">
        <f t="shared" si="7"/>
        <v>-95271443.140000001</v>
      </c>
    </row>
    <row r="24" spans="1:15" s="22" customFormat="1" ht="42.75" customHeight="1" x14ac:dyDescent="0.5">
      <c r="A24" s="93" t="s">
        <v>208</v>
      </c>
      <c r="B24" s="96" t="s">
        <v>218</v>
      </c>
      <c r="C24" s="83">
        <f>'Comp YTD 2021-2020 '!B28</f>
        <v>1552226.95</v>
      </c>
      <c r="D24" s="83">
        <f>CNT!P134+CNT!P145+CNT!P146+CNT!P148+CNT!P150+CNT!P151+CNT!P152+CNT!P153+CNT!P179+CNT!P180+CNT!P181+CNT!P182+CNT!P184+CNT!P185+CNT!P186+CNT!P187+CNT!P188+CNT!P189+CNT!P191+CNT!P192+CNT!P193+CNT!P194</f>
        <v>-10601279.670000002</v>
      </c>
      <c r="E24" s="83">
        <f t="shared" si="4"/>
        <v>-12153506.620000001</v>
      </c>
      <c r="G24" s="83">
        <f>CNT!Q134+CNT!Q145+CNT!Q146+CNT!Q148+CNT!Q150+CNT!Q151+CNT!Q152+CNT!Q153+CNT!Q179+CNT!Q180+CNT!Q181+CNT!Q182+CNT!Q184+CNT!Q185+CNT!Q186+CNT!Q187+CNT!Q188+CNT!Q189+CNT!Q191+CNT!Q192+CNT!Q193+CNT!Q194</f>
        <v>-14135039.560000002</v>
      </c>
      <c r="I24" s="83">
        <f>CNT!R134+CNT!R145+CNT!R146+CNT!R148+CNT!R150+CNT!R151+CNT!R152+CNT!R153+CNT!R179+CNT!R180+CNT!R181+CNT!R182+CNT!R184+CNT!R185+CNT!R186+CNT!R187+CNT!R188+CNT!R189+CNT!R191+CNT!R192+CNT!R193+CNT!R194</f>
        <v>-14135039.560000002</v>
      </c>
      <c r="J24" s="26"/>
      <c r="K24" s="83">
        <f t="shared" si="5"/>
        <v>-3533759.8900000006</v>
      </c>
      <c r="M24" s="83">
        <f t="shared" si="6"/>
        <v>-15687266.510000002</v>
      </c>
      <c r="O24" s="83">
        <f t="shared" si="7"/>
        <v>-12153506.620000001</v>
      </c>
    </row>
    <row r="25" spans="1:15" s="22" customFormat="1" ht="42.75" customHeight="1" x14ac:dyDescent="0.5">
      <c r="A25" s="93" t="s">
        <v>208</v>
      </c>
      <c r="B25" s="94" t="s">
        <v>220</v>
      </c>
      <c r="C25" s="97">
        <f>SUM(C18:C24)</f>
        <v>2330990948.5600004</v>
      </c>
      <c r="D25" s="97">
        <f>SUM(D18:D24)</f>
        <v>3510553456.4624996</v>
      </c>
      <c r="E25" s="97">
        <f>SUM(E18:E24)</f>
        <v>1179562507.902499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2349746993.3899999</v>
      </c>
      <c r="O25" s="97">
        <f>SUM(O18:O24)</f>
        <v>1179562507.902499</v>
      </c>
    </row>
    <row r="26" spans="1:15" s="22" customFormat="1" ht="42.75" customHeight="1" x14ac:dyDescent="0.5">
      <c r="A26" s="93" t="s">
        <v>208</v>
      </c>
      <c r="B26" s="96"/>
      <c r="C26" s="83"/>
      <c r="D26" s="83">
        <f>D25-CNT!P207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208</v>
      </c>
      <c r="B27" s="94" t="s">
        <v>207</v>
      </c>
      <c r="C27" s="98">
        <f>C15-C25</f>
        <v>26008560.450000286</v>
      </c>
      <c r="D27" s="98">
        <f>D15-D25</f>
        <v>4166650.4475007057</v>
      </c>
      <c r="E27" s="98">
        <f>D27-C27</f>
        <v>-21841910.00249958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-20453026.519999504</v>
      </c>
      <c r="O27" s="98">
        <f>-(O15-O25)</f>
        <v>21841910.002498627</v>
      </c>
    </row>
    <row r="28" spans="1:15" s="22" customFormat="1" ht="42.75" customHeight="1" x14ac:dyDescent="0.5">
      <c r="A28" s="93" t="s">
        <v>208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208</v>
      </c>
      <c r="B29" s="94" t="s">
        <v>205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208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208</v>
      </c>
      <c r="B31" s="94" t="s">
        <v>221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208</v>
      </c>
      <c r="B32" s="96" t="s">
        <v>222</v>
      </c>
      <c r="C32" s="83">
        <f>'Comp YTD 2021-2020 '!B37</f>
        <v>1235111.6400000001</v>
      </c>
      <c r="D32" s="83">
        <f>CNT!P210</f>
        <v>1955056.6875</v>
      </c>
      <c r="E32" s="83">
        <f>D32-C32</f>
        <v>719945.04749999987</v>
      </c>
      <c r="G32" s="83">
        <f>CNT!Q210</f>
        <v>2606742.25</v>
      </c>
      <c r="I32" s="83">
        <f>CNT!R210</f>
        <v>2606742.25</v>
      </c>
      <c r="J32" s="26"/>
      <c r="K32" s="83">
        <f t="shared" ref="K32" si="9">G32-D32</f>
        <v>651685.5625</v>
      </c>
      <c r="M32" s="83">
        <f t="shared" ref="M32" si="10">G32-C32</f>
        <v>1371630.6099999999</v>
      </c>
      <c r="O32" s="83">
        <f>M32-K32</f>
        <v>719945.04749999987</v>
      </c>
    </row>
    <row r="33" spans="1:15" s="22" customFormat="1" ht="42.75" customHeight="1" x14ac:dyDescent="0.5">
      <c r="A33" s="93" t="s">
        <v>208</v>
      </c>
      <c r="B33" s="96" t="s">
        <v>528</v>
      </c>
      <c r="C33" s="83">
        <f>'Comp YTD 2021-2020 '!B38</f>
        <v>2645266.66</v>
      </c>
      <c r="D33" s="83">
        <f>CNT!P211</f>
        <v>119681.73</v>
      </c>
      <c r="E33" s="83">
        <f t="shared" ref="E33:E41" si="11">D33-C33</f>
        <v>-2525584.9300000002</v>
      </c>
      <c r="G33" s="83">
        <f>CNT!Q211</f>
        <v>159575.63999999998</v>
      </c>
      <c r="I33" s="83">
        <f>CNT!R211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-2485691.02</v>
      </c>
      <c r="O33" s="83">
        <f t="shared" ref="O33:O41" si="14">M33-K33</f>
        <v>-2525584.9300000002</v>
      </c>
    </row>
    <row r="34" spans="1:15" s="22" customFormat="1" ht="42.75" customHeight="1" x14ac:dyDescent="0.5">
      <c r="A34" s="93" t="s">
        <v>208</v>
      </c>
      <c r="B34" s="96" t="s">
        <v>223</v>
      </c>
      <c r="C34" s="83">
        <f>'Comp YTD 2021-2020 '!B39</f>
        <v>14926.960000000001</v>
      </c>
      <c r="D34" s="83">
        <f>CNT!P212</f>
        <v>28710.75</v>
      </c>
      <c r="E34" s="83">
        <f t="shared" si="11"/>
        <v>13783.789999999999</v>
      </c>
      <c r="G34" s="83">
        <f>CNT!Q212</f>
        <v>38281</v>
      </c>
      <c r="I34" s="83">
        <f>CNT!R212</f>
        <v>38281</v>
      </c>
      <c r="J34" s="26"/>
      <c r="K34" s="83">
        <f t="shared" si="12"/>
        <v>9570.25</v>
      </c>
      <c r="M34" s="83">
        <f t="shared" si="13"/>
        <v>23354.04</v>
      </c>
      <c r="O34" s="83">
        <f t="shared" si="14"/>
        <v>13783.79</v>
      </c>
    </row>
    <row r="35" spans="1:15" s="22" customFormat="1" ht="42.75" customHeight="1" x14ac:dyDescent="0.5">
      <c r="A35" s="93" t="s">
        <v>208</v>
      </c>
      <c r="B35" s="96" t="s">
        <v>224</v>
      </c>
      <c r="C35" s="83">
        <f>'Comp YTD 2021-2020 '!B40</f>
        <v>135199.62</v>
      </c>
      <c r="D35" s="83">
        <f>CNT!P213</f>
        <v>157327.73249999998</v>
      </c>
      <c r="E35" s="83">
        <f t="shared" si="11"/>
        <v>22128.112499999988</v>
      </c>
      <c r="G35" s="83">
        <f>CNT!Q213</f>
        <v>209770.30999999997</v>
      </c>
      <c r="I35" s="83">
        <f>CNT!R213</f>
        <v>209770.30999999997</v>
      </c>
      <c r="J35" s="26"/>
      <c r="K35" s="83">
        <f t="shared" si="12"/>
        <v>52442.577499999985</v>
      </c>
      <c r="M35" s="83">
        <f t="shared" si="13"/>
        <v>74570.689999999973</v>
      </c>
      <c r="O35" s="83">
        <f t="shared" si="14"/>
        <v>22128.112499999988</v>
      </c>
    </row>
    <row r="36" spans="1:15" s="22" customFormat="1" ht="42.75" customHeight="1" x14ac:dyDescent="0.5">
      <c r="A36" s="93" t="s">
        <v>208</v>
      </c>
      <c r="B36" s="96" t="s">
        <v>225</v>
      </c>
      <c r="C36" s="83">
        <f>'Comp YTD 2021-2020 '!B41</f>
        <v>145067.91999999998</v>
      </c>
      <c r="D36" s="83">
        <f>CNT!P214</f>
        <v>202311</v>
      </c>
      <c r="E36" s="83">
        <f t="shared" si="11"/>
        <v>57243.080000000016</v>
      </c>
      <c r="G36" s="83">
        <f>CNT!Q214</f>
        <v>269748</v>
      </c>
      <c r="I36" s="83">
        <f>CNT!R214</f>
        <v>223406.7</v>
      </c>
      <c r="J36" s="26"/>
      <c r="K36" s="83">
        <f t="shared" si="12"/>
        <v>67437</v>
      </c>
      <c r="M36" s="83">
        <f t="shared" si="13"/>
        <v>124680.08000000002</v>
      </c>
      <c r="O36" s="83">
        <f t="shared" si="14"/>
        <v>57243.080000000016</v>
      </c>
    </row>
    <row r="37" spans="1:15" s="22" customFormat="1" ht="42.75" customHeight="1" x14ac:dyDescent="0.5">
      <c r="A37" s="93" t="s">
        <v>208</v>
      </c>
      <c r="B37" s="96" t="s">
        <v>226</v>
      </c>
      <c r="C37" s="83">
        <f>'Comp YTD 2021-2020 '!B42</f>
        <v>20378.919999999998</v>
      </c>
      <c r="D37" s="83">
        <f>CNT!P215</f>
        <v>29250</v>
      </c>
      <c r="E37" s="83">
        <f t="shared" si="11"/>
        <v>8871.0800000000017</v>
      </c>
      <c r="G37" s="83">
        <f>CNT!Q215</f>
        <v>39000</v>
      </c>
      <c r="I37" s="83">
        <f>CNT!R215</f>
        <v>31540.97</v>
      </c>
      <c r="J37" s="26"/>
      <c r="K37" s="83">
        <f t="shared" si="12"/>
        <v>9750</v>
      </c>
      <c r="M37" s="83">
        <f t="shared" si="13"/>
        <v>18621.080000000002</v>
      </c>
      <c r="O37" s="83">
        <f t="shared" si="14"/>
        <v>8871.0800000000017</v>
      </c>
    </row>
    <row r="38" spans="1:15" s="22" customFormat="1" ht="42.75" customHeight="1" x14ac:dyDescent="0.5">
      <c r="A38" s="93" t="s">
        <v>208</v>
      </c>
      <c r="B38" s="96" t="s">
        <v>227</v>
      </c>
      <c r="C38" s="83">
        <f>'Comp YTD 2021-2020 '!B43</f>
        <v>71908.340000000011</v>
      </c>
      <c r="D38" s="83">
        <f>CNT!P216</f>
        <v>90000</v>
      </c>
      <c r="E38" s="83">
        <f t="shared" si="11"/>
        <v>18091.659999999989</v>
      </c>
      <c r="G38" s="83">
        <f>CNT!Q216</f>
        <v>120000</v>
      </c>
      <c r="I38" s="83">
        <f>CNT!R216</f>
        <v>77546.92</v>
      </c>
      <c r="J38" s="26"/>
      <c r="K38" s="83">
        <f t="shared" si="12"/>
        <v>30000</v>
      </c>
      <c r="M38" s="83">
        <f t="shared" si="13"/>
        <v>48091.659999999989</v>
      </c>
      <c r="O38" s="83">
        <f t="shared" si="14"/>
        <v>18091.659999999989</v>
      </c>
    </row>
    <row r="39" spans="1:15" s="22" customFormat="1" ht="42.75" customHeight="1" x14ac:dyDescent="0.5">
      <c r="A39" s="93" t="s">
        <v>208</v>
      </c>
      <c r="B39" s="96" t="s">
        <v>303</v>
      </c>
      <c r="C39" s="83">
        <f>'Comp YTD 2021-2020 '!B44</f>
        <v>55777.58</v>
      </c>
      <c r="D39" s="83">
        <f>CNT!P217+CNT!P218+CNT!P224</f>
        <v>20144.3475</v>
      </c>
      <c r="E39" s="83">
        <f t="shared" si="11"/>
        <v>-35633.232499999998</v>
      </c>
      <c r="G39" s="83">
        <f>CNT!Q217+CNT!Q218+CNT!Q224</f>
        <v>26859.13</v>
      </c>
      <c r="I39" s="83">
        <f>CNT!R217+CNT!R218+CNT!R224</f>
        <v>17354.98</v>
      </c>
      <c r="J39" s="26"/>
      <c r="K39" s="83">
        <f t="shared" si="12"/>
        <v>6714.7825000000012</v>
      </c>
      <c r="M39" s="83">
        <f t="shared" si="13"/>
        <v>-28918.45</v>
      </c>
      <c r="O39" s="83">
        <f t="shared" si="14"/>
        <v>-35633.232499999998</v>
      </c>
    </row>
    <row r="40" spans="1:15" s="22" customFormat="1" ht="42.75" customHeight="1" x14ac:dyDescent="0.5">
      <c r="A40" s="93" t="s">
        <v>208</v>
      </c>
      <c r="B40" s="96" t="s">
        <v>228</v>
      </c>
      <c r="C40" s="83">
        <f>'Comp YTD 2021-2020 '!B45</f>
        <v>952.19</v>
      </c>
      <c r="D40" s="83">
        <f>CNT!P221+CNT!P219</f>
        <v>5438.8050000000003</v>
      </c>
      <c r="E40" s="83">
        <f t="shared" si="11"/>
        <v>4486.6149999999998</v>
      </c>
      <c r="G40" s="83">
        <f>CNT!Q221+CNT!Q219</f>
        <v>7251.74</v>
      </c>
      <c r="I40" s="83">
        <f>CNT!R221+CNT!R219</f>
        <v>7251.74</v>
      </c>
      <c r="J40" s="26"/>
      <c r="K40" s="83">
        <f t="shared" si="12"/>
        <v>1812.9349999999995</v>
      </c>
      <c r="M40" s="83">
        <f t="shared" si="13"/>
        <v>6299.5499999999993</v>
      </c>
      <c r="O40" s="83">
        <f t="shared" si="14"/>
        <v>4486.6149999999998</v>
      </c>
    </row>
    <row r="41" spans="1:15" s="22" customFormat="1" ht="42.75" customHeight="1" x14ac:dyDescent="0.5">
      <c r="A41" s="93" t="s">
        <v>208</v>
      </c>
      <c r="B41" s="96" t="s">
        <v>242</v>
      </c>
      <c r="C41" s="83">
        <f>'Comp YTD 2021-2020 '!B46</f>
        <v>34303.089999999997</v>
      </c>
      <c r="D41" s="83">
        <f>+CNT!P254</f>
        <v>28319.227500000001</v>
      </c>
      <c r="E41" s="83">
        <f t="shared" si="11"/>
        <v>-5983.8624999999956</v>
      </c>
      <c r="G41" s="83">
        <f>+CNT!Q254</f>
        <v>37758.97</v>
      </c>
      <c r="I41" s="83">
        <f>+CNT!R254</f>
        <v>37758.97</v>
      </c>
      <c r="J41" s="26"/>
      <c r="K41" s="83">
        <f t="shared" si="12"/>
        <v>9439.7425000000003</v>
      </c>
      <c r="M41" s="83">
        <f t="shared" si="13"/>
        <v>3455.8800000000047</v>
      </c>
      <c r="O41" s="83">
        <f t="shared" si="14"/>
        <v>-5983.8624999999956</v>
      </c>
    </row>
    <row r="42" spans="1:15" s="22" customFormat="1" ht="42.75" customHeight="1" x14ac:dyDescent="0.5">
      <c r="A42" s="93" t="s">
        <v>208</v>
      </c>
      <c r="B42" s="94" t="s">
        <v>229</v>
      </c>
      <c r="C42" s="97">
        <f>SUM(C32:C41)</f>
        <v>4358892.9200000009</v>
      </c>
      <c r="D42" s="97">
        <f t="shared" ref="D42" si="15">SUM(D32:D41)</f>
        <v>2636240.2800000003</v>
      </c>
      <c r="E42" s="97">
        <f>SUM(E32:E41)</f>
        <v>-1722652.6400000001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-843905.88</v>
      </c>
      <c r="O42" s="97">
        <f>SUM(O32:O41)</f>
        <v>-1722652.6400000001</v>
      </c>
    </row>
    <row r="43" spans="1:15" s="22" customFormat="1" ht="42.75" customHeight="1" x14ac:dyDescent="0.5">
      <c r="A43" s="93" t="s">
        <v>208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208</v>
      </c>
      <c r="B44" s="94" t="s">
        <v>475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208</v>
      </c>
      <c r="B45" s="96" t="s">
        <v>230</v>
      </c>
      <c r="C45" s="83">
        <f>'Comp YTD 2021-2020 '!B50</f>
        <v>166800</v>
      </c>
      <c r="D45" s="83">
        <f>CNT!P228+CNT!P249</f>
        <v>375300</v>
      </c>
      <c r="E45" s="83">
        <f>D45-C45</f>
        <v>208500</v>
      </c>
      <c r="G45" s="83">
        <f>CNT!Q228+CNT!Q227+CNT!Q249</f>
        <v>550400</v>
      </c>
      <c r="I45" s="83">
        <f>CNT!R228+CNT!R227+CNT!R249</f>
        <v>550400</v>
      </c>
      <c r="J45" s="26"/>
      <c r="K45" s="83">
        <f t="shared" ref="K45" si="17">G45-D45</f>
        <v>175100</v>
      </c>
      <c r="M45" s="83">
        <f>G45-C45</f>
        <v>383600</v>
      </c>
      <c r="O45" s="83">
        <f>M45-K45</f>
        <v>208500</v>
      </c>
    </row>
    <row r="46" spans="1:15" s="22" customFormat="1" ht="42.75" customHeight="1" x14ac:dyDescent="0.5">
      <c r="A46" s="93" t="s">
        <v>208</v>
      </c>
      <c r="B46" s="96" t="s">
        <v>231</v>
      </c>
      <c r="C46" s="83">
        <f>'Comp YTD 2021-2020 '!B51</f>
        <v>9594.17</v>
      </c>
      <c r="D46" s="83">
        <f>CNT!P229</f>
        <v>7999.5375000000022</v>
      </c>
      <c r="E46" s="83">
        <f t="shared" ref="E46:E66" si="18">D46-C46</f>
        <v>-1594.6324999999979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1071.8800000000028</v>
      </c>
      <c r="O46" s="83">
        <f t="shared" ref="O46:O66" si="21">M46-K46</f>
        <v>-1594.6324999999979</v>
      </c>
    </row>
    <row r="47" spans="1:15" s="22" customFormat="1" ht="42.75" customHeight="1" x14ac:dyDescent="0.5">
      <c r="A47" s="93" t="s">
        <v>208</v>
      </c>
      <c r="B47" s="96" t="s">
        <v>232</v>
      </c>
      <c r="C47" s="83">
        <f>'Comp YTD 2021-2020 '!B52</f>
        <v>6487.7900000000009</v>
      </c>
      <c r="D47" s="83">
        <f>CNT!P230</f>
        <v>7942.8449999999993</v>
      </c>
      <c r="E47" s="83">
        <f t="shared" si="18"/>
        <v>1455.0549999999985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4102.6699999999983</v>
      </c>
      <c r="O47" s="83">
        <f t="shared" si="21"/>
        <v>1455.0549999999985</v>
      </c>
    </row>
    <row r="48" spans="1:15" s="22" customFormat="1" ht="42.75" customHeight="1" x14ac:dyDescent="0.5">
      <c r="A48" s="93" t="s">
        <v>208</v>
      </c>
      <c r="B48" s="96" t="s">
        <v>331</v>
      </c>
      <c r="C48" s="83">
        <f>'Comp YTD 2021-2020 '!B53</f>
        <v>932.71</v>
      </c>
      <c r="D48" s="83">
        <f>CNT!P231</f>
        <v>808.84500000000003</v>
      </c>
      <c r="E48" s="83">
        <f t="shared" si="18"/>
        <v>-123.86500000000001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145.75</v>
      </c>
      <c r="O48" s="83">
        <f t="shared" si="21"/>
        <v>-123.86500000000001</v>
      </c>
    </row>
    <row r="49" spans="1:15" s="22" customFormat="1" ht="42.75" customHeight="1" x14ac:dyDescent="0.5">
      <c r="A49" s="93" t="s">
        <v>208</v>
      </c>
      <c r="B49" s="96" t="s">
        <v>286</v>
      </c>
      <c r="C49" s="83">
        <f>'Comp YTD 2021-2020 '!B54</f>
        <v>1978.12</v>
      </c>
      <c r="D49" s="83">
        <f>CNT!P232</f>
        <v>401.51249999999993</v>
      </c>
      <c r="E49" s="83">
        <f t="shared" si="18"/>
        <v>-1576.6075000000001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-1442.77</v>
      </c>
      <c r="O49" s="83">
        <f t="shared" si="21"/>
        <v>-1576.6075000000001</v>
      </c>
    </row>
    <row r="50" spans="1:15" s="22" customFormat="1" ht="42.75" customHeight="1" x14ac:dyDescent="0.5">
      <c r="A50" s="93" t="s">
        <v>208</v>
      </c>
      <c r="B50" s="96" t="s">
        <v>435</v>
      </c>
      <c r="C50" s="83">
        <f>'Comp YTD 2021-2020 '!B55</f>
        <v>10000</v>
      </c>
      <c r="D50" s="83">
        <f>CNT!P233</f>
        <v>20242.5</v>
      </c>
      <c r="E50" s="83">
        <f t="shared" si="18"/>
        <v>10242.5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16990</v>
      </c>
      <c r="O50" s="83">
        <f t="shared" si="21"/>
        <v>10242.5</v>
      </c>
    </row>
    <row r="51" spans="1:15" s="22" customFormat="1" ht="42.75" customHeight="1" x14ac:dyDescent="0.5">
      <c r="A51" s="93" t="s">
        <v>208</v>
      </c>
      <c r="B51" s="96" t="s">
        <v>368</v>
      </c>
      <c r="C51" s="83">
        <f>'Comp YTD 2021-2020 '!B56</f>
        <v>40608.53</v>
      </c>
      <c r="D51" s="83">
        <f>CNT!P234</f>
        <v>96610.882499999992</v>
      </c>
      <c r="E51" s="83">
        <f t="shared" si="18"/>
        <v>56002.352499999994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88205.98</v>
      </c>
      <c r="O51" s="83">
        <f t="shared" si="21"/>
        <v>56002.352499999994</v>
      </c>
    </row>
    <row r="52" spans="1:15" s="22" customFormat="1" ht="42.75" customHeight="1" x14ac:dyDescent="0.5">
      <c r="A52" s="93" t="s">
        <v>208</v>
      </c>
      <c r="B52" s="96" t="s">
        <v>366</v>
      </c>
      <c r="C52" s="83">
        <f>'Comp YTD 2021-2020 '!B57</f>
        <v>0</v>
      </c>
      <c r="D52" s="83">
        <f>CNT!P246</f>
        <v>20271.052499999994</v>
      </c>
      <c r="E52" s="83">
        <f t="shared" si="18"/>
        <v>20271.052499999994</v>
      </c>
      <c r="G52" s="83">
        <f>CNT!Q246</f>
        <v>27028.069999999996</v>
      </c>
      <c r="I52" s="83">
        <f>CNT!R246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208</v>
      </c>
      <c r="B53" s="96" t="s">
        <v>235</v>
      </c>
      <c r="C53" s="83">
        <f>'Comp YTD 2021-2020 '!B58</f>
        <v>37178.129999999997</v>
      </c>
      <c r="D53" s="83">
        <f>CNT!P235</f>
        <v>82287</v>
      </c>
      <c r="E53" s="83">
        <f t="shared" si="18"/>
        <v>45108.87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72537.87</v>
      </c>
      <c r="O53" s="83">
        <f t="shared" si="21"/>
        <v>45108.869999999995</v>
      </c>
    </row>
    <row r="54" spans="1:15" s="22" customFormat="1" ht="42.75" customHeight="1" x14ac:dyDescent="0.5">
      <c r="A54" s="93" t="s">
        <v>208</v>
      </c>
      <c r="B54" s="96" t="s">
        <v>236</v>
      </c>
      <c r="C54" s="83">
        <f>'Comp YTD 2021-2020 '!B59</f>
        <v>10999.67</v>
      </c>
      <c r="D54" s="83">
        <f>CNT!P237</f>
        <v>13754.699999999999</v>
      </c>
      <c r="E54" s="83">
        <f t="shared" si="18"/>
        <v>2755.0299999999988</v>
      </c>
      <c r="G54" s="83">
        <f>CNT!Q237</f>
        <v>18339.599999999999</v>
      </c>
      <c r="I54" s="83">
        <f>CNT!R237</f>
        <v>38009.360000000001</v>
      </c>
      <c r="J54" s="26"/>
      <c r="K54" s="83">
        <f t="shared" si="19"/>
        <v>4584.8999999999996</v>
      </c>
      <c r="M54" s="83">
        <f t="shared" si="20"/>
        <v>7339.9299999999985</v>
      </c>
      <c r="O54" s="83">
        <f t="shared" si="21"/>
        <v>2755.0299999999988</v>
      </c>
    </row>
    <row r="55" spans="1:15" s="22" customFormat="1" ht="42.75" customHeight="1" x14ac:dyDescent="0.5">
      <c r="A55" s="93" t="s">
        <v>208</v>
      </c>
      <c r="B55" s="96" t="s">
        <v>234</v>
      </c>
      <c r="C55" s="83">
        <f>'Comp YTD 2021-2020 '!B60</f>
        <v>26599.660000000003</v>
      </c>
      <c r="D55" s="83">
        <f>CNT!P238</f>
        <v>41030.579999999987</v>
      </c>
      <c r="E55" s="83">
        <f t="shared" si="18"/>
        <v>14430.919999999984</v>
      </c>
      <c r="G55" s="83">
        <f>CNT!Q238</f>
        <v>54707.439999999988</v>
      </c>
      <c r="I55" s="83">
        <f>CNT!R238</f>
        <v>54707.439999999988</v>
      </c>
      <c r="J55" s="26"/>
      <c r="K55" s="83">
        <f t="shared" si="19"/>
        <v>13676.86</v>
      </c>
      <c r="M55" s="83">
        <f t="shared" si="20"/>
        <v>28107.779999999984</v>
      </c>
      <c r="O55" s="83">
        <f t="shared" si="21"/>
        <v>14430.919999999984</v>
      </c>
    </row>
    <row r="56" spans="1:15" s="22" customFormat="1" ht="42.75" customHeight="1" x14ac:dyDescent="0.5">
      <c r="A56" s="93" t="s">
        <v>208</v>
      </c>
      <c r="B56" s="96" t="s">
        <v>348</v>
      </c>
      <c r="C56" s="83">
        <f>'Comp YTD 2021-2020 '!B67</f>
        <v>814.6</v>
      </c>
      <c r="D56" s="83">
        <f>CNT!P280</f>
        <v>2374.875</v>
      </c>
      <c r="E56" s="83">
        <f t="shared" si="18"/>
        <v>1560.2750000000001</v>
      </c>
      <c r="G56" s="83">
        <f>CNT!Q280</f>
        <v>3166.5</v>
      </c>
      <c r="I56" s="83">
        <f>CNT!R280</f>
        <v>3166.5</v>
      </c>
      <c r="J56" s="26"/>
      <c r="K56" s="83">
        <f t="shared" si="19"/>
        <v>791.625</v>
      </c>
      <c r="M56" s="83">
        <f t="shared" si="20"/>
        <v>2351.9</v>
      </c>
      <c r="O56" s="83">
        <f t="shared" si="21"/>
        <v>1560.2750000000001</v>
      </c>
    </row>
    <row r="57" spans="1:15" s="22" customFormat="1" ht="42.75" customHeight="1" x14ac:dyDescent="0.5">
      <c r="A57" s="93" t="s">
        <v>208</v>
      </c>
      <c r="B57" s="96" t="s">
        <v>351</v>
      </c>
      <c r="C57" s="83">
        <f>'Comp YTD 2021-2020 '!B61</f>
        <v>0</v>
      </c>
      <c r="D57" s="83">
        <f>CNT!P284</f>
        <v>22984.755000000001</v>
      </c>
      <c r="E57" s="83">
        <f t="shared" si="18"/>
        <v>22984.755000000001</v>
      </c>
      <c r="G57" s="83">
        <f>CNT!Q284</f>
        <v>30646.34</v>
      </c>
      <c r="I57" s="83">
        <f>CNT!R284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208</v>
      </c>
      <c r="B58" s="96" t="s">
        <v>237</v>
      </c>
      <c r="C58" s="83">
        <f>'Comp YTD 2021-2020 '!B62</f>
        <v>38504.049999999996</v>
      </c>
      <c r="D58" s="83">
        <f>CNT!P239</f>
        <v>8488.7849999999999</v>
      </c>
      <c r="E58" s="83">
        <f t="shared" si="18"/>
        <v>-30015.264999999996</v>
      </c>
      <c r="G58" s="83">
        <f>CNT!Q239</f>
        <v>11318.38</v>
      </c>
      <c r="I58" s="83">
        <f>CNT!R239</f>
        <v>11318.38</v>
      </c>
      <c r="J58" s="26"/>
      <c r="K58" s="83">
        <f t="shared" si="19"/>
        <v>2829.5949999999993</v>
      </c>
      <c r="M58" s="83">
        <f t="shared" si="20"/>
        <v>-27185.67</v>
      </c>
      <c r="O58" s="83">
        <f t="shared" si="21"/>
        <v>-30015.264999999999</v>
      </c>
    </row>
    <row r="59" spans="1:15" s="22" customFormat="1" ht="42.75" customHeight="1" x14ac:dyDescent="0.5">
      <c r="A59" s="93" t="s">
        <v>208</v>
      </c>
      <c r="B59" s="96" t="s">
        <v>238</v>
      </c>
      <c r="C59" s="83">
        <f>'Comp YTD 2021-2020 '!B63</f>
        <v>7127.52</v>
      </c>
      <c r="D59" s="83">
        <f>CNT!P240</f>
        <v>9151.739999999998</v>
      </c>
      <c r="E59" s="83">
        <f t="shared" si="18"/>
        <v>2024.2199999999975</v>
      </c>
      <c r="G59" s="83">
        <f>CNT!Q240</f>
        <v>12202.319999999998</v>
      </c>
      <c r="I59" s="83">
        <f>CNT!R240</f>
        <v>12202.319999999998</v>
      </c>
      <c r="J59" s="26"/>
      <c r="K59" s="83">
        <f t="shared" si="19"/>
        <v>3050.58</v>
      </c>
      <c r="M59" s="83">
        <f t="shared" si="20"/>
        <v>5074.7999999999975</v>
      </c>
      <c r="O59" s="83">
        <f t="shared" si="21"/>
        <v>2024.2199999999975</v>
      </c>
    </row>
    <row r="60" spans="1:15" s="22" customFormat="1" ht="42.75" customHeight="1" x14ac:dyDescent="0.5">
      <c r="A60" s="93" t="s">
        <v>208</v>
      </c>
      <c r="B60" s="96" t="s">
        <v>239</v>
      </c>
      <c r="C60" s="83">
        <f>'Comp YTD 2021-2020 '!B64</f>
        <v>0</v>
      </c>
      <c r="D60" s="83">
        <f>CNT!P242</f>
        <v>2999.97</v>
      </c>
      <c r="E60" s="83">
        <f t="shared" si="18"/>
        <v>2999.97</v>
      </c>
      <c r="G60" s="83">
        <f>CNT!Q242</f>
        <v>3999.9599999999996</v>
      </c>
      <c r="I60" s="83">
        <f>CNT!R242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208</v>
      </c>
      <c r="B61" s="96" t="s">
        <v>240</v>
      </c>
      <c r="C61" s="83">
        <f>'Comp YTD 2021-2020 '!B65</f>
        <v>451000.38</v>
      </c>
      <c r="D61" s="83">
        <f>CNT!P243+CNT!P248</f>
        <v>996750</v>
      </c>
      <c r="E61" s="83">
        <f t="shared" si="18"/>
        <v>545749.62</v>
      </c>
      <c r="G61" s="83">
        <f>CNT!Q243+CNT!Q248</f>
        <v>1329000</v>
      </c>
      <c r="I61" s="83">
        <f>CNT!R243+CNT!R248</f>
        <v>1486541.88</v>
      </c>
      <c r="J61" s="26"/>
      <c r="K61" s="83">
        <f t="shared" si="19"/>
        <v>332250</v>
      </c>
      <c r="M61" s="83">
        <f t="shared" si="20"/>
        <v>877999.62</v>
      </c>
      <c r="O61" s="83">
        <f t="shared" si="21"/>
        <v>545749.62</v>
      </c>
    </row>
    <row r="62" spans="1:15" s="22" customFormat="1" ht="42.75" customHeight="1" x14ac:dyDescent="0.5">
      <c r="A62" s="93" t="s">
        <v>208</v>
      </c>
      <c r="B62" s="96" t="s">
        <v>250</v>
      </c>
      <c r="C62" s="83">
        <f>'Comp YTD 2021-2020 '!B66</f>
        <v>2776.58</v>
      </c>
      <c r="D62" s="83">
        <f>CNT!P266</f>
        <v>1170.4575</v>
      </c>
      <c r="E62" s="83">
        <f t="shared" si="18"/>
        <v>-1606.1224999999999</v>
      </c>
      <c r="G62" s="83">
        <f>CNT!Q266</f>
        <v>1560.6100000000001</v>
      </c>
      <c r="I62" s="83">
        <f>CNT!R266</f>
        <v>1560.6100000000001</v>
      </c>
      <c r="J62" s="26"/>
      <c r="K62" s="83">
        <f t="shared" si="19"/>
        <v>390.15250000000015</v>
      </c>
      <c r="M62" s="83">
        <f t="shared" si="20"/>
        <v>-1215.9699999999998</v>
      </c>
      <c r="O62" s="83">
        <f t="shared" si="21"/>
        <v>-1606.1224999999999</v>
      </c>
    </row>
    <row r="63" spans="1:15" s="22" customFormat="1" ht="42.75" customHeight="1" x14ac:dyDescent="0.5">
      <c r="A63" s="93" t="s">
        <v>208</v>
      </c>
      <c r="B63" s="96" t="s">
        <v>243</v>
      </c>
      <c r="C63" s="83">
        <f>'Comp YTD 2021-2020 '!B68</f>
        <v>6149.38</v>
      </c>
      <c r="D63" s="83">
        <f>CNT!P264</f>
        <v>13050</v>
      </c>
      <c r="E63" s="83">
        <f t="shared" si="18"/>
        <v>6900.62</v>
      </c>
      <c r="G63" s="83">
        <f>CNT!Q264</f>
        <v>17400</v>
      </c>
      <c r="I63" s="83">
        <f>CNT!R264</f>
        <v>17043.18</v>
      </c>
      <c r="J63" s="26"/>
      <c r="K63" s="83">
        <f t="shared" si="19"/>
        <v>4350</v>
      </c>
      <c r="M63" s="83">
        <f t="shared" si="20"/>
        <v>11250.619999999999</v>
      </c>
      <c r="O63" s="83">
        <f t="shared" si="21"/>
        <v>6900.619999999999</v>
      </c>
    </row>
    <row r="64" spans="1:15" s="22" customFormat="1" ht="42.75" customHeight="1" x14ac:dyDescent="0.5">
      <c r="A64" s="93" t="s">
        <v>208</v>
      </c>
      <c r="B64" s="96" t="s">
        <v>244</v>
      </c>
      <c r="C64" s="83">
        <f>'Comp YTD 2021-2020 '!B69</f>
        <v>36096.339999999997</v>
      </c>
      <c r="D64" s="83">
        <f>CNT!P241+CNT!P247</f>
        <v>79132.5</v>
      </c>
      <c r="E64" s="83">
        <f t="shared" si="18"/>
        <v>43036.160000000003</v>
      </c>
      <c r="G64" s="83">
        <f>CNT!Q241+CNT!Q247</f>
        <v>105510</v>
      </c>
      <c r="I64" s="83">
        <f>CNT!R241+CNT!R247</f>
        <v>134430.88999999996</v>
      </c>
      <c r="J64" s="26"/>
      <c r="K64" s="83">
        <f t="shared" si="19"/>
        <v>26377.5</v>
      </c>
      <c r="M64" s="83">
        <f t="shared" si="20"/>
        <v>69413.66</v>
      </c>
      <c r="O64" s="83">
        <f t="shared" si="21"/>
        <v>43036.160000000003</v>
      </c>
    </row>
    <row r="65" spans="1:15" s="22" customFormat="1" ht="42.75" customHeight="1" x14ac:dyDescent="0.5">
      <c r="A65" s="93" t="s">
        <v>208</v>
      </c>
      <c r="B65" s="96" t="s">
        <v>360</v>
      </c>
      <c r="C65" s="83">
        <f>'Comp YTD 2021-2020 '!B70</f>
        <v>16762.82</v>
      </c>
      <c r="D65" s="83">
        <f>CNT!P244</f>
        <v>23638.334999999999</v>
      </c>
      <c r="E65" s="83">
        <f t="shared" si="18"/>
        <v>6875.5149999999994</v>
      </c>
      <c r="G65" s="83">
        <f>CNT!Q244</f>
        <v>31517.78</v>
      </c>
      <c r="I65" s="83">
        <f>CNT!R244</f>
        <v>31517.78</v>
      </c>
      <c r="J65" s="26"/>
      <c r="K65" s="83">
        <f t="shared" si="19"/>
        <v>7879.4449999999997</v>
      </c>
      <c r="M65" s="83">
        <f t="shared" si="20"/>
        <v>14754.96</v>
      </c>
      <c r="O65" s="83">
        <f t="shared" si="21"/>
        <v>6875.5149999999994</v>
      </c>
    </row>
    <row r="66" spans="1:15" s="22" customFormat="1" ht="42.75" customHeight="1" x14ac:dyDescent="0.5">
      <c r="A66" s="93" t="s">
        <v>208</v>
      </c>
      <c r="B66" s="96" t="s">
        <v>361</v>
      </c>
      <c r="C66" s="83">
        <f>'Comp YTD 2021-2020 '!B71</f>
        <v>29600.489999999998</v>
      </c>
      <c r="D66" s="83">
        <f>CNT!P245</f>
        <v>28476</v>
      </c>
      <c r="E66" s="83">
        <f t="shared" si="18"/>
        <v>-1124.489999999998</v>
      </c>
      <c r="G66" s="83">
        <f>CNT!Q245</f>
        <v>37968</v>
      </c>
      <c r="I66" s="83">
        <f>CNT!R245</f>
        <v>22152.17</v>
      </c>
      <c r="J66" s="26"/>
      <c r="K66" s="83">
        <f t="shared" si="19"/>
        <v>9492</v>
      </c>
      <c r="M66" s="83">
        <f t="shared" si="20"/>
        <v>8367.510000000002</v>
      </c>
      <c r="O66" s="83">
        <f t="shared" si="21"/>
        <v>-1124.489999999998</v>
      </c>
    </row>
    <row r="67" spans="1:15" s="22" customFormat="1" ht="42.75" customHeight="1" x14ac:dyDescent="0.5">
      <c r="A67" s="93" t="s">
        <v>208</v>
      </c>
      <c r="B67" s="94" t="s">
        <v>245</v>
      </c>
      <c r="C67" s="97">
        <f>SUM(C45:C66)</f>
        <v>900010.94</v>
      </c>
      <c r="D67" s="97">
        <f t="shared" ref="D67:E67" si="22">SUM(D45:D66)</f>
        <v>1854866.8724999998</v>
      </c>
      <c r="E67" s="97">
        <f t="shared" si="22"/>
        <v>954855.9325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1623144.89</v>
      </c>
      <c r="O67" s="97">
        <f>SUM(O45:O66)</f>
        <v>954855.9325</v>
      </c>
    </row>
    <row r="68" spans="1:15" s="22" customFormat="1" ht="42.75" customHeight="1" x14ac:dyDescent="0.5">
      <c r="A68" s="93" t="s">
        <v>208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208</v>
      </c>
      <c r="B69" s="94" t="s">
        <v>246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208</v>
      </c>
      <c r="B70" s="96" t="s">
        <v>247</v>
      </c>
      <c r="C70" s="83">
        <f>'Comp YTD 2021-2020 '!B81</f>
        <v>6269.13</v>
      </c>
      <c r="D70" s="83">
        <f>CNT!P255</f>
        <v>8026.5225000000009</v>
      </c>
      <c r="E70" s="83">
        <f>D70-C70</f>
        <v>1757.3925000000008</v>
      </c>
      <c r="G70" s="83">
        <f>CNT!Q255</f>
        <v>10702.03</v>
      </c>
      <c r="I70" s="83">
        <f>CNT!R255</f>
        <v>10702.03</v>
      </c>
      <c r="J70" s="26"/>
      <c r="K70" s="83">
        <f t="shared" ref="K70" si="24">G70-D70</f>
        <v>2675.5074999999997</v>
      </c>
      <c r="M70" s="83">
        <f t="shared" ref="M70" si="25">G70-C70</f>
        <v>4432.9000000000005</v>
      </c>
      <c r="O70" s="83">
        <f>M70-K70</f>
        <v>1757.3925000000008</v>
      </c>
    </row>
    <row r="71" spans="1:15" s="22" customFormat="1" ht="42.75" customHeight="1" x14ac:dyDescent="0.5">
      <c r="A71" s="93" t="s">
        <v>208</v>
      </c>
      <c r="B71" s="96" t="s">
        <v>383</v>
      </c>
      <c r="C71" s="83">
        <f>'Comp YTD 2021-2020 '!B82</f>
        <v>922.32</v>
      </c>
      <c r="D71" s="83">
        <f>CNT!P253</f>
        <v>3375</v>
      </c>
      <c r="E71" s="83">
        <f t="shared" ref="E71:E89" si="26">D71-C71</f>
        <v>2452.6799999999998</v>
      </c>
      <c r="G71" s="83">
        <f>CNT!Q253</f>
        <v>4500</v>
      </c>
      <c r="I71" s="83">
        <f>CNT!R253</f>
        <v>4500</v>
      </c>
      <c r="J71" s="26"/>
      <c r="K71" s="83">
        <f t="shared" ref="K71:K89" si="27">G71-D71</f>
        <v>1125</v>
      </c>
      <c r="M71" s="83">
        <f t="shared" ref="M71:M89" si="28">G71-C71</f>
        <v>3577.68</v>
      </c>
      <c r="O71" s="83">
        <f t="shared" ref="O71:O89" si="29">M71-K71</f>
        <v>2452.6799999999998</v>
      </c>
    </row>
    <row r="72" spans="1:15" s="22" customFormat="1" ht="42.75" customHeight="1" x14ac:dyDescent="0.5">
      <c r="A72" s="93" t="s">
        <v>208</v>
      </c>
      <c r="B72" s="96" t="s">
        <v>530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208</v>
      </c>
      <c r="B73" s="96" t="s">
        <v>248</v>
      </c>
      <c r="C73" s="83">
        <f>'Comp YTD 2021-2020 '!B84</f>
        <v>35074.800000000003</v>
      </c>
      <c r="D73" s="83">
        <f>CNT!P256</f>
        <v>46261.931250000001</v>
      </c>
      <c r="E73" s="83">
        <f t="shared" si="26"/>
        <v>11187.131249999999</v>
      </c>
      <c r="G73" s="83">
        <f>CNT!Q256</f>
        <v>61682.574999999997</v>
      </c>
      <c r="I73" s="83">
        <f>CNT!R256</f>
        <v>123365.15</v>
      </c>
      <c r="J73" s="26"/>
      <c r="K73" s="83">
        <f t="shared" si="27"/>
        <v>15420.643749999996</v>
      </c>
      <c r="M73" s="83">
        <f t="shared" si="28"/>
        <v>26607.774999999994</v>
      </c>
      <c r="O73" s="83">
        <f t="shared" si="29"/>
        <v>11187.131249999999</v>
      </c>
    </row>
    <row r="74" spans="1:15" s="22" customFormat="1" ht="42.75" customHeight="1" x14ac:dyDescent="0.5">
      <c r="A74" s="93" t="s">
        <v>208</v>
      </c>
      <c r="B74" s="96" t="s">
        <v>355</v>
      </c>
      <c r="C74" s="83">
        <f>'Comp YTD 2021-2020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208</v>
      </c>
      <c r="B75" s="96" t="s">
        <v>249</v>
      </c>
      <c r="C75" s="83">
        <f>'Comp YTD 2021-2020 '!B86</f>
        <v>2275.8500000000004</v>
      </c>
      <c r="D75" s="83">
        <f>CNT!P258</f>
        <v>3592.6575000000003</v>
      </c>
      <c r="E75" s="83">
        <f t="shared" si="26"/>
        <v>1316.8074999999999</v>
      </c>
      <c r="G75" s="83">
        <f>CNT!Q258</f>
        <v>4790.21</v>
      </c>
      <c r="I75" s="83">
        <f>CNT!R258</f>
        <v>4790.21</v>
      </c>
      <c r="J75" s="26"/>
      <c r="K75" s="83">
        <f t="shared" si="27"/>
        <v>1197.5524999999998</v>
      </c>
      <c r="M75" s="83">
        <f>G75-C75</f>
        <v>2514.3599999999997</v>
      </c>
      <c r="O75" s="83">
        <f>M75-K75</f>
        <v>1316.8074999999999</v>
      </c>
    </row>
    <row r="76" spans="1:15" s="22" customFormat="1" ht="42.75" customHeight="1" x14ac:dyDescent="0.5">
      <c r="A76" s="93" t="s">
        <v>208</v>
      </c>
      <c r="B76" s="96" t="s">
        <v>352</v>
      </c>
      <c r="C76" s="83">
        <f>'Comp YTD 2021-2020 '!B87</f>
        <v>78333.320000000007</v>
      </c>
      <c r="D76" s="83">
        <f>CNT!P277</f>
        <v>180000</v>
      </c>
      <c r="E76" s="83">
        <f t="shared" si="26"/>
        <v>101666.68</v>
      </c>
      <c r="G76" s="83">
        <f>CNT!Q277</f>
        <v>240000</v>
      </c>
      <c r="I76" s="83">
        <f>CNT!R277</f>
        <v>349999.99000000005</v>
      </c>
      <c r="J76" s="26"/>
      <c r="K76" s="83">
        <f t="shared" si="27"/>
        <v>60000</v>
      </c>
      <c r="M76" s="83">
        <f t="shared" si="28"/>
        <v>161666.68</v>
      </c>
      <c r="O76" s="83">
        <f t="shared" si="29"/>
        <v>101666.68</v>
      </c>
    </row>
    <row r="77" spans="1:15" s="22" customFormat="1" ht="42.75" customHeight="1" x14ac:dyDescent="0.5">
      <c r="A77" s="93" t="s">
        <v>208</v>
      </c>
      <c r="B77" s="96" t="s">
        <v>353</v>
      </c>
      <c r="C77" s="83">
        <f>'Comp YTD 2021-2020 '!B88</f>
        <v>1788.75</v>
      </c>
      <c r="D77" s="83">
        <f>CNT!P278</f>
        <v>67875</v>
      </c>
      <c r="E77" s="83">
        <f t="shared" si="26"/>
        <v>66086.25</v>
      </c>
      <c r="G77" s="83">
        <f>CNT!Q278</f>
        <v>90500</v>
      </c>
      <c r="I77" s="83">
        <f>CNT!R278</f>
        <v>90500</v>
      </c>
      <c r="J77" s="26"/>
      <c r="K77" s="83">
        <f t="shared" si="27"/>
        <v>22625</v>
      </c>
      <c r="M77" s="83">
        <f t="shared" si="28"/>
        <v>88711.25</v>
      </c>
      <c r="O77" s="83">
        <f t="shared" si="29"/>
        <v>66086.25</v>
      </c>
    </row>
    <row r="78" spans="1:15" s="22" customFormat="1" ht="42.75" customHeight="1" x14ac:dyDescent="0.5">
      <c r="A78" s="93" t="s">
        <v>208</v>
      </c>
      <c r="B78" s="96" t="s">
        <v>354</v>
      </c>
      <c r="C78" s="83">
        <f>'Comp YTD 2021-2020 '!B89</f>
        <v>29561.760000000002</v>
      </c>
      <c r="D78" s="83">
        <f>CNT!P276</f>
        <v>60000</v>
      </c>
      <c r="E78" s="83">
        <f t="shared" si="26"/>
        <v>30438.239999999998</v>
      </c>
      <c r="G78" s="83">
        <f>CNT!Q276</f>
        <v>80000</v>
      </c>
      <c r="I78" s="83">
        <f>CNT!R276</f>
        <v>83381.570000000007</v>
      </c>
      <c r="J78" s="26"/>
      <c r="K78" s="83">
        <f t="shared" si="27"/>
        <v>20000</v>
      </c>
      <c r="M78" s="83">
        <f t="shared" si="28"/>
        <v>50438.239999999998</v>
      </c>
      <c r="O78" s="83">
        <f t="shared" si="29"/>
        <v>30438.239999999998</v>
      </c>
    </row>
    <row r="79" spans="1:15" s="22" customFormat="1" ht="42.75" customHeight="1" x14ac:dyDescent="0.5">
      <c r="A79" s="93" t="s">
        <v>208</v>
      </c>
      <c r="B79" s="96" t="s">
        <v>392</v>
      </c>
      <c r="C79" s="83">
        <f>'Comp YTD 2021-2020 '!B90</f>
        <v>2074</v>
      </c>
      <c r="D79" s="83">
        <f>CNT!P279</f>
        <v>0</v>
      </c>
      <c r="E79" s="83">
        <f t="shared" si="26"/>
        <v>-2074</v>
      </c>
      <c r="G79" s="83">
        <f>CNT!Q279</f>
        <v>0</v>
      </c>
      <c r="I79" s="83">
        <f>CNT!R279</f>
        <v>33743.360000000001</v>
      </c>
      <c r="J79" s="26"/>
      <c r="K79" s="83">
        <f t="shared" si="27"/>
        <v>0</v>
      </c>
      <c r="M79" s="83">
        <f t="shared" si="28"/>
        <v>-2074</v>
      </c>
      <c r="O79" s="83">
        <f t="shared" si="29"/>
        <v>-2074</v>
      </c>
    </row>
    <row r="80" spans="1:15" s="22" customFormat="1" ht="42.75" hidden="1" customHeight="1" x14ac:dyDescent="0.5">
      <c r="A80" s="93" t="s">
        <v>208</v>
      </c>
      <c r="B80" s="96" t="s">
        <v>381</v>
      </c>
      <c r="C80" s="83">
        <f>'Comp YTD 2021-2020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208</v>
      </c>
      <c r="B81" s="96" t="s">
        <v>251</v>
      </c>
      <c r="C81" s="83">
        <f>'Comp YTD 2021-2020 '!B93</f>
        <v>1801.27</v>
      </c>
      <c r="D81" s="83">
        <f>CNT!P262+CNT!P281</f>
        <v>18773.047500000004</v>
      </c>
      <c r="E81" s="83">
        <f t="shared" si="26"/>
        <v>16971.777500000004</v>
      </c>
      <c r="G81" s="83">
        <f>CNT!Q262+CNT!Q281</f>
        <v>25030.730000000003</v>
      </c>
      <c r="I81" s="83">
        <f>CNT!R262+CNT!R281</f>
        <v>25030.730000000003</v>
      </c>
      <c r="J81" s="26"/>
      <c r="K81" s="83">
        <f t="shared" si="27"/>
        <v>6257.682499999999</v>
      </c>
      <c r="M81" s="83">
        <f t="shared" si="28"/>
        <v>23229.460000000003</v>
      </c>
      <c r="O81" s="83">
        <f t="shared" si="29"/>
        <v>16971.777500000004</v>
      </c>
    </row>
    <row r="82" spans="1:15" s="22" customFormat="1" ht="42.75" customHeight="1" x14ac:dyDescent="0.5">
      <c r="A82" s="93" t="s">
        <v>208</v>
      </c>
      <c r="B82" s="96" t="s">
        <v>252</v>
      </c>
      <c r="C82" s="83">
        <f>'Comp YTD 2021-2020 '!B94</f>
        <v>8771.48</v>
      </c>
      <c r="D82" s="83">
        <f>CNT!P267</f>
        <v>24634.35</v>
      </c>
      <c r="E82" s="83">
        <f t="shared" si="26"/>
        <v>15862.869999999999</v>
      </c>
      <c r="G82" s="83">
        <f>CNT!Q267</f>
        <v>32845.799999999996</v>
      </c>
      <c r="I82" s="83">
        <f>CNT!R267</f>
        <v>32845.799999999996</v>
      </c>
      <c r="J82" s="26"/>
      <c r="K82" s="83">
        <f t="shared" si="27"/>
        <v>8211.4499999999971</v>
      </c>
      <c r="M82" s="83">
        <f t="shared" si="28"/>
        <v>24074.319999999996</v>
      </c>
      <c r="O82" s="83">
        <f t="shared" si="29"/>
        <v>15862.869999999999</v>
      </c>
    </row>
    <row r="83" spans="1:15" s="22" customFormat="1" ht="42.75" customHeight="1" x14ac:dyDescent="0.5">
      <c r="A83" s="93" t="s">
        <v>208</v>
      </c>
      <c r="B83" s="96" t="s">
        <v>253</v>
      </c>
      <c r="C83" s="83">
        <f>'Comp YTD 2021-2020 '!B95</f>
        <v>1883.9</v>
      </c>
      <c r="D83" s="83">
        <f>CNT!P268</f>
        <v>19390.365000000002</v>
      </c>
      <c r="E83" s="83">
        <f t="shared" si="26"/>
        <v>17506.465</v>
      </c>
      <c r="G83" s="83">
        <f>CNT!Q268</f>
        <v>25853.820000000003</v>
      </c>
      <c r="I83" s="83">
        <f>CNT!R268</f>
        <v>25853.820000000003</v>
      </c>
      <c r="J83" s="26"/>
      <c r="K83" s="83">
        <f t="shared" si="27"/>
        <v>6463.4550000000017</v>
      </c>
      <c r="M83" s="83">
        <f t="shared" si="28"/>
        <v>23969.920000000002</v>
      </c>
      <c r="O83" s="83">
        <f t="shared" si="29"/>
        <v>17506.465</v>
      </c>
    </row>
    <row r="84" spans="1:15" s="22" customFormat="1" ht="42.75" customHeight="1" x14ac:dyDescent="0.5">
      <c r="A84" s="93" t="s">
        <v>208</v>
      </c>
      <c r="B84" s="96" t="s">
        <v>290</v>
      </c>
      <c r="C84" s="83">
        <f>'Comp YTD 2021-2020 '!B96</f>
        <v>0</v>
      </c>
      <c r="D84" s="83">
        <f>CNT!P257</f>
        <v>407.76</v>
      </c>
      <c r="E84" s="83">
        <f t="shared" si="26"/>
        <v>407.76</v>
      </c>
      <c r="G84" s="83">
        <f>CNT!Q257</f>
        <v>543.67999999999995</v>
      </c>
      <c r="I84" s="83">
        <f>CNT!R257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208</v>
      </c>
      <c r="B85" s="96" t="s">
        <v>369</v>
      </c>
      <c r="C85" s="83">
        <f>'Comp YTD 2021-2020 '!B97</f>
        <v>94.98</v>
      </c>
      <c r="D85" s="83">
        <f>CNT!P263</f>
        <v>5009.2275</v>
      </c>
      <c r="E85" s="83">
        <f t="shared" si="26"/>
        <v>4914.2475000000004</v>
      </c>
      <c r="G85" s="83">
        <f>CNT!Q263</f>
        <v>6678.97</v>
      </c>
      <c r="I85" s="83">
        <f>CNT!R263</f>
        <v>6678.97</v>
      </c>
      <c r="J85" s="26"/>
      <c r="K85" s="83">
        <f t="shared" si="27"/>
        <v>1669.7425000000003</v>
      </c>
      <c r="M85" s="83">
        <f t="shared" si="28"/>
        <v>6583.9900000000007</v>
      </c>
      <c r="O85" s="83">
        <f t="shared" si="29"/>
        <v>4914.2475000000004</v>
      </c>
    </row>
    <row r="86" spans="1:15" s="22" customFormat="1" ht="42.75" customHeight="1" x14ac:dyDescent="0.5">
      <c r="A86" s="93" t="s">
        <v>208</v>
      </c>
      <c r="B86" s="96" t="s">
        <v>254</v>
      </c>
      <c r="C86" s="83">
        <f>'Comp YTD 2021-2020 '!B98</f>
        <v>1950</v>
      </c>
      <c r="D86" s="83">
        <f>CNT!P270</f>
        <v>11484.21</v>
      </c>
      <c r="E86" s="83">
        <f t="shared" si="26"/>
        <v>9534.2099999999991</v>
      </c>
      <c r="G86" s="83">
        <f>CNT!Q270</f>
        <v>15312.279999999999</v>
      </c>
      <c r="I86" s="83">
        <f>CNT!R270</f>
        <v>15312.279999999999</v>
      </c>
      <c r="J86" s="26"/>
      <c r="K86" s="83">
        <f t="shared" si="27"/>
        <v>3828.0699999999997</v>
      </c>
      <c r="M86" s="83">
        <f t="shared" si="28"/>
        <v>13362.279999999999</v>
      </c>
      <c r="O86" s="83">
        <f t="shared" si="29"/>
        <v>9534.2099999999991</v>
      </c>
    </row>
    <row r="87" spans="1:15" s="22" customFormat="1" ht="42.75" customHeight="1" x14ac:dyDescent="0.5">
      <c r="A87" s="93" t="s">
        <v>208</v>
      </c>
      <c r="B87" s="96" t="s">
        <v>255</v>
      </c>
      <c r="C87" s="83">
        <f>'Comp YTD 2021-2020 '!B99</f>
        <v>0</v>
      </c>
      <c r="D87" s="83">
        <f>CNT!P271+CNT!P283</f>
        <v>15301.402499999998</v>
      </c>
      <c r="E87" s="83">
        <f t="shared" si="26"/>
        <v>15301.402499999998</v>
      </c>
      <c r="G87" s="83">
        <f>CNT!Q271+CNT!Q283</f>
        <v>20401.87</v>
      </c>
      <c r="I87" s="83">
        <f>CNT!R271+CNT!R283</f>
        <v>20401.87</v>
      </c>
      <c r="J87" s="26"/>
      <c r="K87" s="83">
        <f t="shared" si="27"/>
        <v>5100.4675000000007</v>
      </c>
      <c r="M87" s="83">
        <f t="shared" si="28"/>
        <v>20401.87</v>
      </c>
      <c r="O87" s="83">
        <f t="shared" si="29"/>
        <v>15301.402499999998</v>
      </c>
    </row>
    <row r="88" spans="1:15" s="22" customFormat="1" ht="42.75" customHeight="1" x14ac:dyDescent="0.5">
      <c r="A88" s="93" t="s">
        <v>208</v>
      </c>
      <c r="B88" s="96" t="s">
        <v>256</v>
      </c>
      <c r="C88" s="83">
        <f>'Comp YTD 2021-2020 '!B101</f>
        <v>972.08999999999992</v>
      </c>
      <c r="D88" s="83">
        <f>CNT!P272</f>
        <v>4215.9674999999997</v>
      </c>
      <c r="E88" s="83">
        <f t="shared" si="26"/>
        <v>3243.8774999999996</v>
      </c>
      <c r="G88" s="83">
        <f>CNT!Q272</f>
        <v>5621.29</v>
      </c>
      <c r="I88" s="83">
        <f>CNT!R272</f>
        <v>5621.29</v>
      </c>
      <c r="J88" s="26"/>
      <c r="K88" s="83">
        <f t="shared" si="27"/>
        <v>1405.3225000000002</v>
      </c>
      <c r="M88" s="83">
        <f t="shared" si="28"/>
        <v>4649.2</v>
      </c>
      <c r="O88" s="83">
        <f t="shared" si="29"/>
        <v>3243.8774999999996</v>
      </c>
    </row>
    <row r="89" spans="1:15" s="22" customFormat="1" ht="42.75" customHeight="1" x14ac:dyDescent="0.5">
      <c r="A89" s="93" t="s">
        <v>208</v>
      </c>
      <c r="B89" s="96" t="s">
        <v>257</v>
      </c>
      <c r="C89" s="83">
        <f>'Comp YTD 2021-2020 '!B102</f>
        <v>3667.81</v>
      </c>
      <c r="D89" s="83">
        <f>CNT!P273</f>
        <v>17399.370000000003</v>
      </c>
      <c r="E89" s="83">
        <f t="shared" si="26"/>
        <v>13731.560000000003</v>
      </c>
      <c r="G89" s="83">
        <f>CNT!Q273</f>
        <v>23199.160000000003</v>
      </c>
      <c r="I89" s="83">
        <f>CNT!R273</f>
        <v>23199.160000000003</v>
      </c>
      <c r="J89" s="26"/>
      <c r="K89" s="83">
        <f t="shared" si="27"/>
        <v>5799.7900000000009</v>
      </c>
      <c r="M89" s="83">
        <f t="shared" si="28"/>
        <v>19531.350000000002</v>
      </c>
      <c r="O89" s="83">
        <f t="shared" si="29"/>
        <v>13731.560000000001</v>
      </c>
    </row>
    <row r="90" spans="1:15" s="22" customFormat="1" ht="42.75" customHeight="1" x14ac:dyDescent="0.5">
      <c r="A90" s="93" t="s">
        <v>208</v>
      </c>
      <c r="B90" s="94" t="s">
        <v>259</v>
      </c>
      <c r="C90" s="97">
        <f>SUM(C70:C89)</f>
        <v>175441.46000000002</v>
      </c>
      <c r="D90" s="97">
        <f>SUM(D70:D89)</f>
        <v>485746.81125000003</v>
      </c>
      <c r="E90" s="97">
        <f>SUM(E70:E89)</f>
        <v>310305.35125000001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472220.95500000002</v>
      </c>
      <c r="O90" s="97">
        <f>SUM(O70:O89)</f>
        <v>310305.35125000001</v>
      </c>
    </row>
    <row r="91" spans="1:15" s="22" customFormat="1" ht="42.75" customHeight="1" x14ac:dyDescent="0.5">
      <c r="A91" s="93" t="s">
        <v>208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208</v>
      </c>
      <c r="B92" s="94" t="s">
        <v>260</v>
      </c>
      <c r="C92" s="98">
        <f t="shared" ref="C92:E92" si="31">C42+C67+C90</f>
        <v>5434345.3200000012</v>
      </c>
      <c r="D92" s="98">
        <f t="shared" si="31"/>
        <v>4976853.9637500001</v>
      </c>
      <c r="E92" s="98">
        <f t="shared" si="31"/>
        <v>-457491.35625000013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1251459.9649999999</v>
      </c>
      <c r="O92" s="98">
        <f>O42+O67+O90</f>
        <v>-457491.35625000013</v>
      </c>
    </row>
    <row r="93" spans="1:15" s="22" customFormat="1" ht="42.75" customHeight="1" x14ac:dyDescent="0.5">
      <c r="A93" s="93" t="s">
        <v>208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208</v>
      </c>
      <c r="B94" s="94" t="s">
        <v>452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208</v>
      </c>
      <c r="B95" s="96" t="s">
        <v>263</v>
      </c>
      <c r="C95" s="83">
        <f>'Comp YTD 2021-2020 '!B108</f>
        <v>50000</v>
      </c>
      <c r="D95" s="83">
        <f>CNT!P291</f>
        <v>112500</v>
      </c>
      <c r="E95" s="83">
        <f>C95-D95</f>
        <v>-62500</v>
      </c>
      <c r="G95" s="83">
        <f>CNT!Q291</f>
        <v>150000</v>
      </c>
      <c r="I95" s="83">
        <f>CNT!R291</f>
        <v>150000</v>
      </c>
      <c r="J95" s="26"/>
      <c r="K95" s="83">
        <f t="shared" ref="K95" si="33">G95-D95</f>
        <v>37500</v>
      </c>
      <c r="M95" s="83">
        <f t="shared" ref="M95" si="34">G95-C95</f>
        <v>100000</v>
      </c>
      <c r="O95" s="83">
        <f>M95-K95</f>
        <v>62500</v>
      </c>
    </row>
    <row r="96" spans="1:15" s="22" customFormat="1" ht="42.75" hidden="1" customHeight="1" x14ac:dyDescent="0.5">
      <c r="A96" s="93" t="s">
        <v>208</v>
      </c>
      <c r="B96" s="96" t="s">
        <v>264</v>
      </c>
      <c r="C96" s="83">
        <f>'Comp YTD 2021-2020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208</v>
      </c>
      <c r="B97" s="96" t="s">
        <v>322</v>
      </c>
      <c r="C97" s="83">
        <f>'Comp YTD 2021-2020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208</v>
      </c>
      <c r="B98" s="96" t="s">
        <v>378</v>
      </c>
      <c r="C98" s="83">
        <f>'Comp YTD 2021-2020 '!B111</f>
        <v>0</v>
      </c>
      <c r="D98" s="83">
        <f>CNT!P293</f>
        <v>43648.845000000001</v>
      </c>
      <c r="E98" s="83">
        <f>D98-C98</f>
        <v>43648.845000000001</v>
      </c>
      <c r="G98" s="83">
        <f>CNT!Q293</f>
        <v>58198.46</v>
      </c>
      <c r="I98" s="83">
        <f>CNT!R293</f>
        <v>58198.46</v>
      </c>
      <c r="J98" s="26"/>
      <c r="K98" s="83">
        <f t="shared" si="36"/>
        <v>14549.614999999998</v>
      </c>
      <c r="M98" s="83">
        <f t="shared" si="37"/>
        <v>58198.46</v>
      </c>
      <c r="O98" s="83">
        <f t="shared" si="38"/>
        <v>43648.845000000001</v>
      </c>
    </row>
    <row r="99" spans="1:15" s="22" customFormat="1" ht="42.75" customHeight="1" x14ac:dyDescent="0.5">
      <c r="A99" s="93" t="s">
        <v>208</v>
      </c>
      <c r="B99" s="96" t="s">
        <v>265</v>
      </c>
      <c r="C99" s="83">
        <f>'Comp YTD 2021-2020 '!B112</f>
        <v>56534.070000000007</v>
      </c>
      <c r="D99" s="83">
        <f>CNT!P294</f>
        <v>143988.78749999998</v>
      </c>
      <c r="E99" s="83">
        <f t="shared" ref="E99:E107" si="39">D99-C99</f>
        <v>87454.71749999997</v>
      </c>
      <c r="G99" s="83">
        <f>CNT!Q294</f>
        <v>191985.05</v>
      </c>
      <c r="I99" s="83">
        <f>CNT!R294</f>
        <v>191985.05</v>
      </c>
      <c r="J99" s="26"/>
      <c r="K99" s="83">
        <f t="shared" si="36"/>
        <v>47996.262500000012</v>
      </c>
      <c r="M99" s="83">
        <f t="shared" si="37"/>
        <v>135450.97999999998</v>
      </c>
      <c r="O99" s="83">
        <f t="shared" si="38"/>
        <v>87454.71749999997</v>
      </c>
    </row>
    <row r="100" spans="1:15" s="22" customFormat="1" ht="42.75" customHeight="1" x14ac:dyDescent="0.5">
      <c r="A100" s="93" t="s">
        <v>208</v>
      </c>
      <c r="B100" s="96" t="s">
        <v>266</v>
      </c>
      <c r="C100" s="83">
        <f>'Comp YTD 2021-2020 '!B113</f>
        <v>127378.14</v>
      </c>
      <c r="D100" s="83">
        <f>CNT!P295</f>
        <v>216176.70749999999</v>
      </c>
      <c r="E100" s="83">
        <f t="shared" si="39"/>
        <v>88798.56749999999</v>
      </c>
      <c r="G100" s="83">
        <f>CNT!Q295</f>
        <v>288235.61</v>
      </c>
      <c r="I100" s="83">
        <f>CNT!R295</f>
        <v>288235.61</v>
      </c>
      <c r="J100" s="26"/>
      <c r="K100" s="83">
        <f t="shared" si="36"/>
        <v>72058.902499999997</v>
      </c>
      <c r="M100" s="83">
        <f t="shared" si="37"/>
        <v>160857.46999999997</v>
      </c>
      <c r="O100" s="83">
        <f t="shared" si="38"/>
        <v>88798.567499999976</v>
      </c>
    </row>
    <row r="101" spans="1:15" s="22" customFormat="1" ht="42.75" customHeight="1" x14ac:dyDescent="0.5">
      <c r="A101" s="93" t="s">
        <v>208</v>
      </c>
      <c r="B101" s="96" t="s">
        <v>267</v>
      </c>
      <c r="C101" s="83">
        <f>'Comp YTD 2021-2020 '!B114</f>
        <v>-197136.65</v>
      </c>
      <c r="D101" s="83">
        <f>CNT!P298</f>
        <v>-137722.67249999999</v>
      </c>
      <c r="E101" s="83">
        <f t="shared" si="39"/>
        <v>59413.977500000008</v>
      </c>
      <c r="G101" s="83">
        <f>CNT!Q298</f>
        <v>-183630.22999999998</v>
      </c>
      <c r="I101" s="83">
        <f>CNT!R298</f>
        <v>-183630.22999999998</v>
      </c>
      <c r="J101" s="26"/>
      <c r="K101" s="83">
        <f t="shared" si="36"/>
        <v>-45907.557499999995</v>
      </c>
      <c r="M101" s="83">
        <f t="shared" si="37"/>
        <v>13506.420000000013</v>
      </c>
      <c r="O101" s="83">
        <f t="shared" si="38"/>
        <v>59413.977500000008</v>
      </c>
    </row>
    <row r="102" spans="1:15" s="22" customFormat="1" ht="42.75" customHeight="1" x14ac:dyDescent="0.5">
      <c r="A102" s="93" t="s">
        <v>208</v>
      </c>
      <c r="B102" s="96" t="s">
        <v>268</v>
      </c>
      <c r="C102" s="83">
        <f>'Comp YTD 2021-2020 '!B116</f>
        <v>0</v>
      </c>
      <c r="D102" s="83">
        <f>CNT!P302</f>
        <v>710.44499999999994</v>
      </c>
      <c r="E102" s="83">
        <f t="shared" si="39"/>
        <v>710.44499999999994</v>
      </c>
      <c r="G102" s="83">
        <f>CNT!Q302</f>
        <v>947.26</v>
      </c>
      <c r="I102" s="83">
        <f>CNT!R302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208</v>
      </c>
      <c r="B103" s="96" t="s">
        <v>393</v>
      </c>
      <c r="C103" s="83">
        <f>'Comp YTD 2021-2020 '!B119</f>
        <v>60363.41</v>
      </c>
      <c r="D103" s="83">
        <f>CNT!P304</f>
        <v>52375.18499999999</v>
      </c>
      <c r="E103" s="83">
        <f t="shared" si="39"/>
        <v>-7988.2250000000131</v>
      </c>
      <c r="G103" s="83">
        <f>CNT!Q304</f>
        <v>69833.579999999987</v>
      </c>
      <c r="I103" s="83">
        <f>CNT!R304</f>
        <v>69833.579999999987</v>
      </c>
      <c r="J103" s="26"/>
      <c r="K103" s="83">
        <f t="shared" si="36"/>
        <v>17458.394999999997</v>
      </c>
      <c r="M103" s="83">
        <f t="shared" si="37"/>
        <v>9470.1699999999837</v>
      </c>
      <c r="O103" s="83">
        <f t="shared" si="38"/>
        <v>-7988.2250000000131</v>
      </c>
    </row>
    <row r="104" spans="1:15" s="22" customFormat="1" ht="42.75" customHeight="1" x14ac:dyDescent="0.5">
      <c r="A104" s="93" t="s">
        <v>208</v>
      </c>
      <c r="B104" s="96" t="s">
        <v>428</v>
      </c>
      <c r="C104" s="83">
        <f>'Comp YTD 2021-2020 '!B120</f>
        <v>7366.78</v>
      </c>
      <c r="D104" s="83">
        <f>CNT!P305</f>
        <v>5425.5</v>
      </c>
      <c r="E104" s="83">
        <f t="shared" si="39"/>
        <v>-1941.2799999999997</v>
      </c>
      <c r="G104" s="83">
        <f>CNT!Q305</f>
        <v>7234</v>
      </c>
      <c r="I104" s="83">
        <f>CNT!R305</f>
        <v>7234</v>
      </c>
      <c r="J104" s="26"/>
      <c r="K104" s="83">
        <f t="shared" si="36"/>
        <v>1808.5</v>
      </c>
      <c r="M104" s="83">
        <f t="shared" si="37"/>
        <v>-132.77999999999975</v>
      </c>
      <c r="O104" s="83">
        <f>M104-K104</f>
        <v>-1941.2799999999997</v>
      </c>
    </row>
    <row r="105" spans="1:15" s="22" customFormat="1" ht="42.75" customHeight="1" x14ac:dyDescent="0.5">
      <c r="A105" s="93" t="s">
        <v>208</v>
      </c>
      <c r="B105" s="96" t="s">
        <v>429</v>
      </c>
      <c r="C105" s="83">
        <f>'Comp YTD 2021-2020 '!B121</f>
        <v>0</v>
      </c>
      <c r="D105" s="83">
        <f>CNT!P307</f>
        <v>45668.745000000003</v>
      </c>
      <c r="E105" s="83">
        <f t="shared" si="39"/>
        <v>45668.745000000003</v>
      </c>
      <c r="G105" s="83">
        <f>CNT!Q307</f>
        <v>60891.66</v>
      </c>
      <c r="I105" s="83">
        <f>CNT!R307</f>
        <v>60891.66</v>
      </c>
      <c r="J105" s="26"/>
      <c r="K105" s="83">
        <f t="shared" si="36"/>
        <v>15222.915000000001</v>
      </c>
      <c r="M105" s="83">
        <f t="shared" si="37"/>
        <v>60891.66</v>
      </c>
      <c r="O105" s="83">
        <f t="shared" si="38"/>
        <v>45668.745000000003</v>
      </c>
    </row>
    <row r="106" spans="1:15" s="22" customFormat="1" ht="42.75" customHeight="1" x14ac:dyDescent="0.5">
      <c r="A106" s="93" t="s">
        <v>208</v>
      </c>
      <c r="B106" s="96" t="s">
        <v>394</v>
      </c>
      <c r="C106" s="83">
        <f>'Comp YTD 2021-2020 '!B122</f>
        <v>18830.050000000003</v>
      </c>
      <c r="D106" s="83">
        <f>CNT!P306</f>
        <v>22591.245000000003</v>
      </c>
      <c r="E106" s="83">
        <f t="shared" si="39"/>
        <v>3761.1949999999997</v>
      </c>
      <c r="G106" s="83">
        <f>CNT!Q306</f>
        <v>30121.660000000003</v>
      </c>
      <c r="I106" s="83">
        <f>CNT!R306</f>
        <v>30121.660000000003</v>
      </c>
      <c r="J106" s="26"/>
      <c r="K106" s="83">
        <f t="shared" si="36"/>
        <v>7530.4150000000009</v>
      </c>
      <c r="M106" s="83">
        <f t="shared" si="37"/>
        <v>11291.61</v>
      </c>
      <c r="O106" s="83">
        <f t="shared" si="38"/>
        <v>3761.1949999999997</v>
      </c>
    </row>
    <row r="107" spans="1:15" s="22" customFormat="1" ht="42.75" customHeight="1" x14ac:dyDescent="0.5">
      <c r="A107" s="93" t="s">
        <v>208</v>
      </c>
      <c r="B107" s="96" t="s">
        <v>439</v>
      </c>
      <c r="C107" s="83">
        <f>'Comp YTD 2021-2020 '!B124</f>
        <v>0</v>
      </c>
      <c r="D107" s="83">
        <f>CNT!P308</f>
        <v>12741.21</v>
      </c>
      <c r="E107" s="83">
        <f t="shared" si="39"/>
        <v>12741.21</v>
      </c>
      <c r="G107" s="83">
        <f>CNT!Q308</f>
        <v>16988.28</v>
      </c>
      <c r="I107" s="83">
        <f>CNT!R308</f>
        <v>16988.28</v>
      </c>
      <c r="J107" s="26"/>
      <c r="K107" s="83">
        <f t="shared" si="36"/>
        <v>4247.07</v>
      </c>
      <c r="M107" s="83">
        <f t="shared" si="37"/>
        <v>16988.28</v>
      </c>
      <c r="O107" s="83">
        <f t="shared" si="38"/>
        <v>12741.21</v>
      </c>
    </row>
    <row r="108" spans="1:15" s="22" customFormat="1" ht="42.75" customHeight="1" x14ac:dyDescent="0.5">
      <c r="A108" s="93" t="s">
        <v>208</v>
      </c>
      <c r="B108" s="94" t="s">
        <v>453</v>
      </c>
      <c r="C108" s="97">
        <f t="shared" ref="C108:E108" si="40">SUM(C95:C107)</f>
        <v>123335.80000000003</v>
      </c>
      <c r="D108" s="97">
        <f t="shared" si="40"/>
        <v>518103.9975</v>
      </c>
      <c r="E108" s="97">
        <f t="shared" si="40"/>
        <v>269768.19749999995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567469.52999999991</v>
      </c>
      <c r="O108" s="97">
        <f>SUM(O95:O107)</f>
        <v>394768.19749999989</v>
      </c>
    </row>
    <row r="109" spans="1:15" s="22" customFormat="1" ht="42.75" customHeight="1" x14ac:dyDescent="0.5">
      <c r="A109" s="93" t="s">
        <v>208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208</v>
      </c>
      <c r="B110" s="94" t="s">
        <v>262</v>
      </c>
      <c r="C110" s="99">
        <f t="shared" ref="C110:D110" si="42">C27-C92+C108</f>
        <v>20697550.930000287</v>
      </c>
      <c r="D110" s="99">
        <f t="shared" si="42"/>
        <v>-292099.5187492944</v>
      </c>
      <c r="E110" s="99">
        <f>E27-E92+E108</f>
        <v>-21114650.448749579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-21137016.954999503</v>
      </c>
      <c r="O110" s="99">
        <f>-M110+K110</f>
        <v>20989650.448749103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210</v>
      </c>
      <c r="B113" s="86" t="s">
        <v>58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210</v>
      </c>
      <c r="B114" s="88" t="s">
        <v>213</v>
      </c>
      <c r="C114" s="89">
        <f>'Comp YTD 2021-2020 '!C12</f>
        <v>0</v>
      </c>
      <c r="D114" s="89">
        <f>BPM!P8</f>
        <v>51831346.946666665</v>
      </c>
      <c r="E114" s="89">
        <f>D114-C114</f>
        <v>51831346.946666665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77747020.420000002</v>
      </c>
      <c r="O114" s="89">
        <f>M114-K114</f>
        <v>51831346.946666665</v>
      </c>
    </row>
    <row r="115" spans="1:15" s="22" customFormat="1" ht="42.75" customHeight="1" x14ac:dyDescent="0.5">
      <c r="A115" s="85" t="s">
        <v>210</v>
      </c>
      <c r="B115" s="88" t="s">
        <v>214</v>
      </c>
      <c r="C115" s="89">
        <f>'Comp YTD 2021-2020 '!C13</f>
        <v>0</v>
      </c>
      <c r="D115" s="89">
        <f>BPM!P9</f>
        <v>3281448.7466666666</v>
      </c>
      <c r="E115" s="89">
        <f t="shared" ref="E115:E120" si="45">D115-C115</f>
        <v>3281448.7466666666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4922173.12</v>
      </c>
      <c r="O115" s="89">
        <f t="shared" ref="O115:O120" si="48">M115-K115</f>
        <v>3281448.7466666666</v>
      </c>
    </row>
    <row r="116" spans="1:15" s="22" customFormat="1" ht="42.75" customHeight="1" x14ac:dyDescent="0.5">
      <c r="A116" s="85" t="s">
        <v>210</v>
      </c>
      <c r="B116" s="88" t="s">
        <v>215</v>
      </c>
      <c r="C116" s="89">
        <f>'Comp YTD 2021-2020 '!C14</f>
        <v>0</v>
      </c>
      <c r="D116" s="89">
        <f>BPM!P10</f>
        <v>307676.68</v>
      </c>
      <c r="E116" s="89">
        <f t="shared" si="45"/>
        <v>307676.68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461515.02</v>
      </c>
      <c r="O116" s="89">
        <f t="shared" si="48"/>
        <v>307676.68</v>
      </c>
    </row>
    <row r="117" spans="1:15" s="22" customFormat="1" ht="42.75" customHeight="1" x14ac:dyDescent="0.5">
      <c r="A117" s="85" t="s">
        <v>210</v>
      </c>
      <c r="B117" s="88" t="s">
        <v>412</v>
      </c>
      <c r="C117" s="89">
        <f>'Comp YTD 2021-2020 '!C15</f>
        <v>0</v>
      </c>
      <c r="D117" s="89">
        <f>BPM!P11</f>
        <v>25784.533333333336</v>
      </c>
      <c r="E117" s="89">
        <f t="shared" si="45"/>
        <v>25784.533333333336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38676.800000000003</v>
      </c>
      <c r="O117" s="89">
        <f t="shared" si="48"/>
        <v>25784.533333333336</v>
      </c>
    </row>
    <row r="118" spans="1:15" s="22" customFormat="1" ht="42.75" customHeight="1" x14ac:dyDescent="0.5">
      <c r="A118" s="85" t="s">
        <v>210</v>
      </c>
      <c r="B118" s="88" t="s">
        <v>216</v>
      </c>
      <c r="C118" s="89">
        <f>'Comp YTD 2021-2020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210</v>
      </c>
      <c r="B119" s="88" t="s">
        <v>217</v>
      </c>
      <c r="C119" s="89">
        <f>'Comp YTD 2021-2020 '!C17</f>
        <v>0</v>
      </c>
      <c r="D119" s="89">
        <f>BPM!P13</f>
        <v>12663.413333333332</v>
      </c>
      <c r="E119" s="89">
        <f t="shared" si="45"/>
        <v>12663.413333333332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18995.12</v>
      </c>
      <c r="O119" s="89">
        <f t="shared" si="48"/>
        <v>12663.413333333332</v>
      </c>
    </row>
    <row r="120" spans="1:15" s="22" customFormat="1" ht="42.75" customHeight="1" x14ac:dyDescent="0.5">
      <c r="A120" s="85" t="s">
        <v>210</v>
      </c>
      <c r="B120" s="88" t="s">
        <v>218</v>
      </c>
      <c r="C120" s="89">
        <f>'Comp YTD 2021-2020 '!C18</f>
        <v>0</v>
      </c>
      <c r="D120" s="89">
        <f>BPM!P14+BPM!P15+BPM!P16</f>
        <v>2280872.2933333335</v>
      </c>
      <c r="E120" s="89">
        <f t="shared" si="45"/>
        <v>2280872.2933333335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3421308.44</v>
      </c>
      <c r="O120" s="89">
        <f t="shared" si="48"/>
        <v>2280872.2933333335</v>
      </c>
    </row>
    <row r="121" spans="1:15" s="22" customFormat="1" ht="42.75" customHeight="1" x14ac:dyDescent="0.5">
      <c r="A121" s="85" t="s">
        <v>210</v>
      </c>
      <c r="B121" s="86" t="s">
        <v>219</v>
      </c>
      <c r="C121" s="90">
        <f>SUM(C114:C120)</f>
        <v>0</v>
      </c>
      <c r="D121" s="90">
        <f>SUM(D114:D120)</f>
        <v>57742885.953333341</v>
      </c>
      <c r="E121" s="90">
        <f>SUM(E114:E120)</f>
        <v>57742885.953333341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86614328.930000007</v>
      </c>
      <c r="O121" s="90">
        <f>SUM(O114:O120)</f>
        <v>57742885.953333341</v>
      </c>
    </row>
    <row r="122" spans="1:15" s="22" customFormat="1" ht="42.75" customHeight="1" x14ac:dyDescent="0.5">
      <c r="A122" s="85" t="s">
        <v>210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210</v>
      </c>
      <c r="B123" s="86" t="s">
        <v>204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210</v>
      </c>
      <c r="B124" s="88" t="s">
        <v>213</v>
      </c>
      <c r="C124" s="89">
        <f>'Comp YTD 2021-2020 '!C22</f>
        <v>0</v>
      </c>
      <c r="D124" s="89">
        <f>BPM!P20</f>
        <v>51545832.259999998</v>
      </c>
      <c r="E124" s="89">
        <f>D124-C124</f>
        <v>51545832.259999998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77318748.390000001</v>
      </c>
      <c r="O124" s="89">
        <f>M124-K124</f>
        <v>51545832.259999998</v>
      </c>
    </row>
    <row r="125" spans="1:15" s="22" customFormat="1" ht="42.75" customHeight="1" x14ac:dyDescent="0.5">
      <c r="A125" s="85" t="s">
        <v>210</v>
      </c>
      <c r="B125" s="88" t="s">
        <v>214</v>
      </c>
      <c r="C125" s="89">
        <f>'Comp YTD 2021-2020 '!C23</f>
        <v>0</v>
      </c>
      <c r="D125" s="89">
        <f>BPM!P21</f>
        <v>3065361.4600000004</v>
      </c>
      <c r="E125" s="89">
        <f t="shared" ref="E125:E130" si="51">D125-C125</f>
        <v>3065361.4600000004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4598042.1900000004</v>
      </c>
      <c r="O125" s="89">
        <f t="shared" ref="O125:O130" si="52">M125-K125</f>
        <v>3065361.4600000004</v>
      </c>
    </row>
    <row r="126" spans="1:15" s="22" customFormat="1" ht="42.75" customHeight="1" x14ac:dyDescent="0.5">
      <c r="A126" s="85" t="s">
        <v>210</v>
      </c>
      <c r="B126" s="88" t="s">
        <v>215</v>
      </c>
      <c r="C126" s="89">
        <f>'Comp YTD 2021-2020 '!C24</f>
        <v>0</v>
      </c>
      <c r="D126" s="89">
        <f>BPM!P22</f>
        <v>291667.32</v>
      </c>
      <c r="E126" s="89">
        <f t="shared" si="51"/>
        <v>291667.32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437500.98000000004</v>
      </c>
      <c r="O126" s="89">
        <f t="shared" si="52"/>
        <v>291667.32</v>
      </c>
    </row>
    <row r="127" spans="1:15" s="22" customFormat="1" ht="42.75" customHeight="1" x14ac:dyDescent="0.5">
      <c r="A127" s="85" t="s">
        <v>210</v>
      </c>
      <c r="B127" s="88" t="s">
        <v>412</v>
      </c>
      <c r="C127" s="89">
        <f>'Comp YTD 2021-2020 '!C25</f>
        <v>0</v>
      </c>
      <c r="D127" s="89">
        <f>BPM!P23</f>
        <v>20532</v>
      </c>
      <c r="E127" s="89">
        <f t="shared" si="51"/>
        <v>20532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30798</v>
      </c>
      <c r="O127" s="89">
        <f t="shared" si="52"/>
        <v>20532</v>
      </c>
    </row>
    <row r="128" spans="1:15" s="22" customFormat="1" ht="42.75" customHeight="1" x14ac:dyDescent="0.5">
      <c r="A128" s="85" t="s">
        <v>210</v>
      </c>
      <c r="B128" s="88" t="s">
        <v>216</v>
      </c>
      <c r="C128" s="89">
        <f>'Comp YTD 2021-2020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210</v>
      </c>
      <c r="B129" s="88" t="s">
        <v>217</v>
      </c>
      <c r="C129" s="89">
        <f>'Comp YTD 2021-2020 '!C27</f>
        <v>0</v>
      </c>
      <c r="D129" s="89">
        <f>BPM!P25</f>
        <v>2344.3333333333335</v>
      </c>
      <c r="E129" s="89">
        <f t="shared" si="51"/>
        <v>2344.3333333333335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3516.5</v>
      </c>
      <c r="O129" s="89">
        <f t="shared" si="52"/>
        <v>2344.3333333333335</v>
      </c>
    </row>
    <row r="130" spans="1:15" s="22" customFormat="1" ht="42.75" customHeight="1" x14ac:dyDescent="0.5">
      <c r="A130" s="85" t="s">
        <v>210</v>
      </c>
      <c r="B130" s="88" t="s">
        <v>218</v>
      </c>
      <c r="C130" s="89">
        <f>'Comp YTD 2021-2020 '!C28</f>
        <v>0</v>
      </c>
      <c r="D130" s="89">
        <f>BPM!P26+BPM!P27+BPM!P28+BPM!P29+BPM!P30+BPM!P31+BPM!P32+BPM!P33+BPM!P35+BPM!P36</f>
        <v>1948052.0733333337</v>
      </c>
      <c r="E130" s="89">
        <f t="shared" si="51"/>
        <v>1948052.0733333337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2922078.1100000003</v>
      </c>
      <c r="O130" s="89">
        <f t="shared" si="52"/>
        <v>1948052.0733333337</v>
      </c>
    </row>
    <row r="131" spans="1:15" s="22" customFormat="1" ht="42.75" customHeight="1" x14ac:dyDescent="0.5">
      <c r="A131" s="85" t="s">
        <v>210</v>
      </c>
      <c r="B131" s="86" t="s">
        <v>220</v>
      </c>
      <c r="C131" s="90">
        <f t="shared" ref="C131" si="53">SUM(C124:C130)</f>
        <v>0</v>
      </c>
      <c r="D131" s="90">
        <f>SUM(D124:D130)</f>
        <v>56886452.859999999</v>
      </c>
      <c r="E131" s="90">
        <f>SUM(E124:E130)</f>
        <v>56886452.859999999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85329679.290000007</v>
      </c>
      <c r="O131" s="90">
        <f>SUM(O124:O130)</f>
        <v>56886452.859999999</v>
      </c>
    </row>
    <row r="132" spans="1:15" s="22" customFormat="1" ht="42.75" customHeight="1" x14ac:dyDescent="0.5">
      <c r="A132" s="85" t="s">
        <v>210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210</v>
      </c>
      <c r="B133" s="86" t="s">
        <v>207</v>
      </c>
      <c r="C133" s="91">
        <f>C121-C131</f>
        <v>0</v>
      </c>
      <c r="D133" s="91">
        <f>D121-D131</f>
        <v>856433.09333334118</v>
      </c>
      <c r="E133" s="91">
        <f>D133-C133</f>
        <v>856433.09333334118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1284649.6400000006</v>
      </c>
      <c r="O133" s="91">
        <f>-(O121-O131)</f>
        <v>-856433.09333334118</v>
      </c>
    </row>
    <row r="134" spans="1:15" s="22" customFormat="1" ht="42.75" customHeight="1" x14ac:dyDescent="0.5">
      <c r="A134" s="85" t="s">
        <v>210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210</v>
      </c>
      <c r="B135" s="86" t="s">
        <v>205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210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210</v>
      </c>
      <c r="B137" s="86" t="s">
        <v>221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210</v>
      </c>
      <c r="B138" s="88" t="s">
        <v>222</v>
      </c>
      <c r="C138" s="89">
        <f>'Comp YTD 2021-2020 '!C37</f>
        <v>0</v>
      </c>
      <c r="D138" s="89">
        <f>BPM!P44</f>
        <v>400000</v>
      </c>
      <c r="E138" s="89">
        <f>D138-C138</f>
        <v>400000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600000</v>
      </c>
      <c r="O138" s="89">
        <f>M138-K138</f>
        <v>400000</v>
      </c>
    </row>
    <row r="139" spans="1:15" s="22" customFormat="1" ht="42.75" customHeight="1" x14ac:dyDescent="0.5">
      <c r="A139" s="85" t="s">
        <v>210</v>
      </c>
      <c r="B139" s="88" t="s">
        <v>528</v>
      </c>
      <c r="C139" s="89">
        <f>'Comp YTD 2021-2020 '!C38</f>
        <v>0</v>
      </c>
      <c r="D139" s="89">
        <f>BPM!P45</f>
        <v>35133.360000000001</v>
      </c>
      <c r="E139" s="89">
        <f t="shared" ref="E139:E147" si="54">D139-C139</f>
        <v>35133.360000000001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52700.04</v>
      </c>
      <c r="O139" s="89">
        <f t="shared" ref="O139:O147" si="57">M139-K139</f>
        <v>35133.360000000001</v>
      </c>
    </row>
    <row r="140" spans="1:15" s="22" customFormat="1" ht="42.75" customHeight="1" x14ac:dyDescent="0.5">
      <c r="A140" s="85" t="s">
        <v>210</v>
      </c>
      <c r="B140" s="88" t="s">
        <v>223</v>
      </c>
      <c r="C140" s="89">
        <f>'Comp YTD 2021-2020 '!C39</f>
        <v>0</v>
      </c>
      <c r="D140" s="89">
        <f>0</f>
        <v>0</v>
      </c>
      <c r="E140" s="89">
        <f t="shared" si="54"/>
        <v>0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0</v>
      </c>
      <c r="O140" s="89">
        <f t="shared" si="57"/>
        <v>0</v>
      </c>
    </row>
    <row r="141" spans="1:15" s="22" customFormat="1" ht="42.75" customHeight="1" x14ac:dyDescent="0.5">
      <c r="A141" s="85" t="s">
        <v>210</v>
      </c>
      <c r="B141" s="88" t="s">
        <v>224</v>
      </c>
      <c r="C141" s="89">
        <f>'Comp YTD 2021-2020 '!C40</f>
        <v>0</v>
      </c>
      <c r="D141" s="89">
        <f>BPM!P47</f>
        <v>37172.379999999997</v>
      </c>
      <c r="E141" s="89">
        <f t="shared" si="54"/>
        <v>37172.379999999997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55758.57</v>
      </c>
      <c r="O141" s="89">
        <f t="shared" si="57"/>
        <v>37172.379999999997</v>
      </c>
    </row>
    <row r="142" spans="1:15" s="22" customFormat="1" ht="42.75" customHeight="1" x14ac:dyDescent="0.5">
      <c r="A142" s="85" t="s">
        <v>210</v>
      </c>
      <c r="B142" s="88" t="s">
        <v>225</v>
      </c>
      <c r="C142" s="89">
        <f>'Comp YTD 2021-2020 '!C41</f>
        <v>0</v>
      </c>
      <c r="D142" s="89">
        <f>BPM!P48</f>
        <v>40776.080000000002</v>
      </c>
      <c r="E142" s="89">
        <f t="shared" si="54"/>
        <v>40776.080000000002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61164.12</v>
      </c>
      <c r="O142" s="89">
        <f t="shared" si="57"/>
        <v>40776.080000000002</v>
      </c>
    </row>
    <row r="143" spans="1:15" s="22" customFormat="1" ht="42.75" customHeight="1" x14ac:dyDescent="0.5">
      <c r="A143" s="85" t="s">
        <v>210</v>
      </c>
      <c r="B143" s="88" t="s">
        <v>226</v>
      </c>
      <c r="C143" s="89">
        <f>'Comp YTD 2021-2020 '!C42</f>
        <v>0</v>
      </c>
      <c r="D143" s="89">
        <f>BPM!P49</f>
        <v>6400</v>
      </c>
      <c r="E143" s="89">
        <f t="shared" si="54"/>
        <v>6400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9600</v>
      </c>
      <c r="O143" s="89">
        <f t="shared" si="57"/>
        <v>6400</v>
      </c>
    </row>
    <row r="144" spans="1:15" s="22" customFormat="1" ht="42.75" customHeight="1" x14ac:dyDescent="0.5">
      <c r="A144" s="85" t="s">
        <v>210</v>
      </c>
      <c r="B144" s="88" t="s">
        <v>227</v>
      </c>
      <c r="C144" s="89">
        <f>'Comp YTD 2021-2020 '!C43</f>
        <v>0</v>
      </c>
      <c r="D144" s="89">
        <f>BPM!P50</f>
        <v>18400</v>
      </c>
      <c r="E144" s="89">
        <f t="shared" si="54"/>
        <v>18400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27600</v>
      </c>
      <c r="O144" s="89">
        <f t="shared" si="57"/>
        <v>18400</v>
      </c>
    </row>
    <row r="145" spans="1:15" s="22" customFormat="1" ht="42.75" customHeight="1" x14ac:dyDescent="0.5">
      <c r="A145" s="85" t="s">
        <v>210</v>
      </c>
      <c r="B145" s="88" t="s">
        <v>303</v>
      </c>
      <c r="C145" s="89">
        <f>'Comp YTD 2021-2020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210</v>
      </c>
      <c r="B146" s="88" t="s">
        <v>228</v>
      </c>
      <c r="C146" s="89">
        <f>'Comp YTD 2021-2020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210</v>
      </c>
      <c r="B147" s="88" t="s">
        <v>242</v>
      </c>
      <c r="C147" s="89">
        <f>'Comp YTD 2021-2020 '!C46</f>
        <v>0</v>
      </c>
      <c r="D147" s="89">
        <f>BPM!P52</f>
        <v>4043.2466666666664</v>
      </c>
      <c r="E147" s="89">
        <f t="shared" si="54"/>
        <v>4043.2466666666664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6064.87</v>
      </c>
      <c r="O147" s="89">
        <f t="shared" si="57"/>
        <v>4043.2466666666664</v>
      </c>
    </row>
    <row r="148" spans="1:15" s="22" customFormat="1" ht="42.75" customHeight="1" x14ac:dyDescent="0.5">
      <c r="A148" s="85" t="s">
        <v>210</v>
      </c>
      <c r="B148" s="86" t="s">
        <v>229</v>
      </c>
      <c r="C148" s="90">
        <f>SUM(C138:C147)</f>
        <v>0</v>
      </c>
      <c r="D148" s="90">
        <f t="shared" ref="D148" si="58">SUM(D138:D147)</f>
        <v>541925.06666666677</v>
      </c>
      <c r="E148" s="90">
        <f>SUM(E138:E147)</f>
        <v>541925.06666666677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812887.6</v>
      </c>
      <c r="O148" s="90">
        <f>SUM(O138:O147)</f>
        <v>541925.06666666677</v>
      </c>
    </row>
    <row r="149" spans="1:15" s="22" customFormat="1" ht="42.75" customHeight="1" x14ac:dyDescent="0.5">
      <c r="A149" s="85" t="s">
        <v>210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210</v>
      </c>
      <c r="B150" s="86" t="s">
        <v>475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210</v>
      </c>
      <c r="B151" s="88" t="s">
        <v>230</v>
      </c>
      <c r="C151" s="89">
        <f>'Comp YTD 2021-2020 '!C50</f>
        <v>0</v>
      </c>
      <c r="D151" s="89">
        <f>BPM!P57</f>
        <v>40000</v>
      </c>
      <c r="E151" s="89">
        <f>D151-C151</f>
        <v>40000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60000</v>
      </c>
      <c r="O151" s="89">
        <f>M151-K151</f>
        <v>40000</v>
      </c>
    </row>
    <row r="152" spans="1:15" s="22" customFormat="1" ht="42.75" hidden="1" customHeight="1" x14ac:dyDescent="0.5">
      <c r="A152" s="85" t="s">
        <v>210</v>
      </c>
      <c r="B152" s="88" t="s">
        <v>231</v>
      </c>
      <c r="C152" s="89">
        <f>'Comp YTD 2021-2020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210</v>
      </c>
      <c r="B153" s="88" t="s">
        <v>232</v>
      </c>
      <c r="C153" s="89">
        <f>'Comp YTD 2021-2020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210</v>
      </c>
      <c r="B154" s="88" t="s">
        <v>331</v>
      </c>
      <c r="C154" s="89">
        <f>'Comp YTD 2021-2020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210</v>
      </c>
      <c r="B155" s="88" t="s">
        <v>286</v>
      </c>
      <c r="C155" s="89">
        <f>'Comp YTD 2021-2020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210</v>
      </c>
      <c r="B156" s="88" t="s">
        <v>435</v>
      </c>
      <c r="C156" s="89">
        <f>'Comp YTD 2021-2020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210</v>
      </c>
      <c r="B157" s="88" t="s">
        <v>368</v>
      </c>
      <c r="C157" s="89">
        <f>'Comp YTD 2021-2020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210</v>
      </c>
      <c r="B158" s="88" t="s">
        <v>366</v>
      </c>
      <c r="C158" s="89">
        <f>'Comp YTD 2021-2020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210</v>
      </c>
      <c r="B159" s="88" t="s">
        <v>235</v>
      </c>
      <c r="C159" s="89">
        <f>'Comp YTD 2021-2020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210</v>
      </c>
      <c r="B160" s="88" t="s">
        <v>236</v>
      </c>
      <c r="C160" s="89">
        <f>'Comp YTD 2021-2020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210</v>
      </c>
      <c r="B161" s="88" t="s">
        <v>234</v>
      </c>
      <c r="C161" s="89">
        <f>'Comp YTD 2021-2020 '!C60</f>
        <v>0</v>
      </c>
      <c r="D161" s="89">
        <f>BPM!P59</f>
        <v>3960.7400000000002</v>
      </c>
      <c r="E161" s="89">
        <f t="shared" si="61"/>
        <v>3960.7400000000002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5941.1100000000006</v>
      </c>
      <c r="O161" s="89">
        <f t="shared" si="64"/>
        <v>3960.7400000000002</v>
      </c>
    </row>
    <row r="162" spans="1:15" s="22" customFormat="1" ht="42.75" customHeight="1" x14ac:dyDescent="0.5">
      <c r="A162" s="85" t="s">
        <v>210</v>
      </c>
      <c r="B162" s="88" t="s">
        <v>348</v>
      </c>
      <c r="C162" s="89">
        <f>'Comp YTD 2021-2020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210</v>
      </c>
      <c r="B163" s="88" t="s">
        <v>351</v>
      </c>
      <c r="C163" s="89">
        <f>'Comp YTD 2021-2020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210</v>
      </c>
      <c r="B164" s="88" t="s">
        <v>237</v>
      </c>
      <c r="C164" s="89">
        <f>'Comp YTD 2021-2020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210</v>
      </c>
      <c r="B165" s="88" t="s">
        <v>238</v>
      </c>
      <c r="C165" s="89">
        <f>'Comp YTD 2021-2020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210</v>
      </c>
      <c r="B166" s="88" t="s">
        <v>239</v>
      </c>
      <c r="C166" s="89">
        <f>'Comp YTD 2021-2020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210</v>
      </c>
      <c r="B167" s="88" t="s">
        <v>240</v>
      </c>
      <c r="C167" s="89">
        <f>'Comp YTD 2021-2020 '!C65</f>
        <v>1081.4000000000001</v>
      </c>
      <c r="D167" s="89">
        <f>BPM!P60</f>
        <v>3162.4066666666663</v>
      </c>
      <c r="E167" s="89">
        <f t="shared" si="61"/>
        <v>2081.0066666666662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3662.2099999999996</v>
      </c>
      <c r="O167" s="89">
        <f t="shared" si="64"/>
        <v>2081.0066666666662</v>
      </c>
    </row>
    <row r="168" spans="1:15" s="22" customFormat="1" ht="42.75" hidden="1" customHeight="1" x14ac:dyDescent="0.5">
      <c r="A168" s="85" t="s">
        <v>210</v>
      </c>
      <c r="B168" s="88" t="s">
        <v>250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210</v>
      </c>
      <c r="B169" s="88" t="s">
        <v>243</v>
      </c>
      <c r="C169" s="89">
        <f>'Comp YTD 2021-2020 '!C68</f>
        <v>0</v>
      </c>
      <c r="D169" s="89">
        <f>BPM!P77</f>
        <v>1880.2533333333333</v>
      </c>
      <c r="E169" s="89">
        <f t="shared" si="61"/>
        <v>1880.2533333333333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2820.38</v>
      </c>
      <c r="O169" s="89">
        <f t="shared" si="64"/>
        <v>1880.2533333333333</v>
      </c>
    </row>
    <row r="170" spans="1:15" s="22" customFormat="1" ht="42.75" customHeight="1" x14ac:dyDescent="0.5">
      <c r="A170" s="85" t="s">
        <v>210</v>
      </c>
      <c r="B170" s="88" t="s">
        <v>244</v>
      </c>
      <c r="C170" s="89">
        <f>'Comp YTD 2021-2020 '!C69</f>
        <v>0</v>
      </c>
      <c r="D170" s="89">
        <f>BPM!P71</f>
        <v>12480</v>
      </c>
      <c r="E170" s="89">
        <f t="shared" si="61"/>
        <v>12480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18720</v>
      </c>
      <c r="O170" s="89">
        <f t="shared" si="64"/>
        <v>12480</v>
      </c>
    </row>
    <row r="171" spans="1:15" s="22" customFormat="1" ht="42.75" customHeight="1" x14ac:dyDescent="0.5">
      <c r="A171" s="85" t="s">
        <v>210</v>
      </c>
      <c r="B171" s="88" t="s">
        <v>360</v>
      </c>
      <c r="C171" s="89">
        <f>'Comp YTD 2021-2020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210</v>
      </c>
      <c r="B172" s="88" t="s">
        <v>361</v>
      </c>
      <c r="C172" s="89">
        <f>'Comp YTD 2021-2020 '!C71</f>
        <v>0</v>
      </c>
      <c r="D172" s="89">
        <f>BPM!P69</f>
        <v>4838.5933333333332</v>
      </c>
      <c r="E172" s="89">
        <f t="shared" si="61"/>
        <v>4838.5933333333332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7257.89</v>
      </c>
      <c r="O172" s="89">
        <f t="shared" si="64"/>
        <v>4838.5933333333332</v>
      </c>
    </row>
    <row r="173" spans="1:15" s="22" customFormat="1" ht="42.75" customHeight="1" x14ac:dyDescent="0.5">
      <c r="A173" s="85" t="s">
        <v>210</v>
      </c>
      <c r="B173" s="86" t="s">
        <v>245</v>
      </c>
      <c r="C173" s="90">
        <f>SUM(C151:C172)</f>
        <v>1081.4000000000001</v>
      </c>
      <c r="D173" s="90">
        <f t="shared" ref="D173" si="65">SUM(D151:D172)</f>
        <v>68447.733333333337</v>
      </c>
      <c r="E173" s="90">
        <f t="shared" ref="E173" si="66">SUM(E151:E172)</f>
        <v>67366.333333333343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101590.20000000001</v>
      </c>
      <c r="O173" s="90">
        <f>SUM(O151:O172)</f>
        <v>67366.333333333343</v>
      </c>
    </row>
    <row r="174" spans="1:15" s="22" customFormat="1" ht="42.75" customHeight="1" x14ac:dyDescent="0.5">
      <c r="A174" s="85" t="s">
        <v>210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210</v>
      </c>
      <c r="B175" s="86" t="s">
        <v>246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210</v>
      </c>
      <c r="B176" s="88" t="s">
        <v>247</v>
      </c>
      <c r="C176" s="89">
        <f>'Comp YTD 2021-2020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210</v>
      </c>
      <c r="B177" s="88" t="s">
        <v>383</v>
      </c>
      <c r="C177" s="89">
        <f>'Comp YTD 2021-2020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210</v>
      </c>
      <c r="B178" s="88" t="s">
        <v>530</v>
      </c>
      <c r="C178" s="89">
        <f>'Comp YTD 2021-2020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210</v>
      </c>
      <c r="B179" s="88" t="s">
        <v>248</v>
      </c>
      <c r="C179" s="89">
        <f>'Comp YTD 2021-2020 '!C84</f>
        <v>362.41999999999996</v>
      </c>
      <c r="D179" s="89">
        <f>BPM!P65</f>
        <v>3328.8666666666668</v>
      </c>
      <c r="E179" s="89">
        <f t="shared" si="69"/>
        <v>2966.4466666666667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4630.88</v>
      </c>
      <c r="O179" s="89">
        <f t="shared" si="72"/>
        <v>2966.4466666666667</v>
      </c>
    </row>
    <row r="180" spans="1:15" s="22" customFormat="1" ht="42.75" hidden="1" customHeight="1" x14ac:dyDescent="0.5">
      <c r="A180" s="85" t="s">
        <v>210</v>
      </c>
      <c r="B180" s="88" t="s">
        <v>355</v>
      </c>
      <c r="C180" s="89">
        <f>'Comp YTD 2021-2020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210</v>
      </c>
      <c r="B181" s="88" t="s">
        <v>249</v>
      </c>
      <c r="C181" s="89">
        <f>'Comp YTD 2021-2020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210</v>
      </c>
      <c r="B182" s="88" t="s">
        <v>352</v>
      </c>
      <c r="C182" s="89">
        <f>'Comp YTD 2021-2020 '!C87</f>
        <v>1572</v>
      </c>
      <c r="D182" s="89">
        <f>BPM!P73</f>
        <v>2683.3333333333335</v>
      </c>
      <c r="E182" s="89">
        <f t="shared" si="69"/>
        <v>1111.3333333333335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2453</v>
      </c>
      <c r="O182" s="89">
        <f t="shared" si="72"/>
        <v>1111.3333333333335</v>
      </c>
    </row>
    <row r="183" spans="1:15" s="22" customFormat="1" ht="42.75" customHeight="1" x14ac:dyDescent="0.5">
      <c r="A183" s="85" t="s">
        <v>210</v>
      </c>
      <c r="B183" s="88" t="s">
        <v>353</v>
      </c>
      <c r="C183" s="89">
        <f>'Comp YTD 2021-2020 '!C88</f>
        <v>110</v>
      </c>
      <c r="D183" s="89">
        <f>BPM!P74</f>
        <v>30040.066666666666</v>
      </c>
      <c r="E183" s="89">
        <f t="shared" si="69"/>
        <v>29930.066666666666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44950.1</v>
      </c>
      <c r="O183" s="89">
        <f t="shared" si="72"/>
        <v>29930.066666666666</v>
      </c>
    </row>
    <row r="184" spans="1:15" s="22" customFormat="1" ht="42.75" customHeight="1" x14ac:dyDescent="0.5">
      <c r="A184" s="85" t="s">
        <v>210</v>
      </c>
      <c r="B184" s="88" t="s">
        <v>354</v>
      </c>
      <c r="C184" s="89">
        <f>'Comp YTD 2021-2020 '!C89</f>
        <v>8000</v>
      </c>
      <c r="D184" s="89">
        <f>BPM!P72</f>
        <v>5018.0466666666671</v>
      </c>
      <c r="E184" s="89">
        <f t="shared" si="69"/>
        <v>-2981.9533333333329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-472.92999999999938</v>
      </c>
      <c r="O184" s="89">
        <f t="shared" si="72"/>
        <v>-2981.9533333333329</v>
      </c>
    </row>
    <row r="185" spans="1:15" s="22" customFormat="1" ht="42.75" customHeight="1" x14ac:dyDescent="0.5">
      <c r="A185" s="85" t="s">
        <v>210</v>
      </c>
      <c r="B185" s="88" t="s">
        <v>392</v>
      </c>
      <c r="C185" s="89">
        <f>'Comp YTD 2021-2020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210</v>
      </c>
      <c r="B186" s="88" t="s">
        <v>381</v>
      </c>
      <c r="C186" s="89">
        <f>'Comp YTD 2021-2020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210</v>
      </c>
      <c r="B187" s="88" t="s">
        <v>251</v>
      </c>
      <c r="C187" s="89">
        <f>'Comp YTD 2021-2020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210</v>
      </c>
      <c r="B188" s="88" t="s">
        <v>252</v>
      </c>
      <c r="C188" s="89">
        <f>'Comp YTD 2021-2020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210</v>
      </c>
      <c r="B189" s="88" t="s">
        <v>253</v>
      </c>
      <c r="C189" s="89">
        <f>'Comp YTD 2021-2020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210</v>
      </c>
      <c r="B190" s="88" t="s">
        <v>290</v>
      </c>
      <c r="C190" s="89">
        <f>'Comp YTD 2021-2020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210</v>
      </c>
      <c r="B191" s="88" t="s">
        <v>369</v>
      </c>
      <c r="C191" s="89">
        <f>'Comp YTD 2021-2020 '!C97</f>
        <v>0</v>
      </c>
      <c r="D191" s="89">
        <v>0</v>
      </c>
      <c r="E191" s="89">
        <f t="shared" si="69"/>
        <v>0</v>
      </c>
      <c r="G191" s="89">
        <v>0</v>
      </c>
      <c r="I191" s="89">
        <v>0</v>
      </c>
      <c r="K191" s="89">
        <f t="shared" si="70"/>
        <v>0</v>
      </c>
      <c r="M191" s="89">
        <f t="shared" si="71"/>
        <v>0</v>
      </c>
      <c r="O191" s="89">
        <f t="shared" si="72"/>
        <v>0</v>
      </c>
    </row>
    <row r="192" spans="1:15" s="22" customFormat="1" ht="42.75" hidden="1" customHeight="1" x14ac:dyDescent="0.5">
      <c r="A192" s="85" t="s">
        <v>210</v>
      </c>
      <c r="B192" s="88" t="s">
        <v>254</v>
      </c>
      <c r="C192" s="89">
        <f>'Comp YTD 2021-2020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210</v>
      </c>
      <c r="B193" s="88" t="s">
        <v>255</v>
      </c>
      <c r="C193" s="89">
        <f>'Comp YTD 2021-2020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210</v>
      </c>
      <c r="B194" s="88" t="s">
        <v>256</v>
      </c>
      <c r="C194" s="89">
        <f>'Comp YTD 2021-2020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210</v>
      </c>
      <c r="B195" s="88" t="s">
        <v>257</v>
      </c>
      <c r="C195" s="89">
        <f>'Comp YTD 2021-2020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210</v>
      </c>
      <c r="B196" s="86" t="s">
        <v>259</v>
      </c>
      <c r="C196" s="90">
        <f>SUM(C176:C195)</f>
        <v>10044.42</v>
      </c>
      <c r="D196" s="90">
        <f>SUM(D176:D195)</f>
        <v>48771.993333333332</v>
      </c>
      <c r="E196" s="90">
        <f>SUM(E176:E195)</f>
        <v>38727.573333333334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63113.569999999992</v>
      </c>
      <c r="O196" s="90">
        <f>SUM(O176:O195)</f>
        <v>38727.573333333334</v>
      </c>
    </row>
    <row r="197" spans="1:15" s="22" customFormat="1" ht="42.75" customHeight="1" x14ac:dyDescent="0.5">
      <c r="A197" s="85" t="s">
        <v>210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210</v>
      </c>
      <c r="B198" s="86" t="s">
        <v>260</v>
      </c>
      <c r="C198" s="91">
        <f t="shared" ref="C198:O198" si="73">C148+C173+C196</f>
        <v>11125.82</v>
      </c>
      <c r="D198" s="91">
        <f t="shared" si="73"/>
        <v>659144.79333333333</v>
      </c>
      <c r="E198" s="91">
        <f t="shared" si="73"/>
        <v>648018.9733333335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977591.37</v>
      </c>
      <c r="O198" s="91">
        <f t="shared" si="73"/>
        <v>648018.9733333335</v>
      </c>
    </row>
    <row r="199" spans="1:15" s="22" customFormat="1" ht="42.75" customHeight="1" x14ac:dyDescent="0.5">
      <c r="A199" s="85" t="s">
        <v>210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210</v>
      </c>
      <c r="B200" s="86" t="s">
        <v>452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210</v>
      </c>
      <c r="B201" s="88" t="s">
        <v>263</v>
      </c>
      <c r="C201" s="89">
        <f>'Comp YTD 2021-2020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210</v>
      </c>
      <c r="B202" s="88" t="s">
        <v>264</v>
      </c>
      <c r="C202" s="89">
        <f>'Comp YTD 2021-2020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210</v>
      </c>
      <c r="B203" s="88" t="s">
        <v>322</v>
      </c>
      <c r="C203" s="89">
        <f>'Comp YTD 2021-2020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210</v>
      </c>
      <c r="B204" s="88" t="s">
        <v>378</v>
      </c>
      <c r="C204" s="89">
        <f>'Comp YTD 2021-2020 '!C111</f>
        <v>0</v>
      </c>
      <c r="D204" s="89">
        <f>-BPM!P84</f>
        <v>-38798.973333333335</v>
      </c>
      <c r="E204" s="89">
        <f t="shared" si="76"/>
        <v>-38798.973333333335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-58198.46</v>
      </c>
      <c r="O204" s="89">
        <f t="shared" si="79"/>
        <v>-38798.973333333335</v>
      </c>
    </row>
    <row r="205" spans="1:15" s="22" customFormat="1" ht="42.75" hidden="1" customHeight="1" x14ac:dyDescent="0.5">
      <c r="A205" s="85" t="s">
        <v>210</v>
      </c>
      <c r="B205" s="88" t="s">
        <v>265</v>
      </c>
      <c r="C205" s="89">
        <f>'Comp YTD 2021-2020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210</v>
      </c>
      <c r="B206" s="88" t="s">
        <v>266</v>
      </c>
      <c r="C206" s="89">
        <f>'Comp YTD 2021-2020 '!C113</f>
        <v>3000</v>
      </c>
      <c r="D206" s="89">
        <f>-BPM!P85</f>
        <v>9329.8133333333335</v>
      </c>
      <c r="E206" s="89">
        <f t="shared" si="76"/>
        <v>6329.8133333333335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10994.72</v>
      </c>
      <c r="O206" s="89">
        <f t="shared" si="79"/>
        <v>6329.8133333333335</v>
      </c>
    </row>
    <row r="207" spans="1:15" s="22" customFormat="1" ht="42.75" customHeight="1" x14ac:dyDescent="0.5">
      <c r="A207" s="85" t="s">
        <v>210</v>
      </c>
      <c r="B207" s="88" t="s">
        <v>267</v>
      </c>
      <c r="C207" s="89">
        <f>'Comp YTD 2021-2020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210</v>
      </c>
      <c r="B208" s="88" t="s">
        <v>268</v>
      </c>
      <c r="C208" s="89">
        <f>'Comp YTD 2021-2020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210</v>
      </c>
      <c r="B209" s="88" t="s">
        <v>393</v>
      </c>
      <c r="C209" s="89">
        <f>'Comp YTD 2021-2020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210</v>
      </c>
      <c r="B210" s="88" t="s">
        <v>428</v>
      </c>
      <c r="C210" s="89">
        <f>'Comp YTD 2021-2020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210</v>
      </c>
      <c r="B211" s="88" t="s">
        <v>429</v>
      </c>
      <c r="C211" s="89">
        <f>'Comp YTD 2021-2020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210</v>
      </c>
      <c r="B212" s="88" t="s">
        <v>394</v>
      </c>
      <c r="C212" s="89">
        <f>'Comp YTD 2021-2020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210</v>
      </c>
      <c r="B213" s="88" t="s">
        <v>439</v>
      </c>
      <c r="C213" s="89">
        <f>'Comp YTD 2021-2020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210</v>
      </c>
      <c r="B214" s="86" t="s">
        <v>453</v>
      </c>
      <c r="C214" s="90">
        <f t="shared" ref="C214:E214" si="80">SUM(C201:C213)</f>
        <v>3000</v>
      </c>
      <c r="D214" s="90">
        <f t="shared" si="80"/>
        <v>-29469.160000000003</v>
      </c>
      <c r="E214" s="90">
        <f t="shared" si="80"/>
        <v>-32469.160000000003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-47203.74</v>
      </c>
      <c r="O214" s="90">
        <f>SUM(O201:O213)</f>
        <v>-32469.160000000003</v>
      </c>
    </row>
    <row r="215" spans="1:15" s="22" customFormat="1" ht="42.75" customHeight="1" x14ac:dyDescent="0.5">
      <c r="A215" s="85" t="s">
        <v>210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210</v>
      </c>
      <c r="B216" s="86" t="s">
        <v>262</v>
      </c>
      <c r="C216" s="92">
        <f t="shared" ref="C216" si="81">C133-C198+C214</f>
        <v>-8125.82</v>
      </c>
      <c r="D216" s="92">
        <f>D133-D198+D214</f>
        <v>167819.14000000784</v>
      </c>
      <c r="E216" s="92">
        <f>E133-E198+E214</f>
        <v>175944.96000000768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259854.53000000061</v>
      </c>
      <c r="O216" s="92">
        <f>-M216+K216</f>
        <v>-175944.9599999967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209</v>
      </c>
      <c r="B219" s="94" t="s">
        <v>58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209</v>
      </c>
      <c r="B220" s="96" t="s">
        <v>213</v>
      </c>
      <c r="C220" s="83">
        <f>'Comp YTD 2021-2020 '!D12</f>
        <v>0</v>
      </c>
      <c r="D220" s="83">
        <f>CNT!P343+CNT!P344+CNT!P355</f>
        <v>0</v>
      </c>
      <c r="E220" s="83">
        <f>D220-C220</f>
        <v>0</v>
      </c>
      <c r="G220" s="83">
        <f>DEP!Q330+DEP!Q331+DEP!Q342</f>
        <v>0</v>
      </c>
      <c r="I220" s="83">
        <f>DEP!U330+DEP!U331+DEP!U342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209</v>
      </c>
      <c r="B221" s="96" t="s">
        <v>214</v>
      </c>
      <c r="C221" s="83">
        <f>'Comp YTD 2021-2020 '!D13</f>
        <v>0</v>
      </c>
      <c r="D221" s="83">
        <f>CNT!P345+CNT!P356</f>
        <v>0</v>
      </c>
      <c r="E221" s="83">
        <f>D221-C221</f>
        <v>0</v>
      </c>
      <c r="G221" s="83">
        <f>DEP!Q332+DEP!Q343</f>
        <v>0</v>
      </c>
      <c r="I221" s="83">
        <f>DEP!U332+DEP!U343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209</v>
      </c>
      <c r="B222" s="96" t="s">
        <v>215</v>
      </c>
      <c r="C222" s="83">
        <f>'Comp YTD 2021-2020 '!D14</f>
        <v>0</v>
      </c>
      <c r="D222" s="83">
        <f>CNT!P346+CNT!P357</f>
        <v>0</v>
      </c>
      <c r="E222" s="83">
        <f t="shared" ref="E222:E224" si="87">D222-C222</f>
        <v>0</v>
      </c>
      <c r="G222" s="83">
        <f>DEP!Q333+DEP!Q344</f>
        <v>0</v>
      </c>
      <c r="I222" s="83">
        <f>DEP!U333+DEP!U344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209</v>
      </c>
      <c r="B223" s="96" t="s">
        <v>412</v>
      </c>
      <c r="C223" s="83">
        <f>'Comp YTD 2021-2020 '!D15</f>
        <v>0</v>
      </c>
      <c r="D223" s="83">
        <f>CNT!P347+CNT!P358</f>
        <v>0</v>
      </c>
      <c r="E223" s="83">
        <f t="shared" si="87"/>
        <v>0</v>
      </c>
      <c r="G223" s="83">
        <f>DEP!Q334+DEP!Q345</f>
        <v>0</v>
      </c>
      <c r="I223" s="83">
        <f>DEP!U334+DEP!U345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209</v>
      </c>
      <c r="B224" s="96" t="s">
        <v>216</v>
      </c>
      <c r="C224" s="83">
        <f>'Comp YTD 2021-2020 '!D16</f>
        <v>0</v>
      </c>
      <c r="D224" s="83">
        <f>CNT!P351+CNT!P361</f>
        <v>0</v>
      </c>
      <c r="E224" s="83">
        <f t="shared" si="87"/>
        <v>0</v>
      </c>
      <c r="G224" s="83">
        <f>DEP!Q338+DEP!Q348</f>
        <v>0</v>
      </c>
      <c r="I224" s="83">
        <f>DEP!U338+DEP!U348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209</v>
      </c>
      <c r="B225" s="96" t="s">
        <v>217</v>
      </c>
      <c r="C225" s="83">
        <f>'Comp YTD 2021-2020 '!D17</f>
        <v>0</v>
      </c>
      <c r="D225" s="83">
        <f>CNT!P362+CNT!P363+CNT!P364+CNT!P365</f>
        <v>0</v>
      </c>
      <c r="E225" s="83">
        <f>D225-C225</f>
        <v>0</v>
      </c>
      <c r="G225" s="83">
        <f>DEP!Q349+DEP!Q350+DEP!Q351+DEP!Q352</f>
        <v>0</v>
      </c>
      <c r="I225" s="83">
        <f>DEP!U349+DEP!U350+DEP!U351+DEP!U352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209</v>
      </c>
      <c r="B226" s="96" t="s">
        <v>218</v>
      </c>
      <c r="C226" s="83">
        <f>'Comp YTD 2021-2020 '!D18</f>
        <v>2099298.6900000004</v>
      </c>
      <c r="D226" s="83">
        <f>DEP!P21</f>
        <v>2715544.4925000002</v>
      </c>
      <c r="E226" s="83">
        <f>D226-C226</f>
        <v>616245.80249999976</v>
      </c>
      <c r="G226" s="83">
        <f>DEP!Q21</f>
        <v>3620725.9899999998</v>
      </c>
      <c r="I226" s="83">
        <f>DEP!R21</f>
        <v>3620725.9899999998</v>
      </c>
      <c r="K226" s="83">
        <f>G226-D226</f>
        <v>905181.49749999959</v>
      </c>
      <c r="M226" s="83">
        <f>G226-C226</f>
        <v>1521427.2999999993</v>
      </c>
      <c r="O226" s="83">
        <f t="shared" si="86"/>
        <v>616245.80249999976</v>
      </c>
    </row>
    <row r="227" spans="1:15" s="22" customFormat="1" ht="42.75" customHeight="1" x14ac:dyDescent="0.5">
      <c r="A227" s="93" t="s">
        <v>209</v>
      </c>
      <c r="B227" s="94" t="s">
        <v>219</v>
      </c>
      <c r="C227" s="97">
        <f>SUM(C220:C226)</f>
        <v>2099298.6900000004</v>
      </c>
      <c r="D227" s="97">
        <f>SUM(D220:D226)</f>
        <v>2715544.4925000002</v>
      </c>
      <c r="E227" s="97">
        <f>SUM(E220:E226)</f>
        <v>616245.80249999976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1521427.2999999993</v>
      </c>
      <c r="O227" s="97">
        <f>SUM(O219:O226)</f>
        <v>616245.80249999976</v>
      </c>
    </row>
    <row r="228" spans="1:15" s="22" customFormat="1" ht="42.75" customHeight="1" x14ac:dyDescent="0.5">
      <c r="A228" s="93" t="s">
        <v>209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209</v>
      </c>
      <c r="B229" s="94" t="s">
        <v>204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209</v>
      </c>
      <c r="B230" s="96" t="s">
        <v>213</v>
      </c>
      <c r="C230" s="83">
        <f>'Comp YTD 2021-2020 '!D22</f>
        <v>0</v>
      </c>
      <c r="D230" s="83">
        <f>CNT!P370+CNT!P375+CNT!P387+CNT!P391+CNT!P392+CNT!P396+CNT!P400+CNT!P407</f>
        <v>0</v>
      </c>
      <c r="E230" s="83">
        <f>D230-C230</f>
        <v>0</v>
      </c>
      <c r="G230" s="83">
        <f>DEP!Q357+DEP!Q362+DEP!Q374+DEP!Q378+DEP!Q379+DEP!Q383+DEP!Q387+DEP!Q394</f>
        <v>0</v>
      </c>
      <c r="I230" s="83">
        <f>DEP!R357+DEP!R362+DEP!R374+DEP!R378+DEP!R379+DEP!R383+DEP!R387+DEP!R394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209</v>
      </c>
      <c r="B231" s="96" t="s">
        <v>214</v>
      </c>
      <c r="C231" s="83">
        <f>'Comp YTD 2021-2020 '!D23</f>
        <v>0</v>
      </c>
      <c r="D231" s="83">
        <f>CNT!P371+CNT!P376+CNT!P388+CNT!P393+CNT!P397+CNT!P401+CNT!P408+CNT!P404</f>
        <v>0</v>
      </c>
      <c r="E231" s="83">
        <f t="shared" ref="E231:E236" si="90">D231-C231</f>
        <v>0</v>
      </c>
      <c r="G231" s="83">
        <f>DEP!Q358+DEP!Q363+DEP!Q375+DEP!Q380+DEP!Q384+DEP!Q388+DEP!Q395+DEP!Q391</f>
        <v>0</v>
      </c>
      <c r="I231" s="83">
        <f>DEP!R358+DEP!R363+DEP!R375+DEP!R380+DEP!R384+DEP!R388+DEP!R395+DEP!R391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209</v>
      </c>
      <c r="B232" s="96" t="s">
        <v>215</v>
      </c>
      <c r="C232" s="83">
        <f>'Comp YTD 2021-2020 '!D24</f>
        <v>0</v>
      </c>
      <c r="D232" s="83">
        <f>CNT!P372+CNT!P377+CNT!P389+CNT!P394+CNT!P398+CNT!P402+CNT!P409+CNT!P406</f>
        <v>0</v>
      </c>
      <c r="E232" s="83">
        <f t="shared" si="90"/>
        <v>0</v>
      </c>
      <c r="G232" s="83">
        <f>DEP!Q359+DEP!Q364+DEP!Q376+DEP!Q381+DEP!Q385+DEP!Q389+DEP!Q396+DEP!Q393</f>
        <v>0</v>
      </c>
      <c r="I232" s="83">
        <f>DEP!R359+DEP!R364+DEP!R376+DEP!R381+DEP!R385+DEP!R389+DEP!R396+DEP!R393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209</v>
      </c>
      <c r="B233" s="96" t="s">
        <v>412</v>
      </c>
      <c r="C233" s="83">
        <f>'Comp YTD 2021-2020 '!D25</f>
        <v>0</v>
      </c>
      <c r="D233" s="83">
        <f>CNT!P373+CNT!P378+CNT!P390+CNT!P395+CNT!P399+CNT!P403+CNT!P410+CNT!P411</f>
        <v>0</v>
      </c>
      <c r="E233" s="83">
        <f t="shared" si="90"/>
        <v>0</v>
      </c>
      <c r="G233" s="83">
        <f>DEP!Q360+DEP!Q365+DEP!Q377+DEP!Q382+DEP!Q386+DEP!Q390+DEP!Q397+DEP!Q398</f>
        <v>0</v>
      </c>
      <c r="I233" s="83">
        <f>DEP!R360+DEP!R365+DEP!R377+DEP!R382+DEP!R386+DEP!R390+DEP!R397+DEP!R398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209</v>
      </c>
      <c r="B234" s="96" t="s">
        <v>216</v>
      </c>
      <c r="C234" s="83">
        <f>'Comp YTD 2021-2020 '!D26</f>
        <v>0</v>
      </c>
      <c r="D234" s="83">
        <f>CNT!P374+CNT!P381+CNT!P405+CNT!P416</f>
        <v>0</v>
      </c>
      <c r="E234" s="83">
        <f t="shared" si="90"/>
        <v>0</v>
      </c>
      <c r="G234" s="83">
        <f>DEP!Q361+DEP!Q368+DEP!Q392+DEP!Q403</f>
        <v>0</v>
      </c>
      <c r="I234" s="83">
        <f>DEP!R361+DEP!R368+DEP!R392+DEP!R403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209</v>
      </c>
      <c r="B235" s="96" t="s">
        <v>217</v>
      </c>
      <c r="C235" s="83">
        <f>'Comp YTD 2021-2020 '!D27</f>
        <v>0</v>
      </c>
      <c r="D235" s="83">
        <f>CNT!P427+CNT!P428+CNT!P429+CNT!P430+CNT!P431+CNT!P432+CNT!P433+CNT!P434+CNT!P435</f>
        <v>0</v>
      </c>
      <c r="E235" s="83">
        <f t="shared" si="90"/>
        <v>0</v>
      </c>
      <c r="G235" s="83">
        <f>DEP!Q414+DEP!Q415+DEP!Q416+DEP!Q417+DEP!Q418+DEP!Q419+DEP!Q420+DEP!Q421+DEP!Q422</f>
        <v>0</v>
      </c>
      <c r="I235" s="83">
        <f>DEP!R414+DEP!R415+DEP!R416+DEP!R417+DEP!R418+DEP!R419+DEP!R420+DEP!R421+DEP!R422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209</v>
      </c>
      <c r="B236" s="96" t="s">
        <v>218</v>
      </c>
      <c r="C236" s="83">
        <f>'Comp YTD 2021-2020 '!D28</f>
        <v>6269.04</v>
      </c>
      <c r="D236" s="83">
        <f>DEP!P27</f>
        <v>389870.85750000004</v>
      </c>
      <c r="E236" s="83">
        <f t="shared" si="90"/>
        <v>383601.81750000006</v>
      </c>
      <c r="G236" s="83">
        <f>DEP!Q27</f>
        <v>519827.81000000006</v>
      </c>
      <c r="I236" s="83">
        <f>DEP!R27</f>
        <v>519827.81000000006</v>
      </c>
      <c r="K236" s="83">
        <f t="shared" si="91"/>
        <v>129956.95250000001</v>
      </c>
      <c r="M236" s="83">
        <f t="shared" si="92"/>
        <v>513558.77000000008</v>
      </c>
      <c r="O236" s="83">
        <f t="shared" si="93"/>
        <v>383601.81750000006</v>
      </c>
    </row>
    <row r="237" spans="1:15" s="22" customFormat="1" ht="42.75" customHeight="1" x14ac:dyDescent="0.5">
      <c r="A237" s="93" t="s">
        <v>209</v>
      </c>
      <c r="B237" s="94" t="s">
        <v>220</v>
      </c>
      <c r="C237" s="97">
        <f t="shared" ref="C237" si="94">SUM(C230:C236)</f>
        <v>6269.04</v>
      </c>
      <c r="D237" s="97">
        <f>SUM(D230:D236)</f>
        <v>389870.85750000004</v>
      </c>
      <c r="E237" s="97">
        <f>SUM(E230:E236)</f>
        <v>383601.81750000006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513558.77000000008</v>
      </c>
      <c r="O237" s="97">
        <f>SUM(O230:O236)</f>
        <v>383601.81750000006</v>
      </c>
    </row>
    <row r="238" spans="1:15" s="22" customFormat="1" ht="42.75" customHeight="1" x14ac:dyDescent="0.5">
      <c r="A238" s="93" t="s">
        <v>209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209</v>
      </c>
      <c r="B239" s="94" t="s">
        <v>207</v>
      </c>
      <c r="C239" s="98">
        <f>C227-C237</f>
        <v>2093029.6500000004</v>
      </c>
      <c r="D239" s="98">
        <f>D227-D237</f>
        <v>2325673.6350000002</v>
      </c>
      <c r="E239" s="98">
        <f>C239-D239</f>
        <v>-232643.98499999987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1007868.5299999993</v>
      </c>
      <c r="O239" s="98">
        <f>-(K239-M239)</f>
        <v>232643.98499999975</v>
      </c>
    </row>
    <row r="240" spans="1:15" s="22" customFormat="1" ht="42.75" customHeight="1" x14ac:dyDescent="0.5">
      <c r="A240" s="93" t="s">
        <v>209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209</v>
      </c>
      <c r="B241" s="94" t="s">
        <v>205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209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209</v>
      </c>
      <c r="B243" s="94" t="s">
        <v>221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209</v>
      </c>
      <c r="B244" s="96" t="s">
        <v>222</v>
      </c>
      <c r="C244" s="83">
        <f>'Comp YTD 2021-2020 '!D37</f>
        <v>418369.41</v>
      </c>
      <c r="D244" s="83">
        <f>DEP!P33</f>
        <v>648000</v>
      </c>
      <c r="E244" s="83">
        <f>D244-C244</f>
        <v>229630.59000000003</v>
      </c>
      <c r="G244" s="83">
        <f>DEP!Q33</f>
        <v>864000</v>
      </c>
      <c r="I244" s="83">
        <f>DEP!R33</f>
        <v>848837.41</v>
      </c>
      <c r="K244" s="83">
        <f t="shared" ref="K244" si="95">G244-D244</f>
        <v>216000</v>
      </c>
      <c r="M244" s="83">
        <f>G244-C244</f>
        <v>445630.59</v>
      </c>
      <c r="O244" s="83">
        <f>M244-K244</f>
        <v>229630.59000000003</v>
      </c>
    </row>
    <row r="245" spans="1:15" s="22" customFormat="1" ht="42.75" customHeight="1" x14ac:dyDescent="0.5">
      <c r="A245" s="93" t="s">
        <v>209</v>
      </c>
      <c r="B245" s="96" t="s">
        <v>528</v>
      </c>
      <c r="C245" s="83">
        <f>'Comp YTD 2021-2020 '!D38</f>
        <v>32258.34</v>
      </c>
      <c r="D245" s="83">
        <f>DEP!P34</f>
        <v>33356.25</v>
      </c>
      <c r="E245" s="83">
        <f t="shared" ref="E245:E253" si="96">D245-C245</f>
        <v>1097.9099999999999</v>
      </c>
      <c r="G245" s="83">
        <f>DEP!Q34</f>
        <v>44475</v>
      </c>
      <c r="I245" s="83">
        <f>DEP!R34</f>
        <v>0</v>
      </c>
      <c r="K245" s="83">
        <f t="shared" ref="K245:K253" si="97">G245-D245</f>
        <v>11118.75</v>
      </c>
      <c r="M245" s="83">
        <f t="shared" ref="M245:M253" si="98">G245-C245</f>
        <v>12216.66</v>
      </c>
      <c r="O245" s="83">
        <f t="shared" ref="O245:O253" si="99">M245-K245</f>
        <v>1097.9099999999999</v>
      </c>
    </row>
    <row r="246" spans="1:15" s="22" customFormat="1" ht="42.75" customHeight="1" x14ac:dyDescent="0.5">
      <c r="A246" s="93" t="s">
        <v>209</v>
      </c>
      <c r="B246" s="96" t="s">
        <v>223</v>
      </c>
      <c r="C246" s="83">
        <f>'Comp YTD 2021-2020 '!D39</f>
        <v>1447.03</v>
      </c>
      <c r="D246" s="83">
        <v>0</v>
      </c>
      <c r="E246" s="83">
        <f t="shared" si="96"/>
        <v>-1447.03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-1447.03</v>
      </c>
      <c r="O246" s="83">
        <f t="shared" si="99"/>
        <v>-1447.03</v>
      </c>
    </row>
    <row r="247" spans="1:15" s="22" customFormat="1" ht="42.75" customHeight="1" x14ac:dyDescent="0.5">
      <c r="A247" s="93" t="s">
        <v>209</v>
      </c>
      <c r="B247" s="96" t="s">
        <v>224</v>
      </c>
      <c r="C247" s="83">
        <f>'Comp YTD 2021-2020 '!D40</f>
        <v>41511.040000000001</v>
      </c>
      <c r="D247" s="83">
        <f>DEP!P36</f>
        <v>49301.257500000007</v>
      </c>
      <c r="E247" s="83">
        <f t="shared" si="96"/>
        <v>7790.2175000000061</v>
      </c>
      <c r="G247" s="83">
        <f>DEP!Q36</f>
        <v>65735.010000000009</v>
      </c>
      <c r="I247" s="83">
        <f>DEP!R36</f>
        <v>65735.010000000009</v>
      </c>
      <c r="K247" s="83">
        <f>G247-D247</f>
        <v>16433.752500000002</v>
      </c>
      <c r="M247" s="83">
        <f>G247-C247</f>
        <v>24223.970000000008</v>
      </c>
      <c r="O247" s="83">
        <f t="shared" si="99"/>
        <v>7790.2175000000061</v>
      </c>
    </row>
    <row r="248" spans="1:15" s="22" customFormat="1" ht="42.75" customHeight="1" x14ac:dyDescent="0.5">
      <c r="A248" s="93" t="s">
        <v>209</v>
      </c>
      <c r="B248" s="96" t="s">
        <v>225</v>
      </c>
      <c r="C248" s="83">
        <f>'Comp YTD 2021-2020 '!D41</f>
        <v>59324.719999999994</v>
      </c>
      <c r="D248" s="83">
        <f>DEP!P37</f>
        <v>83250</v>
      </c>
      <c r="E248" s="83">
        <f t="shared" si="96"/>
        <v>23925.280000000006</v>
      </c>
      <c r="G248" s="83">
        <f>DEP!Q37</f>
        <v>111000</v>
      </c>
      <c r="I248" s="83">
        <f>DEP!R37</f>
        <v>100999.13</v>
      </c>
      <c r="K248" s="83">
        <f t="shared" si="97"/>
        <v>27750</v>
      </c>
      <c r="M248" s="83">
        <f t="shared" si="98"/>
        <v>51675.280000000006</v>
      </c>
      <c r="O248" s="83">
        <f t="shared" si="99"/>
        <v>23925.280000000006</v>
      </c>
    </row>
    <row r="249" spans="1:15" s="22" customFormat="1" ht="42.75" customHeight="1" x14ac:dyDescent="0.5">
      <c r="A249" s="93" t="s">
        <v>209</v>
      </c>
      <c r="B249" s="96" t="s">
        <v>226</v>
      </c>
      <c r="C249" s="83">
        <f>'Comp YTD 2021-2020 '!D42</f>
        <v>6693.2699999999995</v>
      </c>
      <c r="D249" s="83">
        <f>DEP!P38</f>
        <v>9450</v>
      </c>
      <c r="E249" s="83">
        <f t="shared" si="96"/>
        <v>2756.7300000000005</v>
      </c>
      <c r="G249" s="83">
        <f>DEP!Q38</f>
        <v>12600</v>
      </c>
      <c r="I249" s="83">
        <f>DEP!R38</f>
        <v>4711.1099999999997</v>
      </c>
      <c r="K249" s="83">
        <f t="shared" si="97"/>
        <v>3150</v>
      </c>
      <c r="M249" s="83">
        <f t="shared" si="98"/>
        <v>5906.7300000000005</v>
      </c>
      <c r="O249" s="83">
        <f t="shared" si="99"/>
        <v>2756.7300000000005</v>
      </c>
    </row>
    <row r="250" spans="1:15" s="22" customFormat="1" ht="42.75" customHeight="1" x14ac:dyDescent="0.5">
      <c r="A250" s="93" t="s">
        <v>209</v>
      </c>
      <c r="B250" s="96" t="s">
        <v>227</v>
      </c>
      <c r="C250" s="83">
        <f>'Comp YTD 2021-2020 '!D43</f>
        <v>11962.43</v>
      </c>
      <c r="D250" s="83">
        <f>DEP!P39</f>
        <v>23400</v>
      </c>
      <c r="E250" s="83">
        <f t="shared" si="96"/>
        <v>11437.57</v>
      </c>
      <c r="G250" s="83">
        <f>DEP!Q39</f>
        <v>31200</v>
      </c>
      <c r="I250" s="83">
        <f>DEP!R39</f>
        <v>21975.360000000001</v>
      </c>
      <c r="K250" s="83">
        <f t="shared" si="97"/>
        <v>7800</v>
      </c>
      <c r="M250" s="83">
        <f t="shared" si="98"/>
        <v>19237.57</v>
      </c>
      <c r="O250" s="83">
        <f t="shared" si="99"/>
        <v>11437.57</v>
      </c>
    </row>
    <row r="251" spans="1:15" s="22" customFormat="1" ht="42.75" customHeight="1" x14ac:dyDescent="0.5">
      <c r="A251" s="93" t="s">
        <v>209</v>
      </c>
      <c r="B251" s="96" t="s">
        <v>303</v>
      </c>
      <c r="C251" s="83">
        <f>'Comp YTD 2021-2020 '!D44</f>
        <v>1022.25</v>
      </c>
      <c r="D251" s="83">
        <f>DEP!P40</f>
        <v>1585.0050000000001</v>
      </c>
      <c r="E251" s="83">
        <f t="shared" si="96"/>
        <v>562.75500000000011</v>
      </c>
      <c r="G251" s="83">
        <f>DEP!Q40</f>
        <v>2113.34</v>
      </c>
      <c r="I251" s="83">
        <f>DEP!R40</f>
        <v>2113.34</v>
      </c>
      <c r="K251" s="83">
        <f t="shared" si="97"/>
        <v>528.33500000000004</v>
      </c>
      <c r="M251" s="83">
        <f t="shared" si="98"/>
        <v>1091.0900000000001</v>
      </c>
      <c r="O251" s="83">
        <f t="shared" si="99"/>
        <v>562.75500000000011</v>
      </c>
    </row>
    <row r="252" spans="1:15" s="22" customFormat="1" ht="42.75" customHeight="1" x14ac:dyDescent="0.5">
      <c r="A252" s="93" t="s">
        <v>209</v>
      </c>
      <c r="B252" s="96" t="s">
        <v>228</v>
      </c>
      <c r="C252" s="83">
        <f>'Comp YTD 2021-2020 '!D45</f>
        <v>423.94</v>
      </c>
      <c r="D252" s="83">
        <v>0</v>
      </c>
      <c r="E252" s="83">
        <f t="shared" si="96"/>
        <v>-423.94</v>
      </c>
      <c r="G252" s="83">
        <v>0</v>
      </c>
      <c r="I252" s="83">
        <v>0</v>
      </c>
      <c r="K252" s="83">
        <f t="shared" si="97"/>
        <v>0</v>
      </c>
      <c r="M252" s="83">
        <f t="shared" si="98"/>
        <v>-423.94</v>
      </c>
      <c r="O252" s="83">
        <f t="shared" si="99"/>
        <v>-423.94</v>
      </c>
    </row>
    <row r="253" spans="1:15" s="22" customFormat="1" ht="42.75" customHeight="1" x14ac:dyDescent="0.5">
      <c r="A253" s="93" t="s">
        <v>209</v>
      </c>
      <c r="B253" s="96" t="s">
        <v>242</v>
      </c>
      <c r="C253" s="83">
        <f>'Comp YTD 2021-2020 '!D46</f>
        <v>8812.2000000000007</v>
      </c>
      <c r="D253" s="83">
        <f>DEP!P41</f>
        <v>11371.635</v>
      </c>
      <c r="E253" s="83">
        <f t="shared" si="96"/>
        <v>2559.4349999999995</v>
      </c>
      <c r="G253" s="83">
        <f>DEP!Q41</f>
        <v>15162.18</v>
      </c>
      <c r="I253" s="83">
        <f>DEP!R41</f>
        <v>15162.18</v>
      </c>
      <c r="K253" s="83">
        <f t="shared" si="97"/>
        <v>3790.5450000000001</v>
      </c>
      <c r="M253" s="83">
        <f t="shared" si="98"/>
        <v>6349.98</v>
      </c>
      <c r="O253" s="83">
        <f t="shared" si="99"/>
        <v>2559.4349999999995</v>
      </c>
    </row>
    <row r="254" spans="1:15" s="22" customFormat="1" ht="42.75" customHeight="1" x14ac:dyDescent="0.5">
      <c r="A254" s="93" t="s">
        <v>209</v>
      </c>
      <c r="B254" s="94" t="s">
        <v>229</v>
      </c>
      <c r="C254" s="97">
        <f>SUM(C244:C253)</f>
        <v>581824.63</v>
      </c>
      <c r="D254" s="97">
        <f t="shared" ref="D254:E254" si="100">SUM(D244:D253)</f>
        <v>859714.14750000008</v>
      </c>
      <c r="E254" s="97">
        <f t="shared" si="100"/>
        <v>277889.51750000002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564460.89999999991</v>
      </c>
      <c r="O254" s="97">
        <f>SUM(O244:O253)</f>
        <v>277889.51750000002</v>
      </c>
    </row>
    <row r="255" spans="1:15" s="22" customFormat="1" ht="42.75" customHeight="1" x14ac:dyDescent="0.5">
      <c r="A255" s="93" t="s">
        <v>209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209</v>
      </c>
      <c r="B256" s="94" t="s">
        <v>475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209</v>
      </c>
      <c r="B257" s="96" t="s">
        <v>230</v>
      </c>
      <c r="C257" s="83">
        <f>'Comp YTD 2021-2020 '!D50</f>
        <v>150000</v>
      </c>
      <c r="D257" s="83">
        <f>DEP!P46</f>
        <v>337500</v>
      </c>
      <c r="E257" s="83">
        <f>D257-C257</f>
        <v>187500</v>
      </c>
      <c r="G257" s="83">
        <f>DEP!Q46</f>
        <v>450000</v>
      </c>
      <c r="I257" s="83">
        <f>DEP!R46</f>
        <v>450000</v>
      </c>
      <c r="K257" s="83">
        <f t="shared" ref="K257" si="101">G257-D257</f>
        <v>112500</v>
      </c>
      <c r="M257" s="83">
        <f t="shared" ref="M257" si="102">G257-C257</f>
        <v>300000</v>
      </c>
      <c r="O257" s="83">
        <f>M257-K257</f>
        <v>187500</v>
      </c>
    </row>
    <row r="258" spans="1:15" s="22" customFormat="1" ht="42.75" customHeight="1" x14ac:dyDescent="0.5">
      <c r="A258" s="93" t="s">
        <v>209</v>
      </c>
      <c r="B258" s="96" t="s">
        <v>231</v>
      </c>
      <c r="C258" s="83">
        <f>'Comp YTD 2021-2020 '!D51</f>
        <v>-400</v>
      </c>
      <c r="D258" s="83">
        <f>DEP!P47</f>
        <v>24816.747000000007</v>
      </c>
      <c r="E258" s="83">
        <f t="shared" ref="E258:E278" si="103">D258-C258</f>
        <v>25216.747000000007</v>
      </c>
      <c r="G258" s="83">
        <f>DEP!Q47</f>
        <v>33088.996000000006</v>
      </c>
      <c r="I258" s="83">
        <f>DEP!R47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33488.996000000006</v>
      </c>
      <c r="O258" s="83">
        <f t="shared" ref="O258:O278" si="106">M258-K258</f>
        <v>25216.747000000007</v>
      </c>
    </row>
    <row r="259" spans="1:15" s="22" customFormat="1" ht="42.75" hidden="1" customHeight="1" x14ac:dyDescent="0.5">
      <c r="A259" s="93" t="s">
        <v>209</v>
      </c>
      <c r="B259" s="96" t="s">
        <v>232</v>
      </c>
      <c r="C259" s="83">
        <f>'Comp YTD 2021-2020 '!D52</f>
        <v>8789.2199999999993</v>
      </c>
      <c r="D259" s="83">
        <v>0</v>
      </c>
      <c r="E259" s="83">
        <f t="shared" si="103"/>
        <v>-8789.2199999999993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-8789.2199999999993</v>
      </c>
      <c r="O259" s="83">
        <f t="shared" si="106"/>
        <v>-8789.2199999999993</v>
      </c>
    </row>
    <row r="260" spans="1:15" s="22" customFormat="1" ht="42.75" hidden="1" customHeight="1" x14ac:dyDescent="0.5">
      <c r="A260" s="93" t="s">
        <v>209</v>
      </c>
      <c r="B260" s="96" t="s">
        <v>331</v>
      </c>
      <c r="C260" s="83">
        <f>'Comp YTD 2021-2020 '!D53</f>
        <v>182.25</v>
      </c>
      <c r="D260" s="83">
        <v>0</v>
      </c>
      <c r="E260" s="83">
        <f t="shared" si="103"/>
        <v>-182.25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-182.25</v>
      </c>
      <c r="O260" s="83">
        <f t="shared" si="106"/>
        <v>-182.25</v>
      </c>
    </row>
    <row r="261" spans="1:15" s="22" customFormat="1" ht="42.75" customHeight="1" x14ac:dyDescent="0.5">
      <c r="A261" s="93" t="s">
        <v>209</v>
      </c>
      <c r="B261" s="96" t="s">
        <v>286</v>
      </c>
      <c r="C261" s="83">
        <f>'Comp YTD 2021-2020 '!D54</f>
        <v>1107</v>
      </c>
      <c r="D261" s="83">
        <f>DEP!P49</f>
        <v>1350</v>
      </c>
      <c r="E261" s="83">
        <f t="shared" si="103"/>
        <v>243</v>
      </c>
      <c r="G261" s="83">
        <f>DEP!Q49</f>
        <v>1800</v>
      </c>
      <c r="I261" s="83">
        <f>DEP!R49</f>
        <v>1800</v>
      </c>
      <c r="K261" s="83">
        <f t="shared" si="104"/>
        <v>450</v>
      </c>
      <c r="M261" s="83">
        <f t="shared" si="105"/>
        <v>693</v>
      </c>
      <c r="O261" s="83">
        <f t="shared" si="106"/>
        <v>243</v>
      </c>
    </row>
    <row r="262" spans="1:15" s="22" customFormat="1" ht="42.75" customHeight="1" x14ac:dyDescent="0.5">
      <c r="A262" s="93" t="s">
        <v>209</v>
      </c>
      <c r="B262" s="96" t="s">
        <v>435</v>
      </c>
      <c r="C262" s="83">
        <f>'Comp YTD 2021-2020 '!D55</f>
        <v>8400</v>
      </c>
      <c r="D262" s="83">
        <f>DEP!P50</f>
        <v>21756.9</v>
      </c>
      <c r="E262" s="83">
        <f t="shared" si="103"/>
        <v>13356.900000000001</v>
      </c>
      <c r="G262" s="83">
        <f>DEP!Q50</f>
        <v>29009.200000000001</v>
      </c>
      <c r="I262" s="83">
        <f>DEP!R50</f>
        <v>29009.200000000001</v>
      </c>
      <c r="K262" s="83">
        <f t="shared" si="104"/>
        <v>7252.2999999999993</v>
      </c>
      <c r="M262" s="83">
        <f t="shared" si="105"/>
        <v>20609.2</v>
      </c>
      <c r="O262" s="83">
        <f t="shared" si="106"/>
        <v>13356.900000000001</v>
      </c>
    </row>
    <row r="263" spans="1:15" s="22" customFormat="1" ht="42.75" customHeight="1" x14ac:dyDescent="0.5">
      <c r="A263" s="93" t="s">
        <v>209</v>
      </c>
      <c r="B263" s="96" t="s">
        <v>368</v>
      </c>
      <c r="C263" s="83">
        <f>'Comp YTD 2021-2020 '!D56</f>
        <v>13193.859999999999</v>
      </c>
      <c r="D263" s="83">
        <f>DEP!P51</f>
        <v>34523.272499999999</v>
      </c>
      <c r="E263" s="83">
        <f t="shared" si="103"/>
        <v>21329.412499999999</v>
      </c>
      <c r="G263" s="83">
        <f>DEP!Q51</f>
        <v>46031.03</v>
      </c>
      <c r="I263" s="83">
        <f>DEP!R51</f>
        <v>46031.03</v>
      </c>
      <c r="K263" s="83">
        <f t="shared" si="104"/>
        <v>11507.7575</v>
      </c>
      <c r="M263" s="83">
        <f t="shared" si="105"/>
        <v>32837.17</v>
      </c>
      <c r="O263" s="83">
        <f t="shared" si="106"/>
        <v>21329.412499999999</v>
      </c>
    </row>
    <row r="264" spans="1:15" s="22" customFormat="1" ht="42.75" hidden="1" customHeight="1" x14ac:dyDescent="0.5">
      <c r="A264" s="93" t="s">
        <v>209</v>
      </c>
      <c r="B264" s="96" t="s">
        <v>366</v>
      </c>
      <c r="C264" s="83">
        <f>'Comp YTD 2021-2020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209</v>
      </c>
      <c r="B265" s="96" t="s">
        <v>235</v>
      </c>
      <c r="C265" s="83">
        <f>'Comp YTD 2021-2020 '!D58</f>
        <v>23850.720000000001</v>
      </c>
      <c r="D265" s="83">
        <f>DEP!P52</f>
        <v>60930</v>
      </c>
      <c r="E265" s="83">
        <f t="shared" si="103"/>
        <v>37079.279999999999</v>
      </c>
      <c r="G265" s="83">
        <f>DEP!Q52</f>
        <v>81240</v>
      </c>
      <c r="I265" s="83">
        <f>DEP!R52</f>
        <v>62935.24000000002</v>
      </c>
      <c r="K265" s="83">
        <f t="shared" si="104"/>
        <v>20310</v>
      </c>
      <c r="M265" s="83">
        <f t="shared" si="105"/>
        <v>57389.279999999999</v>
      </c>
      <c r="O265" s="83">
        <f t="shared" si="106"/>
        <v>37079.279999999999</v>
      </c>
    </row>
    <row r="266" spans="1:15" s="22" customFormat="1" ht="42.75" customHeight="1" x14ac:dyDescent="0.5">
      <c r="A266" s="93" t="s">
        <v>209</v>
      </c>
      <c r="B266" s="96" t="s">
        <v>236</v>
      </c>
      <c r="C266" s="83">
        <f>'Comp YTD 2021-2020 '!D59</f>
        <v>1866.31</v>
      </c>
      <c r="D266" s="83">
        <f>DEP!P54</f>
        <v>10777.162499999999</v>
      </c>
      <c r="E266" s="83">
        <f t="shared" si="103"/>
        <v>8910.8524999999991</v>
      </c>
      <c r="G266" s="83">
        <f>DEP!Q54</f>
        <v>14369.55</v>
      </c>
      <c r="I266" s="83">
        <f>DEP!R54</f>
        <v>14369.55</v>
      </c>
      <c r="K266" s="83">
        <f t="shared" si="104"/>
        <v>3592.3875000000007</v>
      </c>
      <c r="M266" s="83">
        <f t="shared" si="105"/>
        <v>12503.24</v>
      </c>
      <c r="O266" s="83">
        <f t="shared" si="106"/>
        <v>8910.8524999999991</v>
      </c>
    </row>
    <row r="267" spans="1:15" s="22" customFormat="1" ht="42.75" customHeight="1" x14ac:dyDescent="0.5">
      <c r="A267" s="93" t="s">
        <v>209</v>
      </c>
      <c r="B267" s="96" t="s">
        <v>234</v>
      </c>
      <c r="C267" s="83">
        <f>'Comp YTD 2021-2020 '!D60</f>
        <v>100183.34</v>
      </c>
      <c r="D267" s="83">
        <f>DEP!P55</f>
        <v>225900</v>
      </c>
      <c r="E267" s="83">
        <f t="shared" si="103"/>
        <v>125716.66</v>
      </c>
      <c r="G267" s="83">
        <f>DEP!Q55</f>
        <v>301200</v>
      </c>
      <c r="I267" s="83">
        <f>DEP!R55</f>
        <v>217684.57</v>
      </c>
      <c r="K267" s="83">
        <f t="shared" si="104"/>
        <v>75300</v>
      </c>
      <c r="M267" s="83">
        <f t="shared" si="105"/>
        <v>201016.66</v>
      </c>
      <c r="O267" s="83">
        <f t="shared" si="106"/>
        <v>125716.66</v>
      </c>
    </row>
    <row r="268" spans="1:15" s="22" customFormat="1" ht="42.75" customHeight="1" x14ac:dyDescent="0.5">
      <c r="A268" s="93" t="s">
        <v>209</v>
      </c>
      <c r="B268" s="96" t="s">
        <v>348</v>
      </c>
      <c r="C268" s="83">
        <f>'Comp YTD 2021-2020 '!D61</f>
        <v>0</v>
      </c>
      <c r="D268" s="83">
        <f>DEP!P80</f>
        <v>336.75</v>
      </c>
      <c r="E268" s="83">
        <f t="shared" si="103"/>
        <v>336.75</v>
      </c>
      <c r="G268" s="83">
        <f>DEP!Q80</f>
        <v>449</v>
      </c>
      <c r="I268" s="83">
        <f>DEP!R80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209</v>
      </c>
      <c r="B269" s="96" t="s">
        <v>351</v>
      </c>
      <c r="C269" s="83">
        <f>'Comp YTD 2021-2020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209</v>
      </c>
      <c r="B270" s="96" t="s">
        <v>237</v>
      </c>
      <c r="C270" s="83">
        <f>'Comp YTD 2021-2020 '!D63</f>
        <v>1687.56</v>
      </c>
      <c r="D270" s="83">
        <f>DEP!P56</f>
        <v>298.77</v>
      </c>
      <c r="E270" s="83">
        <f t="shared" si="103"/>
        <v>-1388.79</v>
      </c>
      <c r="G270" s="83">
        <f>DEP!Q56</f>
        <v>398.36</v>
      </c>
      <c r="I270" s="83">
        <f>DEP!R56</f>
        <v>398.36</v>
      </c>
      <c r="K270" s="83">
        <f t="shared" si="104"/>
        <v>99.590000000000032</v>
      </c>
      <c r="M270" s="83">
        <f t="shared" si="105"/>
        <v>-1289.1999999999998</v>
      </c>
      <c r="O270" s="83">
        <f t="shared" si="106"/>
        <v>-1388.79</v>
      </c>
    </row>
    <row r="271" spans="1:15" s="22" customFormat="1" ht="42.75" customHeight="1" x14ac:dyDescent="0.5">
      <c r="A271" s="93" t="s">
        <v>209</v>
      </c>
      <c r="B271" s="96" t="s">
        <v>238</v>
      </c>
      <c r="C271" s="83">
        <f>'Comp YTD 2021-2020 '!D64</f>
        <v>0</v>
      </c>
      <c r="D271" s="83">
        <f>DEP!P59</f>
        <v>3338.7224999999994</v>
      </c>
      <c r="E271" s="83">
        <f t="shared" si="103"/>
        <v>3338.7224999999994</v>
      </c>
      <c r="G271" s="83">
        <f>DEP!Q59</f>
        <v>4451.6299999999992</v>
      </c>
      <c r="I271" s="83">
        <f>DEP!R59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209</v>
      </c>
      <c r="B272" s="96" t="s">
        <v>239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209</v>
      </c>
      <c r="B273" s="96" t="s">
        <v>240</v>
      </c>
      <c r="C273" s="83">
        <f>'Comp YTD 2021-2020 '!D65</f>
        <v>57099.95</v>
      </c>
      <c r="D273" s="83">
        <f>DEP!P60</f>
        <v>94636.117499999993</v>
      </c>
      <c r="E273" s="83">
        <f t="shared" si="103"/>
        <v>37536.167499999996</v>
      </c>
      <c r="G273" s="83">
        <f>DEP!Q60</f>
        <v>126181.48999999999</v>
      </c>
      <c r="I273" s="83">
        <f>DEP!R60</f>
        <v>126181.48999999999</v>
      </c>
      <c r="K273" s="83">
        <f t="shared" si="104"/>
        <v>31545.372499999998</v>
      </c>
      <c r="M273" s="83">
        <f t="shared" si="105"/>
        <v>69081.539999999994</v>
      </c>
      <c r="O273" s="83">
        <f t="shared" si="106"/>
        <v>37536.167499999996</v>
      </c>
    </row>
    <row r="274" spans="1:15" s="22" customFormat="1" ht="42.75" customHeight="1" x14ac:dyDescent="0.5">
      <c r="A274" s="93" t="s">
        <v>209</v>
      </c>
      <c r="B274" s="96" t="s">
        <v>250</v>
      </c>
      <c r="C274" s="83">
        <f>'Comp YTD 2021-2020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209</v>
      </c>
      <c r="B275" s="96" t="s">
        <v>243</v>
      </c>
      <c r="C275" s="83">
        <f>'Comp YTD 2021-2020 '!D68</f>
        <v>5300.2</v>
      </c>
      <c r="D275" s="83">
        <f>DEP!P62</f>
        <v>14091.157499999996</v>
      </c>
      <c r="E275" s="83">
        <f t="shared" si="103"/>
        <v>8790.9574999999968</v>
      </c>
      <c r="G275" s="83">
        <f>DEP!Q62</f>
        <v>18788.209999999995</v>
      </c>
      <c r="I275" s="83">
        <f>DEP!R62</f>
        <v>18788.209999999995</v>
      </c>
      <c r="K275" s="83">
        <f t="shared" si="104"/>
        <v>4697.0524999999998</v>
      </c>
      <c r="M275" s="83">
        <f t="shared" si="105"/>
        <v>13488.009999999995</v>
      </c>
      <c r="O275" s="83">
        <f t="shared" si="106"/>
        <v>8790.957499999995</v>
      </c>
    </row>
    <row r="276" spans="1:15" s="22" customFormat="1" ht="42.75" customHeight="1" x14ac:dyDescent="0.5">
      <c r="A276" s="93" t="s">
        <v>209</v>
      </c>
      <c r="B276" s="96" t="s">
        <v>244</v>
      </c>
      <c r="C276" s="83">
        <f>'Comp YTD 2021-2020 '!D69</f>
        <v>21584.68</v>
      </c>
      <c r="D276" s="83">
        <f>DEP!P58</f>
        <v>65632.319999999992</v>
      </c>
      <c r="E276" s="83">
        <f t="shared" si="103"/>
        <v>44047.639999999992</v>
      </c>
      <c r="G276" s="83">
        <f>DEP!Q58</f>
        <v>87509.759999999995</v>
      </c>
      <c r="I276" s="83">
        <f>DEP!R58</f>
        <v>87509.759999999995</v>
      </c>
      <c r="K276" s="83">
        <f t="shared" si="104"/>
        <v>21877.440000000002</v>
      </c>
      <c r="M276" s="83">
        <f t="shared" si="105"/>
        <v>65925.079999999987</v>
      </c>
      <c r="O276" s="83">
        <f t="shared" si="106"/>
        <v>44047.639999999985</v>
      </c>
    </row>
    <row r="277" spans="1:15" s="22" customFormat="1" ht="42.75" customHeight="1" x14ac:dyDescent="0.5">
      <c r="A277" s="93" t="s">
        <v>209</v>
      </c>
      <c r="B277" s="96" t="s">
        <v>360</v>
      </c>
      <c r="C277" s="83">
        <f>'Comp YTD 2021-2020 '!D70</f>
        <v>0</v>
      </c>
      <c r="D277" s="83">
        <f>DEP!P63</f>
        <v>5607.6975000000002</v>
      </c>
      <c r="E277" s="83">
        <f t="shared" si="103"/>
        <v>5607.6975000000002</v>
      </c>
      <c r="G277" s="83">
        <f>DEP!Q63</f>
        <v>7476.93</v>
      </c>
      <c r="I277" s="83">
        <f>DEP!R63</f>
        <v>7476.93</v>
      </c>
      <c r="K277" s="83">
        <f t="shared" si="104"/>
        <v>1869.2325000000001</v>
      </c>
      <c r="M277" s="83">
        <f t="shared" si="105"/>
        <v>7476.93</v>
      </c>
      <c r="O277" s="83">
        <f t="shared" si="106"/>
        <v>5607.6975000000002</v>
      </c>
    </row>
    <row r="278" spans="1:15" s="22" customFormat="1" ht="42.75" customHeight="1" x14ac:dyDescent="0.5">
      <c r="A278" s="93" t="s">
        <v>209</v>
      </c>
      <c r="B278" s="96" t="s">
        <v>361</v>
      </c>
      <c r="C278" s="83">
        <f>'Comp YTD 2021-2020 '!D71</f>
        <v>222.56</v>
      </c>
      <c r="D278" s="83">
        <f>DEP!P64</f>
        <v>14400</v>
      </c>
      <c r="E278" s="83">
        <f t="shared" si="103"/>
        <v>14177.44</v>
      </c>
      <c r="G278" s="83">
        <f>DEP!Q64</f>
        <v>19200</v>
      </c>
      <c r="I278" s="83">
        <f>DEP!R64</f>
        <v>10196.419999999998</v>
      </c>
      <c r="K278" s="83">
        <f t="shared" si="104"/>
        <v>4800</v>
      </c>
      <c r="M278" s="83">
        <f t="shared" si="105"/>
        <v>18977.439999999999</v>
      </c>
      <c r="O278" s="83">
        <f t="shared" si="106"/>
        <v>14177.439999999999</v>
      </c>
    </row>
    <row r="279" spans="1:15" s="22" customFormat="1" ht="42.75" customHeight="1" x14ac:dyDescent="0.5">
      <c r="A279" s="93" t="s">
        <v>209</v>
      </c>
      <c r="B279" s="94" t="s">
        <v>245</v>
      </c>
      <c r="C279" s="97">
        <f>SUM(C257:C278)</f>
        <v>393177.64999999997</v>
      </c>
      <c r="D279" s="97">
        <f t="shared" ref="D279" si="107">SUM(D257:D278)</f>
        <v>915895.61699999997</v>
      </c>
      <c r="E279" s="97">
        <f t="shared" ref="E279" si="108">SUM(E257:E278)</f>
        <v>522717.967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828016.50600000005</v>
      </c>
      <c r="O279" s="97">
        <f>SUM(O257:O278)</f>
        <v>522717.967</v>
      </c>
    </row>
    <row r="280" spans="1:15" s="22" customFormat="1" ht="42.75" customHeight="1" x14ac:dyDescent="0.5">
      <c r="A280" s="93" t="s">
        <v>209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209</v>
      </c>
      <c r="B281" s="94" t="s">
        <v>246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209</v>
      </c>
      <c r="B282" s="96" t="s">
        <v>247</v>
      </c>
      <c r="C282" s="83">
        <f>'Comp YTD 2021-2020 '!D81</f>
        <v>715.20999999999992</v>
      </c>
      <c r="D282" s="83">
        <f>DEP!P68</f>
        <v>1372.5374999999999</v>
      </c>
      <c r="E282" s="83">
        <f>D282-C282</f>
        <v>657.32749999999999</v>
      </c>
      <c r="G282" s="83">
        <f>DEP!Q68</f>
        <v>1830.05</v>
      </c>
      <c r="I282" s="83">
        <f>DEP!R68</f>
        <v>1830.05</v>
      </c>
      <c r="K282" s="83">
        <f t="shared" ref="K282" si="109">G282-D282</f>
        <v>457.51250000000005</v>
      </c>
      <c r="M282" s="83">
        <f t="shared" ref="M282" si="110">G282-C282</f>
        <v>1114.8400000000001</v>
      </c>
      <c r="O282" s="83">
        <f>M282-K282</f>
        <v>657.3275000000001</v>
      </c>
    </row>
    <row r="283" spans="1:15" s="22" customFormat="1" ht="42.75" customHeight="1" x14ac:dyDescent="0.5">
      <c r="A283" s="93" t="s">
        <v>209</v>
      </c>
      <c r="B283" s="96" t="s">
        <v>383</v>
      </c>
      <c r="C283" s="83">
        <f>'Comp YTD 2021-2020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209</v>
      </c>
      <c r="B284" s="96" t="s">
        <v>530</v>
      </c>
      <c r="C284" s="83">
        <f>'Comp YTD 2021-2020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209</v>
      </c>
      <c r="B285" s="96" t="s">
        <v>248</v>
      </c>
      <c r="C285" s="83">
        <f>'Comp YTD 2021-2020 '!D84</f>
        <v>1341.5700000000002</v>
      </c>
      <c r="D285" s="83">
        <f>DEP!P69</f>
        <v>3282.0862499999998</v>
      </c>
      <c r="E285" s="83">
        <f t="shared" si="111"/>
        <v>1940.5162499999997</v>
      </c>
      <c r="G285" s="83">
        <f>DEP!Q69</f>
        <v>4376.1149999999998</v>
      </c>
      <c r="I285" s="83">
        <f>DEP!R69</f>
        <v>8752.2300000000014</v>
      </c>
      <c r="K285" s="83">
        <f t="shared" si="112"/>
        <v>1094.0287499999999</v>
      </c>
      <c r="M285" s="83">
        <f t="shared" si="113"/>
        <v>3034.5449999999996</v>
      </c>
      <c r="O285" s="83">
        <f t="shared" si="114"/>
        <v>1940.5162499999997</v>
      </c>
    </row>
    <row r="286" spans="1:15" s="22" customFormat="1" ht="42.75" hidden="1" customHeight="1" x14ac:dyDescent="0.5">
      <c r="A286" s="93" t="s">
        <v>209</v>
      </c>
      <c r="B286" s="96" t="s">
        <v>355</v>
      </c>
      <c r="C286" s="83">
        <f>'Comp YTD 2021-2020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209</v>
      </c>
      <c r="B287" s="96" t="s">
        <v>249</v>
      </c>
      <c r="C287" s="83">
        <f>'Comp YTD 2021-2020 '!D86</f>
        <v>0</v>
      </c>
      <c r="D287" s="83">
        <f>DEP!P79</f>
        <v>6924.4274999999998</v>
      </c>
      <c r="E287" s="83">
        <f t="shared" si="111"/>
        <v>6924.4274999999998</v>
      </c>
      <c r="G287" s="83">
        <f>DEP!Q79</f>
        <v>9232.57</v>
      </c>
      <c r="I287" s="83">
        <f>DEP!R79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209</v>
      </c>
      <c r="B288" s="96" t="s">
        <v>352</v>
      </c>
      <c r="C288" s="83">
        <f>'Comp YTD 2021-2020 '!D87</f>
        <v>13000</v>
      </c>
      <c r="D288" s="83">
        <f>DEP!P73</f>
        <v>29250</v>
      </c>
      <c r="E288" s="83">
        <f t="shared" si="111"/>
        <v>16250</v>
      </c>
      <c r="G288" s="83">
        <f>DEP!Q73</f>
        <v>39000</v>
      </c>
      <c r="I288" s="83">
        <f>DEP!R73</f>
        <v>50400</v>
      </c>
      <c r="K288" s="83">
        <f t="shared" si="112"/>
        <v>9750</v>
      </c>
      <c r="M288" s="83">
        <f t="shared" si="113"/>
        <v>26000</v>
      </c>
      <c r="O288" s="83">
        <f t="shared" si="114"/>
        <v>16250</v>
      </c>
    </row>
    <row r="289" spans="1:15" s="22" customFormat="1" ht="42.75" customHeight="1" x14ac:dyDescent="0.5">
      <c r="A289" s="93" t="s">
        <v>209</v>
      </c>
      <c r="B289" s="96" t="s">
        <v>353</v>
      </c>
      <c r="C289" s="83">
        <f>'Comp YTD 2021-2020 '!D88</f>
        <v>0</v>
      </c>
      <c r="D289" s="83">
        <f>DEP!P74</f>
        <v>20250</v>
      </c>
      <c r="E289" s="83">
        <f t="shared" si="111"/>
        <v>20250</v>
      </c>
      <c r="G289" s="83">
        <f>DEP!Q74</f>
        <v>27000</v>
      </c>
      <c r="I289" s="83">
        <f>DEP!R74</f>
        <v>27000</v>
      </c>
      <c r="K289" s="83">
        <f t="shared" si="112"/>
        <v>6750</v>
      </c>
      <c r="M289" s="83">
        <f t="shared" si="113"/>
        <v>27000</v>
      </c>
      <c r="O289" s="83">
        <f t="shared" si="114"/>
        <v>20250</v>
      </c>
    </row>
    <row r="290" spans="1:15" s="22" customFormat="1" ht="42.75" customHeight="1" x14ac:dyDescent="0.5">
      <c r="A290" s="93" t="s">
        <v>209</v>
      </c>
      <c r="B290" s="96" t="s">
        <v>354</v>
      </c>
      <c r="C290" s="83">
        <f>'Comp YTD 2021-2020 '!D89</f>
        <v>1333.32</v>
      </c>
      <c r="D290" s="83">
        <f>DEP!P72</f>
        <v>9000</v>
      </c>
      <c r="E290" s="83">
        <f t="shared" si="111"/>
        <v>7666.68</v>
      </c>
      <c r="G290" s="83">
        <f>DEP!Q72</f>
        <v>12000</v>
      </c>
      <c r="I290" s="83">
        <f>DEP!R72</f>
        <v>16848.52</v>
      </c>
      <c r="K290" s="83">
        <f t="shared" si="112"/>
        <v>3000</v>
      </c>
      <c r="M290" s="83">
        <f t="shared" si="113"/>
        <v>10666.68</v>
      </c>
      <c r="O290" s="83">
        <f t="shared" si="114"/>
        <v>7666.68</v>
      </c>
    </row>
    <row r="291" spans="1:15" s="22" customFormat="1" ht="42.75" customHeight="1" x14ac:dyDescent="0.5">
      <c r="A291" s="93" t="s">
        <v>209</v>
      </c>
      <c r="B291" s="96" t="s">
        <v>392</v>
      </c>
      <c r="C291" s="83">
        <f>'Comp YTD 2021-2020 '!D90</f>
        <v>0</v>
      </c>
      <c r="D291" s="83">
        <f>DEP!P76</f>
        <v>0</v>
      </c>
      <c r="E291" s="83">
        <f t="shared" si="111"/>
        <v>0</v>
      </c>
      <c r="G291" s="83">
        <f>DEP!Q76</f>
        <v>0</v>
      </c>
      <c r="I291" s="83">
        <f>DEP!R76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209</v>
      </c>
      <c r="B292" s="96" t="s">
        <v>381</v>
      </c>
      <c r="C292" s="83">
        <f>'Comp YTD 2021-2020 '!D91</f>
        <v>3125.01</v>
      </c>
      <c r="D292" s="83">
        <f>DEP!P75</f>
        <v>6468.7724999999991</v>
      </c>
      <c r="E292" s="83">
        <f t="shared" si="111"/>
        <v>3343.7624999999989</v>
      </c>
      <c r="G292" s="83">
        <f>DEP!Q75</f>
        <v>8625.0299999999988</v>
      </c>
      <c r="I292" s="83">
        <f>DEP!R75</f>
        <v>8625.0299999999988</v>
      </c>
      <c r="K292" s="83">
        <f t="shared" si="112"/>
        <v>2156.2574999999997</v>
      </c>
      <c r="M292" s="83">
        <f t="shared" si="113"/>
        <v>5500.0199999999986</v>
      </c>
      <c r="O292" s="83">
        <f t="shared" si="114"/>
        <v>3343.7624999999989</v>
      </c>
    </row>
    <row r="293" spans="1:15" s="22" customFormat="1" ht="42.75" customHeight="1" x14ac:dyDescent="0.5">
      <c r="A293" s="93" t="s">
        <v>209</v>
      </c>
      <c r="B293" s="96" t="s">
        <v>251</v>
      </c>
      <c r="C293" s="83">
        <f>'Comp YTD 2021-2020 '!D93</f>
        <v>0</v>
      </c>
      <c r="D293" s="83">
        <f>DEP!P71</f>
        <v>750</v>
      </c>
      <c r="E293" s="83">
        <f t="shared" si="111"/>
        <v>750</v>
      </c>
      <c r="G293" s="83">
        <f>DEP!Q71</f>
        <v>1000</v>
      </c>
      <c r="I293" s="83">
        <f>DEP!R71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209</v>
      </c>
      <c r="B294" s="96" t="s">
        <v>252</v>
      </c>
      <c r="C294" s="83">
        <f>'Comp YTD 2021-2020 '!D94</f>
        <v>725</v>
      </c>
      <c r="D294" s="83">
        <f>DEP!P81</f>
        <v>1858.125</v>
      </c>
      <c r="E294" s="83">
        <f t="shared" si="111"/>
        <v>1133.125</v>
      </c>
      <c r="G294" s="83">
        <f>DEP!Q81</f>
        <v>2477.5</v>
      </c>
      <c r="I294" s="83">
        <f>DEP!R81</f>
        <v>2477.5</v>
      </c>
      <c r="K294" s="83">
        <f t="shared" si="112"/>
        <v>619.375</v>
      </c>
      <c r="M294" s="83">
        <f t="shared" si="113"/>
        <v>1752.5</v>
      </c>
      <c r="O294" s="83">
        <f t="shared" si="114"/>
        <v>1133.125</v>
      </c>
    </row>
    <row r="295" spans="1:15" s="22" customFormat="1" ht="42.75" customHeight="1" x14ac:dyDescent="0.5">
      <c r="A295" s="93" t="s">
        <v>209</v>
      </c>
      <c r="B295" s="96" t="s">
        <v>253</v>
      </c>
      <c r="C295" s="83">
        <f>'Comp YTD 2021-2020 '!D95</f>
        <v>2093.94</v>
      </c>
      <c r="D295" s="83">
        <f>DEP!P78</f>
        <v>6495.2550000000001</v>
      </c>
      <c r="E295" s="83">
        <f t="shared" si="111"/>
        <v>4401.3150000000005</v>
      </c>
      <c r="G295" s="83">
        <f>DEP!Q78</f>
        <v>8660.34</v>
      </c>
      <c r="I295" s="83">
        <f>DEP!R78</f>
        <v>8660.34</v>
      </c>
      <c r="K295" s="83">
        <f t="shared" si="112"/>
        <v>2165.085</v>
      </c>
      <c r="M295" s="83">
        <f t="shared" si="113"/>
        <v>6566.4</v>
      </c>
      <c r="O295" s="83">
        <f t="shared" si="114"/>
        <v>4401.3149999999996</v>
      </c>
    </row>
    <row r="296" spans="1:15" s="22" customFormat="1" ht="42.75" customHeight="1" x14ac:dyDescent="0.5">
      <c r="A296" s="93" t="s">
        <v>209</v>
      </c>
      <c r="B296" s="96" t="s">
        <v>290</v>
      </c>
      <c r="C296" s="83">
        <f>'Comp YTD 2021-2020 '!D96</f>
        <v>0</v>
      </c>
      <c r="D296" s="83">
        <f>DEP!P70</f>
        <v>3982.9425000000001</v>
      </c>
      <c r="E296" s="83">
        <f t="shared" si="111"/>
        <v>3982.9425000000001</v>
      </c>
      <c r="G296" s="83">
        <f>DEP!Q70</f>
        <v>5310.59</v>
      </c>
      <c r="I296" s="83">
        <f>DEP!R70</f>
        <v>5310.59</v>
      </c>
      <c r="K296" s="83">
        <f t="shared" si="112"/>
        <v>1327.6475</v>
      </c>
      <c r="M296" s="83">
        <f t="shared" si="113"/>
        <v>5310.59</v>
      </c>
      <c r="O296" s="83">
        <f t="shared" si="114"/>
        <v>3982.9425000000001</v>
      </c>
    </row>
    <row r="297" spans="1:15" s="22" customFormat="1" ht="42.75" hidden="1" customHeight="1" x14ac:dyDescent="0.5">
      <c r="A297" s="93" t="s">
        <v>209</v>
      </c>
      <c r="B297" s="96" t="s">
        <v>369</v>
      </c>
      <c r="C297" s="83">
        <f>'Comp YTD 2021-2020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209</v>
      </c>
      <c r="B298" s="96" t="s">
        <v>254</v>
      </c>
      <c r="C298" s="83">
        <f>'Comp YTD 2021-2020 '!D98</f>
        <v>0</v>
      </c>
      <c r="D298" s="83">
        <f>DEP!P77</f>
        <v>5018.204999999999</v>
      </c>
      <c r="E298" s="83">
        <f t="shared" si="111"/>
        <v>5018.204999999999</v>
      </c>
      <c r="G298" s="83">
        <f>DEP!Q77</f>
        <v>6690.94</v>
      </c>
      <c r="I298" s="83">
        <f>DEP!R77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209</v>
      </c>
      <c r="B299" s="96" t="s">
        <v>255</v>
      </c>
      <c r="C299" s="83">
        <f>'Comp YTD 2021-2020 '!D99</f>
        <v>0</v>
      </c>
      <c r="D299" s="83">
        <v>0</v>
      </c>
      <c r="E299" s="83">
        <f t="shared" si="111"/>
        <v>0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0</v>
      </c>
      <c r="O299" s="83">
        <f t="shared" si="114"/>
        <v>0</v>
      </c>
    </row>
    <row r="300" spans="1:15" s="22" customFormat="1" ht="42.75" customHeight="1" x14ac:dyDescent="0.5">
      <c r="A300" s="93" t="s">
        <v>209</v>
      </c>
      <c r="B300" s="96" t="s">
        <v>256</v>
      </c>
      <c r="C300" s="83">
        <f>'Comp YTD 2021-2020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209</v>
      </c>
      <c r="B301" s="96" t="s">
        <v>257</v>
      </c>
      <c r="C301" s="83">
        <f>'Comp YTD 2021-2020 '!D102</f>
        <v>0</v>
      </c>
      <c r="D301" s="83">
        <v>0</v>
      </c>
      <c r="E301" s="83">
        <f t="shared" si="111"/>
        <v>0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0</v>
      </c>
      <c r="O301" s="83">
        <f t="shared" si="114"/>
        <v>0</v>
      </c>
    </row>
    <row r="302" spans="1:15" s="22" customFormat="1" ht="42.75" customHeight="1" x14ac:dyDescent="0.5">
      <c r="A302" s="93" t="s">
        <v>209</v>
      </c>
      <c r="B302" s="94" t="s">
        <v>259</v>
      </c>
      <c r="C302" s="97">
        <f>SUM(C282:C301)</f>
        <v>22334.05</v>
      </c>
      <c r="D302" s="97">
        <f>SUM(D282:D301)</f>
        <v>94652.351250000022</v>
      </c>
      <c r="E302" s="97">
        <f>SUM(E282:E301)</f>
        <v>72318.301250000004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103869.08500000001</v>
      </c>
      <c r="O302" s="97">
        <f>SUM(O282:O301)</f>
        <v>72318.301250000004</v>
      </c>
    </row>
    <row r="303" spans="1:15" s="22" customFormat="1" ht="42.75" customHeight="1" x14ac:dyDescent="0.5">
      <c r="A303" s="93" t="s">
        <v>209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209</v>
      </c>
      <c r="B304" s="94" t="s">
        <v>260</v>
      </c>
      <c r="C304" s="98">
        <f t="shared" ref="C304:M304" si="115">C254+C279+C302</f>
        <v>997336.33000000007</v>
      </c>
      <c r="D304" s="98">
        <f t="shared" si="115"/>
        <v>1870262.1157500001</v>
      </c>
      <c r="E304" s="98">
        <f t="shared" si="115"/>
        <v>872925.78575000004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1496346.4909999999</v>
      </c>
      <c r="O304" s="98">
        <f>O254+O279+O302</f>
        <v>872925.78575000004</v>
      </c>
    </row>
    <row r="305" spans="1:15" s="22" customFormat="1" ht="42.75" customHeight="1" x14ac:dyDescent="0.5">
      <c r="A305" s="93" t="s">
        <v>209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209</v>
      </c>
      <c r="B306" s="94" t="s">
        <v>452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209</v>
      </c>
      <c r="B307" s="96" t="s">
        <v>263</v>
      </c>
      <c r="C307" s="83">
        <f>'Comp YTD 2021-2020 '!D108</f>
        <v>50000</v>
      </c>
      <c r="D307" s="83">
        <f>DEP!P87</f>
        <v>112500</v>
      </c>
      <c r="E307" s="83">
        <f>D307-C307</f>
        <v>62500</v>
      </c>
      <c r="G307" s="83">
        <f>DEP!Q87</f>
        <v>150000</v>
      </c>
      <c r="I307" s="83">
        <f>DEP!R87</f>
        <v>150000</v>
      </c>
      <c r="K307" s="83">
        <f>G307-D307</f>
        <v>37500</v>
      </c>
      <c r="M307" s="83">
        <f>G307-C307</f>
        <v>100000</v>
      </c>
      <c r="O307" s="83">
        <f>M307-K307</f>
        <v>62500</v>
      </c>
    </row>
    <row r="308" spans="1:15" s="22" customFormat="1" ht="42.75" hidden="1" customHeight="1" x14ac:dyDescent="0.5">
      <c r="A308" s="93" t="s">
        <v>209</v>
      </c>
      <c r="B308" s="96" t="s">
        <v>264</v>
      </c>
      <c r="C308" s="83">
        <f>'Comp YTD 2021-2020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209</v>
      </c>
      <c r="B309" s="96" t="s">
        <v>322</v>
      </c>
      <c r="C309" s="83">
        <f>'Comp YTD 2021-2020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209</v>
      </c>
      <c r="B310" s="96" t="s">
        <v>378</v>
      </c>
      <c r="C310" s="83">
        <f>'Comp YTD 2021-2020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209</v>
      </c>
      <c r="B311" s="96" t="s">
        <v>265</v>
      </c>
      <c r="C311" s="83">
        <f>'Comp YTD 2021-2020 '!D112</f>
        <v>6417.57</v>
      </c>
      <c r="D311" s="83">
        <v>0</v>
      </c>
      <c r="E311" s="83">
        <f t="shared" si="116"/>
        <v>-6417.57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-6417.57</v>
      </c>
      <c r="O311" s="83">
        <f t="shared" si="119"/>
        <v>-6417.57</v>
      </c>
    </row>
    <row r="312" spans="1:15" s="22" customFormat="1" ht="42.75" customHeight="1" x14ac:dyDescent="0.5">
      <c r="A312" s="93" t="s">
        <v>209</v>
      </c>
      <c r="B312" s="96" t="s">
        <v>266</v>
      </c>
      <c r="C312" s="83">
        <f>'Comp YTD 2021-2020 '!D113</f>
        <v>90266.66</v>
      </c>
      <c r="D312" s="83">
        <f>DEP!P89</f>
        <v>26089.117499999997</v>
      </c>
      <c r="E312" s="83">
        <f t="shared" si="116"/>
        <v>-64177.54250000001</v>
      </c>
      <c r="G312" s="83">
        <f>DEP!Q89</f>
        <v>34785.49</v>
      </c>
      <c r="I312" s="83">
        <f>DEP!R89</f>
        <v>34785.49</v>
      </c>
      <c r="K312" s="83">
        <f>G312-D312</f>
        <v>8696.3725000000013</v>
      </c>
      <c r="M312" s="83">
        <f>G312-C312</f>
        <v>-55481.170000000006</v>
      </c>
      <c r="O312" s="83">
        <f>M312-K312</f>
        <v>-64177.54250000001</v>
      </c>
    </row>
    <row r="313" spans="1:15" s="22" customFormat="1" ht="42.75" customHeight="1" x14ac:dyDescent="0.5">
      <c r="A313" s="93" t="s">
        <v>209</v>
      </c>
      <c r="B313" s="96" t="s">
        <v>267</v>
      </c>
      <c r="C313" s="83">
        <f>'Comp YTD 2021-2020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209</v>
      </c>
      <c r="B314" s="96" t="s">
        <v>268</v>
      </c>
      <c r="C314" s="83">
        <f>'Comp YTD 2021-2020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209</v>
      </c>
      <c r="B315" s="96" t="s">
        <v>393</v>
      </c>
      <c r="C315" s="83">
        <f>'Comp YTD 2021-2020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209</v>
      </c>
      <c r="B316" s="96" t="s">
        <v>428</v>
      </c>
      <c r="C316" s="83">
        <f>'Comp YTD 2021-2020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209</v>
      </c>
      <c r="B317" s="96" t="s">
        <v>429</v>
      </c>
      <c r="C317" s="83">
        <f>'Comp YTD 2021-2020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209</v>
      </c>
      <c r="B318" s="96" t="s">
        <v>394</v>
      </c>
      <c r="C318" s="83">
        <f>'Comp YTD 2021-2020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209</v>
      </c>
      <c r="B319" s="96" t="s">
        <v>439</v>
      </c>
      <c r="C319" s="83">
        <f>'Comp YTD 2021-2020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209</v>
      </c>
      <c r="B320" s="94" t="s">
        <v>453</v>
      </c>
      <c r="C320" s="97">
        <f t="shared" ref="C320:E320" si="120">SUM(C307:C319)</f>
        <v>146684.23000000001</v>
      </c>
      <c r="D320" s="97">
        <f>SUM(D307:D319)</f>
        <v>138589.11749999999</v>
      </c>
      <c r="E320" s="97">
        <f t="shared" si="120"/>
        <v>-8095.1125000000102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38101.259999999987</v>
      </c>
      <c r="O320" s="97">
        <f>SUM(O307:O319)</f>
        <v>-8095.1125000000102</v>
      </c>
    </row>
    <row r="321" spans="1:15" s="22" customFormat="1" ht="42.75" customHeight="1" x14ac:dyDescent="0.5">
      <c r="A321" s="93" t="s">
        <v>209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209</v>
      </c>
      <c r="B322" s="94" t="s">
        <v>262</v>
      </c>
      <c r="C322" s="99">
        <f t="shared" ref="C322:D322" si="121">C239-C304+C320</f>
        <v>1242377.5500000003</v>
      </c>
      <c r="D322" s="99">
        <f t="shared" si="121"/>
        <v>594000.63675000006</v>
      </c>
      <c r="E322" s="99">
        <f>E239-E304+E320</f>
        <v>-1113664.88325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-450376.70100000058</v>
      </c>
      <c r="O322" s="99">
        <f>O239+O304-O320</f>
        <v>1113664.8832499997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212</v>
      </c>
      <c r="B324" s="101" t="s">
        <v>58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212</v>
      </c>
      <c r="B325" s="103" t="s">
        <v>213</v>
      </c>
      <c r="C325" s="104">
        <f>'Comp YTD 2021-2020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212</v>
      </c>
      <c r="B326" s="103" t="s">
        <v>214</v>
      </c>
      <c r="C326" s="104">
        <f>'Comp YTD 2021-2020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212</v>
      </c>
      <c r="B327" s="103" t="s">
        <v>215</v>
      </c>
      <c r="C327" s="104">
        <f>'Comp YTD 2021-2020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212</v>
      </c>
      <c r="B328" s="103" t="s">
        <v>412</v>
      </c>
      <c r="C328" s="104">
        <f>'Comp YTD 2021-2020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212</v>
      </c>
      <c r="B329" s="103" t="s">
        <v>216</v>
      </c>
      <c r="C329" s="104">
        <f>'Comp YTD 2021-2020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212</v>
      </c>
      <c r="B330" s="103" t="s">
        <v>217</v>
      </c>
      <c r="C330" s="104">
        <f>'Comp YTD 2021-2020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212</v>
      </c>
      <c r="B331" s="103" t="s">
        <v>218</v>
      </c>
      <c r="C331" s="104">
        <f>'Comp YTD 2021-2020 '!F18</f>
        <v>-1159</v>
      </c>
      <c r="D331" s="104">
        <f>'BSC (Dome)'!P15</f>
        <v>594652.90500000003</v>
      </c>
      <c r="E331" s="104">
        <f t="shared" si="124"/>
        <v>595811.90500000003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794029.54000000015</v>
      </c>
      <c r="O331" s="104">
        <f t="shared" si="127"/>
        <v>595811.90500000003</v>
      </c>
    </row>
    <row r="332" spans="1:15" s="22" customFormat="1" ht="42.75" customHeight="1" x14ac:dyDescent="0.5">
      <c r="A332" s="100" t="s">
        <v>212</v>
      </c>
      <c r="B332" s="101" t="s">
        <v>219</v>
      </c>
      <c r="C332" s="105">
        <f>SUM(C325:C331)</f>
        <v>-1159</v>
      </c>
      <c r="D332" s="105">
        <f>SUM(D325:D331)</f>
        <v>594652.90500000003</v>
      </c>
      <c r="E332" s="105">
        <f>SUM(E325:E331)</f>
        <v>595811.90500000003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794029.54000000015</v>
      </c>
      <c r="O332" s="105">
        <f>SUM(O325:O331)</f>
        <v>595811.90500000003</v>
      </c>
    </row>
    <row r="333" spans="1:15" s="22" customFormat="1" ht="42.75" customHeight="1" x14ac:dyDescent="0.5">
      <c r="A333" s="100" t="s">
        <v>212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212</v>
      </c>
      <c r="B334" s="101" t="s">
        <v>204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212</v>
      </c>
      <c r="B335" s="103" t="s">
        <v>213</v>
      </c>
      <c r="C335" s="104">
        <f>'Comp YTD 2021-2020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212</v>
      </c>
      <c r="B336" s="103" t="s">
        <v>214</v>
      </c>
      <c r="C336" s="104">
        <f>'Comp YTD 2021-2020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212</v>
      </c>
      <c r="B337" s="103" t="s">
        <v>215</v>
      </c>
      <c r="C337" s="104">
        <f>'Comp YTD 2021-2020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212</v>
      </c>
      <c r="B338" s="103" t="s">
        <v>412</v>
      </c>
      <c r="C338" s="104">
        <f>'Comp YTD 2021-2020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212</v>
      </c>
      <c r="B339" s="103" t="s">
        <v>216</v>
      </c>
      <c r="C339" s="104">
        <f>'Comp YTD 2021-2020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212</v>
      </c>
      <c r="B340" s="103" t="s">
        <v>217</v>
      </c>
      <c r="C340" s="104">
        <f>'Comp YTD 2021-2020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212</v>
      </c>
      <c r="B341" s="103" t="s">
        <v>218</v>
      </c>
      <c r="C341" s="104">
        <f>'Comp YTD 2021-2020 '!F28</f>
        <v>0</v>
      </c>
      <c r="D341" s="104">
        <f>'BSC (Dome)'!P19</f>
        <v>1447.0574999999999</v>
      </c>
      <c r="E341" s="104">
        <f t="shared" si="130"/>
        <v>1447.0574999999999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1929.4099999999999</v>
      </c>
      <c r="O341" s="104">
        <f t="shared" si="133"/>
        <v>1447.0574999999999</v>
      </c>
    </row>
    <row r="342" spans="1:15" s="22" customFormat="1" ht="42.75" customHeight="1" x14ac:dyDescent="0.5">
      <c r="A342" s="100" t="s">
        <v>212</v>
      </c>
      <c r="B342" s="101" t="s">
        <v>220</v>
      </c>
      <c r="C342" s="105">
        <f t="shared" ref="C342" si="134">SUM(C335:C341)</f>
        <v>0</v>
      </c>
      <c r="D342" s="105">
        <f>SUM(D335:D341)</f>
        <v>1447.0574999999999</v>
      </c>
      <c r="E342" s="105">
        <f>SUM(E335:E341)</f>
        <v>1447.0574999999999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1929.4099999999999</v>
      </c>
      <c r="O342" s="105">
        <f>SUM(O335:O341)</f>
        <v>1447.0574999999999</v>
      </c>
    </row>
    <row r="343" spans="1:15" s="22" customFormat="1" ht="42.75" customHeight="1" x14ac:dyDescent="0.5">
      <c r="A343" s="100" t="s">
        <v>212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212</v>
      </c>
      <c r="B344" s="101" t="s">
        <v>207</v>
      </c>
      <c r="C344" s="106">
        <f>C332-C342</f>
        <v>-1159</v>
      </c>
      <c r="D344" s="106">
        <f>D332-D342</f>
        <v>593205.84750000003</v>
      </c>
      <c r="E344" s="106">
        <f>C344-D344</f>
        <v>-594364.84750000003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792100.13000000012</v>
      </c>
      <c r="O344" s="106">
        <f>(M344-K344)</f>
        <v>594364.84750000003</v>
      </c>
    </row>
    <row r="345" spans="1:15" s="22" customFormat="1" ht="42.75" customHeight="1" x14ac:dyDescent="0.5">
      <c r="A345" s="100" t="s">
        <v>212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212</v>
      </c>
      <c r="B346" s="101" t="s">
        <v>205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212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212</v>
      </c>
      <c r="B348" s="101" t="s">
        <v>221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212</v>
      </c>
      <c r="B349" s="103" t="s">
        <v>222</v>
      </c>
      <c r="C349" s="104">
        <f>'Comp YTD 2021-2020 '!F37</f>
        <v>14326.740000000002</v>
      </c>
      <c r="D349" s="104">
        <f>'BSC (Dome)'!P25+'BSC (Dome)'!P33</f>
        <v>235829.96999999997</v>
      </c>
      <c r="E349" s="104">
        <f>D349-C349</f>
        <v>221503.22999999998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300113.21999999997</v>
      </c>
      <c r="O349" s="104">
        <f>M349-K349</f>
        <v>221503.22999999998</v>
      </c>
    </row>
    <row r="350" spans="1:15" s="22" customFormat="1" ht="42.75" customHeight="1" x14ac:dyDescent="0.5">
      <c r="A350" s="100" t="s">
        <v>212</v>
      </c>
      <c r="B350" s="103" t="s">
        <v>528</v>
      </c>
      <c r="C350" s="104">
        <f>'Comp YTD 2021-2020 '!F38</f>
        <v>0</v>
      </c>
      <c r="D350" s="104">
        <f>'BSC (Dome)'!P26</f>
        <v>4404.375</v>
      </c>
      <c r="E350" s="104">
        <f t="shared" ref="E350:E358" si="137">D350-C350</f>
        <v>4404.375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5872.5</v>
      </c>
      <c r="O350" s="104">
        <f t="shared" ref="O350:O358" si="140">M350-K350</f>
        <v>4404.375</v>
      </c>
    </row>
    <row r="351" spans="1:15" s="22" customFormat="1" ht="42.75" hidden="1" customHeight="1" x14ac:dyDescent="0.5">
      <c r="A351" s="100" t="s">
        <v>212</v>
      </c>
      <c r="B351" s="103" t="s">
        <v>223</v>
      </c>
      <c r="C351" s="104">
        <f>'Comp YTD 2021-2020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212</v>
      </c>
      <c r="B352" s="103" t="s">
        <v>224</v>
      </c>
      <c r="C352" s="104">
        <f>'Comp YTD 2021-2020 '!F40</f>
        <v>1700.77</v>
      </c>
      <c r="D352" s="104">
        <f>'BSC (Dome)'!P27</f>
        <v>15688.710000000003</v>
      </c>
      <c r="E352" s="104">
        <f t="shared" si="137"/>
        <v>13987.940000000002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19217.510000000002</v>
      </c>
      <c r="O352" s="104">
        <f t="shared" si="140"/>
        <v>13987.940000000002</v>
      </c>
    </row>
    <row r="353" spans="1:15" s="22" customFormat="1" ht="42.75" customHeight="1" x14ac:dyDescent="0.5">
      <c r="A353" s="100" t="s">
        <v>212</v>
      </c>
      <c r="B353" s="103" t="s">
        <v>225</v>
      </c>
      <c r="C353" s="104">
        <f>'Comp YTD 2021-2020 '!F41</f>
        <v>-1944.1999999999998</v>
      </c>
      <c r="D353" s="104">
        <f>'BSC (Dome)'!P28</f>
        <v>44129.16</v>
      </c>
      <c r="E353" s="104">
        <f t="shared" si="137"/>
        <v>46073.36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60783.08</v>
      </c>
      <c r="O353" s="104">
        <f t="shared" si="140"/>
        <v>46073.36</v>
      </c>
    </row>
    <row r="354" spans="1:15" s="22" customFormat="1" ht="42.75" customHeight="1" x14ac:dyDescent="0.5">
      <c r="A354" s="100" t="s">
        <v>212</v>
      </c>
      <c r="B354" s="103" t="s">
        <v>226</v>
      </c>
      <c r="C354" s="104">
        <f>'Comp YTD 2021-2020 '!F42</f>
        <v>0</v>
      </c>
      <c r="D354" s="104">
        <f>'BSC (Dome)'!P29</f>
        <v>2803.1850000000004</v>
      </c>
      <c r="E354" s="104">
        <f t="shared" si="137"/>
        <v>2803.1850000000004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3737.5800000000004</v>
      </c>
      <c r="O354" s="104">
        <f t="shared" si="140"/>
        <v>2803.1850000000004</v>
      </c>
    </row>
    <row r="355" spans="1:15" s="22" customFormat="1" ht="42.75" customHeight="1" x14ac:dyDescent="0.5">
      <c r="A355" s="100" t="s">
        <v>212</v>
      </c>
      <c r="B355" s="103" t="s">
        <v>227</v>
      </c>
      <c r="C355" s="104">
        <f>'Comp YTD 2021-2020 '!F43</f>
        <v>387</v>
      </c>
      <c r="D355" s="104">
        <f>'BSC (Dome)'!P31</f>
        <v>4515.7050000000008</v>
      </c>
      <c r="E355" s="104">
        <f t="shared" si="137"/>
        <v>4128.7050000000008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891.52</v>
      </c>
      <c r="O355" s="104">
        <f t="shared" si="140"/>
        <v>4128.7050000000008</v>
      </c>
    </row>
    <row r="356" spans="1:15" s="22" customFormat="1" ht="42.75" customHeight="1" x14ac:dyDescent="0.5">
      <c r="A356" s="100" t="s">
        <v>212</v>
      </c>
      <c r="B356" s="103" t="s">
        <v>303</v>
      </c>
      <c r="C356" s="104">
        <f>'Comp YTD 2021-2020 '!F44</f>
        <v>0</v>
      </c>
      <c r="D356" s="104">
        <f>'BSC (Dome)'!P30</f>
        <v>958.89</v>
      </c>
      <c r="E356" s="104">
        <f t="shared" si="137"/>
        <v>958.89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6020.9400000000005</v>
      </c>
      <c r="O356" s="104">
        <f t="shared" si="140"/>
        <v>958.89000000000033</v>
      </c>
    </row>
    <row r="357" spans="1:15" s="22" customFormat="1" ht="42.75" customHeight="1" x14ac:dyDescent="0.5">
      <c r="A357" s="100" t="s">
        <v>212</v>
      </c>
      <c r="B357" s="103" t="s">
        <v>228</v>
      </c>
      <c r="C357" s="104">
        <f>'Comp YTD 2021-2020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212</v>
      </c>
      <c r="B358" s="103" t="s">
        <v>242</v>
      </c>
      <c r="C358" s="104">
        <f>'Comp YTD 2021-2020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212</v>
      </c>
      <c r="B359" s="101" t="s">
        <v>229</v>
      </c>
      <c r="C359" s="105">
        <f>SUM(C349:C358)</f>
        <v>14470.310000000001</v>
      </c>
      <c r="D359" s="105">
        <f t="shared" ref="D359:E359" si="141">SUM(D349:D358)</f>
        <v>309511.65749999997</v>
      </c>
      <c r="E359" s="105">
        <f t="shared" si="141"/>
        <v>295041.34749999997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398211.9</v>
      </c>
      <c r="O359" s="105">
        <f>SUM(O349:O358)</f>
        <v>295041.34749999997</v>
      </c>
    </row>
    <row r="360" spans="1:15" s="22" customFormat="1" ht="42.75" customHeight="1" x14ac:dyDescent="0.5">
      <c r="A360" s="100" t="s">
        <v>212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212</v>
      </c>
      <c r="B361" s="101" t="s">
        <v>475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212</v>
      </c>
      <c r="B362" s="103" t="s">
        <v>230</v>
      </c>
      <c r="C362" s="104">
        <f>'Comp YTD 2021-2020 '!F50</f>
        <v>4000</v>
      </c>
      <c r="D362" s="104">
        <f>'BSC (Dome)'!P37</f>
        <v>9000</v>
      </c>
      <c r="E362" s="104">
        <f>D362-C362</f>
        <v>5000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8000</v>
      </c>
      <c r="O362" s="104">
        <f>M362-K362</f>
        <v>5000</v>
      </c>
    </row>
    <row r="363" spans="1:15" s="22" customFormat="1" ht="42.75" customHeight="1" x14ac:dyDescent="0.5">
      <c r="A363" s="100" t="s">
        <v>212</v>
      </c>
      <c r="B363" s="103" t="s">
        <v>231</v>
      </c>
      <c r="C363" s="104">
        <f>'Comp YTD 2021-2020 '!F51</f>
        <v>3287.5</v>
      </c>
      <c r="D363" s="104">
        <f>'BSC (Dome)'!P39</f>
        <v>5338.125</v>
      </c>
      <c r="E363" s="104">
        <f t="shared" ref="E363:E383" si="144">D363-C363</f>
        <v>2050.625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3830</v>
      </c>
      <c r="O363" s="104">
        <f t="shared" ref="O363:O383" si="147">M363-K363</f>
        <v>2050.625</v>
      </c>
    </row>
    <row r="364" spans="1:15" s="22" customFormat="1" ht="42.75" customHeight="1" x14ac:dyDescent="0.5">
      <c r="A364" s="100" t="s">
        <v>212</v>
      </c>
      <c r="B364" s="103" t="s">
        <v>232</v>
      </c>
      <c r="C364" s="104">
        <f>'Comp YTD 2021-2020 '!F52</f>
        <v>21922.11</v>
      </c>
      <c r="D364" s="104">
        <f>'BSC (Dome)'!P38</f>
        <v>55827.277500000011</v>
      </c>
      <c r="E364" s="104">
        <f t="shared" si="144"/>
        <v>33905.16750000001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52514.260000000009</v>
      </c>
      <c r="O364" s="104">
        <f t="shared" si="147"/>
        <v>33905.16750000001</v>
      </c>
    </row>
    <row r="365" spans="1:15" s="22" customFormat="1" ht="42.75" customHeight="1" x14ac:dyDescent="0.5">
      <c r="A365" s="100" t="s">
        <v>212</v>
      </c>
      <c r="B365" s="103" t="s">
        <v>331</v>
      </c>
      <c r="C365" s="104">
        <f>'Comp YTD 2021-2020 '!F53</f>
        <v>152.39999999999998</v>
      </c>
      <c r="D365" s="104">
        <f>'BSC (Dome)'!P40</f>
        <v>1665.825</v>
      </c>
      <c r="E365" s="104">
        <f t="shared" si="144"/>
        <v>1513.4250000000002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2068.6999999999998</v>
      </c>
      <c r="O365" s="104">
        <f t="shared" si="147"/>
        <v>1513.425</v>
      </c>
    </row>
    <row r="366" spans="1:15" s="22" customFormat="1" ht="42.75" customHeight="1" x14ac:dyDescent="0.5">
      <c r="A366" s="100" t="s">
        <v>212</v>
      </c>
      <c r="B366" s="103" t="s">
        <v>286</v>
      </c>
      <c r="C366" s="104">
        <f>'Comp YTD 2021-2020 '!F54</f>
        <v>0</v>
      </c>
      <c r="D366" s="104">
        <f>'BSC (Dome)'!P41</f>
        <v>5994.6525000000001</v>
      </c>
      <c r="E366" s="104">
        <f t="shared" si="144"/>
        <v>5994.6525000000001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7992.87</v>
      </c>
      <c r="O366" s="104">
        <f t="shared" si="147"/>
        <v>5994.6525000000001</v>
      </c>
    </row>
    <row r="367" spans="1:15" s="22" customFormat="1" ht="42.75" hidden="1" customHeight="1" x14ac:dyDescent="0.5">
      <c r="A367" s="100" t="s">
        <v>212</v>
      </c>
      <c r="B367" s="103" t="s">
        <v>435</v>
      </c>
      <c r="C367" s="104">
        <f>'Comp YTD 2021-2020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212</v>
      </c>
      <c r="B368" s="103" t="s">
        <v>368</v>
      </c>
      <c r="C368" s="104">
        <f>'Comp YTD 2021-2020 '!F56</f>
        <v>500</v>
      </c>
      <c r="D368" s="104">
        <f>'BSC (Dome)'!P43</f>
        <v>8594.73</v>
      </c>
      <c r="E368" s="104">
        <f t="shared" si="144"/>
        <v>8094.73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10959.64</v>
      </c>
      <c r="O368" s="104">
        <f t="shared" si="147"/>
        <v>8094.73</v>
      </c>
    </row>
    <row r="369" spans="1:15" s="22" customFormat="1" ht="42.75" customHeight="1" x14ac:dyDescent="0.5">
      <c r="A369" s="100" t="s">
        <v>212</v>
      </c>
      <c r="B369" s="103" t="s">
        <v>366</v>
      </c>
      <c r="C369" s="104">
        <f>'Comp YTD 2021-2020 '!F57</f>
        <v>0</v>
      </c>
      <c r="D369" s="104">
        <f>'BSC (Dome)'!P44+'BSC (Dome)'!P50</f>
        <v>11980.5975</v>
      </c>
      <c r="E369" s="104">
        <f t="shared" si="144"/>
        <v>11980.5975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15974.13</v>
      </c>
      <c r="O369" s="104">
        <f t="shared" si="147"/>
        <v>11980.5975</v>
      </c>
    </row>
    <row r="370" spans="1:15" s="22" customFormat="1" ht="42.75" customHeight="1" x14ac:dyDescent="0.5">
      <c r="A370" s="100" t="s">
        <v>212</v>
      </c>
      <c r="B370" s="103" t="s">
        <v>235</v>
      </c>
      <c r="C370" s="104">
        <f>'Comp YTD 2021-2020 '!F58</f>
        <v>450.5</v>
      </c>
      <c r="D370" s="104">
        <f>'BSC (Dome)'!P46</f>
        <v>554.75249999999994</v>
      </c>
      <c r="E370" s="104">
        <f t="shared" si="144"/>
        <v>104.25249999999994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289.16999999999996</v>
      </c>
      <c r="O370" s="104">
        <f t="shared" si="147"/>
        <v>104.25249999999994</v>
      </c>
    </row>
    <row r="371" spans="1:15" s="22" customFormat="1" ht="42.75" hidden="1" customHeight="1" x14ac:dyDescent="0.5">
      <c r="A371" s="100" t="s">
        <v>212</v>
      </c>
      <c r="B371" s="103" t="s">
        <v>236</v>
      </c>
      <c r="C371" s="104">
        <f>'Comp YTD 2021-2020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212</v>
      </c>
      <c r="B372" s="103" t="s">
        <v>234</v>
      </c>
      <c r="C372" s="104">
        <f>'Comp YTD 2021-2020 '!F60</f>
        <v>5273.6900000000005</v>
      </c>
      <c r="D372" s="104">
        <f>'BSC (Dome)'!P48</f>
        <v>21944.497499999998</v>
      </c>
      <c r="E372" s="104">
        <f t="shared" si="144"/>
        <v>16670.807499999995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23985.64</v>
      </c>
      <c r="O372" s="104">
        <f t="shared" si="147"/>
        <v>16670.807499999999</v>
      </c>
    </row>
    <row r="373" spans="1:15" s="22" customFormat="1" ht="42.75" customHeight="1" x14ac:dyDescent="0.5">
      <c r="A373" s="100" t="s">
        <v>212</v>
      </c>
      <c r="B373" s="103" t="s">
        <v>348</v>
      </c>
      <c r="C373" s="104">
        <f>'Comp YTD 2021-2020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212</v>
      </c>
      <c r="B374" s="103" t="s">
        <v>351</v>
      </c>
      <c r="C374" s="104">
        <f>'Comp YTD 2021-2020 '!F61</f>
        <v>607.46</v>
      </c>
      <c r="D374" s="104">
        <f>'BSC (Dome)'!P45</f>
        <v>14905.484999999997</v>
      </c>
      <c r="E374" s="104">
        <f t="shared" si="144"/>
        <v>14298.024999999998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19266.519999999997</v>
      </c>
      <c r="O374" s="104">
        <f t="shared" si="147"/>
        <v>14298.024999999998</v>
      </c>
    </row>
    <row r="375" spans="1:15" s="22" customFormat="1" ht="42.75" customHeight="1" x14ac:dyDescent="0.5">
      <c r="A375" s="100" t="s">
        <v>212</v>
      </c>
      <c r="B375" s="103" t="s">
        <v>237</v>
      </c>
      <c r="C375" s="104">
        <f>'Comp YTD 2021-2020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212</v>
      </c>
      <c r="B376" s="103" t="s">
        <v>238</v>
      </c>
      <c r="C376" s="104">
        <f>'Comp YTD 2021-2020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212</v>
      </c>
      <c r="B377" s="103" t="s">
        <v>239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212</v>
      </c>
      <c r="B378" s="103" t="s">
        <v>240</v>
      </c>
      <c r="C378" s="104">
        <f>'Comp YTD 2021-2020 '!F65</f>
        <v>36226.71</v>
      </c>
      <c r="D378" s="104">
        <f>'BSC (Dome)'!P54</f>
        <v>83006.242500000008</v>
      </c>
      <c r="E378" s="104">
        <f t="shared" si="144"/>
        <v>46779.532500000008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74448.28</v>
      </c>
      <c r="O378" s="104">
        <f t="shared" si="147"/>
        <v>46779.532500000001</v>
      </c>
    </row>
    <row r="379" spans="1:15" s="22" customFormat="1" ht="42.75" customHeight="1" x14ac:dyDescent="0.5">
      <c r="A379" s="100" t="s">
        <v>212</v>
      </c>
      <c r="B379" s="103" t="s">
        <v>250</v>
      </c>
      <c r="C379" s="104">
        <f>'Comp YTD 2021-2020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212</v>
      </c>
      <c r="B380" s="103" t="s">
        <v>243</v>
      </c>
      <c r="C380" s="104">
        <f>'Comp YTD 2021-2020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212</v>
      </c>
      <c r="B381" s="103" t="s">
        <v>244</v>
      </c>
      <c r="C381" s="104">
        <f>'Comp YTD 2021-2020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212</v>
      </c>
      <c r="B382" s="103" t="s">
        <v>360</v>
      </c>
      <c r="C382" s="104">
        <f>'Comp YTD 2021-2020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212</v>
      </c>
      <c r="B383" s="103" t="s">
        <v>361</v>
      </c>
      <c r="C383" s="104">
        <f>'Comp YTD 2021-2020 '!F71</f>
        <v>2094.44</v>
      </c>
      <c r="D383" s="104">
        <f>'BSC (Dome)'!P57</f>
        <v>4966.6499999999996</v>
      </c>
      <c r="E383" s="104">
        <f t="shared" si="144"/>
        <v>2872.2099999999996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4527.7599999999984</v>
      </c>
      <c r="O383" s="104">
        <f t="shared" si="147"/>
        <v>2872.2099999999991</v>
      </c>
    </row>
    <row r="384" spans="1:15" s="22" customFormat="1" ht="42.75" customHeight="1" x14ac:dyDescent="0.5">
      <c r="A384" s="100" t="s">
        <v>212</v>
      </c>
      <c r="B384" s="101" t="s">
        <v>245</v>
      </c>
      <c r="C384" s="105">
        <f>SUM(C362:C383)</f>
        <v>74624.81</v>
      </c>
      <c r="D384" s="105">
        <f t="shared" ref="D384" si="148">SUM(D362:D383)</f>
        <v>227870.31</v>
      </c>
      <c r="E384" s="105">
        <f>SUM(E362:E383)</f>
        <v>153245.5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229202.27000000002</v>
      </c>
      <c r="O384" s="105">
        <f>SUM(O362:O383)</f>
        <v>153245.5</v>
      </c>
    </row>
    <row r="385" spans="1:15" s="22" customFormat="1" ht="42.75" customHeight="1" x14ac:dyDescent="0.5">
      <c r="A385" s="100" t="s">
        <v>212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212</v>
      </c>
      <c r="B386" s="101" t="s">
        <v>246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212</v>
      </c>
      <c r="B387" s="103" t="s">
        <v>247</v>
      </c>
      <c r="C387" s="104">
        <f>'Comp YTD 2021-2020 '!F81</f>
        <v>328.75</v>
      </c>
      <c r="D387" s="104">
        <f>'BSC (Dome)'!P61</f>
        <v>2798.19</v>
      </c>
      <c r="E387" s="104">
        <f>D387-C387</f>
        <v>2469.44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3402.17</v>
      </c>
      <c r="O387" s="104">
        <f>M387-K387</f>
        <v>2469.44</v>
      </c>
    </row>
    <row r="388" spans="1:15" s="22" customFormat="1" ht="42.75" hidden="1" customHeight="1" x14ac:dyDescent="0.5">
      <c r="A388" s="100" t="s">
        <v>212</v>
      </c>
      <c r="B388" s="103" t="s">
        <v>383</v>
      </c>
      <c r="C388" s="104">
        <f>'Comp YTD 2021-2020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212</v>
      </c>
      <c r="B389" s="103" t="s">
        <v>530</v>
      </c>
      <c r="C389" s="104">
        <f>'Comp YTD 2021-2020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212</v>
      </c>
      <c r="B390" s="103" t="s">
        <v>248</v>
      </c>
      <c r="C390" s="104">
        <f>'Comp YTD 2021-2020 '!F84</f>
        <v>-110.65</v>
      </c>
      <c r="D390" s="104">
        <f>'BSC (Dome)'!P62</f>
        <v>2579.3024999999993</v>
      </c>
      <c r="E390" s="104">
        <f t="shared" si="151"/>
        <v>2689.9524999999994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3549.7199999999993</v>
      </c>
      <c r="O390" s="104">
        <f t="shared" si="154"/>
        <v>2689.9524999999994</v>
      </c>
    </row>
    <row r="391" spans="1:15" s="22" customFormat="1" ht="42.75" customHeight="1" x14ac:dyDescent="0.5">
      <c r="A391" s="100" t="s">
        <v>212</v>
      </c>
      <c r="B391" s="103" t="s">
        <v>355</v>
      </c>
      <c r="C391" s="104">
        <f>'Comp YTD 2021-2020 '!F85</f>
        <v>531.63</v>
      </c>
      <c r="D391" s="104">
        <f>'BSC (Dome)'!P63</f>
        <v>3588.6675</v>
      </c>
      <c r="E391" s="104">
        <f t="shared" si="151"/>
        <v>3057.0374999999999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4253.26</v>
      </c>
      <c r="O391" s="104">
        <f t="shared" si="154"/>
        <v>3057.0374999999999</v>
      </c>
    </row>
    <row r="392" spans="1:15" s="22" customFormat="1" ht="42.75" customHeight="1" x14ac:dyDescent="0.5">
      <c r="A392" s="100" t="s">
        <v>212</v>
      </c>
      <c r="B392" s="103" t="s">
        <v>249</v>
      </c>
      <c r="C392" s="104">
        <f>'Comp YTD 2021-2020 '!F86</f>
        <v>189.84</v>
      </c>
      <c r="D392" s="104">
        <f>'BSC (Dome)'!P67</f>
        <v>801.15</v>
      </c>
      <c r="E392" s="104">
        <f t="shared" si="151"/>
        <v>611.30999999999995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878.36</v>
      </c>
      <c r="O392" s="104">
        <f t="shared" si="154"/>
        <v>611.30999999999995</v>
      </c>
    </row>
    <row r="393" spans="1:15" s="22" customFormat="1" ht="42.75" customHeight="1" x14ac:dyDescent="0.5">
      <c r="A393" s="100" t="s">
        <v>212</v>
      </c>
      <c r="B393" s="103" t="s">
        <v>352</v>
      </c>
      <c r="C393" s="104">
        <f>'Comp YTD 2021-2020 '!F87</f>
        <v>1022.9200000000001</v>
      </c>
      <c r="D393" s="104">
        <f>'BSC (Dome)'!P68</f>
        <v>1800</v>
      </c>
      <c r="E393" s="104">
        <f t="shared" si="151"/>
        <v>777.07999999999993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1377.08</v>
      </c>
      <c r="O393" s="104">
        <f t="shared" si="154"/>
        <v>777.07999999999993</v>
      </c>
    </row>
    <row r="394" spans="1:15" s="22" customFormat="1" ht="42.75" customHeight="1" x14ac:dyDescent="0.5">
      <c r="A394" s="100" t="s">
        <v>212</v>
      </c>
      <c r="B394" s="103" t="s">
        <v>353</v>
      </c>
      <c r="C394" s="104">
        <f>'Comp YTD 2021-2020 '!F88</f>
        <v>0</v>
      </c>
      <c r="D394" s="104">
        <f>'BSC (Dome)'!P69</f>
        <v>13500</v>
      </c>
      <c r="E394" s="104">
        <f t="shared" si="151"/>
        <v>13500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18000</v>
      </c>
      <c r="O394" s="104">
        <f t="shared" si="154"/>
        <v>13500</v>
      </c>
    </row>
    <row r="395" spans="1:15" s="22" customFormat="1" ht="42.75" hidden="1" customHeight="1" x14ac:dyDescent="0.5">
      <c r="A395" s="100" t="s">
        <v>212</v>
      </c>
      <c r="B395" s="103" t="s">
        <v>354</v>
      </c>
      <c r="C395" s="104">
        <f>'Comp YTD 2021-2020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212</v>
      </c>
      <c r="B396" s="103" t="s">
        <v>392</v>
      </c>
      <c r="C396" s="104">
        <f>'Comp YTD 2021-2020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212</v>
      </c>
      <c r="B397" s="103" t="s">
        <v>381</v>
      </c>
      <c r="C397" s="104">
        <f>'Comp YTD 2021-2020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212</v>
      </c>
      <c r="B398" s="103" t="s">
        <v>251</v>
      </c>
      <c r="C398" s="104">
        <f>'Comp YTD 2021-2020 '!F93</f>
        <v>531.24</v>
      </c>
      <c r="D398" s="104">
        <f>'BSC (Dome)'!P65</f>
        <v>1294.8974999999998</v>
      </c>
      <c r="E398" s="104">
        <f t="shared" si="151"/>
        <v>763.6574999999998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1195.2899999999995</v>
      </c>
      <c r="O398" s="104">
        <f t="shared" si="154"/>
        <v>763.6574999999998</v>
      </c>
    </row>
    <row r="399" spans="1:15" s="22" customFormat="1" ht="42.75" customHeight="1" x14ac:dyDescent="0.5">
      <c r="A399" s="100" t="s">
        <v>212</v>
      </c>
      <c r="B399" s="103" t="s">
        <v>252</v>
      </c>
      <c r="C399" s="104">
        <f>'Comp YTD 2021-2020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212</v>
      </c>
      <c r="B400" s="103" t="s">
        <v>253</v>
      </c>
      <c r="C400" s="104">
        <f>'Comp YTD 2021-2020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212</v>
      </c>
      <c r="B401" s="103" t="s">
        <v>290</v>
      </c>
      <c r="C401" s="104">
        <f>'Comp YTD 2021-2020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212</v>
      </c>
      <c r="B402" s="103" t="s">
        <v>369</v>
      </c>
      <c r="C402" s="104">
        <f>'Comp YTD 2021-2020 '!F97</f>
        <v>0</v>
      </c>
      <c r="D402" s="104">
        <f>'BSC (Dome)'!P66</f>
        <v>10520.550000000001</v>
      </c>
      <c r="E402" s="104">
        <f t="shared" si="151"/>
        <v>10520.550000000001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14027.4</v>
      </c>
      <c r="O402" s="104">
        <f t="shared" si="154"/>
        <v>10520.550000000001</v>
      </c>
    </row>
    <row r="403" spans="1:15" s="22" customFormat="1" ht="42.75" hidden="1" customHeight="1" x14ac:dyDescent="0.5">
      <c r="A403" s="100" t="s">
        <v>212</v>
      </c>
      <c r="B403" s="103" t="s">
        <v>254</v>
      </c>
      <c r="C403" s="104">
        <f>'Comp YTD 2021-2020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212</v>
      </c>
      <c r="B404" s="103" t="s">
        <v>255</v>
      </c>
      <c r="C404" s="104">
        <f>'Comp YTD 2021-2020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212</v>
      </c>
      <c r="B405" s="103" t="s">
        <v>256</v>
      </c>
      <c r="C405" s="104">
        <f>'Comp YTD 2021-2020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212</v>
      </c>
      <c r="B406" s="103" t="s">
        <v>257</v>
      </c>
      <c r="C406" s="104">
        <f>'Comp YTD 2021-2020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212</v>
      </c>
      <c r="B407" s="101" t="s">
        <v>259</v>
      </c>
      <c r="C407" s="105">
        <f>SUM(C387:C406)</f>
        <v>2493.7300000000005</v>
      </c>
      <c r="D407" s="105">
        <f>SUM(D387:D406)</f>
        <v>39314.2575</v>
      </c>
      <c r="E407" s="105">
        <f>SUM(E387:E406)</f>
        <v>36820.527500000004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49925.280000000006</v>
      </c>
      <c r="O407" s="105">
        <f>SUM(O387:O406)</f>
        <v>36820.527500000004</v>
      </c>
    </row>
    <row r="408" spans="1:15" s="22" customFormat="1" ht="42.75" customHeight="1" x14ac:dyDescent="0.5">
      <c r="A408" s="100" t="s">
        <v>212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212</v>
      </c>
      <c r="B409" s="101" t="s">
        <v>260</v>
      </c>
      <c r="C409" s="106">
        <f t="shared" ref="C409:E409" si="155">C359+C384+C407</f>
        <v>91588.849999999991</v>
      </c>
      <c r="D409" s="106">
        <f>D359+D384+D407</f>
        <v>576696.22499999998</v>
      </c>
      <c r="E409" s="106">
        <f t="shared" si="155"/>
        <v>485107.375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677339.45000000007</v>
      </c>
      <c r="O409" s="106">
        <f>O359+O384+O407</f>
        <v>485107.375</v>
      </c>
    </row>
    <row r="410" spans="1:15" s="22" customFormat="1" ht="42.75" customHeight="1" x14ac:dyDescent="0.5">
      <c r="A410" s="100" t="s">
        <v>212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212</v>
      </c>
      <c r="B411" s="101" t="s">
        <v>452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212</v>
      </c>
      <c r="B412" s="103" t="s">
        <v>263</v>
      </c>
      <c r="C412" s="104">
        <f>'Comp YTD 2021-2020 '!F108</f>
        <v>20000</v>
      </c>
      <c r="D412" s="104">
        <f>'BSC (Dome)'!P78+'BSC (Dome)'!P79</f>
        <v>48750</v>
      </c>
      <c r="E412" s="104">
        <f>D412-C412</f>
        <v>28750</v>
      </c>
      <c r="G412" s="104">
        <f>'BSC (Dome)'!Q78+'BSC (Dome)'!Q79</f>
        <v>65000</v>
      </c>
      <c r="I412" s="104">
        <f>'BSC (Dome)'!R78+'BSC (Dome)'!R79</f>
        <v>65000</v>
      </c>
      <c r="K412" s="104">
        <f>G412-D412</f>
        <v>16250</v>
      </c>
      <c r="M412" s="104">
        <f t="shared" ref="M412" si="156">G412-C412</f>
        <v>45000</v>
      </c>
      <c r="O412" s="104">
        <f>M412-K412</f>
        <v>28750</v>
      </c>
    </row>
    <row r="413" spans="1:15" s="22" customFormat="1" ht="42.75" hidden="1" customHeight="1" x14ac:dyDescent="0.5">
      <c r="A413" s="100" t="s">
        <v>212</v>
      </c>
      <c r="B413" s="103" t="s">
        <v>264</v>
      </c>
      <c r="C413" s="104">
        <f>'Comp YTD 2021-2020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212</v>
      </c>
      <c r="B414" s="103" t="s">
        <v>322</v>
      </c>
      <c r="C414" s="104">
        <f>'Comp YTD 2021-2020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212</v>
      </c>
      <c r="B415" s="103" t="s">
        <v>378</v>
      </c>
      <c r="C415" s="104">
        <f>'Comp YTD 2021-2020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212</v>
      </c>
      <c r="B416" s="103" t="s">
        <v>265</v>
      </c>
      <c r="C416" s="104">
        <f>'Comp YTD 2021-2020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212</v>
      </c>
      <c r="B417" s="103" t="s">
        <v>266</v>
      </c>
      <c r="C417" s="104">
        <f>'Comp YTD 2021-2020 '!F113</f>
        <v>0</v>
      </c>
      <c r="D417" s="104">
        <v>0</v>
      </c>
      <c r="E417" s="104">
        <f t="shared" si="157"/>
        <v>0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0</v>
      </c>
      <c r="O417" s="104">
        <f t="shared" si="160"/>
        <v>0</v>
      </c>
    </row>
    <row r="418" spans="1:15" s="22" customFormat="1" ht="42.75" customHeight="1" x14ac:dyDescent="0.5">
      <c r="A418" s="100" t="s">
        <v>212</v>
      </c>
      <c r="B418" s="103" t="s">
        <v>267</v>
      </c>
      <c r="C418" s="104">
        <f>'Comp YTD 2021-2020 '!F114</f>
        <v>-36208.5</v>
      </c>
      <c r="D418" s="104">
        <f>'BSC (Dome)'!P82+'BSC (Dome)'!P83</f>
        <v>-86864.625</v>
      </c>
      <c r="E418" s="104">
        <f t="shared" si="157"/>
        <v>-50656.125</v>
      </c>
      <c r="G418" s="104">
        <f>'BSC (Dome)'!Q82+'BSC (Dome)'!Q83</f>
        <v>-115819.5</v>
      </c>
      <c r="I418" s="104">
        <f>'BSC (Dome)'!R82+'BSC (Dome)'!R83</f>
        <v>-115819.5</v>
      </c>
      <c r="K418" s="104">
        <f t="shared" si="158"/>
        <v>-28954.875</v>
      </c>
      <c r="M418" s="104">
        <f t="shared" si="159"/>
        <v>-79611</v>
      </c>
      <c r="O418" s="104">
        <f t="shared" si="160"/>
        <v>-50656.125</v>
      </c>
    </row>
    <row r="419" spans="1:15" s="22" customFormat="1" ht="42.75" customHeight="1" x14ac:dyDescent="0.5">
      <c r="A419" s="100" t="s">
        <v>212</v>
      </c>
      <c r="B419" s="103" t="s">
        <v>268</v>
      </c>
      <c r="C419" s="104">
        <f>'Comp YTD 2021-2020 '!F116</f>
        <v>0</v>
      </c>
      <c r="D419" s="104">
        <f>'BSC (Dome)'!P81</f>
        <v>1434.7349999999999</v>
      </c>
      <c r="E419" s="104">
        <f t="shared" si="157"/>
        <v>1434.7349999999999</v>
      </c>
      <c r="G419" s="104">
        <f>'BSC (Dome)'!Q81</f>
        <v>1912.98</v>
      </c>
      <c r="I419" s="104">
        <f>'BSC (Dome)'!R81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212</v>
      </c>
      <c r="B420" s="103" t="s">
        <v>393</v>
      </c>
      <c r="C420" s="104">
        <f>'Comp YTD 2021-2020 '!F119</f>
        <v>0</v>
      </c>
      <c r="D420" s="104">
        <f>CNT!P622</f>
        <v>0</v>
      </c>
      <c r="E420" s="104">
        <f t="shared" si="157"/>
        <v>0</v>
      </c>
      <c r="G420" s="104">
        <f>CNT!Q622</f>
        <v>0</v>
      </c>
      <c r="I420" s="104">
        <f>CNT!R622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212</v>
      </c>
      <c r="B421" s="103" t="s">
        <v>428</v>
      </c>
      <c r="C421" s="104">
        <f>'Comp YTD 2021-2020 '!F120</f>
        <v>0</v>
      </c>
      <c r="D421" s="104">
        <f>CNT!P623</f>
        <v>0</v>
      </c>
      <c r="E421" s="104">
        <f t="shared" si="157"/>
        <v>0</v>
      </c>
      <c r="G421" s="104">
        <f>CNT!Q623</f>
        <v>0</v>
      </c>
      <c r="I421" s="104">
        <f>CNT!R623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212</v>
      </c>
      <c r="B422" s="103" t="s">
        <v>429</v>
      </c>
      <c r="C422" s="104">
        <f>'Comp YTD 2021-2020 '!F121</f>
        <v>0</v>
      </c>
      <c r="D422" s="104">
        <f>CNT!P625</f>
        <v>0</v>
      </c>
      <c r="E422" s="104">
        <f t="shared" si="157"/>
        <v>0</v>
      </c>
      <c r="G422" s="104">
        <f>CNT!Q625</f>
        <v>0</v>
      </c>
      <c r="I422" s="104">
        <f>CNT!R625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212</v>
      </c>
      <c r="B423" s="103" t="s">
        <v>394</v>
      </c>
      <c r="C423" s="104">
        <f>'Comp YTD 2021-2020 '!F122</f>
        <v>0</v>
      </c>
      <c r="D423" s="104">
        <f>CNT!P624</f>
        <v>0</v>
      </c>
      <c r="E423" s="104">
        <f t="shared" si="157"/>
        <v>0</v>
      </c>
      <c r="G423" s="104">
        <f>CNT!Q624</f>
        <v>0</v>
      </c>
      <c r="I423" s="104">
        <f>CNT!R624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212</v>
      </c>
      <c r="B424" s="103" t="s">
        <v>439</v>
      </c>
      <c r="C424" s="104">
        <f>'Comp YTD 2021-2020 '!F123</f>
        <v>0</v>
      </c>
      <c r="D424" s="104">
        <f>CNT!P626</f>
        <v>0</v>
      </c>
      <c r="E424" s="104">
        <f t="shared" si="157"/>
        <v>0</v>
      </c>
      <c r="G424" s="104">
        <f>CNT!Q626</f>
        <v>0</v>
      </c>
      <c r="I424" s="104">
        <f>CNT!R626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212</v>
      </c>
      <c r="B425" s="101" t="s">
        <v>453</v>
      </c>
      <c r="C425" s="105">
        <f t="shared" ref="C425:E425" si="161">SUM(C412:C424)</f>
        <v>-16208.5</v>
      </c>
      <c r="D425" s="105">
        <f>SUM(D412:D424)</f>
        <v>-36679.89</v>
      </c>
      <c r="E425" s="105">
        <f t="shared" si="161"/>
        <v>-20471.39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-32698.02</v>
      </c>
      <c r="O425" s="105">
        <f>SUM(O412:O424)</f>
        <v>-20471.39</v>
      </c>
    </row>
    <row r="426" spans="1:15" s="22" customFormat="1" ht="42.75" customHeight="1" x14ac:dyDescent="0.5">
      <c r="A426" s="100" t="s">
        <v>212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212</v>
      </c>
      <c r="B427" s="101" t="s">
        <v>262</v>
      </c>
      <c r="C427" s="107">
        <f t="shared" ref="C427" si="162">C344-C409+C425</f>
        <v>-108956.34999999999</v>
      </c>
      <c r="D427" s="107">
        <f>D344-D409+D425</f>
        <v>-20170.267499999944</v>
      </c>
      <c r="E427" s="107">
        <f>E344-E409+E425</f>
        <v>-1099943.6125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82062.660000000047</v>
      </c>
      <c r="O427" s="107">
        <f>-(-O344-O409+O425)</f>
        <v>1099943.6125</v>
      </c>
    </row>
    <row r="428" spans="1:15" ht="15.75" thickTop="1" x14ac:dyDescent="0.25"/>
    <row r="430" spans="1:15" s="22" customFormat="1" ht="42.75" hidden="1" customHeight="1" x14ac:dyDescent="0.5">
      <c r="A430" s="109" t="s">
        <v>211</v>
      </c>
      <c r="B430" s="110" t="s">
        <v>58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211</v>
      </c>
      <c r="B431" s="112" t="s">
        <v>213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211</v>
      </c>
      <c r="B432" s="112" t="s">
        <v>214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211</v>
      </c>
      <c r="B433" s="112" t="s">
        <v>215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211</v>
      </c>
      <c r="B434" s="112" t="s">
        <v>412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211</v>
      </c>
      <c r="B435" s="112" t="s">
        <v>216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211</v>
      </c>
      <c r="B436" s="112" t="s">
        <v>217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211</v>
      </c>
      <c r="B437" s="112" t="s">
        <v>218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211</v>
      </c>
      <c r="B438" s="110" t="s">
        <v>219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211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211</v>
      </c>
      <c r="B440" s="110" t="s">
        <v>204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211</v>
      </c>
      <c r="B441" s="112" t="s">
        <v>213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211</v>
      </c>
      <c r="B442" s="112" t="s">
        <v>214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211</v>
      </c>
      <c r="B443" s="112" t="s">
        <v>215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211</v>
      </c>
      <c r="B444" s="112" t="s">
        <v>412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211</v>
      </c>
      <c r="B445" s="112" t="s">
        <v>216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211</v>
      </c>
      <c r="B446" s="112" t="s">
        <v>217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211</v>
      </c>
      <c r="B447" s="112" t="s">
        <v>218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211</v>
      </c>
      <c r="B448" s="110" t="s">
        <v>220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211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211</v>
      </c>
      <c r="B450" s="110" t="s">
        <v>207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211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211</v>
      </c>
      <c r="B452" s="110" t="s">
        <v>205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211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211</v>
      </c>
      <c r="B454" s="110" t="s">
        <v>221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211</v>
      </c>
      <c r="B455" s="112" t="s">
        <v>222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211</v>
      </c>
      <c r="B456" s="112" t="s">
        <v>528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211</v>
      </c>
      <c r="B457" s="112" t="s">
        <v>223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211</v>
      </c>
      <c r="B458" s="112" t="s">
        <v>224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211</v>
      </c>
      <c r="B459" s="112" t="s">
        <v>225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211</v>
      </c>
      <c r="B460" s="112" t="s">
        <v>226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211</v>
      </c>
      <c r="B461" s="112" t="s">
        <v>227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211</v>
      </c>
      <c r="B462" s="112" t="s">
        <v>303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211</v>
      </c>
      <c r="B463" s="112" t="s">
        <v>228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211</v>
      </c>
      <c r="B464" s="112" t="s">
        <v>242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211</v>
      </c>
      <c r="B465" s="110" t="s">
        <v>229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211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211</v>
      </c>
      <c r="B467" s="110" t="s">
        <v>475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211</v>
      </c>
      <c r="B468" s="112" t="s">
        <v>230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211</v>
      </c>
      <c r="B469" s="112" t="s">
        <v>231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211</v>
      </c>
      <c r="B470" s="112" t="s">
        <v>232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211</v>
      </c>
      <c r="B471" s="112" t="s">
        <v>331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211</v>
      </c>
      <c r="B472" s="112" t="s">
        <v>286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211</v>
      </c>
      <c r="B473" s="112" t="s">
        <v>435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211</v>
      </c>
      <c r="B474" s="112" t="s">
        <v>368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211</v>
      </c>
      <c r="B475" s="112" t="s">
        <v>366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211</v>
      </c>
      <c r="B476" s="112" t="s">
        <v>235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211</v>
      </c>
      <c r="B477" s="112" t="s">
        <v>236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211</v>
      </c>
      <c r="B478" s="112" t="s">
        <v>234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211</v>
      </c>
      <c r="B479" s="112" t="s">
        <v>348</v>
      </c>
      <c r="C479" s="113">
        <f>'Comp YTD 2021-2020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211</v>
      </c>
      <c r="B480" s="112" t="s">
        <v>351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211</v>
      </c>
      <c r="B481" s="112" t="s">
        <v>237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211</v>
      </c>
      <c r="B482" s="112" t="s">
        <v>238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211</v>
      </c>
      <c r="B483" s="112" t="s">
        <v>239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211</v>
      </c>
      <c r="B484" s="112" t="s">
        <v>240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211</v>
      </c>
      <c r="B485" s="112" t="s">
        <v>250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211</v>
      </c>
      <c r="B486" s="112" t="s">
        <v>243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211</v>
      </c>
      <c r="B487" s="112" t="s">
        <v>244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211</v>
      </c>
      <c r="B488" s="112" t="s">
        <v>360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211</v>
      </c>
      <c r="B489" s="112" t="s">
        <v>361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211</v>
      </c>
      <c r="B490" s="110" t="s">
        <v>245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211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211</v>
      </c>
      <c r="B492" s="110" t="s">
        <v>246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211</v>
      </c>
      <c r="B493" s="112" t="s">
        <v>247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211</v>
      </c>
      <c r="B494" s="112" t="s">
        <v>383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211</v>
      </c>
      <c r="B495" s="112" t="s">
        <v>530</v>
      </c>
      <c r="C495" s="113">
        <f>'Comp YTD 2021-2020 '!E83</f>
        <v>1595.44</v>
      </c>
      <c r="D495" s="113">
        <f>Lending!P9</f>
        <v>3225</v>
      </c>
      <c r="E495" s="113">
        <f t="shared" si="193"/>
        <v>1629.56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2704.56</v>
      </c>
      <c r="O495" s="113">
        <f t="shared" si="196"/>
        <v>1629.56</v>
      </c>
    </row>
    <row r="496" spans="1:15" s="22" customFormat="1" ht="42.75" customHeight="1" x14ac:dyDescent="0.5">
      <c r="A496" s="109" t="s">
        <v>211</v>
      </c>
      <c r="B496" s="112" t="s">
        <v>248</v>
      </c>
      <c r="C496" s="113">
        <f>'Comp YTD 2021-2020 '!E84</f>
        <v>124.03999999999999</v>
      </c>
      <c r="D496" s="113">
        <f>Lending!P10</f>
        <v>907.12124999999992</v>
      </c>
      <c r="E496" s="113">
        <f t="shared" si="193"/>
        <v>783.08124999999995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1085.4549999999999</v>
      </c>
      <c r="O496" s="113">
        <f t="shared" si="196"/>
        <v>783.08124999999995</v>
      </c>
    </row>
    <row r="497" spans="1:15" s="22" customFormat="1" ht="42.75" hidden="1" customHeight="1" x14ac:dyDescent="0.5">
      <c r="A497" s="109" t="s">
        <v>211</v>
      </c>
      <c r="B497" s="112" t="s">
        <v>355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211</v>
      </c>
      <c r="B498" s="112" t="s">
        <v>249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211</v>
      </c>
      <c r="B499" s="112" t="s">
        <v>352</v>
      </c>
      <c r="C499" s="113">
        <f>'Comp YTD 2021-2020 '!E87</f>
        <v>991.67</v>
      </c>
      <c r="D499" s="113">
        <f>Lending!P13</f>
        <v>1440</v>
      </c>
      <c r="E499" s="113">
        <f t="shared" si="193"/>
        <v>448.33000000000004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928.33</v>
      </c>
      <c r="O499" s="113">
        <f t="shared" si="196"/>
        <v>448.33000000000004</v>
      </c>
    </row>
    <row r="500" spans="1:15" s="22" customFormat="1" ht="42.75" hidden="1" customHeight="1" x14ac:dyDescent="0.5">
      <c r="A500" s="109" t="s">
        <v>211</v>
      </c>
      <c r="B500" s="112" t="s">
        <v>353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211</v>
      </c>
      <c r="B501" s="112" t="s">
        <v>354</v>
      </c>
      <c r="C501" s="113">
        <f>'Comp YTD 2021-2020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211</v>
      </c>
      <c r="B502" s="112" t="s">
        <v>392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211</v>
      </c>
      <c r="B503" s="112" t="s">
        <v>381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211</v>
      </c>
      <c r="B504" s="112" t="s">
        <v>251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211</v>
      </c>
      <c r="B505" s="112" t="s">
        <v>252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211</v>
      </c>
      <c r="B506" s="112" t="s">
        <v>253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211</v>
      </c>
      <c r="B507" s="112" t="s">
        <v>290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211</v>
      </c>
      <c r="B508" s="112" t="s">
        <v>369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211</v>
      </c>
      <c r="B509" s="112" t="s">
        <v>254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211</v>
      </c>
      <c r="B510" s="112" t="s">
        <v>255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211</v>
      </c>
      <c r="B511" s="112" t="s">
        <v>256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211</v>
      </c>
      <c r="B512" s="112" t="s">
        <v>257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211</v>
      </c>
      <c r="B513" s="110" t="s">
        <v>259</v>
      </c>
      <c r="C513" s="114">
        <f>SUM(C493:C512)</f>
        <v>2711.15</v>
      </c>
      <c r="D513" s="114">
        <f>SUM(D493:D512)</f>
        <v>5572.1212500000001</v>
      </c>
      <c r="E513" s="114">
        <f>SUM(E493:E512)</f>
        <v>2860.9712499999996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4718.3450000000003</v>
      </c>
      <c r="O513" s="114">
        <f>SUM(O493:O512)</f>
        <v>2860.9712499999996</v>
      </c>
    </row>
    <row r="514" spans="1:15" s="22" customFormat="1" ht="42.75" customHeight="1" x14ac:dyDescent="0.5">
      <c r="A514" s="109" t="s">
        <v>211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211</v>
      </c>
      <c r="B515" s="110" t="s">
        <v>260</v>
      </c>
      <c r="C515" s="115">
        <f t="shared" ref="C515:O515" si="197">C465+C490+C513</f>
        <v>2821.15</v>
      </c>
      <c r="D515" s="115">
        <f t="shared" si="197"/>
        <v>5653.8712500000001</v>
      </c>
      <c r="E515" s="115">
        <f t="shared" si="197"/>
        <v>2832.7212499999996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4717.3450000000003</v>
      </c>
      <c r="O515" s="115">
        <f t="shared" si="197"/>
        <v>2832.7212499999996</v>
      </c>
    </row>
    <row r="516" spans="1:15" s="22" customFormat="1" ht="42.75" customHeight="1" x14ac:dyDescent="0.5">
      <c r="A516" s="109" t="s">
        <v>211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211</v>
      </c>
      <c r="B517" s="110" t="s">
        <v>452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211</v>
      </c>
      <c r="B518" s="112" t="s">
        <v>263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211</v>
      </c>
      <c r="B519" s="112" t="s">
        <v>264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211</v>
      </c>
      <c r="B520" s="112" t="s">
        <v>322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211</v>
      </c>
      <c r="B521" s="112" t="s">
        <v>378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211</v>
      </c>
      <c r="B522" s="112" t="s">
        <v>265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211</v>
      </c>
      <c r="B523" s="112" t="s">
        <v>266</v>
      </c>
      <c r="C523" s="113">
        <f>'Comp YTD 2021-2020 '!E113</f>
        <v>17115.760000000002</v>
      </c>
      <c r="D523" s="113">
        <f>Lending!P17</f>
        <v>38946.944999999992</v>
      </c>
      <c r="E523" s="113">
        <f t="shared" si="200"/>
        <v>21831.18499999999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34813.499999999993</v>
      </c>
      <c r="O523" s="113">
        <f t="shared" si="203"/>
        <v>21831.18499999999</v>
      </c>
    </row>
    <row r="524" spans="1:15" s="22" customFormat="1" ht="42.75" customHeight="1" x14ac:dyDescent="0.5">
      <c r="A524" s="109" t="s">
        <v>211</v>
      </c>
      <c r="B524" s="112" t="s">
        <v>267</v>
      </c>
      <c r="C524" s="113">
        <f>'Comp YTD 2021-2020 '!E114</f>
        <v>-3173.1900000000005</v>
      </c>
      <c r="D524" s="113">
        <f>Lending!P18</f>
        <v>-4059.1950000000002</v>
      </c>
      <c r="E524" s="113">
        <f>D524-C524</f>
        <v>-886.00499999999965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-2239.0699999999997</v>
      </c>
      <c r="O524" s="113">
        <f t="shared" si="203"/>
        <v>-886.00499999999965</v>
      </c>
    </row>
    <row r="525" spans="1:15" s="22" customFormat="1" ht="42.75" hidden="1" customHeight="1" x14ac:dyDescent="0.5">
      <c r="A525" s="109" t="s">
        <v>211</v>
      </c>
      <c r="B525" s="112" t="s">
        <v>268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211</v>
      </c>
      <c r="B526" s="112" t="s">
        <v>393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211</v>
      </c>
      <c r="B527" s="112" t="s">
        <v>428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211</v>
      </c>
      <c r="B528" s="112" t="s">
        <v>429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211</v>
      </c>
      <c r="B529" s="112" t="s">
        <v>394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211</v>
      </c>
      <c r="B530" s="112" t="s">
        <v>439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211</v>
      </c>
      <c r="B531" s="110" t="s">
        <v>453</v>
      </c>
      <c r="C531" s="114">
        <f t="shared" ref="C531:E531" si="204">SUM(C518:C530)</f>
        <v>13942.570000000002</v>
      </c>
      <c r="D531" s="114">
        <f t="shared" si="204"/>
        <v>34887.749999999993</v>
      </c>
      <c r="E531" s="114">
        <f t="shared" si="204"/>
        <v>20945.179999999989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32574.429999999993</v>
      </c>
      <c r="O531" s="114">
        <f>SUM(O518:O530)</f>
        <v>20945.179999999989</v>
      </c>
    </row>
    <row r="532" spans="1:15" s="22" customFormat="1" ht="42.75" customHeight="1" x14ac:dyDescent="0.5">
      <c r="A532" s="109" t="s">
        <v>211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211</v>
      </c>
      <c r="B533" s="110" t="s">
        <v>262</v>
      </c>
      <c r="C533" s="116">
        <f t="shared" ref="C533:D533" si="205">C450-C515+C531</f>
        <v>11121.420000000002</v>
      </c>
      <c r="D533" s="116">
        <f t="shared" si="205"/>
        <v>29233.878749999993</v>
      </c>
      <c r="E533" s="116">
        <f>E450-E515+E531</f>
        <v>18112.458749999991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27857.084999999992</v>
      </c>
      <c r="O533" s="116">
        <f t="shared" ref="O533" si="210">O450-O515+O531</f>
        <v>18112.458749999991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58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213</v>
      </c>
      <c r="C537" s="104">
        <v>0</v>
      </c>
      <c r="D537" s="104">
        <f>CNT!P660+CNT!P661+CNT!P672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214</v>
      </c>
      <c r="C538" s="104">
        <v>0</v>
      </c>
      <c r="D538" s="104">
        <f>CNT!P662+CNT!P673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215</v>
      </c>
      <c r="C539" s="104">
        <v>0</v>
      </c>
      <c r="D539" s="104">
        <f>CNT!P663+CNT!P674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412</v>
      </c>
      <c r="C540" s="104">
        <v>0</v>
      </c>
      <c r="D540" s="104">
        <f>CNT!P664+CNT!P675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216</v>
      </c>
      <c r="C541" s="104">
        <v>0</v>
      </c>
      <c r="D541" s="104">
        <f>CNT!P668+CNT!P678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217</v>
      </c>
      <c r="C542" s="104">
        <v>0</v>
      </c>
      <c r="D542" s="104">
        <f>CNT!P679+CNT!P680+CNT!P681+CNT!P682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218</v>
      </c>
      <c r="C543" s="104">
        <v>0</v>
      </c>
      <c r="D543" s="104">
        <f>CNT!P665+CNT!P666+CNT!P667+CNT!P669+CNT!P670+CNT!P671+CNT!P676+CNT!P677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219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204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213</v>
      </c>
      <c r="C547" s="104">
        <v>0</v>
      </c>
      <c r="D547" s="104">
        <f>CNT!P687+CNT!P692+CNT!P704+CNT!P708+CNT!P709+CNT!P713+CNT!P717+CNT!P724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214</v>
      </c>
      <c r="C548" s="104">
        <v>0</v>
      </c>
      <c r="D548" s="104">
        <f>CNT!P688+CNT!P693+CNT!P705+CNT!P710+CNT!P714+CNT!P718+CNT!P725+CNT!P721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215</v>
      </c>
      <c r="C549" s="104">
        <v>0</v>
      </c>
      <c r="D549" s="104">
        <f>CNT!P689+CNT!P694+CNT!P706+CNT!P711+CNT!P715+CNT!P719+CNT!P726+CNT!P723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412</v>
      </c>
      <c r="C550" s="104">
        <v>0</v>
      </c>
      <c r="D550" s="104">
        <f>CNT!P690+CNT!P695+CNT!P707+CNT!P712+CNT!P716+CNT!P720+CNT!P727+CNT!P728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216</v>
      </c>
      <c r="C551" s="104">
        <v>0</v>
      </c>
      <c r="D551" s="104">
        <f>CNT!P691+CNT!P698+CNT!P722+CNT!P733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217</v>
      </c>
      <c r="C552" s="104">
        <v>0</v>
      </c>
      <c r="D552" s="104">
        <f>CNT!P744+CNT!P745+CNT!P746+CNT!P747+CNT!P748+CNT!P749+CNT!P750+CNT!P751+CNT!P752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218</v>
      </c>
      <c r="C553" s="104">
        <v>0</v>
      </c>
      <c r="D553" s="104">
        <f>CNT!P685+CNT!P696+CNT!P697+CNT!P699+CNT!P700+CNT!P701+CNT!P702+CNT!P703+CNT!P729+CNT!P730+CNT!P731+CNT!P732+CNT!P734+CNT!P735+CNT!P736+CNT!P737+CNT!P738+CNT!P739+CNT!P740+CNT!P741+CNT!P742+CNT!P743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220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207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205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221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222</v>
      </c>
      <c r="C561" s="104">
        <v>0</v>
      </c>
      <c r="D561" s="104">
        <f>CNT!P756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528</v>
      </c>
      <c r="C562" s="104">
        <v>0</v>
      </c>
      <c r="D562" s="104">
        <f>CNT!P757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223</v>
      </c>
      <c r="C563" s="104">
        <v>0</v>
      </c>
      <c r="D563" s="104">
        <f>CNT!P758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224</v>
      </c>
      <c r="C564" s="104">
        <v>0</v>
      </c>
      <c r="D564" s="104">
        <f>CNT!P759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225</v>
      </c>
      <c r="C565" s="104">
        <v>0</v>
      </c>
      <c r="D565" s="104">
        <f>CNT!P760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226</v>
      </c>
      <c r="C566" s="104">
        <v>0</v>
      </c>
      <c r="D566" s="104">
        <f>CNT!P761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227</v>
      </c>
      <c r="C567" s="104">
        <v>0</v>
      </c>
      <c r="D567" s="104">
        <f>CNT!P762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303</v>
      </c>
      <c r="C568" s="104">
        <v>0</v>
      </c>
      <c r="D568" s="104">
        <f>CNT!P763+CNT!P764+CNT!P767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228</v>
      </c>
      <c r="C569" s="104">
        <v>0</v>
      </c>
      <c r="D569" s="104">
        <f>CNT!P766+CNT!P765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242</v>
      </c>
      <c r="C570" s="104">
        <v>0</v>
      </c>
      <c r="D570" s="104">
        <f>+CNT!P795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229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475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230</v>
      </c>
      <c r="C574" s="104">
        <v>0</v>
      </c>
      <c r="D574" s="104">
        <f>CNT!P771+CNT!P770+CNT!P791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231</v>
      </c>
      <c r="C575" s="104">
        <v>0</v>
      </c>
      <c r="D575" s="104">
        <f>CNT!P772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232</v>
      </c>
      <c r="C576" s="104">
        <v>0</v>
      </c>
      <c r="D576" s="104">
        <f>CNT!P773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331</v>
      </c>
      <c r="C577" s="104">
        <v>0</v>
      </c>
      <c r="D577" s="104">
        <f>CNT!P774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286</v>
      </c>
      <c r="C578" s="104">
        <v>0</v>
      </c>
      <c r="D578" s="104">
        <f>CNT!P775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435</v>
      </c>
      <c r="C579" s="104">
        <v>0</v>
      </c>
      <c r="D579" s="104">
        <f>CNT!P776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368</v>
      </c>
      <c r="C580" s="104">
        <v>0</v>
      </c>
      <c r="D580" s="104">
        <f>CNT!P777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366</v>
      </c>
      <c r="C581" s="104">
        <v>0</v>
      </c>
      <c r="D581" s="104">
        <f>CNT!P788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235</v>
      </c>
      <c r="C582" s="104">
        <v>0</v>
      </c>
      <c r="D582" s="104">
        <f>CNT!P778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236</v>
      </c>
      <c r="C583" s="104">
        <v>0</v>
      </c>
      <c r="D583" s="104">
        <f>CNT!P779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234</v>
      </c>
      <c r="C584" s="104">
        <v>0</v>
      </c>
      <c r="D584" s="104">
        <f>CNT!P780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348</v>
      </c>
      <c r="C585" s="104">
        <f>'Comp YTD 2021-2020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351</v>
      </c>
      <c r="C586" s="104">
        <f>'Comp YTD 2021-2020 '!B605</f>
        <v>0</v>
      </c>
      <c r="D586" s="104">
        <f>CNT!P823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237</v>
      </c>
      <c r="C587" s="104">
        <f>'Comp YTD 2021-2020 '!B606</f>
        <v>0</v>
      </c>
      <c r="D587" s="104">
        <f>CNT!P781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238</v>
      </c>
      <c r="C588" s="104">
        <f>'Comp YTD 2021-2020 '!B607</f>
        <v>0</v>
      </c>
      <c r="D588" s="104">
        <f>CNT!P782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239</v>
      </c>
      <c r="C589" s="104">
        <f>'Comp YTD 2021-2020 '!B608</f>
        <v>0</v>
      </c>
      <c r="D589" s="104">
        <f>CNT!P784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240</v>
      </c>
      <c r="C590" s="104">
        <f>'Comp YTD 2021-2020 '!H65</f>
        <v>83662.28</v>
      </c>
      <c r="D590" s="104">
        <f>'722 Bedford St'!P11</f>
        <v>132625.47000000003</v>
      </c>
      <c r="E590" s="104">
        <f t="shared" si="233"/>
        <v>48963.190000000031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93171.680000000022</v>
      </c>
      <c r="O590" s="104">
        <f t="shared" si="236"/>
        <v>48963.190000000031</v>
      </c>
    </row>
    <row r="591" spans="1:15" s="22" customFormat="1" ht="42.75" hidden="1" customHeight="1" x14ac:dyDescent="0.5">
      <c r="A591" s="100">
        <v>722</v>
      </c>
      <c r="B591" s="103" t="s">
        <v>250</v>
      </c>
      <c r="C591" s="104">
        <f>'Comp YTD 2021-2020 '!B610</f>
        <v>0</v>
      </c>
      <c r="D591" s="104">
        <f>CNT!P806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243</v>
      </c>
      <c r="C592" s="104">
        <f>'Comp YTD 2021-2020 '!B612</f>
        <v>0</v>
      </c>
      <c r="D592" s="104">
        <f>CNT!P805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244</v>
      </c>
      <c r="C593" s="104">
        <f>'Comp YTD 2021-2020 '!B613</f>
        <v>0</v>
      </c>
      <c r="D593" s="104">
        <f>CNT!P783+CNT!P789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360</v>
      </c>
      <c r="C594" s="104">
        <f>'Comp YTD 2021-2020 '!B614</f>
        <v>0</v>
      </c>
      <c r="D594" s="104">
        <f>CNT!P786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361</v>
      </c>
      <c r="C595" s="104">
        <f>'Comp YTD 2021-2020 '!B615</f>
        <v>0</v>
      </c>
      <c r="D595" s="104">
        <f>CNT!P787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245</v>
      </c>
      <c r="C596" s="105">
        <f>SUM(C574:C595)</f>
        <v>83662.28</v>
      </c>
      <c r="D596" s="105">
        <f t="shared" ref="D596" si="237">SUM(D574:D595)</f>
        <v>133015.47000000003</v>
      </c>
      <c r="E596" s="105">
        <f t="shared" ref="E596" si="238">SUM(E574:E595)</f>
        <v>49353.190000000031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93691.680000000022</v>
      </c>
      <c r="O596" s="105">
        <f>SUM(O574:O595)</f>
        <v>49353.190000000031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246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247</v>
      </c>
      <c r="C599" s="104">
        <f>'Comp YTD 2021-2020 '!B625</f>
        <v>0</v>
      </c>
      <c r="D599" s="104">
        <f>CNT!P796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383</v>
      </c>
      <c r="C600" s="104">
        <f>'Comp YTD 2021-2020 '!B626</f>
        <v>0</v>
      </c>
      <c r="D600" s="104">
        <f>CNT!P794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530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248</v>
      </c>
      <c r="C602" s="104">
        <f>'Comp YTD 2021-2020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355</v>
      </c>
      <c r="C603" s="104">
        <f>'Comp YTD 2021-2020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249</v>
      </c>
      <c r="C604" s="104">
        <f>'Comp YTD 2021-2020 '!B630</f>
        <v>0</v>
      </c>
      <c r="D604" s="104">
        <f>CNT!P799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352</v>
      </c>
      <c r="C605" s="104">
        <f>'Comp YTD 2021-2020 '!H87</f>
        <v>1213.8800000000001</v>
      </c>
      <c r="D605" s="104">
        <f>CNT!P817</f>
        <v>0</v>
      </c>
      <c r="E605" s="104">
        <f t="shared" si="241"/>
        <v>-1213.8800000000001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-1213.8800000000001</v>
      </c>
      <c r="O605" s="104">
        <f t="shared" si="244"/>
        <v>-1213.8800000000001</v>
      </c>
    </row>
    <row r="606" spans="1:15" s="22" customFormat="1" ht="42.75" customHeight="1" x14ac:dyDescent="0.5">
      <c r="A606" s="100">
        <v>722</v>
      </c>
      <c r="B606" s="103" t="s">
        <v>353</v>
      </c>
      <c r="C606" s="104">
        <f>'Comp YTD 2021-2020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354</v>
      </c>
      <c r="C607" s="104">
        <f>'Comp YTD 2021-2020 '!B633</f>
        <v>0</v>
      </c>
      <c r="D607" s="104">
        <f>CNT!P816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392</v>
      </c>
      <c r="C608" s="104">
        <f>'Comp YTD 2021-2020 '!B634</f>
        <v>0</v>
      </c>
      <c r="D608" s="104">
        <f>CNT!P819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381</v>
      </c>
      <c r="C609" s="104">
        <f>'Comp YTD 2021-2020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251</v>
      </c>
      <c r="C610" s="104">
        <f>'Comp YTD 2021-2020 '!B636</f>
        <v>0</v>
      </c>
      <c r="D610" s="104">
        <f>CNT!P803+CNT!P821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252</v>
      </c>
      <c r="C611" s="104">
        <f>'Comp YTD 2021-2020 '!B637</f>
        <v>0</v>
      </c>
      <c r="D611" s="104">
        <f>CNT!P807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253</v>
      </c>
      <c r="C612" s="104">
        <f>'Comp YTD 2021-2020 '!B638</f>
        <v>0</v>
      </c>
      <c r="D612" s="104">
        <f>CNT!P808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290</v>
      </c>
      <c r="C613" s="104">
        <f>'Comp YTD 2021-2020 '!B639</f>
        <v>0</v>
      </c>
      <c r="D613" s="104">
        <f>CNT!P798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369</v>
      </c>
      <c r="C614" s="104">
        <f>'Comp YTD 2021-2020 '!B640</f>
        <v>0</v>
      </c>
      <c r="D614" s="104">
        <f>CNT!P804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254</v>
      </c>
      <c r="C615" s="104">
        <f>'Comp YTD 2021-2020 '!B641</f>
        <v>0</v>
      </c>
      <c r="D615" s="104">
        <f>CNT!P810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255</v>
      </c>
      <c r="C616" s="104">
        <f>'Comp YTD 2021-2020 '!B642</f>
        <v>0</v>
      </c>
      <c r="D616" s="104">
        <f>CNT!P811+CNT!P822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256</v>
      </c>
      <c r="C617" s="104">
        <f>'Comp YTD 2021-2020 '!B643</f>
        <v>0</v>
      </c>
      <c r="D617" s="104">
        <f>CNT!P812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257</v>
      </c>
      <c r="C618" s="104">
        <f>'Comp YTD 2021-2020 '!B644</f>
        <v>0</v>
      </c>
      <c r="D618" s="104">
        <f>CNT!P813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259</v>
      </c>
      <c r="C619" s="105">
        <f>SUM(C599:C618)</f>
        <v>1213.8800000000001</v>
      </c>
      <c r="D619" s="105">
        <f>SUM(D599:D618)</f>
        <v>2628.9375</v>
      </c>
      <c r="E619" s="105">
        <f>SUM(E599:E618)</f>
        <v>1415.0574999999999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2291.37</v>
      </c>
      <c r="O619" s="105">
        <f>SUM(O599:O618)</f>
        <v>1415.0574999999999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260</v>
      </c>
      <c r="C621" s="106">
        <f t="shared" ref="C621:E621" si="245">C571+C596+C619</f>
        <v>84876.160000000003</v>
      </c>
      <c r="D621" s="106">
        <f>D571+D596+D619</f>
        <v>135644.40750000003</v>
      </c>
      <c r="E621" s="106">
        <f t="shared" si="245"/>
        <v>50768.247500000034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95983.050000000017</v>
      </c>
      <c r="O621" s="106">
        <f>O571+O596+O619</f>
        <v>50768.247500000034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452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263</v>
      </c>
      <c r="C624" s="104">
        <f>'Comp YTD 2021-2020 '!H108</f>
        <v>130000</v>
      </c>
      <c r="D624" s="104">
        <f>'722 Bedford St'!P22+'722 Bedford St'!P23</f>
        <v>292500</v>
      </c>
      <c r="E624" s="104">
        <f>D624-C624</f>
        <v>162500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260000</v>
      </c>
      <c r="O624" s="104">
        <f>M624-K624</f>
        <v>162500</v>
      </c>
    </row>
    <row r="625" spans="1:15" s="22" customFormat="1" ht="42.75" hidden="1" customHeight="1" x14ac:dyDescent="0.5">
      <c r="A625" s="100">
        <v>722</v>
      </c>
      <c r="B625" s="103" t="s">
        <v>264</v>
      </c>
      <c r="C625" s="104">
        <f>'Comp YTD 2021-2020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322</v>
      </c>
      <c r="C626" s="104">
        <f>'Comp YTD 2021-2020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378</v>
      </c>
      <c r="C627" s="104">
        <f>'Comp YTD 2021-2020 '!B653</f>
        <v>0</v>
      </c>
      <c r="D627" s="104">
        <f>CNT!P829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265</v>
      </c>
      <c r="C628" s="104">
        <f>'Comp YTD 2021-2020 '!B654</f>
        <v>0</v>
      </c>
      <c r="D628" s="104">
        <f>CNT!P830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266</v>
      </c>
      <c r="C629" s="104">
        <f>'Comp YTD 2021-2020 '!B655</f>
        <v>0</v>
      </c>
      <c r="D629" s="104">
        <f>CNT!P831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267</v>
      </c>
      <c r="C630" s="104">
        <f>'Comp YTD 2021-2020 '!H114</f>
        <v>-28901.64</v>
      </c>
      <c r="D630" s="104">
        <f>'722 Bedford St'!P27</f>
        <v>-117000</v>
      </c>
      <c r="E630" s="104">
        <f t="shared" si="248"/>
        <v>-88098.36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-127098.36</v>
      </c>
      <c r="O630" s="104">
        <f t="shared" si="251"/>
        <v>-88098.36</v>
      </c>
    </row>
    <row r="631" spans="1:15" s="22" customFormat="1" ht="42.75" hidden="1" customHeight="1" x14ac:dyDescent="0.5">
      <c r="A631" s="100">
        <v>722</v>
      </c>
      <c r="B631" s="103" t="s">
        <v>268</v>
      </c>
      <c r="C631" s="104">
        <f>'Comp YTD 2021-2020 '!B657</f>
        <v>0</v>
      </c>
      <c r="D631" s="104">
        <f>CNT!P833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393</v>
      </c>
      <c r="C632" s="104">
        <f>'Comp YTD 2021-2020 '!B658</f>
        <v>0</v>
      </c>
      <c r="D632" s="104">
        <f>CNT!P834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428</v>
      </c>
      <c r="C633" s="104">
        <f>'Comp YTD 2021-2020 '!B659</f>
        <v>0</v>
      </c>
      <c r="D633" s="104">
        <f>CNT!P835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429</v>
      </c>
      <c r="C634" s="104">
        <f>'Comp YTD 2021-2020 '!B660</f>
        <v>0</v>
      </c>
      <c r="D634" s="104">
        <f>CNT!P837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394</v>
      </c>
      <c r="C635" s="104">
        <f>'Comp YTD 2021-2020 '!B661</f>
        <v>0</v>
      </c>
      <c r="D635" s="104">
        <f>CNT!P836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439</v>
      </c>
      <c r="C636" s="104">
        <f>'Comp YTD 2021-2020 '!B663</f>
        <v>0</v>
      </c>
      <c r="D636" s="104">
        <f>CNT!P838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453</v>
      </c>
      <c r="C637" s="105">
        <f t="shared" ref="C637:E637" si="252">SUM(C624:C636)</f>
        <v>101098.36</v>
      </c>
      <c r="D637" s="105">
        <f t="shared" si="252"/>
        <v>175500</v>
      </c>
      <c r="E637" s="105">
        <f t="shared" si="252"/>
        <v>74401.64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132901.64000000001</v>
      </c>
      <c r="O637" s="105">
        <f>SUM(O624:O636)</f>
        <v>74401.64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262</v>
      </c>
      <c r="C639" s="107">
        <f t="shared" ref="C639:D639" si="253">C556-C621+C637</f>
        <v>16222.199999999997</v>
      </c>
      <c r="D639" s="107">
        <f t="shared" si="253"/>
        <v>39855.59249999997</v>
      </c>
      <c r="E639" s="107">
        <f>E556-E621+E637</f>
        <v>23633.392499999965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36918.589999999997</v>
      </c>
      <c r="O639" s="107">
        <f t="shared" ref="O639" si="258">O556-O621+O637</f>
        <v>23633.392499999965</v>
      </c>
    </row>
    <row r="640" spans="1:15" ht="15.75" thickTop="1" x14ac:dyDescent="0.25"/>
    <row r="642" spans="1:15" s="22" customFormat="1" ht="42.75" hidden="1" customHeight="1" x14ac:dyDescent="0.5">
      <c r="A642" s="85" t="s">
        <v>399</v>
      </c>
      <c r="B642" s="86" t="s">
        <v>58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399</v>
      </c>
      <c r="B643" s="88" t="s">
        <v>213</v>
      </c>
      <c r="C643" s="89">
        <f>'Comp YTD 2021-2020 '!B662</f>
        <v>0</v>
      </c>
      <c r="D643" s="89">
        <f>CNT!P766+CNT!P767+CNT!P778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399</v>
      </c>
      <c r="B644" s="88" t="s">
        <v>214</v>
      </c>
      <c r="C644" s="89">
        <f>'Comp YTD 2021-2020 '!B663</f>
        <v>0</v>
      </c>
      <c r="D644" s="89">
        <f>CNT!P768+CNT!P779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399</v>
      </c>
      <c r="B645" s="88" t="s">
        <v>215</v>
      </c>
      <c r="C645" s="89">
        <f>'Comp YTD 2021-2020 '!B664</f>
        <v>0</v>
      </c>
      <c r="D645" s="89">
        <f>CNT!P769+CNT!P780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399</v>
      </c>
      <c r="B646" s="88" t="s">
        <v>412</v>
      </c>
      <c r="C646" s="89">
        <f>'Comp YTD 2021-2020 '!B665</f>
        <v>0</v>
      </c>
      <c r="D646" s="89">
        <f>CNT!P770+CNT!P781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399</v>
      </c>
      <c r="B647" s="88" t="s">
        <v>216</v>
      </c>
      <c r="C647" s="89">
        <f>'Comp YTD 2021-2020 '!B666</f>
        <v>0</v>
      </c>
      <c r="D647" s="89">
        <f>CNT!P774+CNT!P784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399</v>
      </c>
      <c r="B648" s="88" t="s">
        <v>217</v>
      </c>
      <c r="C648" s="89">
        <f>'Comp YTD 2021-2020 '!B667</f>
        <v>0</v>
      </c>
      <c r="D648" s="89">
        <f>CNT!P785+CNT!P786+CNT!P787+CNT!P788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399</v>
      </c>
      <c r="B649" s="88" t="s">
        <v>218</v>
      </c>
      <c r="C649" s="89">
        <f>'Comp YTD 2021-2020 '!B668</f>
        <v>0</v>
      </c>
      <c r="D649" s="89">
        <f>CNT!P771+CNT!P772+CNT!P773+CNT!P775+CNT!P776+CNT!P777+CNT!P782+CNT!P783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399</v>
      </c>
      <c r="B650" s="86" t="s">
        <v>219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399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399</v>
      </c>
      <c r="B652" s="86" t="s">
        <v>204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399</v>
      </c>
      <c r="B653" s="88" t="s">
        <v>213</v>
      </c>
      <c r="C653" s="89">
        <f>'Comp YTD 2021-2020 '!B672</f>
        <v>0</v>
      </c>
      <c r="D653" s="89">
        <f>CNT!P793+CNT!P798+CNT!P810+CNT!P814+CNT!P815+CNT!P819+CNT!P823+CNT!P830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399</v>
      </c>
      <c r="B654" s="88" t="s">
        <v>214</v>
      </c>
      <c r="C654" s="89">
        <f>'Comp YTD 2021-2020 '!B673</f>
        <v>0</v>
      </c>
      <c r="D654" s="89">
        <f>CNT!P794+CNT!P799+CNT!P811+CNT!P816+CNT!P820+CNT!P824+CNT!P831+CNT!P827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399</v>
      </c>
      <c r="B655" s="88" t="s">
        <v>215</v>
      </c>
      <c r="C655" s="89">
        <f>'Comp YTD 2021-2020 '!B674</f>
        <v>0</v>
      </c>
      <c r="D655" s="89">
        <f>CNT!P795+CNT!P800+CNT!P812+CNT!P817+CNT!P821+CNT!P825+CNT!P832+CNT!P829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399</v>
      </c>
      <c r="B656" s="88" t="s">
        <v>412</v>
      </c>
      <c r="C656" s="89">
        <f>'Comp YTD 2021-2020 '!B675</f>
        <v>0</v>
      </c>
      <c r="D656" s="89">
        <f>CNT!P796+CNT!P801+CNT!P813+CNT!P818+CNT!P822+CNT!P826+CNT!P833+CNT!P834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399</v>
      </c>
      <c r="B657" s="88" t="s">
        <v>216</v>
      </c>
      <c r="C657" s="89">
        <f>'Comp YTD 2021-2020 '!B676</f>
        <v>0</v>
      </c>
      <c r="D657" s="89">
        <f>CNT!P797+CNT!P804+CNT!P828+CNT!P839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399</v>
      </c>
      <c r="B658" s="88" t="s">
        <v>217</v>
      </c>
      <c r="C658" s="89">
        <f>'Comp YTD 2021-2020 '!B677</f>
        <v>0</v>
      </c>
      <c r="D658" s="89">
        <f>CNT!P850+CNT!P851+CNT!P852+CNT!P853+CNT!P854+CNT!P855+CNT!P856+CNT!P857+CNT!P858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399</v>
      </c>
      <c r="B659" s="88" t="s">
        <v>218</v>
      </c>
      <c r="C659" s="89">
        <f>'Comp YTD 2021-2020 '!B678</f>
        <v>0</v>
      </c>
      <c r="D659" s="89">
        <f>CNT!P791+CNT!P802+CNT!P803+CNT!P805+CNT!P806+CNT!P807+CNT!P808+CNT!P809+CNT!P835+CNT!P836+CNT!P837+CNT!P838+CNT!P840+CNT!P841+CNT!P842+CNT!P843+CNT!P844+CNT!P845+CNT!P846+CNT!P847+CNT!P848+CNT!P849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399</v>
      </c>
      <c r="B660" s="86" t="s">
        <v>220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399</v>
      </c>
      <c r="B661" s="88"/>
      <c r="C661" s="89"/>
      <c r="D661" s="89">
        <f>D660-CNT!P859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399</v>
      </c>
      <c r="B662" s="86" t="s">
        <v>207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399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399</v>
      </c>
      <c r="B664" s="86" t="s">
        <v>205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399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399</v>
      </c>
      <c r="B666" s="86" t="s">
        <v>221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399</v>
      </c>
      <c r="B667" s="88" t="s">
        <v>222</v>
      </c>
      <c r="C667" s="89">
        <f>'Comp YTD 2021-2020 '!B687</f>
        <v>0</v>
      </c>
      <c r="D667" s="89">
        <f>CNT!P862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399</v>
      </c>
      <c r="B668" s="88" t="s">
        <v>528</v>
      </c>
      <c r="C668" s="89">
        <f>'Comp YTD 2021-2020 '!B688</f>
        <v>0</v>
      </c>
      <c r="D668" s="89">
        <f>CNT!P863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399</v>
      </c>
      <c r="B669" s="88" t="s">
        <v>223</v>
      </c>
      <c r="C669" s="89">
        <f>'Comp YTD 2021-2020 '!B689</f>
        <v>0</v>
      </c>
      <c r="D669" s="89">
        <f>CNT!P864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399</v>
      </c>
      <c r="B670" s="88" t="s">
        <v>224</v>
      </c>
      <c r="C670" s="89">
        <f>'Comp YTD 2021-2020 '!B690</f>
        <v>0</v>
      </c>
      <c r="D670" s="89">
        <f>CNT!P865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399</v>
      </c>
      <c r="B671" s="88" t="s">
        <v>225</v>
      </c>
      <c r="C671" s="89">
        <f>'Comp YTD 2021-2020 '!B691</f>
        <v>0</v>
      </c>
      <c r="D671" s="89">
        <f>CNT!P866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399</v>
      </c>
      <c r="B672" s="88" t="s">
        <v>226</v>
      </c>
      <c r="C672" s="89">
        <f>'Comp YTD 2021-2020 '!B692</f>
        <v>0</v>
      </c>
      <c r="D672" s="89">
        <f>CNT!P867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399</v>
      </c>
      <c r="B673" s="88" t="s">
        <v>227</v>
      </c>
      <c r="C673" s="89">
        <f>'Comp YTD 2021-2020 '!B693</f>
        <v>0</v>
      </c>
      <c r="D673" s="89">
        <f>CNT!P868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399</v>
      </c>
      <c r="B674" s="88" t="s">
        <v>303</v>
      </c>
      <c r="C674" s="89">
        <f>'Comp YTD 2021-2020 '!B694</f>
        <v>0</v>
      </c>
      <c r="D674" s="89">
        <f>CNT!P869+CNT!P870+CNT!P873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399</v>
      </c>
      <c r="B675" s="88" t="s">
        <v>228</v>
      </c>
      <c r="C675" s="89">
        <f>'Comp YTD 2021-2020 '!B695</f>
        <v>0</v>
      </c>
      <c r="D675" s="89">
        <f>CNT!P872+CNT!P871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399</v>
      </c>
      <c r="B676" s="88" t="s">
        <v>242</v>
      </c>
      <c r="C676" s="89">
        <f>'Comp YTD 2021-2020 '!B696</f>
        <v>0</v>
      </c>
      <c r="D676" s="89">
        <f>+CNT!P901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399</v>
      </c>
      <c r="B677" s="86" t="s">
        <v>229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399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399</v>
      </c>
      <c r="B679" s="86" t="s">
        <v>475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399</v>
      </c>
      <c r="B680" s="88" t="s">
        <v>230</v>
      </c>
      <c r="C680" s="89">
        <f>'Comp YTD 2021-2020 '!B700</f>
        <v>0</v>
      </c>
      <c r="D680" s="89">
        <f>CNT!P877+CNT!P876+CNT!P897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399</v>
      </c>
      <c r="B681" s="88" t="s">
        <v>231</v>
      </c>
      <c r="C681" s="89">
        <f>'Comp YTD 2021-2020 '!B701</f>
        <v>0</v>
      </c>
      <c r="D681" s="89">
        <f>CNT!P878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399</v>
      </c>
      <c r="B682" s="88" t="s">
        <v>232</v>
      </c>
      <c r="C682" s="89">
        <f>'Comp YTD 2021-2020 '!B702</f>
        <v>0</v>
      </c>
      <c r="D682" s="89">
        <f>CNT!P879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399</v>
      </c>
      <c r="B683" s="88" t="s">
        <v>331</v>
      </c>
      <c r="C683" s="89">
        <f>'Comp YTD 2021-2020 '!B703</f>
        <v>0</v>
      </c>
      <c r="D683" s="89">
        <f>CNT!P880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399</v>
      </c>
      <c r="B684" s="88" t="s">
        <v>286</v>
      </c>
      <c r="C684" s="89">
        <f>'Comp YTD 2021-2020 '!B704</f>
        <v>0</v>
      </c>
      <c r="D684" s="89">
        <f>CNT!P881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399</v>
      </c>
      <c r="B685" s="88" t="s">
        <v>435</v>
      </c>
      <c r="C685" s="89">
        <f>'Comp YTD 2021-2020 '!B705</f>
        <v>0</v>
      </c>
      <c r="D685" s="89">
        <f>CNT!P882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399</v>
      </c>
      <c r="B686" s="88" t="s">
        <v>368</v>
      </c>
      <c r="C686" s="89">
        <f>'Comp YTD 2021-2020 '!B706</f>
        <v>0</v>
      </c>
      <c r="D686" s="89">
        <f>CNT!P883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399</v>
      </c>
      <c r="B687" s="88" t="s">
        <v>366</v>
      </c>
      <c r="C687" s="89">
        <f>'Comp YTD 2021-2020 '!B707</f>
        <v>0</v>
      </c>
      <c r="D687" s="89">
        <f>CNT!P894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399</v>
      </c>
      <c r="B688" s="88" t="s">
        <v>235</v>
      </c>
      <c r="C688" s="89">
        <f>'Comp YTD 2021-2020 '!B708</f>
        <v>0</v>
      </c>
      <c r="D688" s="89">
        <f>CNT!P884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399</v>
      </c>
      <c r="B689" s="88" t="s">
        <v>236</v>
      </c>
      <c r="C689" s="89">
        <f>'Comp YTD 2021-2020 '!B709</f>
        <v>0</v>
      </c>
      <c r="D689" s="89">
        <f>CNT!P885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399</v>
      </c>
      <c r="B690" s="88" t="s">
        <v>234</v>
      </c>
      <c r="C690" s="89">
        <f>'Comp YTD 2021-2020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399</v>
      </c>
      <c r="B691" s="88" t="s">
        <v>348</v>
      </c>
      <c r="C691" s="89">
        <f>'Comp YTD 2021-2020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399</v>
      </c>
      <c r="B692" s="88" t="s">
        <v>351</v>
      </c>
      <c r="C692" s="89">
        <f>'Comp YTD 2021-2020 '!B711</f>
        <v>0</v>
      </c>
      <c r="D692" s="89">
        <f>CNT!P929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399</v>
      </c>
      <c r="B693" s="88" t="s">
        <v>237</v>
      </c>
      <c r="C693" s="89">
        <f>'Comp YTD 2021-2020 '!B712</f>
        <v>0</v>
      </c>
      <c r="D693" s="89">
        <f>CNT!P887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399</v>
      </c>
      <c r="B694" s="88" t="s">
        <v>238</v>
      </c>
      <c r="C694" s="89">
        <f>'Comp YTD 2021-2020 '!B713</f>
        <v>0</v>
      </c>
      <c r="D694" s="89">
        <f>CNT!P888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399</v>
      </c>
      <c r="B695" s="88" t="s">
        <v>239</v>
      </c>
      <c r="C695" s="89">
        <f>'Comp YTD 2021-2020 '!B714</f>
        <v>0</v>
      </c>
      <c r="D695" s="89">
        <f>CNT!P890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399</v>
      </c>
      <c r="B696" s="88" t="s">
        <v>240</v>
      </c>
      <c r="C696" s="89">
        <f>'Comp YTD 2021-2020 '!G65</f>
        <v>37005.07</v>
      </c>
      <c r="D696" s="89">
        <f>'Oliari Co.'!P14</f>
        <v>83259.892500000016</v>
      </c>
      <c r="E696" s="89">
        <f t="shared" si="281"/>
        <v>46254.822500000017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74008.120000000024</v>
      </c>
      <c r="O696" s="89">
        <f t="shared" si="284"/>
        <v>46254.822500000009</v>
      </c>
    </row>
    <row r="697" spans="1:15" s="22" customFormat="1" ht="42.75" hidden="1" customHeight="1" x14ac:dyDescent="0.5">
      <c r="A697" s="85" t="s">
        <v>399</v>
      </c>
      <c r="B697" s="88" t="s">
        <v>250</v>
      </c>
      <c r="C697" s="89">
        <f>'Comp YTD 2021-2020 '!B716</f>
        <v>0</v>
      </c>
      <c r="D697" s="89">
        <f>CNT!P912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399</v>
      </c>
      <c r="B698" s="88" t="s">
        <v>243</v>
      </c>
      <c r="C698" s="89">
        <f>'Comp YTD 2021-2020 '!B718</f>
        <v>0</v>
      </c>
      <c r="D698" s="89">
        <f>CNT!P911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399</v>
      </c>
      <c r="B699" s="88" t="s">
        <v>244</v>
      </c>
      <c r="C699" s="89">
        <f>'Comp YTD 2021-2020 '!B719</f>
        <v>0</v>
      </c>
      <c r="D699" s="89">
        <f>CNT!P889+CNT!P895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399</v>
      </c>
      <c r="B700" s="88" t="s">
        <v>360</v>
      </c>
      <c r="C700" s="89">
        <f>'Comp YTD 2021-2020 '!B720</f>
        <v>0</v>
      </c>
      <c r="D700" s="89">
        <f>CNT!P892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399</v>
      </c>
      <c r="B701" s="88" t="s">
        <v>361</v>
      </c>
      <c r="C701" s="89">
        <f>'Comp YTD 2021-2020 '!B721</f>
        <v>0</v>
      </c>
      <c r="D701" s="89">
        <f>CNT!P893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399</v>
      </c>
      <c r="B702" s="86" t="s">
        <v>245</v>
      </c>
      <c r="C702" s="90">
        <f>SUM(C680:C701)</f>
        <v>37005.07</v>
      </c>
      <c r="D702" s="90">
        <f t="shared" ref="D702" si="285">SUM(D680:D701)</f>
        <v>83649.892500000016</v>
      </c>
      <c r="E702" s="90">
        <f t="shared" ref="E702" si="286">SUM(E680:E701)</f>
        <v>46644.822500000017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74528.120000000024</v>
      </c>
      <c r="O702" s="90">
        <f>SUM(O680:O701)</f>
        <v>46644.822500000009</v>
      </c>
    </row>
    <row r="703" spans="1:15" s="22" customFormat="1" ht="42.75" customHeight="1" x14ac:dyDescent="0.5">
      <c r="A703" s="85" t="s">
        <v>399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399</v>
      </c>
      <c r="B704" s="86" t="s">
        <v>246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399</v>
      </c>
      <c r="B705" s="88" t="s">
        <v>247</v>
      </c>
      <c r="C705" s="89">
        <f>'Comp YTD 2021-2020 '!B731</f>
        <v>0</v>
      </c>
      <c r="D705" s="89">
        <f>CNT!P902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399</v>
      </c>
      <c r="B706" s="88" t="s">
        <v>383</v>
      </c>
      <c r="C706" s="89">
        <f>'Comp YTD 2021-2020 '!B732</f>
        <v>0</v>
      </c>
      <c r="D706" s="89">
        <f>CNT!P900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399</v>
      </c>
      <c r="B707" s="88" t="s">
        <v>530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399</v>
      </c>
      <c r="B708" s="88" t="s">
        <v>248</v>
      </c>
      <c r="C708" s="89">
        <f>'Comp YTD 2021-2020 '!B734</f>
        <v>0</v>
      </c>
      <c r="D708" s="89">
        <f>CNT!P903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399</v>
      </c>
      <c r="B709" s="88" t="s">
        <v>355</v>
      </c>
      <c r="C709" s="89">
        <f>'Comp YTD 2021-2020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399</v>
      </c>
      <c r="B710" s="88" t="s">
        <v>249</v>
      </c>
      <c r="C710" s="89">
        <f>'Comp YTD 2021-2020 '!B736</f>
        <v>0</v>
      </c>
      <c r="D710" s="89">
        <f>CNT!P905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399</v>
      </c>
      <c r="B711" s="88" t="s">
        <v>352</v>
      </c>
      <c r="C711" s="89">
        <f>'Comp YTD 2021-2020 '!G87</f>
        <v>1000</v>
      </c>
      <c r="D711" s="89">
        <f>'Oliari Co.'!P18</f>
        <v>2583.75</v>
      </c>
      <c r="E711" s="89">
        <f t="shared" si="289"/>
        <v>1583.75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2445</v>
      </c>
      <c r="O711" s="89">
        <f t="shared" si="292"/>
        <v>1583.75</v>
      </c>
    </row>
    <row r="712" spans="1:15" s="22" customFormat="1" ht="42.75" hidden="1" customHeight="1" x14ac:dyDescent="0.5">
      <c r="A712" s="85" t="s">
        <v>399</v>
      </c>
      <c r="B712" s="88" t="s">
        <v>353</v>
      </c>
      <c r="C712" s="89">
        <f>'Comp YTD 2021-2020 '!B738</f>
        <v>0</v>
      </c>
      <c r="D712" s="89">
        <f>CNT!P924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399</v>
      </c>
      <c r="B713" s="88" t="s">
        <v>354</v>
      </c>
      <c r="C713" s="89">
        <f>'Comp YTD 2021-2020 '!B739</f>
        <v>0</v>
      </c>
      <c r="D713" s="89">
        <f>CNT!P922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399</v>
      </c>
      <c r="B714" s="88" t="s">
        <v>392</v>
      </c>
      <c r="C714" s="89">
        <f>'Comp YTD 2021-2020 '!B740</f>
        <v>0</v>
      </c>
      <c r="D714" s="89">
        <f>CNT!P925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399</v>
      </c>
      <c r="B715" s="88" t="s">
        <v>381</v>
      </c>
      <c r="C715" s="89">
        <f>'Comp YTD 2021-2020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399</v>
      </c>
      <c r="B716" s="88" t="s">
        <v>251</v>
      </c>
      <c r="C716" s="89">
        <f>'Comp YTD 2021-2020 '!B742</f>
        <v>0</v>
      </c>
      <c r="D716" s="89">
        <f>CNT!P909+CNT!P927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399</v>
      </c>
      <c r="B717" s="88" t="s">
        <v>252</v>
      </c>
      <c r="C717" s="89">
        <f>'Comp YTD 2021-2020 '!B743</f>
        <v>0</v>
      </c>
      <c r="D717" s="89">
        <f>CNT!P913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399</v>
      </c>
      <c r="B718" s="88" t="s">
        <v>253</v>
      </c>
      <c r="C718" s="89">
        <f>'Comp YTD 2021-2020 '!B744</f>
        <v>0</v>
      </c>
      <c r="D718" s="89">
        <f>CNT!P914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399</v>
      </c>
      <c r="B719" s="88" t="s">
        <v>290</v>
      </c>
      <c r="C719" s="89">
        <f>'Comp YTD 2021-2020 '!B745</f>
        <v>0</v>
      </c>
      <c r="D719" s="89">
        <f>CNT!P904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399</v>
      </c>
      <c r="B720" s="88" t="s">
        <v>369</v>
      </c>
      <c r="C720" s="89">
        <f>'Comp YTD 2021-2020 '!B746</f>
        <v>0</v>
      </c>
      <c r="D720" s="89">
        <f>CNT!P910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399</v>
      </c>
      <c r="B721" s="88" t="s">
        <v>254</v>
      </c>
      <c r="C721" s="89">
        <f>'Comp YTD 2021-2020 '!B747</f>
        <v>0</v>
      </c>
      <c r="D721" s="89">
        <f>CNT!P916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399</v>
      </c>
      <c r="B722" s="88" t="s">
        <v>255</v>
      </c>
      <c r="C722" s="89">
        <f>'Comp YTD 2021-2020 '!B748</f>
        <v>0</v>
      </c>
      <c r="D722" s="89">
        <f>CNT!P917+CNT!P928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399</v>
      </c>
      <c r="B723" s="88" t="s">
        <v>256</v>
      </c>
      <c r="C723" s="89">
        <f>'Comp YTD 2021-2020 '!B749</f>
        <v>0</v>
      </c>
      <c r="D723" s="89">
        <f>CNT!P918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399</v>
      </c>
      <c r="B724" s="88" t="s">
        <v>257</v>
      </c>
      <c r="C724" s="89">
        <f>'Comp YTD 2021-2020 '!B750</f>
        <v>0</v>
      </c>
      <c r="D724" s="89">
        <f>CNT!P919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399</v>
      </c>
      <c r="B725" s="86" t="s">
        <v>259</v>
      </c>
      <c r="C725" s="90">
        <f>SUM(C705:C724)</f>
        <v>1000</v>
      </c>
      <c r="D725" s="90">
        <f>SUM(D705:D724)</f>
        <v>2583.75</v>
      </c>
      <c r="E725" s="90">
        <f>SUM(E705:E724)</f>
        <v>1583.75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2445</v>
      </c>
      <c r="O725" s="90">
        <f>SUM(O705:O724)</f>
        <v>1583.75</v>
      </c>
    </row>
    <row r="726" spans="1:15" s="22" customFormat="1" ht="42.75" customHeight="1" x14ac:dyDescent="0.5">
      <c r="A726" s="85" t="s">
        <v>399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399</v>
      </c>
      <c r="B727" s="86" t="s">
        <v>260</v>
      </c>
      <c r="C727" s="91">
        <f t="shared" ref="C727:O727" si="293">C677+C702+C725</f>
        <v>38005.07</v>
      </c>
      <c r="D727" s="91">
        <f t="shared" si="293"/>
        <v>86233.642500000016</v>
      </c>
      <c r="E727" s="91">
        <f t="shared" si="293"/>
        <v>48228.572500000017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76973.120000000024</v>
      </c>
      <c r="O727" s="91">
        <f t="shared" si="293"/>
        <v>48228.572500000009</v>
      </c>
    </row>
    <row r="728" spans="1:15" s="22" customFormat="1" ht="42.75" customHeight="1" x14ac:dyDescent="0.5">
      <c r="A728" s="85" t="s">
        <v>399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399</v>
      </c>
      <c r="B729" s="86" t="s">
        <v>452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399</v>
      </c>
      <c r="B730" s="88" t="s">
        <v>263</v>
      </c>
      <c r="C730" s="89">
        <f>'Comp YTD 2021-2020 '!G108</f>
        <v>70800</v>
      </c>
      <c r="D730" s="89">
        <f>'Oliari Co.'!P24+'Oliari Co.'!P25+'Oliari Co.'!P26</f>
        <v>204300</v>
      </c>
      <c r="E730" s="89">
        <f>D730-C730</f>
        <v>133500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201600</v>
      </c>
      <c r="O730" s="89">
        <f>M730-K730</f>
        <v>133500</v>
      </c>
    </row>
    <row r="731" spans="1:15" s="22" customFormat="1" ht="42.75" hidden="1" customHeight="1" x14ac:dyDescent="0.5">
      <c r="A731" s="85" t="s">
        <v>399</v>
      </c>
      <c r="B731" s="88" t="s">
        <v>264</v>
      </c>
      <c r="C731" s="89">
        <f>'Comp YTD 2021-2020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399</v>
      </c>
      <c r="B732" s="88" t="s">
        <v>322</v>
      </c>
      <c r="C732" s="89">
        <f>'Comp YTD 2021-2020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399</v>
      </c>
      <c r="B733" s="88" t="s">
        <v>378</v>
      </c>
      <c r="C733" s="89">
        <f>'Comp YTD 2021-2020 '!B759</f>
        <v>0</v>
      </c>
      <c r="D733" s="89">
        <f>CNT!P935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399</v>
      </c>
      <c r="B734" s="88" t="s">
        <v>265</v>
      </c>
      <c r="C734" s="89">
        <f>'Comp YTD 2021-2020 '!B760</f>
        <v>0</v>
      </c>
      <c r="D734" s="89">
        <f>CNT!P936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399</v>
      </c>
      <c r="B735" s="88" t="s">
        <v>266</v>
      </c>
      <c r="C735" s="89">
        <f>'Comp YTD 2021-2020 '!G113</f>
        <v>25140.33</v>
      </c>
      <c r="D735" s="89">
        <f>'Oliari Co.'!P29</f>
        <v>32758.110000000004</v>
      </c>
      <c r="E735" s="89">
        <f t="shared" si="296"/>
        <v>7617.7800000000025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18537.150000000001</v>
      </c>
      <c r="O735" s="89">
        <f t="shared" si="299"/>
        <v>7617.7800000000025</v>
      </c>
    </row>
    <row r="736" spans="1:15" s="22" customFormat="1" ht="42.75" customHeight="1" x14ac:dyDescent="0.5">
      <c r="A736" s="85" t="s">
        <v>399</v>
      </c>
      <c r="B736" s="88" t="s">
        <v>267</v>
      </c>
      <c r="C736" s="89">
        <f>'Comp YTD 2021-2020 '!G114</f>
        <v>-3000.06</v>
      </c>
      <c r="D736" s="89">
        <f>'Oliari Co.'!P30</f>
        <v>-7748.3700000000017</v>
      </c>
      <c r="E736" s="89">
        <f t="shared" si="296"/>
        <v>-4748.3100000000013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-7331.1000000000022</v>
      </c>
      <c r="O736" s="89">
        <f t="shared" si="299"/>
        <v>-4748.3100000000022</v>
      </c>
    </row>
    <row r="737" spans="1:15" s="22" customFormat="1" ht="42.75" hidden="1" customHeight="1" x14ac:dyDescent="0.5">
      <c r="A737" s="85" t="s">
        <v>399</v>
      </c>
      <c r="B737" s="88" t="s">
        <v>268</v>
      </c>
      <c r="C737" s="89">
        <f>'Comp YTD 2021-2020 '!B763</f>
        <v>0</v>
      </c>
      <c r="D737" s="89">
        <f>CNT!P939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399</v>
      </c>
      <c r="B738" s="88" t="s">
        <v>393</v>
      </c>
      <c r="C738" s="89">
        <f>'Comp YTD 2021-2020 '!B764</f>
        <v>0</v>
      </c>
      <c r="D738" s="89">
        <f>CNT!P940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399</v>
      </c>
      <c r="B739" s="88" t="s">
        <v>428</v>
      </c>
      <c r="C739" s="89">
        <f>'Comp YTD 2021-2020 '!B765</f>
        <v>0</v>
      </c>
      <c r="D739" s="89">
        <f>CNT!P941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399</v>
      </c>
      <c r="B740" s="88" t="s">
        <v>429</v>
      </c>
      <c r="C740" s="89">
        <f>'Comp YTD 2021-2020 '!B766</f>
        <v>0</v>
      </c>
      <c r="D740" s="89">
        <f>CNT!P943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399</v>
      </c>
      <c r="B741" s="88" t="s">
        <v>394</v>
      </c>
      <c r="C741" s="89">
        <f>'Comp YTD 2021-2020 '!B767</f>
        <v>0</v>
      </c>
      <c r="D741" s="89">
        <f>CNT!P942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399</v>
      </c>
      <c r="B742" s="88" t="s">
        <v>439</v>
      </c>
      <c r="C742" s="89">
        <f>'Comp YTD 2021-2020 '!B769</f>
        <v>0</v>
      </c>
      <c r="D742" s="89">
        <f>CNT!P944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399</v>
      </c>
      <c r="B743" s="86" t="s">
        <v>453</v>
      </c>
      <c r="C743" s="90">
        <f>SUM(C730:C742)</f>
        <v>92940.27</v>
      </c>
      <c r="D743" s="90">
        <f t="shared" ref="D743:E743" si="300">SUM(D730:D742)</f>
        <v>229309.74000000002</v>
      </c>
      <c r="E743" s="90">
        <f t="shared" si="300"/>
        <v>136369.47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212806.05</v>
      </c>
      <c r="O743" s="90">
        <f>SUM(O730:O742)</f>
        <v>136369.47</v>
      </c>
    </row>
    <row r="744" spans="1:15" s="22" customFormat="1" ht="42.75" customHeight="1" x14ac:dyDescent="0.5">
      <c r="A744" s="85" t="s">
        <v>399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399</v>
      </c>
      <c r="B745" s="86" t="s">
        <v>262</v>
      </c>
      <c r="C745" s="92">
        <f t="shared" ref="C745:D745" si="301">C662-C727+C743</f>
        <v>54935.200000000004</v>
      </c>
      <c r="D745" s="92">
        <f t="shared" si="301"/>
        <v>143076.0975</v>
      </c>
      <c r="E745" s="92">
        <f>E662-E727+E743</f>
        <v>88140.897499999992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135832.92999999996</v>
      </c>
      <c r="O745" s="92">
        <f t="shared" ref="O745" si="306">O662-O727+O743</f>
        <v>88140.897499999992</v>
      </c>
    </row>
    <row r="746" spans="1:15" ht="15.75" thickTop="1" x14ac:dyDescent="0.25"/>
    <row r="747" spans="1:15" s="22" customFormat="1" ht="42.75" customHeight="1" x14ac:dyDescent="0.5">
      <c r="A747" s="117" t="s">
        <v>548</v>
      </c>
      <c r="B747" s="118" t="s">
        <v>58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548</v>
      </c>
      <c r="B748" s="120" t="s">
        <v>213</v>
      </c>
      <c r="C748" s="121">
        <f>C8+C114+C220+C325+C431+C537+C643</f>
        <v>1669053488.49</v>
      </c>
      <c r="D748" s="121">
        <f>D8+D114+D220+D325+D431+D537+D643</f>
        <v>958417694.37416673</v>
      </c>
      <c r="E748" s="121">
        <f>D748-C748</f>
        <v>-710635794.11583328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-382524671.5</v>
      </c>
      <c r="O748" s="121">
        <f>M748-K748</f>
        <v>-710635794.11583328</v>
      </c>
    </row>
    <row r="749" spans="1:15" s="22" customFormat="1" ht="42.75" customHeight="1" x14ac:dyDescent="0.5">
      <c r="A749" s="117" t="s">
        <v>548</v>
      </c>
      <c r="B749" s="120" t="s">
        <v>214</v>
      </c>
      <c r="C749" s="121">
        <f t="shared" ref="C749:D749" si="307">C9+C115+C221+C326+C432+C538+C644</f>
        <v>550490403.1500001</v>
      </c>
      <c r="D749" s="121">
        <f t="shared" si="307"/>
        <v>2568831076.2266669</v>
      </c>
      <c r="E749" s="121">
        <f t="shared" ref="E749:E752" si="308">D749-C749</f>
        <v>2018340673.0766668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2875164606.6100001</v>
      </c>
      <c r="O749" s="121">
        <f>M749-K749</f>
        <v>2018340673.0766668</v>
      </c>
    </row>
    <row r="750" spans="1:15" s="22" customFormat="1" ht="42.75" customHeight="1" x14ac:dyDescent="0.5">
      <c r="A750" s="117" t="s">
        <v>548</v>
      </c>
      <c r="B750" s="120" t="s">
        <v>215</v>
      </c>
      <c r="C750" s="121">
        <f t="shared" ref="C750:D750" si="313">C10+C116+C222+C327+C433+C539+C645</f>
        <v>12166089.530000001</v>
      </c>
      <c r="D750" s="121">
        <f t="shared" si="313"/>
        <v>12880069.705</v>
      </c>
      <c r="E750" s="121">
        <f t="shared" si="308"/>
        <v>713980.17499999888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5058616.1900000013</v>
      </c>
      <c r="O750" s="121">
        <f t="shared" ref="O750:O754" si="314">M750-K750</f>
        <v>713980.17499999888</v>
      </c>
    </row>
    <row r="751" spans="1:15" s="22" customFormat="1" ht="42.75" customHeight="1" x14ac:dyDescent="0.5">
      <c r="A751" s="117" t="s">
        <v>548</v>
      </c>
      <c r="B751" s="120" t="s">
        <v>412</v>
      </c>
      <c r="C751" s="121">
        <f t="shared" ref="C751:D751" si="315">C11+C117+C223+C328+C434+C540+C646</f>
        <v>12439430.93</v>
      </c>
      <c r="D751" s="121">
        <f t="shared" si="315"/>
        <v>16289248.325833334</v>
      </c>
      <c r="E751" s="121">
        <f t="shared" si="308"/>
        <v>3849817.395833334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9283864.2600000016</v>
      </c>
      <c r="O751" s="121">
        <f t="shared" si="314"/>
        <v>3849817.395833334</v>
      </c>
    </row>
    <row r="752" spans="1:15" s="22" customFormat="1" ht="42.75" customHeight="1" x14ac:dyDescent="0.5">
      <c r="A752" s="117" t="s">
        <v>548</v>
      </c>
      <c r="B752" s="120" t="s">
        <v>216</v>
      </c>
      <c r="C752" s="121">
        <f t="shared" ref="C752:D752" si="316">C12+C118+C224+C329+C435+C541+C647</f>
        <v>5169215</v>
      </c>
      <c r="D752" s="121">
        <f t="shared" si="316"/>
        <v>5047279.0674999999</v>
      </c>
      <c r="E752" s="121">
        <f t="shared" si="308"/>
        <v>-121935.93250000011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1561005.9800000004</v>
      </c>
      <c r="O752" s="121">
        <f>M752-K752</f>
        <v>-121935.93250000011</v>
      </c>
    </row>
    <row r="753" spans="1:15" s="22" customFormat="1" ht="42.75" customHeight="1" x14ac:dyDescent="0.5">
      <c r="A753" s="117" t="s">
        <v>548</v>
      </c>
      <c r="B753" s="120" t="s">
        <v>217</v>
      </c>
      <c r="C753" s="121">
        <f t="shared" ref="C753:D753" si="317">C13+C119+C225+C330+C436+C542+C648</f>
        <v>107186760.00999999</v>
      </c>
      <c r="D753" s="121">
        <f t="shared" si="317"/>
        <v>7812557.333333333</v>
      </c>
      <c r="E753" s="121">
        <f>D753-C753</f>
        <v>-99374202.676666662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-96767906.329999998</v>
      </c>
      <c r="O753" s="121">
        <f t="shared" si="314"/>
        <v>-99374202.676666662</v>
      </c>
    </row>
    <row r="754" spans="1:15" s="22" customFormat="1" ht="42.75" customHeight="1" x14ac:dyDescent="0.5">
      <c r="A754" s="117" t="s">
        <v>548</v>
      </c>
      <c r="B754" s="120" t="s">
        <v>218</v>
      </c>
      <c r="C754" s="121">
        <f t="shared" ref="C754:D754" si="318">C14+C120+C226+C331+C437+C543+C649</f>
        <v>2592261.5900000003</v>
      </c>
      <c r="D754" s="121">
        <f t="shared" si="318"/>
        <v>6495265.2283333344</v>
      </c>
      <c r="E754" s="121">
        <f t="shared" ref="E754" si="319">D754-C754</f>
        <v>3903003.6383333341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6448237.4300000016</v>
      </c>
      <c r="O754" s="121">
        <f t="shared" si="314"/>
        <v>3903003.6383333346</v>
      </c>
    </row>
    <row r="755" spans="1:15" s="22" customFormat="1" ht="42.75" customHeight="1" x14ac:dyDescent="0.5">
      <c r="A755" s="117" t="s">
        <v>548</v>
      </c>
      <c r="B755" s="118" t="s">
        <v>219</v>
      </c>
      <c r="C755" s="122">
        <f>SUM(C748:C754)</f>
        <v>2359097648.7000008</v>
      </c>
      <c r="D755" s="122">
        <f>SUM(D748:D754)</f>
        <v>3575773190.2608342</v>
      </c>
      <c r="E755" s="122">
        <f>SUM(E748:E754)</f>
        <v>1216675541.5608335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2418223752.6400003</v>
      </c>
      <c r="O755" s="122">
        <f>SUM(O748:O754)</f>
        <v>1216675541.5608335</v>
      </c>
    </row>
    <row r="756" spans="1:15" s="22" customFormat="1" ht="42.75" customHeight="1" x14ac:dyDescent="0.5">
      <c r="A756" s="117" t="s">
        <v>548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548</v>
      </c>
      <c r="B757" s="118" t="s">
        <v>204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548</v>
      </c>
      <c r="B758" s="120" t="s">
        <v>213</v>
      </c>
      <c r="C758" s="121">
        <f>C18+C124+C230+C335+C441+C547+C653</f>
        <v>1661218177.3400006</v>
      </c>
      <c r="D758" s="121">
        <f>D18+D124+D230+D335+D441+D547+D653</f>
        <v>970262366.27000034</v>
      </c>
      <c r="E758" s="121">
        <f>D758-C758</f>
        <v>-690955811.07000029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-358944050.27000046</v>
      </c>
      <c r="O758" s="121">
        <f>M758-K758</f>
        <v>-690955811.07000029</v>
      </c>
    </row>
    <row r="759" spans="1:15" s="22" customFormat="1" ht="42.75" customHeight="1" x14ac:dyDescent="0.5">
      <c r="A759" s="117" t="s">
        <v>548</v>
      </c>
      <c r="B759" s="120" t="s">
        <v>214</v>
      </c>
      <c r="C759" s="121">
        <f t="shared" ref="C759:D764" si="320">C19+C125+C231+C336+C442+C548+C654</f>
        <v>536236465.94000018</v>
      </c>
      <c r="D759" s="121">
        <f t="shared" si="320"/>
        <v>2564566293.6324997</v>
      </c>
      <c r="E759" s="121">
        <f t="shared" ref="E759:E764" si="321">D759-C759</f>
        <v>2028329827.6924996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2883696152.4800005</v>
      </c>
      <c r="O759" s="121">
        <f t="shared" ref="O759:O764" si="326">M759-K759</f>
        <v>2028329827.6924996</v>
      </c>
    </row>
    <row r="760" spans="1:15" s="22" customFormat="1" ht="42.75" customHeight="1" x14ac:dyDescent="0.5">
      <c r="A760" s="117" t="s">
        <v>548</v>
      </c>
      <c r="B760" s="120" t="s">
        <v>215</v>
      </c>
      <c r="C760" s="121">
        <f t="shared" si="320"/>
        <v>11826681.869999999</v>
      </c>
      <c r="D760" s="121">
        <f t="shared" si="320"/>
        <v>12312649.102500001</v>
      </c>
      <c r="E760" s="121">
        <f t="shared" si="321"/>
        <v>485967.23250000179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4638794.8200000059</v>
      </c>
      <c r="O760" s="121">
        <f t="shared" si="326"/>
        <v>485967.23250000179</v>
      </c>
    </row>
    <row r="761" spans="1:15" s="22" customFormat="1" ht="42.75" customHeight="1" x14ac:dyDescent="0.5">
      <c r="A761" s="117" t="s">
        <v>548</v>
      </c>
      <c r="B761" s="120" t="s">
        <v>412</v>
      </c>
      <c r="C761" s="121">
        <f t="shared" si="320"/>
        <v>12242799.979999997</v>
      </c>
      <c r="D761" s="121">
        <f t="shared" si="320"/>
        <v>16393649.340000004</v>
      </c>
      <c r="E761" s="121">
        <f t="shared" si="321"/>
        <v>4150849.3600000069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9618821.140000008</v>
      </c>
      <c r="O761" s="121">
        <f t="shared" si="326"/>
        <v>4150849.3600000069</v>
      </c>
    </row>
    <row r="762" spans="1:15" s="22" customFormat="1" ht="42.75" customHeight="1" x14ac:dyDescent="0.5">
      <c r="A762" s="117" t="s">
        <v>548</v>
      </c>
      <c r="B762" s="120" t="s">
        <v>216</v>
      </c>
      <c r="C762" s="121">
        <f t="shared" si="320"/>
        <v>5001215.84</v>
      </c>
      <c r="D762" s="121">
        <f t="shared" si="320"/>
        <v>4913896.7408333328</v>
      </c>
      <c r="E762" s="121">
        <f t="shared" si="321"/>
        <v>-87319.099166667089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1552757.0499999989</v>
      </c>
      <c r="O762" s="121">
        <f t="shared" si="326"/>
        <v>-87319.099166667089</v>
      </c>
    </row>
    <row r="763" spans="1:15" s="22" customFormat="1" ht="42.75" customHeight="1" x14ac:dyDescent="0.5">
      <c r="A763" s="117" t="s">
        <v>548</v>
      </c>
      <c r="B763" s="120" t="s">
        <v>217</v>
      </c>
      <c r="C763" s="121">
        <f t="shared" si="320"/>
        <v>102913380.64</v>
      </c>
      <c r="D763" s="121">
        <f t="shared" si="320"/>
        <v>7644281.833333333</v>
      </c>
      <c r="E763" s="121">
        <f t="shared" si="321"/>
        <v>-95269098.806666672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-92720614.140000001</v>
      </c>
      <c r="O763" s="121">
        <f t="shared" si="326"/>
        <v>-95269098.806666672</v>
      </c>
    </row>
    <row r="764" spans="1:15" s="22" customFormat="1" ht="42.75" customHeight="1" x14ac:dyDescent="0.5">
      <c r="A764" s="117" t="s">
        <v>548</v>
      </c>
      <c r="B764" s="120" t="s">
        <v>218</v>
      </c>
      <c r="C764" s="121">
        <f t="shared" si="320"/>
        <v>1558495.99</v>
      </c>
      <c r="D764" s="121">
        <f t="shared" si="320"/>
        <v>-8261909.6816666676</v>
      </c>
      <c r="E764" s="121">
        <f t="shared" si="321"/>
        <v>-9820405.6716666669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-12249700.220000003</v>
      </c>
      <c r="O764" s="121">
        <f t="shared" si="326"/>
        <v>-9820405.6716666669</v>
      </c>
    </row>
    <row r="765" spans="1:15" s="22" customFormat="1" ht="42.75" customHeight="1" x14ac:dyDescent="0.5">
      <c r="A765" s="117" t="s">
        <v>548</v>
      </c>
      <c r="B765" s="118" t="s">
        <v>220</v>
      </c>
      <c r="C765" s="122">
        <f>SUM(C758:C764)</f>
        <v>2330997217.6000004</v>
      </c>
      <c r="D765" s="122">
        <f>SUM(D758:D764)</f>
        <v>3567831227.2375002</v>
      </c>
      <c r="E765" s="122">
        <f>SUM(E758:E764)</f>
        <v>1236834009.6374996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2435592160.8600006</v>
      </c>
      <c r="O765" s="122">
        <f>SUM(O758:O764)</f>
        <v>1236834009.6374996</v>
      </c>
    </row>
    <row r="766" spans="1:15" s="22" customFormat="1" ht="42.75" customHeight="1" x14ac:dyDescent="0.5">
      <c r="A766" s="117" t="s">
        <v>548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548</v>
      </c>
      <c r="B767" s="118" t="s">
        <v>207</v>
      </c>
      <c r="C767" s="123">
        <f>C755-C765</f>
        <v>28100431.100000381</v>
      </c>
      <c r="D767" s="123">
        <f>D755-D765</f>
        <v>7941963.0233340263</v>
      </c>
      <c r="E767" s="123">
        <f>D767-C767</f>
        <v>-20158468.076666355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-17368408.220000267</v>
      </c>
      <c r="O767" s="123">
        <f>O755-O765</f>
        <v>-20158468.076666117</v>
      </c>
    </row>
    <row r="768" spans="1:15" s="22" customFormat="1" ht="42.75" customHeight="1" x14ac:dyDescent="0.5">
      <c r="A768" s="117" t="s">
        <v>548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548</v>
      </c>
      <c r="B769" s="118" t="s">
        <v>205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548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548</v>
      </c>
      <c r="B771" s="118" t="s">
        <v>221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548</v>
      </c>
      <c r="B772" s="120" t="s">
        <v>222</v>
      </c>
      <c r="C772" s="121">
        <f>C32+C138+C244+C349+C455+C561+C667</f>
        <v>1667807.79</v>
      </c>
      <c r="D772" s="121">
        <f>D32+D138+D244+D349+D455+D561+D667</f>
        <v>3238886.6574999997</v>
      </c>
      <c r="E772" s="121">
        <f>D772-C772</f>
        <v>1571078.8674999997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2717374.42</v>
      </c>
      <c r="O772" s="121">
        <f>M772-K772</f>
        <v>1571078.8674999997</v>
      </c>
    </row>
    <row r="773" spans="1:15" s="22" customFormat="1" ht="42.75" customHeight="1" x14ac:dyDescent="0.5">
      <c r="A773" s="117" t="s">
        <v>548</v>
      </c>
      <c r="B773" s="120" t="s">
        <v>528</v>
      </c>
      <c r="C773" s="121">
        <f t="shared" ref="C773:D773" si="331">C33+C139+C245+C350+C456+C562+C668</f>
        <v>2677525</v>
      </c>
      <c r="D773" s="121">
        <f t="shared" si="331"/>
        <v>192575.715</v>
      </c>
      <c r="E773" s="121">
        <f t="shared" ref="E773:E781" si="332">D773-C773</f>
        <v>-2484949.2850000001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-2414901.8199999998</v>
      </c>
      <c r="O773" s="121">
        <f t="shared" ref="O773:O781" si="335">M773-K773</f>
        <v>-2484949.2849999997</v>
      </c>
    </row>
    <row r="774" spans="1:15" s="22" customFormat="1" ht="42.75" customHeight="1" x14ac:dyDescent="0.5">
      <c r="A774" s="117" t="s">
        <v>548</v>
      </c>
      <c r="B774" s="120" t="s">
        <v>223</v>
      </c>
      <c r="C774" s="121">
        <f t="shared" ref="C774:D774" si="336">C34+C140+C246+C351+C457+C563+C669</f>
        <v>16373.990000000002</v>
      </c>
      <c r="D774" s="121">
        <f t="shared" si="336"/>
        <v>28710.75</v>
      </c>
      <c r="E774" s="121">
        <f t="shared" si="332"/>
        <v>12336.759999999998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21907.01</v>
      </c>
      <c r="O774" s="121">
        <f t="shared" si="335"/>
        <v>12336.759999999998</v>
      </c>
    </row>
    <row r="775" spans="1:15" s="22" customFormat="1" ht="42.75" customHeight="1" x14ac:dyDescent="0.5">
      <c r="A775" s="117" t="s">
        <v>548</v>
      </c>
      <c r="B775" s="120" t="s">
        <v>224</v>
      </c>
      <c r="C775" s="121">
        <f t="shared" ref="C775:D775" si="337">C35+C141+C247+C352+C458+C564+C670</f>
        <v>178411.43</v>
      </c>
      <c r="D775" s="121">
        <f t="shared" si="337"/>
        <v>259490.08</v>
      </c>
      <c r="E775" s="121">
        <f t="shared" si="332"/>
        <v>81078.649999999994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173770.74</v>
      </c>
      <c r="O775" s="121">
        <f t="shared" si="335"/>
        <v>81078.649999999994</v>
      </c>
    </row>
    <row r="776" spans="1:15" s="22" customFormat="1" ht="42.75" customHeight="1" x14ac:dyDescent="0.5">
      <c r="A776" s="117" t="s">
        <v>548</v>
      </c>
      <c r="B776" s="120" t="s">
        <v>225</v>
      </c>
      <c r="C776" s="121">
        <f t="shared" ref="C776:D776" si="338">C36+C142+C248+C353+C459+C565+C671</f>
        <v>202448.43999999997</v>
      </c>
      <c r="D776" s="121">
        <f t="shared" si="338"/>
        <v>370466.24</v>
      </c>
      <c r="E776" s="121">
        <f t="shared" si="332"/>
        <v>168017.80000000002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298302.56000000006</v>
      </c>
      <c r="O776" s="121">
        <f t="shared" si="335"/>
        <v>168017.80000000005</v>
      </c>
    </row>
    <row r="777" spans="1:15" s="22" customFormat="1" ht="42.75" customHeight="1" x14ac:dyDescent="0.5">
      <c r="A777" s="117" t="s">
        <v>548</v>
      </c>
      <c r="B777" s="120" t="s">
        <v>226</v>
      </c>
      <c r="C777" s="121">
        <f t="shared" ref="C777:D777" si="339">C37+C143+C249+C354+C460+C566+C672</f>
        <v>27072.19</v>
      </c>
      <c r="D777" s="121">
        <f t="shared" si="339"/>
        <v>47903.184999999998</v>
      </c>
      <c r="E777" s="121">
        <f t="shared" si="332"/>
        <v>20830.994999999999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37865.39</v>
      </c>
      <c r="O777" s="121">
        <f t="shared" si="335"/>
        <v>20830.994999999995</v>
      </c>
    </row>
    <row r="778" spans="1:15" s="22" customFormat="1" ht="42.75" customHeight="1" x14ac:dyDescent="0.5">
      <c r="A778" s="117" t="s">
        <v>548</v>
      </c>
      <c r="B778" s="120" t="s">
        <v>227</v>
      </c>
      <c r="C778" s="121">
        <f t="shared" ref="C778:D778" si="340">C38+C144+C250+C355+C461+C567+C673</f>
        <v>84257.770000000019</v>
      </c>
      <c r="D778" s="121">
        <f t="shared" si="340"/>
        <v>136315.70499999999</v>
      </c>
      <c r="E778" s="121">
        <f t="shared" si="332"/>
        <v>52057.934999999969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95820.749999999971</v>
      </c>
      <c r="O778" s="121">
        <f t="shared" si="335"/>
        <v>52057.934999999969</v>
      </c>
    </row>
    <row r="779" spans="1:15" s="22" customFormat="1" ht="42.75" customHeight="1" x14ac:dyDescent="0.5">
      <c r="A779" s="117" t="s">
        <v>548</v>
      </c>
      <c r="B779" s="120" t="s">
        <v>303</v>
      </c>
      <c r="C779" s="121">
        <f t="shared" ref="C779:D779" si="341">C39+C145+C251+C356+C462+C568+C674</f>
        <v>56799.83</v>
      </c>
      <c r="D779" s="121">
        <f t="shared" si="341"/>
        <v>22688.2425</v>
      </c>
      <c r="E779" s="121">
        <f t="shared" si="332"/>
        <v>-34111.587500000001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-21806.42</v>
      </c>
      <c r="O779" s="121">
        <f t="shared" si="335"/>
        <v>-34111.587500000001</v>
      </c>
    </row>
    <row r="780" spans="1:15" s="22" customFormat="1" ht="42.75" customHeight="1" x14ac:dyDescent="0.5">
      <c r="A780" s="117" t="s">
        <v>548</v>
      </c>
      <c r="B780" s="120" t="s">
        <v>228</v>
      </c>
      <c r="C780" s="121">
        <f t="shared" ref="C780:D780" si="342">C40+C146+C252+C357+C463+C569+C675</f>
        <v>1376.13</v>
      </c>
      <c r="D780" s="121">
        <f t="shared" si="342"/>
        <v>6620.4675000000007</v>
      </c>
      <c r="E780" s="121">
        <f t="shared" si="332"/>
        <v>5244.3375000000005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7451.1599999999989</v>
      </c>
      <c r="O780" s="121">
        <f t="shared" si="335"/>
        <v>5244.3375000000005</v>
      </c>
    </row>
    <row r="781" spans="1:15" s="22" customFormat="1" ht="42.75" customHeight="1" x14ac:dyDescent="0.5">
      <c r="A781" s="117" t="s">
        <v>548</v>
      </c>
      <c r="B781" s="120" t="s">
        <v>242</v>
      </c>
      <c r="C781" s="121">
        <f t="shared" ref="C781:D781" si="343">C41+C147+C253+C358+C464+C570+C676</f>
        <v>43115.289999999994</v>
      </c>
      <c r="D781" s="121">
        <f t="shared" si="343"/>
        <v>43734.109166666669</v>
      </c>
      <c r="E781" s="121">
        <f t="shared" si="332"/>
        <v>618.8191666666753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15870.73000000001</v>
      </c>
      <c r="O781" s="121">
        <f t="shared" si="335"/>
        <v>618.8191666666753</v>
      </c>
    </row>
    <row r="782" spans="1:15" s="22" customFormat="1" ht="42.75" customHeight="1" x14ac:dyDescent="0.5">
      <c r="A782" s="117" t="s">
        <v>548</v>
      </c>
      <c r="B782" s="118" t="s">
        <v>229</v>
      </c>
      <c r="C782" s="122">
        <f>SUM(C772:C781)</f>
        <v>4955187.8600000013</v>
      </c>
      <c r="D782" s="122">
        <f t="shared" ref="D782:E782" si="344">SUM(D772:D781)</f>
        <v>4347391.1516666664</v>
      </c>
      <c r="E782" s="122">
        <f t="shared" si="344"/>
        <v>-607796.70833333372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931654.52000000014</v>
      </c>
      <c r="O782" s="122">
        <f>SUM(O772:O781)</f>
        <v>-607796.70833333326</v>
      </c>
    </row>
    <row r="783" spans="1:15" s="22" customFormat="1" ht="42.75" customHeight="1" x14ac:dyDescent="0.5">
      <c r="A783" s="117" t="s">
        <v>548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548</v>
      </c>
      <c r="B784" s="118" t="s">
        <v>475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548</v>
      </c>
      <c r="B785" s="120" t="s">
        <v>230</v>
      </c>
      <c r="C785" s="121">
        <f>C45+C151+C257+C362+C468+C574+C680</f>
        <v>320800</v>
      </c>
      <c r="D785" s="121">
        <f>D45+D151+D257+D362+D468+D574+D680</f>
        <v>761800</v>
      </c>
      <c r="E785" s="121">
        <f>D785-C785</f>
        <v>441000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751600</v>
      </c>
      <c r="O785" s="121">
        <f>M785-K785</f>
        <v>441000</v>
      </c>
    </row>
    <row r="786" spans="1:15" s="22" customFormat="1" ht="42.75" customHeight="1" x14ac:dyDescent="0.5">
      <c r="A786" s="117" t="s">
        <v>548</v>
      </c>
      <c r="B786" s="120" t="s">
        <v>231</v>
      </c>
      <c r="C786" s="121">
        <f t="shared" ref="C786:D786" si="348">C46+C152+C258+C363+C469+C575+C681</f>
        <v>12481.67</v>
      </c>
      <c r="D786" s="121">
        <f t="shared" si="348"/>
        <v>38154.409500000009</v>
      </c>
      <c r="E786" s="121">
        <f t="shared" ref="E786:E806" si="349">D786-C786</f>
        <v>25672.739500000011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38390.876000000011</v>
      </c>
      <c r="O786" s="121">
        <f t="shared" ref="O786:O806" si="353">M786-K786</f>
        <v>25672.739500000011</v>
      </c>
    </row>
    <row r="787" spans="1:15" s="22" customFormat="1" ht="42.75" customHeight="1" x14ac:dyDescent="0.5">
      <c r="A787" s="117" t="s">
        <v>548</v>
      </c>
      <c r="B787" s="120" t="s">
        <v>232</v>
      </c>
      <c r="C787" s="121">
        <f t="shared" ref="C787:D787" si="354">C47+C153+C259+C364+C470+C576+C682</f>
        <v>37199.120000000003</v>
      </c>
      <c r="D787" s="121">
        <f t="shared" si="354"/>
        <v>63770.122500000012</v>
      </c>
      <c r="E787" s="121">
        <f t="shared" si="349"/>
        <v>26571.00250000001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47827.710000000014</v>
      </c>
      <c r="O787" s="121">
        <f t="shared" si="353"/>
        <v>26571.00250000001</v>
      </c>
    </row>
    <row r="788" spans="1:15" s="22" customFormat="1" ht="42.75" customHeight="1" x14ac:dyDescent="0.5">
      <c r="A788" s="117" t="s">
        <v>548</v>
      </c>
      <c r="B788" s="120" t="s">
        <v>331</v>
      </c>
      <c r="C788" s="121">
        <f t="shared" ref="C788:D788" si="355">C48+C154+C260+C365+C471+C577+C683</f>
        <v>1267.3600000000001</v>
      </c>
      <c r="D788" s="121">
        <f t="shared" si="355"/>
        <v>2474.67</v>
      </c>
      <c r="E788" s="121">
        <f t="shared" si="349"/>
        <v>1207.31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2032.1999999999998</v>
      </c>
      <c r="O788" s="121">
        <f t="shared" si="353"/>
        <v>1207.31</v>
      </c>
    </row>
    <row r="789" spans="1:15" s="22" customFormat="1" ht="42.75" customHeight="1" x14ac:dyDescent="0.5">
      <c r="A789" s="117" t="s">
        <v>548</v>
      </c>
      <c r="B789" s="120" t="s">
        <v>286</v>
      </c>
      <c r="C789" s="121">
        <f t="shared" ref="C789:D789" si="356">C49+C155+C261+C366+C472+C578+C684</f>
        <v>3085.12</v>
      </c>
      <c r="D789" s="121">
        <f t="shared" si="356"/>
        <v>7746.165</v>
      </c>
      <c r="E789" s="121">
        <f t="shared" si="349"/>
        <v>4661.0450000000001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7243.0999999999995</v>
      </c>
      <c r="O789" s="121">
        <f t="shared" si="353"/>
        <v>4661.0450000000001</v>
      </c>
    </row>
    <row r="790" spans="1:15" s="22" customFormat="1" ht="42.75" customHeight="1" x14ac:dyDescent="0.5">
      <c r="A790" s="117" t="s">
        <v>548</v>
      </c>
      <c r="B790" s="120" t="s">
        <v>435</v>
      </c>
      <c r="C790" s="121">
        <f t="shared" ref="C790:D790" si="357">C50+C156+C262+C367+C473+C579+C685</f>
        <v>18400</v>
      </c>
      <c r="D790" s="121">
        <f t="shared" si="357"/>
        <v>41999.4</v>
      </c>
      <c r="E790" s="121">
        <f t="shared" si="349"/>
        <v>23599.4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37599.199999999997</v>
      </c>
      <c r="O790" s="121">
        <f t="shared" si="353"/>
        <v>23599.4</v>
      </c>
    </row>
    <row r="791" spans="1:15" s="22" customFormat="1" ht="42.75" customHeight="1" x14ac:dyDescent="0.5">
      <c r="A791" s="117" t="s">
        <v>548</v>
      </c>
      <c r="B791" s="120" t="s">
        <v>368</v>
      </c>
      <c r="C791" s="121">
        <f t="shared" ref="C791:D791" si="358">C51+C157+C263+C368+C474+C580+C686</f>
        <v>54302.39</v>
      </c>
      <c r="D791" s="121">
        <f t="shared" si="358"/>
        <v>139728.88500000001</v>
      </c>
      <c r="E791" s="121">
        <f t="shared" si="349"/>
        <v>85426.49500000001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132002.78999999998</v>
      </c>
      <c r="O791" s="121">
        <f t="shared" si="353"/>
        <v>85426.494999999995</v>
      </c>
    </row>
    <row r="792" spans="1:15" s="22" customFormat="1" ht="42.75" customHeight="1" x14ac:dyDescent="0.5">
      <c r="A792" s="117" t="s">
        <v>548</v>
      </c>
      <c r="B792" s="120" t="s">
        <v>366</v>
      </c>
      <c r="C792" s="121">
        <f t="shared" ref="C792:D792" si="359">C52+C158+C264+C369+C475+C581+C687</f>
        <v>0</v>
      </c>
      <c r="D792" s="121">
        <f t="shared" si="359"/>
        <v>34064.80333333333</v>
      </c>
      <c r="E792" s="121">
        <f t="shared" si="349"/>
        <v>34064.80333333333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45721.929999999993</v>
      </c>
      <c r="O792" s="121">
        <f t="shared" si="353"/>
        <v>34064.80333333333</v>
      </c>
    </row>
    <row r="793" spans="1:15" s="22" customFormat="1" ht="42.75" customHeight="1" x14ac:dyDescent="0.5">
      <c r="A793" s="117" t="s">
        <v>548</v>
      </c>
      <c r="B793" s="120" t="s">
        <v>235</v>
      </c>
      <c r="C793" s="121">
        <f t="shared" ref="C793:D793" si="360">C53+C159+C265+C370+C476+C582+C688</f>
        <v>61479.35</v>
      </c>
      <c r="D793" s="121">
        <f t="shared" si="360"/>
        <v>143771.7525</v>
      </c>
      <c r="E793" s="121">
        <f t="shared" si="349"/>
        <v>82292.402499999997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130216.32000000001</v>
      </c>
      <c r="O793" s="121">
        <f t="shared" si="353"/>
        <v>82292.402499999997</v>
      </c>
    </row>
    <row r="794" spans="1:15" s="22" customFormat="1" ht="42.75" customHeight="1" x14ac:dyDescent="0.5">
      <c r="A794" s="117" t="s">
        <v>548</v>
      </c>
      <c r="B794" s="120" t="s">
        <v>236</v>
      </c>
      <c r="C794" s="121">
        <f t="shared" ref="C794:D794" si="361">C54+C160+C266+C371+C477+C583+C689</f>
        <v>12865.98</v>
      </c>
      <c r="D794" s="121">
        <f t="shared" si="361"/>
        <v>24531.862499999996</v>
      </c>
      <c r="E794" s="121">
        <f t="shared" si="349"/>
        <v>11665.882499999996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19843.169999999998</v>
      </c>
      <c r="O794" s="121">
        <f t="shared" si="353"/>
        <v>11665.882499999996</v>
      </c>
    </row>
    <row r="795" spans="1:15" s="22" customFormat="1" ht="42.75" customHeight="1" x14ac:dyDescent="0.5">
      <c r="A795" s="117" t="s">
        <v>548</v>
      </c>
      <c r="B795" s="120" t="s">
        <v>234</v>
      </c>
      <c r="C795" s="121">
        <f t="shared" ref="C795:D795" si="362">C55+C161+C267+C372+C478+C584+C690</f>
        <v>132056.69</v>
      </c>
      <c r="D795" s="121">
        <f t="shared" si="362"/>
        <v>292835.8175</v>
      </c>
      <c r="E795" s="121">
        <f t="shared" si="349"/>
        <v>160779.1275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259051.19</v>
      </c>
      <c r="O795" s="121">
        <f t="shared" si="353"/>
        <v>160779.1275</v>
      </c>
    </row>
    <row r="796" spans="1:15" s="22" customFormat="1" ht="42.75" customHeight="1" x14ac:dyDescent="0.5">
      <c r="A796" s="117" t="s">
        <v>548</v>
      </c>
      <c r="B796" s="120" t="s">
        <v>348</v>
      </c>
      <c r="C796" s="121">
        <f t="shared" ref="C796:D796" si="363">C56+C162+C268+C373+C479+C585+C691</f>
        <v>1034.5999999999999</v>
      </c>
      <c r="D796" s="121">
        <f t="shared" si="363"/>
        <v>5134.7116666666661</v>
      </c>
      <c r="E796" s="121">
        <f t="shared" si="349"/>
        <v>4100.1116666666658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5863.7800000000007</v>
      </c>
      <c r="O796" s="121">
        <f t="shared" si="353"/>
        <v>4100.1116666666667</v>
      </c>
    </row>
    <row r="797" spans="1:15" s="22" customFormat="1" ht="42.75" customHeight="1" x14ac:dyDescent="0.5">
      <c r="A797" s="117" t="s">
        <v>548</v>
      </c>
      <c r="B797" s="120" t="s">
        <v>351</v>
      </c>
      <c r="C797" s="121">
        <f t="shared" ref="C797:D797" si="364">C57+C163+C269+C374+C480+C586+C692</f>
        <v>607.46</v>
      </c>
      <c r="D797" s="121">
        <f t="shared" si="364"/>
        <v>37890.239999999998</v>
      </c>
      <c r="E797" s="121">
        <f t="shared" si="349"/>
        <v>37282.78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49912.859999999993</v>
      </c>
      <c r="O797" s="121">
        <f t="shared" si="353"/>
        <v>37282.78</v>
      </c>
    </row>
    <row r="798" spans="1:15" s="22" customFormat="1" ht="42.75" customHeight="1" x14ac:dyDescent="0.5">
      <c r="A798" s="117" t="s">
        <v>548</v>
      </c>
      <c r="B798" s="120" t="s">
        <v>237</v>
      </c>
      <c r="C798" s="121">
        <f t="shared" ref="C798:D798" si="365">C58+C164+C270+C375+C481+C587+C693</f>
        <v>40191.609999999993</v>
      </c>
      <c r="D798" s="121">
        <f t="shared" si="365"/>
        <v>9850.6875</v>
      </c>
      <c r="E798" s="121">
        <f t="shared" si="349"/>
        <v>-30340.922499999993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-27057.359999999993</v>
      </c>
      <c r="O798" s="121">
        <f t="shared" si="353"/>
        <v>-30340.922499999993</v>
      </c>
    </row>
    <row r="799" spans="1:15" s="22" customFormat="1" ht="42.75" customHeight="1" x14ac:dyDescent="0.5">
      <c r="A799" s="117" t="s">
        <v>548</v>
      </c>
      <c r="B799" s="120" t="s">
        <v>238</v>
      </c>
      <c r="C799" s="121">
        <f t="shared" ref="C799:D799" si="366">C59+C165+C271+C376+C482+C588+C694</f>
        <v>7127.52</v>
      </c>
      <c r="D799" s="121">
        <f t="shared" si="366"/>
        <v>12490.462499999998</v>
      </c>
      <c r="E799" s="121">
        <f t="shared" si="349"/>
        <v>5362.9424999999974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9526.4299999999967</v>
      </c>
      <c r="O799" s="121">
        <f t="shared" si="353"/>
        <v>5362.9424999999974</v>
      </c>
    </row>
    <row r="800" spans="1:15" s="22" customFormat="1" ht="42.75" customHeight="1" x14ac:dyDescent="0.5">
      <c r="A800" s="117" t="s">
        <v>548</v>
      </c>
      <c r="B800" s="120" t="s">
        <v>239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548</v>
      </c>
      <c r="B801" s="120" t="s">
        <v>240</v>
      </c>
      <c r="C801" s="121">
        <f t="shared" ref="C801:D801" si="368">C61+C167+C273+C378+C484+C590+C696</f>
        <v>666075.79</v>
      </c>
      <c r="D801" s="121">
        <f t="shared" si="368"/>
        <v>1393440.1291666667</v>
      </c>
      <c r="E801" s="121">
        <f t="shared" si="349"/>
        <v>727364.33916666661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1192371.45</v>
      </c>
      <c r="O801" s="121">
        <f t="shared" si="353"/>
        <v>727364.33916666661</v>
      </c>
    </row>
    <row r="802" spans="1:15" s="22" customFormat="1" ht="42.75" customHeight="1" x14ac:dyDescent="0.5">
      <c r="A802" s="117" t="s">
        <v>548</v>
      </c>
      <c r="B802" s="120" t="s">
        <v>250</v>
      </c>
      <c r="C802" s="121">
        <f t="shared" ref="C802:D802" si="369">C62+C168+C274+C379+C485+C591+C697</f>
        <v>2886.58</v>
      </c>
      <c r="D802" s="121">
        <f t="shared" si="369"/>
        <v>1170.4575</v>
      </c>
      <c r="E802" s="121">
        <f t="shared" si="349"/>
        <v>-1716.1224999999999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-1325.9699999999998</v>
      </c>
      <c r="O802" s="121">
        <f t="shared" si="353"/>
        <v>-1716.1224999999999</v>
      </c>
    </row>
    <row r="803" spans="1:15" s="22" customFormat="1" ht="42.75" customHeight="1" x14ac:dyDescent="0.5">
      <c r="A803" s="117" t="s">
        <v>548</v>
      </c>
      <c r="B803" s="120" t="s">
        <v>243</v>
      </c>
      <c r="C803" s="121">
        <f t="shared" ref="C803:D803" si="370">C63+C169+C275+C380+C486+C592+C698</f>
        <v>11449.58</v>
      </c>
      <c r="D803" s="121">
        <f t="shared" si="370"/>
        <v>29021.410833333328</v>
      </c>
      <c r="E803" s="121">
        <f t="shared" si="349"/>
        <v>17571.830833333326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27559.009999999995</v>
      </c>
      <c r="O803" s="121">
        <f t="shared" si="353"/>
        <v>17571.830833333326</v>
      </c>
    </row>
    <row r="804" spans="1:15" s="22" customFormat="1" ht="42.75" customHeight="1" x14ac:dyDescent="0.5">
      <c r="A804" s="117" t="s">
        <v>548</v>
      </c>
      <c r="B804" s="120" t="s">
        <v>244</v>
      </c>
      <c r="C804" s="121">
        <f t="shared" ref="C804:D804" si="371">C64+C170+C276+C381+C487+C593+C699</f>
        <v>57681.02</v>
      </c>
      <c r="D804" s="121">
        <f t="shared" si="371"/>
        <v>157244.82</v>
      </c>
      <c r="E804" s="121">
        <f t="shared" si="349"/>
        <v>99563.800000000017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154058.74000000002</v>
      </c>
      <c r="O804" s="121">
        <f t="shared" si="353"/>
        <v>99563.800000000017</v>
      </c>
    </row>
    <row r="805" spans="1:15" s="22" customFormat="1" ht="42.75" customHeight="1" x14ac:dyDescent="0.5">
      <c r="A805" s="117" t="s">
        <v>548</v>
      </c>
      <c r="B805" s="120" t="s">
        <v>360</v>
      </c>
      <c r="C805" s="121">
        <f t="shared" ref="C805:D805" si="372">C65+C171+C277+C382+C488+C594+C700</f>
        <v>16762.82</v>
      </c>
      <c r="D805" s="121">
        <f t="shared" si="372"/>
        <v>31025.625</v>
      </c>
      <c r="E805" s="121">
        <f t="shared" si="349"/>
        <v>14262.805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24604.68</v>
      </c>
      <c r="O805" s="121">
        <f t="shared" si="353"/>
        <v>14262.805</v>
      </c>
    </row>
    <row r="806" spans="1:15" s="22" customFormat="1" ht="42.75" customHeight="1" x14ac:dyDescent="0.5">
      <c r="A806" s="117" t="s">
        <v>548</v>
      </c>
      <c r="B806" s="120" t="s">
        <v>361</v>
      </c>
      <c r="C806" s="121">
        <f t="shared" ref="C806:D806" si="373">C66+C172+C278+C383+C489+C595+C701</f>
        <v>31917.489999999998</v>
      </c>
      <c r="D806" s="121">
        <f t="shared" si="373"/>
        <v>52681.243333333332</v>
      </c>
      <c r="E806" s="121">
        <f t="shared" si="349"/>
        <v>20763.753333333334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39130.6</v>
      </c>
      <c r="O806" s="121">
        <f t="shared" si="353"/>
        <v>20763.753333333334</v>
      </c>
    </row>
    <row r="807" spans="1:15" s="22" customFormat="1" ht="42.75" customHeight="1" x14ac:dyDescent="0.5">
      <c r="A807" s="117" t="s">
        <v>548</v>
      </c>
      <c r="B807" s="118" t="s">
        <v>245</v>
      </c>
      <c r="C807" s="122">
        <f>SUM(C785:C806)</f>
        <v>1489672.1500000001</v>
      </c>
      <c r="D807" s="122">
        <f t="shared" ref="D807:E807" si="374">SUM(D785:D806)</f>
        <v>3283827.6453333329</v>
      </c>
      <c r="E807" s="122">
        <f t="shared" si="374"/>
        <v>1794155.4953333333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2950172.6659999997</v>
      </c>
      <c r="O807" s="122">
        <f>SUM(O785:O806)</f>
        <v>1794155.4953333333</v>
      </c>
    </row>
    <row r="808" spans="1:15" s="22" customFormat="1" ht="42.75" customHeight="1" x14ac:dyDescent="0.5">
      <c r="A808" s="117" t="s">
        <v>548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548</v>
      </c>
      <c r="B809" s="118" t="s">
        <v>246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548</v>
      </c>
      <c r="B810" s="120" t="s">
        <v>247</v>
      </c>
      <c r="C810" s="121">
        <f>C70+C176+C282+C387+C493+C599+C705</f>
        <v>7313.09</v>
      </c>
      <c r="D810" s="121">
        <f>D70+D176+D282+D387+D493+D599+D705</f>
        <v>12197.250000000002</v>
      </c>
      <c r="E810" s="121">
        <f>D810-C810</f>
        <v>4884.1600000000017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8949.91</v>
      </c>
      <c r="O810" s="121">
        <f>M810-K810</f>
        <v>4884.1600000000017</v>
      </c>
    </row>
    <row r="811" spans="1:15" s="22" customFormat="1" ht="42.75" customHeight="1" x14ac:dyDescent="0.5">
      <c r="A811" s="117" t="s">
        <v>548</v>
      </c>
      <c r="B811" s="120" t="s">
        <v>383</v>
      </c>
      <c r="C811" s="121">
        <f t="shared" ref="C811:D811" si="379">C71+C177+C283+C388+C494+C600+C706</f>
        <v>922.32</v>
      </c>
      <c r="D811" s="121">
        <f t="shared" si="379"/>
        <v>3375</v>
      </c>
      <c r="E811" s="121">
        <f t="shared" ref="E811:E829" si="380">D811-C811</f>
        <v>2452.6799999999998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3577.68</v>
      </c>
      <c r="O811" s="121">
        <f t="shared" ref="O811:O829" si="383">M811-K811</f>
        <v>2452.6799999999998</v>
      </c>
    </row>
    <row r="812" spans="1:15" s="22" customFormat="1" ht="42.75" customHeight="1" x14ac:dyDescent="0.5">
      <c r="A812" s="117" t="s">
        <v>548</v>
      </c>
      <c r="B812" s="120" t="s">
        <v>530</v>
      </c>
      <c r="C812" s="121">
        <f t="shared" ref="C812:D812" si="384">C72+C178+C284+C389+C495+C601+C707</f>
        <v>1595.44</v>
      </c>
      <c r="D812" s="121">
        <f t="shared" si="384"/>
        <v>3225</v>
      </c>
      <c r="E812" s="121">
        <f t="shared" si="380"/>
        <v>1629.56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2704.56</v>
      </c>
      <c r="O812" s="121">
        <f t="shared" si="383"/>
        <v>1629.56</v>
      </c>
    </row>
    <row r="813" spans="1:15" s="22" customFormat="1" ht="42.75" customHeight="1" x14ac:dyDescent="0.5">
      <c r="A813" s="117" t="s">
        <v>548</v>
      </c>
      <c r="B813" s="120" t="s">
        <v>248</v>
      </c>
      <c r="C813" s="121">
        <f t="shared" ref="C813:D813" si="385">C73+C179+C285+C390+C496+C602+C708</f>
        <v>36792.18</v>
      </c>
      <c r="D813" s="121">
        <f t="shared" si="385"/>
        <v>57075.745416666665</v>
      </c>
      <c r="E813" s="121">
        <f t="shared" si="380"/>
        <v>20283.565416666665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39863.624999999993</v>
      </c>
      <c r="O813" s="121">
        <f t="shared" si="383"/>
        <v>20283.565416666665</v>
      </c>
    </row>
    <row r="814" spans="1:15" s="22" customFormat="1" ht="42.75" customHeight="1" x14ac:dyDescent="0.5">
      <c r="A814" s="117" t="s">
        <v>548</v>
      </c>
      <c r="B814" s="120" t="s">
        <v>355</v>
      </c>
      <c r="C814" s="121">
        <f t="shared" ref="C814:D814" si="386">C74+C180+C286+C391+C497+C603+C709</f>
        <v>531.63</v>
      </c>
      <c r="D814" s="121">
        <f t="shared" si="386"/>
        <v>3588.6675</v>
      </c>
      <c r="E814" s="121">
        <f t="shared" si="380"/>
        <v>3057.0374999999999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4253.26</v>
      </c>
      <c r="O814" s="121">
        <f t="shared" si="383"/>
        <v>3057.0374999999999</v>
      </c>
    </row>
    <row r="815" spans="1:15" s="22" customFormat="1" ht="42.75" customHeight="1" x14ac:dyDescent="0.5">
      <c r="A815" s="117" t="s">
        <v>548</v>
      </c>
      <c r="B815" s="120" t="s">
        <v>249</v>
      </c>
      <c r="C815" s="121">
        <f t="shared" ref="C815:D815" si="387">C75+C181+C287+C392+C498+C604+C710</f>
        <v>2465.6900000000005</v>
      </c>
      <c r="D815" s="121">
        <f t="shared" si="387"/>
        <v>11318.234999999999</v>
      </c>
      <c r="E815" s="121">
        <f t="shared" si="380"/>
        <v>8852.5449999999983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12625.289999999999</v>
      </c>
      <c r="O815" s="121">
        <f t="shared" si="383"/>
        <v>8852.5449999999983</v>
      </c>
    </row>
    <row r="816" spans="1:15" s="22" customFormat="1" ht="42.75" customHeight="1" x14ac:dyDescent="0.5">
      <c r="A816" s="117" t="s">
        <v>548</v>
      </c>
      <c r="B816" s="120" t="s">
        <v>352</v>
      </c>
      <c r="C816" s="121">
        <f t="shared" ref="C816:D816" si="388">C76+C182+C288+C393+C499+C605+C711</f>
        <v>97133.790000000008</v>
      </c>
      <c r="D816" s="121">
        <f t="shared" si="388"/>
        <v>217757.08333333334</v>
      </c>
      <c r="E816" s="121">
        <f t="shared" si="380"/>
        <v>120623.29333333333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193656.21</v>
      </c>
      <c r="O816" s="121">
        <f t="shared" si="383"/>
        <v>120623.29333333333</v>
      </c>
    </row>
    <row r="817" spans="1:15" s="22" customFormat="1" ht="42.75" customHeight="1" x14ac:dyDescent="0.5">
      <c r="A817" s="117" t="s">
        <v>548</v>
      </c>
      <c r="B817" s="120" t="s">
        <v>353</v>
      </c>
      <c r="C817" s="121">
        <f t="shared" ref="C817:D817" si="389">C77+C183+C289+C394+C500+C606+C712</f>
        <v>1898.75</v>
      </c>
      <c r="D817" s="121">
        <f t="shared" si="389"/>
        <v>133577.56666666665</v>
      </c>
      <c r="E817" s="121">
        <f t="shared" si="380"/>
        <v>131678.81666666665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181211.35</v>
      </c>
      <c r="O817" s="121">
        <f t="shared" si="383"/>
        <v>131678.81666666665</v>
      </c>
    </row>
    <row r="818" spans="1:15" s="22" customFormat="1" ht="42.75" customHeight="1" x14ac:dyDescent="0.5">
      <c r="A818" s="117" t="s">
        <v>548</v>
      </c>
      <c r="B818" s="120" t="s">
        <v>354</v>
      </c>
      <c r="C818" s="121">
        <f t="shared" ref="C818:D818" si="390">C78+C184+C290+C395+C501+C607+C713</f>
        <v>38895.08</v>
      </c>
      <c r="D818" s="121">
        <f t="shared" si="390"/>
        <v>74018.046666666662</v>
      </c>
      <c r="E818" s="121">
        <f t="shared" si="380"/>
        <v>35122.96666666666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60631.990000000005</v>
      </c>
      <c r="O818" s="121">
        <f t="shared" si="383"/>
        <v>35122.96666666666</v>
      </c>
    </row>
    <row r="819" spans="1:15" s="22" customFormat="1" ht="42.75" customHeight="1" x14ac:dyDescent="0.5">
      <c r="A819" s="117" t="s">
        <v>548</v>
      </c>
      <c r="B819" s="120" t="s">
        <v>392</v>
      </c>
      <c r="C819" s="121">
        <f t="shared" ref="C819:D819" si="391">C79+C185+C291+C396+C502+C608+C714</f>
        <v>2074</v>
      </c>
      <c r="D819" s="121">
        <f t="shared" si="391"/>
        <v>0</v>
      </c>
      <c r="E819" s="121">
        <f t="shared" si="380"/>
        <v>-2074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-2074</v>
      </c>
      <c r="O819" s="121">
        <f t="shared" si="383"/>
        <v>-2074</v>
      </c>
    </row>
    <row r="820" spans="1:15" s="22" customFormat="1" ht="42.75" customHeight="1" x14ac:dyDescent="0.5">
      <c r="A820" s="117" t="s">
        <v>548</v>
      </c>
      <c r="B820" s="120" t="s">
        <v>381</v>
      </c>
      <c r="C820" s="121">
        <f t="shared" ref="C820:D820" si="392">C80+C186+C292+C397+C503+C609+C715</f>
        <v>3125.01</v>
      </c>
      <c r="D820" s="121">
        <f t="shared" si="392"/>
        <v>6468.7724999999991</v>
      </c>
      <c r="E820" s="121">
        <f t="shared" si="380"/>
        <v>3343.7624999999989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5500.0199999999986</v>
      </c>
      <c r="O820" s="121">
        <f t="shared" si="383"/>
        <v>3343.7624999999989</v>
      </c>
    </row>
    <row r="821" spans="1:15" s="22" customFormat="1" ht="42.75" customHeight="1" x14ac:dyDescent="0.5">
      <c r="A821" s="117" t="s">
        <v>548</v>
      </c>
      <c r="B821" s="120" t="s">
        <v>251</v>
      </c>
      <c r="C821" s="121">
        <f t="shared" ref="C821:D821" si="393">C81+C187+C293+C398+C504+C610+C716</f>
        <v>2332.5100000000002</v>
      </c>
      <c r="D821" s="121">
        <f t="shared" si="393"/>
        <v>23151.278333333335</v>
      </c>
      <c r="E821" s="121">
        <f t="shared" si="380"/>
        <v>20818.768333333333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28924.75</v>
      </c>
      <c r="O821" s="121">
        <f t="shared" si="383"/>
        <v>20818.768333333333</v>
      </c>
    </row>
    <row r="822" spans="1:15" s="22" customFormat="1" ht="42.75" customHeight="1" x14ac:dyDescent="0.5">
      <c r="A822" s="117" t="s">
        <v>548</v>
      </c>
      <c r="B822" s="120" t="s">
        <v>252</v>
      </c>
      <c r="C822" s="121">
        <f t="shared" ref="C822:D822" si="394">C82+C188+C294+C399+C505+C611+C717</f>
        <v>9496.48</v>
      </c>
      <c r="D822" s="121">
        <f t="shared" si="394"/>
        <v>27582.301666666666</v>
      </c>
      <c r="E822" s="121">
        <f t="shared" si="380"/>
        <v>18085.821666666667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27381.309999999994</v>
      </c>
      <c r="O822" s="121">
        <f t="shared" si="383"/>
        <v>18085.821666666667</v>
      </c>
    </row>
    <row r="823" spans="1:15" s="22" customFormat="1" ht="42.75" customHeight="1" x14ac:dyDescent="0.5">
      <c r="A823" s="117" t="s">
        <v>548</v>
      </c>
      <c r="B823" s="120" t="s">
        <v>253</v>
      </c>
      <c r="C823" s="121">
        <f t="shared" ref="C823:D823" si="395">C83+C189+C295+C400+C506+C612+C718</f>
        <v>3977.84</v>
      </c>
      <c r="D823" s="121">
        <f t="shared" si="395"/>
        <v>25885.620000000003</v>
      </c>
      <c r="E823" s="121">
        <f t="shared" si="380"/>
        <v>21907.780000000002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30536.320000000003</v>
      </c>
      <c r="O823" s="121">
        <f t="shared" si="383"/>
        <v>21907.780000000002</v>
      </c>
    </row>
    <row r="824" spans="1:15" s="22" customFormat="1" ht="42.75" customHeight="1" x14ac:dyDescent="0.5">
      <c r="A824" s="117" t="s">
        <v>548</v>
      </c>
      <c r="B824" s="120" t="s">
        <v>290</v>
      </c>
      <c r="C824" s="121">
        <f t="shared" ref="C824:D824" si="396">C84+C190+C296+C401+C507+C613+C719</f>
        <v>0</v>
      </c>
      <c r="D824" s="121">
        <f t="shared" si="396"/>
        <v>6340.7025000000003</v>
      </c>
      <c r="E824" s="121">
        <f t="shared" si="380"/>
        <v>6340.7025000000003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8454.27</v>
      </c>
      <c r="O824" s="121">
        <f t="shared" si="383"/>
        <v>6340.7025000000003</v>
      </c>
    </row>
    <row r="825" spans="1:15" s="22" customFormat="1" ht="42.75" customHeight="1" x14ac:dyDescent="0.5">
      <c r="A825" s="117" t="s">
        <v>548</v>
      </c>
      <c r="B825" s="120" t="s">
        <v>369</v>
      </c>
      <c r="C825" s="121">
        <f t="shared" ref="C825:D825" si="397">C85+C191+C297+C402+C508+C614+C720</f>
        <v>94.98</v>
      </c>
      <c r="D825" s="121">
        <f t="shared" si="397"/>
        <v>15529.7775</v>
      </c>
      <c r="E825" s="121">
        <f t="shared" si="380"/>
        <v>15434.797500000001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20611.39</v>
      </c>
      <c r="O825" s="121">
        <f t="shared" si="383"/>
        <v>15434.797500000001</v>
      </c>
    </row>
    <row r="826" spans="1:15" s="22" customFormat="1" ht="42.75" customHeight="1" x14ac:dyDescent="0.5">
      <c r="A826" s="117" t="s">
        <v>548</v>
      </c>
      <c r="B826" s="120" t="s">
        <v>254</v>
      </c>
      <c r="C826" s="121">
        <f t="shared" ref="C826:D826" si="398">C86+C192+C298+C403+C509+C615+C721</f>
        <v>1950</v>
      </c>
      <c r="D826" s="121">
        <f t="shared" si="398"/>
        <v>16502.414999999997</v>
      </c>
      <c r="E826" s="121">
        <f t="shared" si="380"/>
        <v>14552.414999999997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20053.219999999998</v>
      </c>
      <c r="O826" s="121">
        <f t="shared" si="383"/>
        <v>14552.414999999997</v>
      </c>
    </row>
    <row r="827" spans="1:15" s="22" customFormat="1" ht="42.75" customHeight="1" x14ac:dyDescent="0.5">
      <c r="A827" s="117" t="s">
        <v>548</v>
      </c>
      <c r="B827" s="120" t="s">
        <v>255</v>
      </c>
      <c r="C827" s="121">
        <f t="shared" ref="C827:D827" si="399">C87+C193+C299+C404+C510+C616+C722</f>
        <v>0</v>
      </c>
      <c r="D827" s="121">
        <f t="shared" si="399"/>
        <v>20061.422499999997</v>
      </c>
      <c r="E827" s="121">
        <f t="shared" si="380"/>
        <v>20061.422499999997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27541.899999999998</v>
      </c>
      <c r="O827" s="121">
        <f t="shared" si="383"/>
        <v>20061.422499999997</v>
      </c>
    </row>
    <row r="828" spans="1:15" s="22" customFormat="1" ht="42.75" customHeight="1" x14ac:dyDescent="0.5">
      <c r="A828" s="117" t="s">
        <v>548</v>
      </c>
      <c r="B828" s="120" t="s">
        <v>256</v>
      </c>
      <c r="C828" s="121">
        <f t="shared" ref="C828:D828" si="400">C88+C194+C300+C405+C511+C617+C723</f>
        <v>972.08999999999992</v>
      </c>
      <c r="D828" s="121">
        <f t="shared" si="400"/>
        <v>4215.9674999999997</v>
      </c>
      <c r="E828" s="121">
        <f t="shared" si="380"/>
        <v>3243.8774999999996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4649.2</v>
      </c>
      <c r="O828" s="121">
        <f t="shared" si="383"/>
        <v>3243.8774999999996</v>
      </c>
    </row>
    <row r="829" spans="1:15" s="22" customFormat="1" ht="42.75" customHeight="1" x14ac:dyDescent="0.5">
      <c r="A829" s="117" t="s">
        <v>548</v>
      </c>
      <c r="B829" s="120" t="s">
        <v>257</v>
      </c>
      <c r="C829" s="121">
        <f t="shared" ref="C829:D829" si="401">C89+C195+C301+C406+C512+C618+C724</f>
        <v>3667.81</v>
      </c>
      <c r="D829" s="121">
        <f t="shared" si="401"/>
        <v>17399.370000000003</v>
      </c>
      <c r="E829" s="121">
        <f t="shared" si="380"/>
        <v>13731.560000000003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19531.350000000002</v>
      </c>
      <c r="O829" s="121">
        <f t="shared" si="383"/>
        <v>13731.560000000001</v>
      </c>
    </row>
    <row r="830" spans="1:15" s="22" customFormat="1" ht="42.75" customHeight="1" x14ac:dyDescent="0.5">
      <c r="A830" s="117" t="s">
        <v>548</v>
      </c>
      <c r="B830" s="118" t="s">
        <v>259</v>
      </c>
      <c r="C830" s="122">
        <f>SUM(C810:C829)</f>
        <v>215238.69000000006</v>
      </c>
      <c r="D830" s="122">
        <f>SUM(D810:D829)</f>
        <v>679270.22208333341</v>
      </c>
      <c r="E830" s="122">
        <f>SUM(E810:E829)</f>
        <v>464031.5320833333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698583.60499999986</v>
      </c>
      <c r="O830" s="122">
        <f>SUM(O810:O829)</f>
        <v>464031.5320833333</v>
      </c>
    </row>
    <row r="831" spans="1:15" s="22" customFormat="1" ht="42.75" customHeight="1" x14ac:dyDescent="0.5">
      <c r="A831" s="117" t="s">
        <v>548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548</v>
      </c>
      <c r="B832" s="118" t="s">
        <v>260</v>
      </c>
      <c r="C832" s="123">
        <f t="shared" ref="C832:E832" si="403">C782+C807+C830</f>
        <v>6660098.700000002</v>
      </c>
      <c r="D832" s="123">
        <f t="shared" si="403"/>
        <v>8310489.0190833323</v>
      </c>
      <c r="E832" s="123">
        <f t="shared" si="403"/>
        <v>1650390.3190833328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4580410.7909999993</v>
      </c>
      <c r="O832" s="123">
        <f>O782+O807+O830</f>
        <v>1650390.3190833332</v>
      </c>
    </row>
    <row r="833" spans="1:15" s="22" customFormat="1" ht="42.75" customHeight="1" x14ac:dyDescent="0.5">
      <c r="A833" s="117" t="s">
        <v>548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548</v>
      </c>
      <c r="B834" s="118" t="s">
        <v>452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548</v>
      </c>
      <c r="B835" s="120" t="s">
        <v>263</v>
      </c>
      <c r="C835" s="121">
        <f>C95+C201+C307+C412+C518+C624+C730</f>
        <v>320800</v>
      </c>
      <c r="D835" s="121">
        <f>D95+D201+D307+D412+D518+D624+D730</f>
        <v>770550</v>
      </c>
      <c r="E835" s="121">
        <f>D835-C835</f>
        <v>449750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706600</v>
      </c>
      <c r="O835" s="121">
        <f>M835-K835</f>
        <v>449750</v>
      </c>
    </row>
    <row r="836" spans="1:15" s="22" customFormat="1" ht="42.75" customHeight="1" x14ac:dyDescent="0.5">
      <c r="A836" s="117" t="s">
        <v>548</v>
      </c>
      <c r="B836" s="120" t="s">
        <v>264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548</v>
      </c>
      <c r="B837" s="120" t="s">
        <v>322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548</v>
      </c>
      <c r="B838" s="120" t="s">
        <v>378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548</v>
      </c>
      <c r="B839" s="120" t="s">
        <v>265</v>
      </c>
      <c r="C839" s="121">
        <f t="shared" ref="C839:D839" si="417">C99+C205+C311+C416+C522+C628+C734</f>
        <v>62951.640000000007</v>
      </c>
      <c r="D839" s="121">
        <f t="shared" si="417"/>
        <v>143988.78749999998</v>
      </c>
      <c r="E839" s="121">
        <f t="shared" ref="E839:E847" si="418">D839-C839</f>
        <v>81037.147499999963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129033.40999999997</v>
      </c>
      <c r="O839" s="121">
        <f t="shared" si="414"/>
        <v>81037.147499999963</v>
      </c>
    </row>
    <row r="840" spans="1:15" s="22" customFormat="1" ht="42.75" customHeight="1" x14ac:dyDescent="0.5">
      <c r="A840" s="117" t="s">
        <v>548</v>
      </c>
      <c r="B840" s="120" t="s">
        <v>266</v>
      </c>
      <c r="C840" s="121">
        <f t="shared" ref="C840:D840" si="419">C100+C206+C312+C417+C523+C629+C735</f>
        <v>262900.89</v>
      </c>
      <c r="D840" s="121">
        <f t="shared" si="419"/>
        <v>323300.6933333333</v>
      </c>
      <c r="E840" s="121">
        <f t="shared" si="418"/>
        <v>60399.803333333286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169721.66999999993</v>
      </c>
      <c r="O840" s="121">
        <f t="shared" si="414"/>
        <v>60399.803333333286</v>
      </c>
    </row>
    <row r="841" spans="1:15" s="22" customFormat="1" ht="42.75" customHeight="1" x14ac:dyDescent="0.5">
      <c r="A841" s="117" t="s">
        <v>548</v>
      </c>
      <c r="B841" s="120" t="s">
        <v>267</v>
      </c>
      <c r="C841" s="121">
        <f t="shared" ref="C841:D841" si="420">C101+C207+C313+C418+C524+C630+C736</f>
        <v>-268420.03999999998</v>
      </c>
      <c r="D841" s="121">
        <f t="shared" si="420"/>
        <v>-353394.86249999999</v>
      </c>
      <c r="E841" s="121">
        <f t="shared" si="418"/>
        <v>-84974.822500000009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-202773.11</v>
      </c>
      <c r="O841" s="121">
        <f t="shared" si="414"/>
        <v>-84974.822500000009</v>
      </c>
    </row>
    <row r="842" spans="1:15" s="22" customFormat="1" ht="42.75" customHeight="1" x14ac:dyDescent="0.5">
      <c r="A842" s="117" t="s">
        <v>548</v>
      </c>
      <c r="B842" s="120" t="s">
        <v>268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548</v>
      </c>
      <c r="B843" s="120" t="s">
        <v>393</v>
      </c>
      <c r="C843" s="121">
        <f t="shared" ref="C843:D843" si="422">C103+C209+C315+C420+C526+C632+C738</f>
        <v>60363.41</v>
      </c>
      <c r="D843" s="121">
        <f t="shared" si="422"/>
        <v>52375.18499999999</v>
      </c>
      <c r="E843" s="121">
        <f t="shared" si="418"/>
        <v>-7988.2250000000131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9470.1699999999837</v>
      </c>
      <c r="O843" s="121">
        <f t="shared" si="414"/>
        <v>-7988.2250000000131</v>
      </c>
    </row>
    <row r="844" spans="1:15" s="22" customFormat="1" ht="42.75" customHeight="1" x14ac:dyDescent="0.5">
      <c r="A844" s="117" t="s">
        <v>548</v>
      </c>
      <c r="B844" s="120" t="s">
        <v>428</v>
      </c>
      <c r="C844" s="121">
        <f t="shared" ref="C844:D844" si="423">C104+C210+C316+C421+C527+C633+C739</f>
        <v>7366.78</v>
      </c>
      <c r="D844" s="121">
        <f t="shared" si="423"/>
        <v>5425.5</v>
      </c>
      <c r="E844" s="121">
        <f t="shared" si="418"/>
        <v>-1941.2799999999997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-132.77999999999975</v>
      </c>
      <c r="O844" s="121">
        <f t="shared" si="414"/>
        <v>-1941.2799999999997</v>
      </c>
    </row>
    <row r="845" spans="1:15" s="22" customFormat="1" ht="42.75" customHeight="1" x14ac:dyDescent="0.5">
      <c r="A845" s="117" t="s">
        <v>548</v>
      </c>
      <c r="B845" s="120" t="s">
        <v>429</v>
      </c>
      <c r="C845" s="121">
        <f t="shared" ref="C845:D845" si="424">C105+C211+C317+C422+C528+C634+C740</f>
        <v>0</v>
      </c>
      <c r="D845" s="121">
        <f t="shared" si="424"/>
        <v>45668.745000000003</v>
      </c>
      <c r="E845" s="121">
        <f t="shared" si="418"/>
        <v>45668.745000000003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60891.66</v>
      </c>
      <c r="O845" s="121">
        <f t="shared" si="414"/>
        <v>45668.745000000003</v>
      </c>
    </row>
    <row r="846" spans="1:15" s="22" customFormat="1" ht="42.75" customHeight="1" x14ac:dyDescent="0.5">
      <c r="A846" s="117" t="s">
        <v>548</v>
      </c>
      <c r="B846" s="120" t="s">
        <v>394</v>
      </c>
      <c r="C846" s="121">
        <f t="shared" ref="C846:D846" si="425">C106+C212+C318+C423+C529+C635+C741</f>
        <v>18830.050000000003</v>
      </c>
      <c r="D846" s="121">
        <f t="shared" si="425"/>
        <v>22591.245000000003</v>
      </c>
      <c r="E846" s="121">
        <f t="shared" si="418"/>
        <v>3761.1949999999997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11291.61</v>
      </c>
      <c r="O846" s="121">
        <f t="shared" si="414"/>
        <v>3761.1949999999997</v>
      </c>
    </row>
    <row r="847" spans="1:15" s="22" customFormat="1" ht="42.75" customHeight="1" x14ac:dyDescent="0.5">
      <c r="A847" s="117" t="s">
        <v>548</v>
      </c>
      <c r="B847" s="120" t="s">
        <v>439</v>
      </c>
      <c r="C847" s="121">
        <f t="shared" ref="C847:D847" si="426">C107+C213+C319+C424+C530+C636+C742</f>
        <v>0</v>
      </c>
      <c r="D847" s="121">
        <f t="shared" si="426"/>
        <v>12741.21</v>
      </c>
      <c r="E847" s="121">
        <f t="shared" si="418"/>
        <v>12741.21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16988.28</v>
      </c>
      <c r="O847" s="121">
        <f t="shared" si="414"/>
        <v>12741.21</v>
      </c>
    </row>
    <row r="848" spans="1:15" s="22" customFormat="1" ht="42.75" customHeight="1" x14ac:dyDescent="0.5">
      <c r="A848" s="117" t="s">
        <v>548</v>
      </c>
      <c r="B848" s="118" t="s">
        <v>453</v>
      </c>
      <c r="C848" s="122">
        <f t="shared" ref="C848:E848" si="427">SUM(C835:C847)</f>
        <v>464792.73000000004</v>
      </c>
      <c r="D848" s="122">
        <f t="shared" si="427"/>
        <v>1030241.5549999999</v>
      </c>
      <c r="E848" s="122">
        <f t="shared" si="427"/>
        <v>565448.8249999996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903951.14999999991</v>
      </c>
      <c r="O848" s="122">
        <f>SUM(O835:O847)</f>
        <v>565448.8249999996</v>
      </c>
    </row>
    <row r="849" spans="1:15" s="22" customFormat="1" ht="42.75" customHeight="1" x14ac:dyDescent="0.5">
      <c r="A849" s="117" t="s">
        <v>548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548</v>
      </c>
      <c r="B850" s="118" t="s">
        <v>262</v>
      </c>
      <c r="C850" s="124">
        <f t="shared" ref="C850:D850" si="430">C767-C832+C848</f>
        <v>21905125.130000379</v>
      </c>
      <c r="D850" s="124">
        <f t="shared" si="430"/>
        <v>661715.559250694</v>
      </c>
      <c r="E850" s="124">
        <f>E767-E832+E848</f>
        <v>-21243409.570749689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-21044867.86100027</v>
      </c>
      <c r="O850" s="124">
        <f>O767-O832+O848</f>
        <v>-21243409.57074945</v>
      </c>
    </row>
    <row r="851" spans="1:15" ht="15.75" thickTop="1" x14ac:dyDescent="0.25"/>
    <row r="853" spans="1:15" s="22" customFormat="1" ht="42.75" customHeight="1" x14ac:dyDescent="0.5">
      <c r="A853" s="117" t="s">
        <v>558</v>
      </c>
      <c r="B853" s="118" t="str">
        <f>B15</f>
        <v>Total Revenue</v>
      </c>
      <c r="C853" s="122">
        <f>C15+C121+C227+C332+C438+C544+C650</f>
        <v>2359097648.7000008</v>
      </c>
      <c r="D853" s="122">
        <f>D15+D121+D227+D332+D438+D544+D650</f>
        <v>3575773190.2608337</v>
      </c>
      <c r="E853" s="122">
        <f>E15+E121+E227+E332+E438+E544+E650</f>
        <v>1216675541.5608337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2418223752.6400003</v>
      </c>
      <c r="O853" s="122">
        <f>M853-K853</f>
        <v>1216675541.560833</v>
      </c>
    </row>
    <row r="854" spans="1:15" s="22" customFormat="1" ht="42.75" customHeight="1" x14ac:dyDescent="0.5">
      <c r="A854" s="117" t="s">
        <v>558</v>
      </c>
      <c r="B854" s="118" t="str">
        <f>B25</f>
        <v>Total GOGC</v>
      </c>
      <c r="C854" s="122">
        <f>C25+C131+C237+C342+C448+C554+C660</f>
        <v>2330997217.6000004</v>
      </c>
      <c r="D854" s="122">
        <f>D25+D131+D237+D342+D448+D554+D660</f>
        <v>3567831227.2374997</v>
      </c>
      <c r="E854" s="122">
        <f>E25+E131+E237+E342+E448+E554+E660</f>
        <v>1236834009.6374989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2435592160.8600006</v>
      </c>
      <c r="O854" s="122">
        <f>M854-K854</f>
        <v>1236834009.6374993</v>
      </c>
    </row>
    <row r="855" spans="1:15" s="22" customFormat="1" ht="42.75" customHeight="1" x14ac:dyDescent="0.5">
      <c r="A855" s="117" t="s">
        <v>558</v>
      </c>
      <c r="B855" s="118" t="s">
        <v>549</v>
      </c>
      <c r="C855" s="122">
        <f>C853-C854</f>
        <v>28100431.100000381</v>
      </c>
      <c r="D855" s="122">
        <f t="shared" ref="D855" si="434">D853-D854</f>
        <v>7941963.0233340263</v>
      </c>
      <c r="E855" s="122">
        <f>D855-C855</f>
        <v>-20158468.076666355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-17368408.220000267</v>
      </c>
      <c r="O855" s="122">
        <f>M855-K855</f>
        <v>-20158468.076666355</v>
      </c>
    </row>
    <row r="856" spans="1:15" s="22" customFormat="1" ht="42.75" customHeight="1" x14ac:dyDescent="0.5">
      <c r="A856" s="117" t="s">
        <v>558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558</v>
      </c>
      <c r="B857" s="118" t="str">
        <f>B42</f>
        <v xml:space="preserve">  Total Personnel Expenses</v>
      </c>
      <c r="C857" s="125">
        <f>C42+C148+C254+C359+C465+C571+C677</f>
        <v>4955187.8600000003</v>
      </c>
      <c r="D857" s="125">
        <f>D42+D148+D254+D359+D465+D571+D677</f>
        <v>4347391.1516666673</v>
      </c>
      <c r="E857" s="125">
        <f>E42+E148+E254+E359+E465+E571+E677</f>
        <v>-607796.70833333326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931654.52000000048</v>
      </c>
      <c r="O857" s="125">
        <f>M857-K857</f>
        <v>-607796.70833333302</v>
      </c>
    </row>
    <row r="858" spans="1:15" s="22" customFormat="1" ht="42.75" customHeight="1" x14ac:dyDescent="0.5">
      <c r="A858" s="117" t="s">
        <v>558</v>
      </c>
      <c r="B858" s="118" t="str">
        <f>B67</f>
        <v xml:space="preserve">  Total Facility Expense</v>
      </c>
      <c r="C858" s="122">
        <f>C67+C173+C279+C384+C490+C596+C702</f>
        <v>1489672.1500000001</v>
      </c>
      <c r="D858" s="122">
        <f>D67+D173+D279+D384+D490+D596+D702</f>
        <v>3283827.6453333334</v>
      </c>
      <c r="E858" s="122">
        <f>E67+E173+E279+E384+E490+E596+E702</f>
        <v>1794155.4953333333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2950172.6659999993</v>
      </c>
      <c r="O858" s="125">
        <f t="shared" ref="O858:O860" si="437">M858-K858</f>
        <v>1794155.495333333</v>
      </c>
    </row>
    <row r="859" spans="1:15" s="22" customFormat="1" ht="42.75" customHeight="1" x14ac:dyDescent="0.5">
      <c r="A859" s="117" t="s">
        <v>558</v>
      </c>
      <c r="B859" s="118" t="str">
        <f>B90</f>
        <v xml:space="preserve">  Total Other Expenses</v>
      </c>
      <c r="C859" s="122">
        <f>C90+C196+C302+C407+C513+C619+C725</f>
        <v>215238.69000000003</v>
      </c>
      <c r="D859" s="122">
        <f>D90+D196+D302+D407+D513+D619+D725</f>
        <v>679270.2220833333</v>
      </c>
      <c r="E859" s="122">
        <f>E90+E196+E302+E407+E513+E619+E725</f>
        <v>464031.53208333335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698583.60499999998</v>
      </c>
      <c r="O859" s="125">
        <f t="shared" si="437"/>
        <v>464031.53208333324</v>
      </c>
    </row>
    <row r="860" spans="1:15" s="22" customFormat="1" ht="42.75" customHeight="1" x14ac:dyDescent="0.5">
      <c r="A860" s="117" t="s">
        <v>558</v>
      </c>
      <c r="B860" s="118" t="str">
        <f>B92</f>
        <v>Total Expense</v>
      </c>
      <c r="C860" s="125">
        <f>C857+C858+C859</f>
        <v>6660098.7000000011</v>
      </c>
      <c r="D860" s="125">
        <f t="shared" ref="D860:E860" si="438">D857+D858+D859</f>
        <v>8310489.0190833332</v>
      </c>
      <c r="E860" s="125">
        <f t="shared" si="438"/>
        <v>1650390.3190833335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4580410.7909999993</v>
      </c>
      <c r="O860" s="125">
        <f t="shared" si="437"/>
        <v>1650390.3190833321</v>
      </c>
    </row>
    <row r="861" spans="1:15" s="22" customFormat="1" ht="42.75" customHeight="1" x14ac:dyDescent="0.5">
      <c r="A861" s="117" t="s">
        <v>558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558</v>
      </c>
      <c r="B862" s="118" t="str">
        <f>B108</f>
        <v>Total Other Income (Expense)</v>
      </c>
      <c r="C862" s="125">
        <f>C108+C214+C320+C425+C531+C637+C743</f>
        <v>464792.73000000004</v>
      </c>
      <c r="D862" s="125">
        <f>D108+D214+D320+D425+D531+D637+D743</f>
        <v>1030241.5550000001</v>
      </c>
      <c r="E862" s="125">
        <f>E108+E214+E320+E425+E531+E637+E743</f>
        <v>440448.82499999995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903951.15000000014</v>
      </c>
      <c r="O862" s="125">
        <f>M862-K862</f>
        <v>565448.82500000007</v>
      </c>
    </row>
    <row r="863" spans="1:15" s="22" customFormat="1" ht="42.75" customHeight="1" x14ac:dyDescent="0.5">
      <c r="A863" s="117" t="s">
        <v>558</v>
      </c>
      <c r="B863" s="118" t="str">
        <f>B110</f>
        <v>Net Income (loss):</v>
      </c>
      <c r="C863" s="122">
        <f>C855-C860+C862</f>
        <v>21905125.130000379</v>
      </c>
      <c r="D863" s="122">
        <f>D855-D860+D862</f>
        <v>661715.55925069319</v>
      </c>
      <c r="E863" s="122">
        <f>E855-E860+E862</f>
        <v>-21368409.570749689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-21044867.86100027</v>
      </c>
      <c r="O863" s="122">
        <f>M863-K863</f>
        <v>-21243409.570749689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559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560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561</v>
      </c>
      <c r="C867" s="122">
        <f>C855-C767</f>
        <v>0</v>
      </c>
      <c r="D867" s="122">
        <f t="shared" ref="D867:O867" si="444">D855-D767</f>
        <v>0</v>
      </c>
      <c r="E867" s="122">
        <f>E855-E767</f>
        <v>0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0</v>
      </c>
      <c r="O867" s="122">
        <f t="shared" si="444"/>
        <v>-2.384185791015625E-7</v>
      </c>
    </row>
    <row r="868" spans="1:15" s="22" customFormat="1" ht="42.75" customHeight="1" x14ac:dyDescent="0.5">
      <c r="A868" s="117"/>
      <c r="B868" s="118" t="s">
        <v>562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563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564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565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566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-124999.99999999965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567</v>
      </c>
      <c r="C873" s="122">
        <f>C863-C850</f>
        <v>0</v>
      </c>
      <c r="D873" s="122">
        <f t="shared" ref="D873:O873" si="450">D863-D850</f>
        <v>0</v>
      </c>
      <c r="E873" s="122">
        <f t="shared" si="450"/>
        <v>-125000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0</v>
      </c>
      <c r="O873" s="122">
        <f t="shared" si="450"/>
        <v>-2.384185791015625E-7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6"/>
  <sheetViews>
    <sheetView view="pageBreakPreview" zoomScale="60" zoomScaleNormal="100" workbookViewId="0">
      <pane ySplit="6" topLeftCell="A45" activePane="bottomLeft" state="frozen"/>
      <selection activeCell="R86" sqref="R86"/>
      <selection pane="bottomLeft" activeCell="B67" sqref="B67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4" width="13.42578125" style="161" customWidth="1"/>
    <col min="5" max="5" width="13" style="161" customWidth="1"/>
    <col min="6" max="13" width="13" style="161" hidden="1" customWidth="1"/>
    <col min="14" max="14" width="15.1406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2" t="s">
        <v>269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P1" s="340" t="s">
        <v>568</v>
      </c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P2" s="340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U4" s="339">
        <v>2018</v>
      </c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A7" s="128" t="s">
        <v>58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271</v>
      </c>
      <c r="B8" s="161">
        <v>973.98</v>
      </c>
      <c r="C8" s="161">
        <v>278.86</v>
      </c>
      <c r="D8" s="161">
        <v>1281.42</v>
      </c>
      <c r="E8" s="161">
        <v>632.70000000000005</v>
      </c>
      <c r="N8" s="161">
        <f t="shared" ref="N8:N20" si="0">SUM(B8:M8)</f>
        <v>3166.96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272</v>
      </c>
      <c r="B9" s="161">
        <v>640</v>
      </c>
      <c r="C9" s="161">
        <v>77604.350000000006</v>
      </c>
      <c r="D9" s="161">
        <v>48799.71</v>
      </c>
      <c r="E9" s="161">
        <v>34306.6</v>
      </c>
      <c r="N9" s="161">
        <f t="shared" si="0"/>
        <v>161350.66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2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hidden="1" x14ac:dyDescent="0.25">
      <c r="A10" s="127" t="s">
        <v>327</v>
      </c>
      <c r="N10" s="161">
        <f t="shared" si="0"/>
        <v>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273</v>
      </c>
      <c r="B11" s="161">
        <v>292485</v>
      </c>
      <c r="C11" s="161">
        <v>282030</v>
      </c>
      <c r="D11" s="161">
        <v>218830</v>
      </c>
      <c r="E11" s="161">
        <v>187212.5</v>
      </c>
      <c r="N11" s="161">
        <f t="shared" si="0"/>
        <v>980557.5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301</v>
      </c>
      <c r="B12" s="161">
        <v>44450</v>
      </c>
      <c r="C12" s="161">
        <v>303260</v>
      </c>
      <c r="D12" s="161">
        <v>92385</v>
      </c>
      <c r="E12" s="161">
        <v>197050</v>
      </c>
      <c r="N12" s="161">
        <f>SUM(B12:M12)</f>
        <v>637145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274</v>
      </c>
      <c r="B13" s="161">
        <v>3896.5</v>
      </c>
      <c r="C13" s="161">
        <v>3896.5</v>
      </c>
      <c r="D13" s="161">
        <v>3896.5</v>
      </c>
      <c r="E13" s="161">
        <v>3883</v>
      </c>
      <c r="N13" s="161">
        <f t="shared" si="0"/>
        <v>15572.5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hidden="1" x14ac:dyDescent="0.25">
      <c r="A14" s="127" t="s">
        <v>620</v>
      </c>
      <c r="N14" s="161">
        <f t="shared" si="0"/>
        <v>0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534</v>
      </c>
      <c r="B15" s="161">
        <v>32795.1</v>
      </c>
      <c r="C15" s="161">
        <v>33052.07</v>
      </c>
      <c r="D15" s="161">
        <v>35092.839999999997</v>
      </c>
      <c r="E15" s="161">
        <v>35164.480000000003</v>
      </c>
      <c r="N15" s="161">
        <f t="shared" si="0"/>
        <v>136104.49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414</v>
      </c>
      <c r="B16" s="161">
        <v>1333.33</v>
      </c>
      <c r="C16" s="161">
        <v>1333.33</v>
      </c>
      <c r="D16" s="161">
        <v>1333.33</v>
      </c>
      <c r="E16" s="161">
        <v>1333.33</v>
      </c>
      <c r="N16" s="161">
        <f t="shared" si="0"/>
        <v>5333.32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415</v>
      </c>
      <c r="B17" s="161">
        <v>8657.83</v>
      </c>
      <c r="C17" s="161">
        <v>8229.56</v>
      </c>
      <c r="D17" s="161">
        <v>8695.4699999999993</v>
      </c>
      <c r="E17" s="161">
        <v>8663.7900000000009</v>
      </c>
      <c r="N17" s="161">
        <f t="shared" si="0"/>
        <v>34246.65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33449.97</v>
      </c>
      <c r="C18" s="161">
        <v>28096.799999999999</v>
      </c>
      <c r="D18" s="161">
        <v>17404.84</v>
      </c>
      <c r="E18" s="161">
        <v>14000</v>
      </c>
      <c r="N18" s="161">
        <f t="shared" si="0"/>
        <v>92951.61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7" t="s">
        <v>671</v>
      </c>
      <c r="B19" s="161">
        <v>8480</v>
      </c>
      <c r="C19" s="161">
        <v>8140</v>
      </c>
      <c r="D19" s="161">
        <v>8100</v>
      </c>
      <c r="E19" s="161">
        <v>8100</v>
      </c>
      <c r="N19" s="161">
        <f t="shared" si="0"/>
        <v>32820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x14ac:dyDescent="0.25">
      <c r="A20" s="127" t="s">
        <v>669</v>
      </c>
      <c r="B20" s="161">
        <v>0</v>
      </c>
      <c r="C20" s="161">
        <v>0</v>
      </c>
      <c r="D20" s="161">
        <v>0</v>
      </c>
      <c r="E20" s="161">
        <v>50</v>
      </c>
      <c r="N20" s="161">
        <f t="shared" si="0"/>
        <v>50</v>
      </c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x14ac:dyDescent="0.25">
      <c r="A21" s="128" t="s">
        <v>219</v>
      </c>
      <c r="B21" s="191">
        <f t="shared" ref="B21:N21" si="6">SUM(B8:B20)</f>
        <v>427161.70999999996</v>
      </c>
      <c r="C21" s="191">
        <f t="shared" si="6"/>
        <v>745921.47</v>
      </c>
      <c r="D21" s="191">
        <f t="shared" si="6"/>
        <v>435819.11</v>
      </c>
      <c r="E21" s="191">
        <f t="shared" si="6"/>
        <v>490396.39999999997</v>
      </c>
      <c r="F21" s="191">
        <f t="shared" si="6"/>
        <v>0</v>
      </c>
      <c r="G21" s="191">
        <f t="shared" si="6"/>
        <v>0</v>
      </c>
      <c r="H21" s="191">
        <f t="shared" si="6"/>
        <v>0</v>
      </c>
      <c r="I21" s="191">
        <f t="shared" si="6"/>
        <v>0</v>
      </c>
      <c r="J21" s="191">
        <f t="shared" si="6"/>
        <v>0</v>
      </c>
      <c r="K21" s="191">
        <f t="shared" si="6"/>
        <v>0</v>
      </c>
      <c r="L21" s="191">
        <f t="shared" si="6"/>
        <v>0</v>
      </c>
      <c r="M21" s="191">
        <f t="shared" si="6"/>
        <v>0</v>
      </c>
      <c r="N21" s="191">
        <f t="shared" si="6"/>
        <v>2099298.6900000004</v>
      </c>
      <c r="P21" s="191">
        <f>SUM(P8:P17)</f>
        <v>2715544.4925000002</v>
      </c>
      <c r="Q21" s="191">
        <f>SUM(Q8:Q17)</f>
        <v>3620725.9899999998</v>
      </c>
      <c r="R21" s="191">
        <f>SUM(R8:R17)</f>
        <v>3620725.9899999998</v>
      </c>
      <c r="S21" s="190">
        <f t="shared" si="5"/>
        <v>0</v>
      </c>
      <c r="T21" s="190"/>
      <c r="U21" s="191">
        <f t="shared" ref="U21:AG21" si="7">SUM(U8:U17)</f>
        <v>149268.41</v>
      </c>
      <c r="V21" s="191">
        <f t="shared" si="7"/>
        <v>114501.72</v>
      </c>
      <c r="W21" s="191">
        <f t="shared" si="7"/>
        <v>206625.96000000002</v>
      </c>
      <c r="X21" s="191">
        <f t="shared" si="7"/>
        <v>165779.96</v>
      </c>
      <c r="Y21" s="191">
        <f t="shared" si="7"/>
        <v>274147.28999999998</v>
      </c>
      <c r="Z21" s="191">
        <f t="shared" si="7"/>
        <v>227290.61</v>
      </c>
      <c r="AA21" s="191">
        <f t="shared" si="7"/>
        <v>239028.62999999998</v>
      </c>
      <c r="AB21" s="191">
        <f t="shared" si="7"/>
        <v>274792.29000000004</v>
      </c>
      <c r="AC21" s="191">
        <f t="shared" si="7"/>
        <v>802820.03</v>
      </c>
      <c r="AD21" s="191">
        <f t="shared" si="7"/>
        <v>428734.95</v>
      </c>
      <c r="AE21" s="191">
        <f t="shared" si="7"/>
        <v>242750.44000000003</v>
      </c>
      <c r="AF21" s="191">
        <f t="shared" si="7"/>
        <v>494985.7</v>
      </c>
      <c r="AG21" s="191">
        <f t="shared" si="7"/>
        <v>3620725.9899999998</v>
      </c>
    </row>
    <row r="22" spans="1:33" x14ac:dyDescent="0.25">
      <c r="P22" s="161"/>
      <c r="Q22" s="161"/>
      <c r="R22" s="161"/>
      <c r="S22" s="190"/>
      <c r="T22" s="190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</row>
    <row r="23" spans="1:33" x14ac:dyDescent="0.25">
      <c r="A23" s="128" t="s">
        <v>275</v>
      </c>
      <c r="P23" s="161"/>
      <c r="Q23" s="161"/>
      <c r="R23" s="161"/>
      <c r="S23" s="190"/>
      <c r="T23" s="190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>
        <f>SUM(U23:Y23)</f>
        <v>0</v>
      </c>
    </row>
    <row r="24" spans="1:33" x14ac:dyDescent="0.25">
      <c r="A24" s="127" t="s">
        <v>277</v>
      </c>
      <c r="B24" s="161">
        <v>1187.77</v>
      </c>
      <c r="C24" s="161">
        <v>204.58</v>
      </c>
      <c r="D24" s="161">
        <v>998.06</v>
      </c>
      <c r="E24" s="161">
        <v>539.95000000000005</v>
      </c>
      <c r="N24" s="161">
        <f>SUM(B24:M24)</f>
        <v>2930.3599999999997</v>
      </c>
      <c r="P24" s="161">
        <f t="shared" ref="P24:P26" si="8">Q24/12*$P$6</f>
        <v>96669.375</v>
      </c>
      <c r="Q24" s="161">
        <f t="shared" ref="Q24:Q26" si="9">R24</f>
        <v>128892.5</v>
      </c>
      <c r="R24" s="161">
        <f>AG24</f>
        <v>128892.5</v>
      </c>
      <c r="S24" s="190">
        <f t="shared" si="5"/>
        <v>0</v>
      </c>
      <c r="T24" s="190"/>
      <c r="U24" s="161">
        <v>1052.68</v>
      </c>
      <c r="V24" s="161">
        <v>7138.13</v>
      </c>
      <c r="W24" s="161">
        <v>9184.15</v>
      </c>
      <c r="X24" s="161">
        <v>19400.439999999999</v>
      </c>
      <c r="Y24" s="161">
        <v>36.549999999999997</v>
      </c>
      <c r="Z24" s="161">
        <v>15295.31</v>
      </c>
      <c r="AA24" s="161">
        <v>15289.72</v>
      </c>
      <c r="AB24" s="161">
        <v>12182.21</v>
      </c>
      <c r="AC24" s="161">
        <v>24364.43</v>
      </c>
      <c r="AD24" s="161">
        <v>0</v>
      </c>
      <c r="AE24" s="161">
        <v>0</v>
      </c>
      <c r="AF24" s="161">
        <v>24948.880000000001</v>
      </c>
      <c r="AG24" s="161">
        <f>SUM(U24:AF24)</f>
        <v>128892.5</v>
      </c>
    </row>
    <row r="25" spans="1:33" hidden="1" x14ac:dyDescent="0.25">
      <c r="A25" s="127" t="s">
        <v>276</v>
      </c>
      <c r="B25" s="161">
        <v>0</v>
      </c>
      <c r="N25" s="161">
        <f>SUM(B25:M25)</f>
        <v>0</v>
      </c>
      <c r="P25" s="161">
        <f t="shared" si="8"/>
        <v>284775.84750000003</v>
      </c>
      <c r="Q25" s="161">
        <f t="shared" si="9"/>
        <v>379701.13000000006</v>
      </c>
      <c r="R25" s="161">
        <f t="shared" ref="R25:R26" si="10">AG25</f>
        <v>379701.13000000006</v>
      </c>
      <c r="S25" s="190">
        <f t="shared" si="5"/>
        <v>0</v>
      </c>
      <c r="T25" s="190"/>
      <c r="U25" s="161">
        <v>45325</v>
      </c>
      <c r="V25" s="161">
        <v>0</v>
      </c>
      <c r="W25" s="161">
        <v>11772.5</v>
      </c>
      <c r="X25" s="161">
        <v>11772.5</v>
      </c>
      <c r="Y25" s="161">
        <v>0</v>
      </c>
      <c r="Z25" s="161">
        <v>26350</v>
      </c>
      <c r="AA25" s="161">
        <v>0</v>
      </c>
      <c r="AB25" s="161">
        <v>36548.32</v>
      </c>
      <c r="AC25" s="161">
        <v>36546.639999999999</v>
      </c>
      <c r="AD25" s="161">
        <v>72983.460000000006</v>
      </c>
      <c r="AE25" s="161">
        <v>17340</v>
      </c>
      <c r="AF25" s="161">
        <v>121062.71</v>
      </c>
      <c r="AG25" s="161">
        <f>SUM(U25:AF25)</f>
        <v>379701.13000000006</v>
      </c>
    </row>
    <row r="26" spans="1:33" x14ac:dyDescent="0.25">
      <c r="A26" s="127" t="s">
        <v>416</v>
      </c>
      <c r="B26" s="161">
        <v>825.37</v>
      </c>
      <c r="C26" s="161">
        <v>944.65</v>
      </c>
      <c r="D26" s="161">
        <v>0</v>
      </c>
      <c r="E26" s="161">
        <v>1568.66</v>
      </c>
      <c r="N26" s="161">
        <f>SUM(B26:M26)</f>
        <v>3338.6800000000003</v>
      </c>
      <c r="P26" s="161">
        <f t="shared" si="8"/>
        <v>8425.6350000000002</v>
      </c>
      <c r="Q26" s="161">
        <f t="shared" si="9"/>
        <v>11234.18</v>
      </c>
      <c r="R26" s="161">
        <f t="shared" si="10"/>
        <v>11234.18</v>
      </c>
      <c r="S26" s="190">
        <f t="shared" si="5"/>
        <v>0</v>
      </c>
      <c r="T26" s="190"/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4534.2</v>
      </c>
      <c r="AA26" s="161">
        <v>0</v>
      </c>
      <c r="AB26" s="161">
        <v>1400.86</v>
      </c>
      <c r="AC26" s="161">
        <v>0</v>
      </c>
      <c r="AD26" s="161">
        <v>4448.28</v>
      </c>
      <c r="AE26" s="161">
        <v>0</v>
      </c>
      <c r="AF26" s="161">
        <v>850.84</v>
      </c>
      <c r="AG26" s="161">
        <f>SUM(U26:AF26)</f>
        <v>11234.18</v>
      </c>
    </row>
    <row r="27" spans="1:33" x14ac:dyDescent="0.25">
      <c r="A27" s="128" t="s">
        <v>278</v>
      </c>
      <c r="B27" s="191">
        <f t="shared" ref="B27:N27" si="11">SUM(B24:B26)</f>
        <v>2013.1399999999999</v>
      </c>
      <c r="C27" s="191">
        <f t="shared" si="11"/>
        <v>1149.23</v>
      </c>
      <c r="D27" s="191">
        <f t="shared" si="11"/>
        <v>998.06</v>
      </c>
      <c r="E27" s="191">
        <f t="shared" si="11"/>
        <v>2108.61</v>
      </c>
      <c r="F27" s="191">
        <f t="shared" si="11"/>
        <v>0</v>
      </c>
      <c r="G27" s="191">
        <f t="shared" si="11"/>
        <v>0</v>
      </c>
      <c r="H27" s="191">
        <f t="shared" si="11"/>
        <v>0</v>
      </c>
      <c r="I27" s="191">
        <f t="shared" si="11"/>
        <v>0</v>
      </c>
      <c r="J27" s="191">
        <f t="shared" si="11"/>
        <v>0</v>
      </c>
      <c r="K27" s="191">
        <f t="shared" si="11"/>
        <v>0</v>
      </c>
      <c r="L27" s="191">
        <f t="shared" si="11"/>
        <v>0</v>
      </c>
      <c r="M27" s="191">
        <f t="shared" si="11"/>
        <v>0</v>
      </c>
      <c r="N27" s="191">
        <f t="shared" si="11"/>
        <v>6269.04</v>
      </c>
      <c r="P27" s="191">
        <f>SUM(P24:P26)</f>
        <v>389870.85750000004</v>
      </c>
      <c r="Q27" s="191">
        <f t="shared" ref="Q27:R27" si="12">SUM(Q24:Q26)</f>
        <v>519827.81000000006</v>
      </c>
      <c r="R27" s="191">
        <f t="shared" si="12"/>
        <v>519827.81000000006</v>
      </c>
      <c r="S27" s="190">
        <f t="shared" si="5"/>
        <v>0</v>
      </c>
      <c r="T27" s="190"/>
      <c r="U27" s="191">
        <f t="shared" ref="U27:AG27" si="13">SUM(U24:U26)</f>
        <v>46377.68</v>
      </c>
      <c r="V27" s="191">
        <f t="shared" si="13"/>
        <v>7138.13</v>
      </c>
      <c r="W27" s="191">
        <f t="shared" si="13"/>
        <v>20956.650000000001</v>
      </c>
      <c r="X27" s="191">
        <f t="shared" si="13"/>
        <v>31172.94</v>
      </c>
      <c r="Y27" s="191">
        <f t="shared" si="13"/>
        <v>36.549999999999997</v>
      </c>
      <c r="Z27" s="191">
        <f t="shared" si="13"/>
        <v>46179.509999999995</v>
      </c>
      <c r="AA27" s="191">
        <f t="shared" si="13"/>
        <v>15289.72</v>
      </c>
      <c r="AB27" s="191">
        <f t="shared" si="13"/>
        <v>50131.39</v>
      </c>
      <c r="AC27" s="191">
        <f t="shared" si="13"/>
        <v>60911.07</v>
      </c>
      <c r="AD27" s="191">
        <f t="shared" si="13"/>
        <v>77431.740000000005</v>
      </c>
      <c r="AE27" s="191">
        <f t="shared" si="13"/>
        <v>17340</v>
      </c>
      <c r="AF27" s="191">
        <f t="shared" si="13"/>
        <v>146862.43</v>
      </c>
      <c r="AG27" s="191">
        <f t="shared" si="13"/>
        <v>519827.81000000006</v>
      </c>
    </row>
    <row r="28" spans="1:33" x14ac:dyDescent="0.25"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ht="15.75" thickBot="1" x14ac:dyDescent="0.3">
      <c r="A29" s="128" t="s">
        <v>207</v>
      </c>
      <c r="B29" s="192">
        <f t="shared" ref="B29:N29" si="14">B21-B27</f>
        <v>425148.56999999995</v>
      </c>
      <c r="C29" s="192">
        <f t="shared" si="14"/>
        <v>744772.24</v>
      </c>
      <c r="D29" s="192">
        <f t="shared" si="14"/>
        <v>434821.05</v>
      </c>
      <c r="E29" s="192">
        <f t="shared" si="14"/>
        <v>488287.79</v>
      </c>
      <c r="F29" s="192">
        <f t="shared" si="14"/>
        <v>0</v>
      </c>
      <c r="G29" s="192">
        <f t="shared" si="14"/>
        <v>0</v>
      </c>
      <c r="H29" s="192">
        <f t="shared" si="14"/>
        <v>0</v>
      </c>
      <c r="I29" s="192">
        <f t="shared" si="14"/>
        <v>0</v>
      </c>
      <c r="J29" s="192">
        <f t="shared" si="14"/>
        <v>0</v>
      </c>
      <c r="K29" s="192">
        <f t="shared" si="14"/>
        <v>0</v>
      </c>
      <c r="L29" s="192">
        <f t="shared" si="14"/>
        <v>0</v>
      </c>
      <c r="M29" s="192">
        <f t="shared" si="14"/>
        <v>0</v>
      </c>
      <c r="N29" s="192">
        <f t="shared" si="14"/>
        <v>2093029.6500000004</v>
      </c>
      <c r="P29" s="192">
        <f>P21-P27</f>
        <v>2325673.6350000002</v>
      </c>
      <c r="Q29" s="192">
        <f t="shared" ref="Q29:R29" si="15">Q21-Q27</f>
        <v>3100898.1799999997</v>
      </c>
      <c r="R29" s="192">
        <f t="shared" si="15"/>
        <v>3100898.1799999997</v>
      </c>
      <c r="S29" s="190">
        <f t="shared" si="5"/>
        <v>0</v>
      </c>
      <c r="T29" s="190"/>
      <c r="U29" s="192">
        <f t="shared" ref="U29:AG29" si="16">U21-U27</f>
        <v>102890.73000000001</v>
      </c>
      <c r="V29" s="192">
        <f t="shared" si="16"/>
        <v>107363.59</v>
      </c>
      <c r="W29" s="192">
        <f t="shared" si="16"/>
        <v>185669.31000000003</v>
      </c>
      <c r="X29" s="192">
        <f t="shared" si="16"/>
        <v>134607.01999999999</v>
      </c>
      <c r="Y29" s="192">
        <f t="shared" si="16"/>
        <v>274110.74</v>
      </c>
      <c r="Z29" s="192">
        <f t="shared" si="16"/>
        <v>181111.09999999998</v>
      </c>
      <c r="AA29" s="192">
        <f t="shared" si="16"/>
        <v>223738.90999999997</v>
      </c>
      <c r="AB29" s="192">
        <f t="shared" si="16"/>
        <v>224660.90000000002</v>
      </c>
      <c r="AC29" s="192">
        <f t="shared" si="16"/>
        <v>741908.96000000008</v>
      </c>
      <c r="AD29" s="192">
        <f t="shared" si="16"/>
        <v>351303.21</v>
      </c>
      <c r="AE29" s="192">
        <f t="shared" si="16"/>
        <v>225410.44000000003</v>
      </c>
      <c r="AF29" s="192">
        <f t="shared" si="16"/>
        <v>348123.27</v>
      </c>
      <c r="AG29" s="192">
        <f t="shared" si="16"/>
        <v>3100898.1799999997</v>
      </c>
    </row>
    <row r="30" spans="1:33" x14ac:dyDescent="0.25"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8" t="s">
        <v>205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221</v>
      </c>
      <c r="P32" s="161"/>
      <c r="Q32" s="161"/>
      <c r="R32" s="161"/>
      <c r="S32" s="190"/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>
        <f>SUM(U32:Y32)</f>
        <v>0</v>
      </c>
    </row>
    <row r="33" spans="1:33" x14ac:dyDescent="0.25">
      <c r="A33" s="127" t="s">
        <v>279</v>
      </c>
      <c r="B33" s="161">
        <v>108396.84</v>
      </c>
      <c r="C33" s="161">
        <v>96000.13</v>
      </c>
      <c r="D33" s="161">
        <v>110565.83</v>
      </c>
      <c r="E33" s="161">
        <v>103406.61</v>
      </c>
      <c r="N33" s="161">
        <f>SUM(B33:M33)</f>
        <v>418369.41</v>
      </c>
      <c r="P33" s="161">
        <f>Q33/12*$P$6</f>
        <v>648000</v>
      </c>
      <c r="Q33" s="161">
        <f>72000*12</f>
        <v>864000</v>
      </c>
      <c r="R33" s="161">
        <f>AG33</f>
        <v>848837.41</v>
      </c>
      <c r="S33" s="190">
        <f t="shared" si="5"/>
        <v>0</v>
      </c>
      <c r="T33" s="190"/>
      <c r="U33" s="161">
        <v>8738.67</v>
      </c>
      <c r="V33" s="161">
        <v>7542.86</v>
      </c>
      <c r="W33" s="161">
        <v>8498.8799999999992</v>
      </c>
      <c r="X33" s="161">
        <v>8584.34</v>
      </c>
      <c r="Y33" s="161">
        <v>9426.1</v>
      </c>
      <c r="Z33" s="161">
        <v>8607.9500000000007</v>
      </c>
      <c r="AA33" s="161">
        <v>8988.25</v>
      </c>
      <c r="AB33" s="161">
        <v>9405.7800000000007</v>
      </c>
      <c r="AC33" s="161">
        <v>485631.04</v>
      </c>
      <c r="AD33" s="161">
        <v>84237.75</v>
      </c>
      <c r="AE33" s="161">
        <v>67313.05</v>
      </c>
      <c r="AF33" s="161">
        <v>141862.74</v>
      </c>
      <c r="AG33" s="161">
        <f>SUM(U33:AF33)</f>
        <v>848837.41</v>
      </c>
    </row>
    <row r="34" spans="1:33" x14ac:dyDescent="0.25">
      <c r="A34" s="127" t="s">
        <v>528</v>
      </c>
      <c r="B34" s="161">
        <v>8220.84</v>
      </c>
      <c r="C34" s="161">
        <v>8012.5</v>
      </c>
      <c r="D34" s="161">
        <v>8012.5</v>
      </c>
      <c r="E34" s="161">
        <v>8012.5</v>
      </c>
      <c r="N34" s="161">
        <f>SUM(B34:M34)</f>
        <v>32258.34</v>
      </c>
      <c r="P34" s="161">
        <f t="shared" ref="P34:P41" si="17">Q34/12*$P$6</f>
        <v>33356.25</v>
      </c>
      <c r="Q34" s="161">
        <f>(3706.25*12)</f>
        <v>44475</v>
      </c>
      <c r="R34" s="161">
        <f t="shared" ref="R34:R41" si="18">AG34</f>
        <v>0</v>
      </c>
      <c r="S34" s="190">
        <f t="shared" si="5"/>
        <v>0</v>
      </c>
      <c r="T34" s="190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x14ac:dyDescent="0.25">
      <c r="A35" s="127" t="s">
        <v>223</v>
      </c>
      <c r="B35" s="161">
        <v>346.12</v>
      </c>
      <c r="C35" s="161">
        <v>366.97</v>
      </c>
      <c r="D35" s="161">
        <v>366.97</v>
      </c>
      <c r="E35" s="161">
        <v>366.97</v>
      </c>
      <c r="N35" s="161">
        <f>SUM(B35:M35)</f>
        <v>1447.03</v>
      </c>
      <c r="P35" s="161"/>
      <c r="Q35" s="161"/>
      <c r="R35" s="161"/>
      <c r="S35" s="190"/>
      <c r="T35" s="190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</row>
    <row r="36" spans="1:33" x14ac:dyDescent="0.25">
      <c r="A36" s="127" t="s">
        <v>280</v>
      </c>
      <c r="B36" s="161">
        <v>12900.14</v>
      </c>
      <c r="C36" s="161">
        <v>9142.1</v>
      </c>
      <c r="D36" s="161">
        <v>10264.93</v>
      </c>
      <c r="E36" s="161">
        <v>9203.8700000000008</v>
      </c>
      <c r="N36" s="161">
        <f t="shared" ref="N36:N42" si="19">SUM(B36:M36)</f>
        <v>41511.040000000001</v>
      </c>
      <c r="P36" s="161">
        <f t="shared" si="17"/>
        <v>49301.257500000007</v>
      </c>
      <c r="Q36" s="161">
        <f t="shared" ref="Q36:Q41" si="20">R36</f>
        <v>65735.010000000009</v>
      </c>
      <c r="R36" s="161">
        <f t="shared" si="18"/>
        <v>65735.010000000009</v>
      </c>
      <c r="S36" s="190">
        <f t="shared" si="5"/>
        <v>0</v>
      </c>
      <c r="T36" s="190"/>
      <c r="U36" s="161">
        <v>1485.28</v>
      </c>
      <c r="V36" s="161">
        <v>1185.3900000000001</v>
      </c>
      <c r="W36" s="161">
        <v>1307.2</v>
      </c>
      <c r="X36" s="161">
        <v>729.18</v>
      </c>
      <c r="Y36" s="161">
        <v>687.56</v>
      </c>
      <c r="Z36" s="161">
        <v>659.18</v>
      </c>
      <c r="AA36" s="161">
        <v>670.69</v>
      </c>
      <c r="AB36" s="161">
        <v>720.28</v>
      </c>
      <c r="AC36" s="161">
        <v>40654.26</v>
      </c>
      <c r="AD36" s="161">
        <v>4895.8900000000003</v>
      </c>
      <c r="AE36" s="161">
        <v>3981.11</v>
      </c>
      <c r="AF36" s="161">
        <v>8758.99</v>
      </c>
      <c r="AG36" s="161">
        <f t="shared" ref="AG36:AG41" si="21">SUM(U36:AF36)</f>
        <v>65735.010000000009</v>
      </c>
    </row>
    <row r="37" spans="1:33" x14ac:dyDescent="0.25">
      <c r="A37" s="127" t="s">
        <v>281</v>
      </c>
      <c r="B37" s="161">
        <v>14927.35</v>
      </c>
      <c r="C37" s="161">
        <v>14673.57</v>
      </c>
      <c r="D37" s="161">
        <v>14577.99</v>
      </c>
      <c r="E37" s="161">
        <v>15145.81</v>
      </c>
      <c r="N37" s="161">
        <f t="shared" si="19"/>
        <v>59324.719999999994</v>
      </c>
      <c r="P37" s="161">
        <f t="shared" si="17"/>
        <v>83250</v>
      </c>
      <c r="Q37" s="161">
        <f>9250*12</f>
        <v>111000</v>
      </c>
      <c r="R37" s="161">
        <f t="shared" si="18"/>
        <v>100999.13</v>
      </c>
      <c r="S37" s="190">
        <f t="shared" si="5"/>
        <v>0</v>
      </c>
      <c r="T37" s="190"/>
      <c r="U37" s="161">
        <v>3064.68</v>
      </c>
      <c r="V37" s="161">
        <v>3064.68</v>
      </c>
      <c r="W37" s="161">
        <v>3580.55</v>
      </c>
      <c r="X37" s="161">
        <v>3064.68</v>
      </c>
      <c r="Y37" s="161">
        <v>3064.68</v>
      </c>
      <c r="Z37" s="161">
        <v>3064.68</v>
      </c>
      <c r="AA37" s="161">
        <v>3064.68</v>
      </c>
      <c r="AB37" s="161">
        <v>3064.68</v>
      </c>
      <c r="AC37" s="161">
        <v>51772.85</v>
      </c>
      <c r="AD37" s="161">
        <v>8213.7800000000007</v>
      </c>
      <c r="AE37" s="161">
        <v>8596.84</v>
      </c>
      <c r="AF37" s="161">
        <v>7382.35</v>
      </c>
      <c r="AG37" s="161">
        <f t="shared" si="21"/>
        <v>100999.13</v>
      </c>
    </row>
    <row r="38" spans="1:33" x14ac:dyDescent="0.25">
      <c r="A38" s="127" t="s">
        <v>282</v>
      </c>
      <c r="B38" s="161">
        <v>1683.06</v>
      </c>
      <c r="C38" s="161">
        <v>1670.07</v>
      </c>
      <c r="D38" s="161">
        <v>1670.07</v>
      </c>
      <c r="E38" s="161">
        <v>1670.07</v>
      </c>
      <c r="N38" s="161">
        <f t="shared" si="19"/>
        <v>6693.2699999999995</v>
      </c>
      <c r="P38" s="161">
        <f t="shared" si="17"/>
        <v>9450</v>
      </c>
      <c r="Q38" s="161">
        <f>1050*12</f>
        <v>12600</v>
      </c>
      <c r="R38" s="161">
        <f t="shared" si="18"/>
        <v>4711.1099999999997</v>
      </c>
      <c r="S38" s="190">
        <f t="shared" si="5"/>
        <v>0</v>
      </c>
      <c r="T38" s="190"/>
      <c r="U38" s="161">
        <v>216.98</v>
      </c>
      <c r="V38" s="161">
        <v>216.98</v>
      </c>
      <c r="W38" s="161">
        <v>216.98</v>
      </c>
      <c r="X38" s="161">
        <v>216.98</v>
      </c>
      <c r="Y38" s="161">
        <v>216.98</v>
      </c>
      <c r="Z38" s="161">
        <v>216.98</v>
      </c>
      <c r="AA38" s="161">
        <v>216.98</v>
      </c>
      <c r="AB38" s="161">
        <v>216.98</v>
      </c>
      <c r="AC38" s="161">
        <v>216.98</v>
      </c>
      <c r="AD38" s="161">
        <v>959.03</v>
      </c>
      <c r="AE38" s="161">
        <v>993.66</v>
      </c>
      <c r="AF38" s="161">
        <v>805.6</v>
      </c>
      <c r="AG38" s="161">
        <f t="shared" si="21"/>
        <v>4711.1099999999997</v>
      </c>
    </row>
    <row r="39" spans="1:33" x14ac:dyDescent="0.25">
      <c r="A39" s="127" t="s">
        <v>326</v>
      </c>
      <c r="B39" s="161">
        <v>3082.18</v>
      </c>
      <c r="C39" s="161">
        <v>2987.57</v>
      </c>
      <c r="D39" s="161">
        <v>2959.53</v>
      </c>
      <c r="E39" s="161">
        <v>2933.15</v>
      </c>
      <c r="N39" s="161">
        <f t="shared" si="19"/>
        <v>11962.43</v>
      </c>
      <c r="P39" s="161">
        <f t="shared" si="17"/>
        <v>23400</v>
      </c>
      <c r="Q39" s="161">
        <f>2600*12</f>
        <v>31200</v>
      </c>
      <c r="R39" s="161">
        <f t="shared" si="18"/>
        <v>21975.360000000001</v>
      </c>
      <c r="S39" s="190">
        <f t="shared" si="5"/>
        <v>0</v>
      </c>
      <c r="T39" s="190"/>
      <c r="U39" s="161">
        <v>400</v>
      </c>
      <c r="V39" s="161">
        <v>400</v>
      </c>
      <c r="W39" s="161">
        <v>400</v>
      </c>
      <c r="X39" s="161">
        <v>400</v>
      </c>
      <c r="Y39" s="161">
        <v>400</v>
      </c>
      <c r="Z39" s="161">
        <v>200</v>
      </c>
      <c r="AA39" s="161">
        <v>200</v>
      </c>
      <c r="AB39" s="161">
        <v>200</v>
      </c>
      <c r="AC39" s="161">
        <v>14455.95</v>
      </c>
      <c r="AD39" s="161">
        <v>1779.8</v>
      </c>
      <c r="AE39" s="161">
        <v>1831.57</v>
      </c>
      <c r="AF39" s="161">
        <v>1308.04</v>
      </c>
      <c r="AG39" s="161">
        <f t="shared" si="21"/>
        <v>21975.360000000001</v>
      </c>
    </row>
    <row r="40" spans="1:33" x14ac:dyDescent="0.25">
      <c r="A40" s="127" t="s">
        <v>283</v>
      </c>
      <c r="B40" s="161">
        <f>160.19+94.2</f>
        <v>254.39</v>
      </c>
      <c r="C40" s="161">
        <f>76.61+164.87</f>
        <v>241.48000000000002</v>
      </c>
      <c r="D40" s="161">
        <f>88.16+162.53</f>
        <v>250.69</v>
      </c>
      <c r="E40" s="161">
        <f>113.16+162.53</f>
        <v>275.69</v>
      </c>
      <c r="N40" s="161">
        <f>SUM(B40:M40)</f>
        <v>1022.25</v>
      </c>
      <c r="P40" s="161">
        <f t="shared" si="17"/>
        <v>1585.0050000000001</v>
      </c>
      <c r="Q40" s="161">
        <f t="shared" si="20"/>
        <v>2113.34</v>
      </c>
      <c r="R40" s="161">
        <f t="shared" si="18"/>
        <v>2113.34</v>
      </c>
      <c r="S40" s="190">
        <f t="shared" si="5"/>
        <v>0</v>
      </c>
      <c r="T40" s="190"/>
      <c r="U40" s="161">
        <v>64.989999999999995</v>
      </c>
      <c r="V40" s="161">
        <v>64.989999999999995</v>
      </c>
      <c r="W40" s="161">
        <v>64.989999999999995</v>
      </c>
      <c r="X40" s="161">
        <v>419.95</v>
      </c>
      <c r="Y40" s="161">
        <v>65.09</v>
      </c>
      <c r="Z40" s="161">
        <f>64.99+50.66</f>
        <v>115.64999999999999</v>
      </c>
      <c r="AA40" s="161">
        <f>64.99+66.92</f>
        <v>131.91</v>
      </c>
      <c r="AB40" s="161">
        <v>64.989999999999995</v>
      </c>
      <c r="AC40" s="161">
        <f>64.99+83.46+340</f>
        <v>488.45</v>
      </c>
      <c r="AD40" s="161">
        <v>64.989999999999995</v>
      </c>
      <c r="AE40" s="161">
        <v>64.989999999999995</v>
      </c>
      <c r="AF40" s="161">
        <f>-7.65+510</f>
        <v>502.35</v>
      </c>
      <c r="AG40" s="161">
        <f>SUM(U40:AF40)</f>
        <v>2113.34</v>
      </c>
    </row>
    <row r="41" spans="1:33" x14ac:dyDescent="0.25">
      <c r="A41" s="127" t="s">
        <v>242</v>
      </c>
      <c r="B41" s="161">
        <v>2203.0500000000002</v>
      </c>
      <c r="C41" s="161">
        <v>2203.0500000000002</v>
      </c>
      <c r="D41" s="161">
        <v>2203.0500000000002</v>
      </c>
      <c r="E41" s="161">
        <v>2203.0500000000002</v>
      </c>
      <c r="N41" s="208">
        <f t="shared" si="19"/>
        <v>8812.2000000000007</v>
      </c>
      <c r="P41" s="161">
        <f t="shared" si="17"/>
        <v>11371.635</v>
      </c>
      <c r="Q41" s="161">
        <f t="shared" si="20"/>
        <v>15162.18</v>
      </c>
      <c r="R41" s="161">
        <f t="shared" si="18"/>
        <v>15162.18</v>
      </c>
      <c r="S41" s="190">
        <f t="shared" si="5"/>
        <v>0</v>
      </c>
      <c r="T41" s="190"/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11412.18</v>
      </c>
      <c r="AD41" s="161">
        <v>1250</v>
      </c>
      <c r="AE41" s="161">
        <v>1250</v>
      </c>
      <c r="AF41" s="161">
        <v>1250</v>
      </c>
      <c r="AG41" s="206">
        <f t="shared" si="21"/>
        <v>15162.18</v>
      </c>
    </row>
    <row r="42" spans="1:33" x14ac:dyDescent="0.25">
      <c r="A42" s="127" t="s">
        <v>575</v>
      </c>
      <c r="B42" s="161">
        <v>0</v>
      </c>
      <c r="C42" s="161">
        <v>0</v>
      </c>
      <c r="D42" s="161">
        <v>423.94</v>
      </c>
      <c r="N42" s="206">
        <f t="shared" si="19"/>
        <v>423.94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206"/>
    </row>
    <row r="43" spans="1:33" x14ac:dyDescent="0.25">
      <c r="A43" s="128" t="s">
        <v>229</v>
      </c>
      <c r="B43" s="191">
        <f t="shared" ref="B43:H43" si="22">SUM(B33:B42)</f>
        <v>152013.96999999997</v>
      </c>
      <c r="C43" s="191">
        <f t="shared" si="22"/>
        <v>135297.44000000003</v>
      </c>
      <c r="D43" s="191">
        <f t="shared" si="22"/>
        <v>151295.5</v>
      </c>
      <c r="E43" s="191">
        <f t="shared" si="22"/>
        <v>143217.72</v>
      </c>
      <c r="F43" s="191">
        <f t="shared" si="22"/>
        <v>0</v>
      </c>
      <c r="G43" s="191">
        <f t="shared" si="22"/>
        <v>0</v>
      </c>
      <c r="H43" s="191">
        <f t="shared" si="22"/>
        <v>0</v>
      </c>
      <c r="I43" s="191">
        <f>SUM(I33:I42)</f>
        <v>0</v>
      </c>
      <c r="J43" s="191">
        <f>SUM(J33:J42)</f>
        <v>0</v>
      </c>
      <c r="K43" s="191">
        <f>SUM(K33:K42)</f>
        <v>0</v>
      </c>
      <c r="L43" s="191">
        <f t="shared" ref="L43" si="23">SUM(L33:L41)</f>
        <v>0</v>
      </c>
      <c r="M43" s="191">
        <f>SUM(M33:M42)</f>
        <v>0</v>
      </c>
      <c r="N43" s="191">
        <f>SUM(N33:N42)</f>
        <v>581824.63</v>
      </c>
      <c r="P43" s="191">
        <f>SUM(P33:P41)</f>
        <v>859714.14750000008</v>
      </c>
      <c r="Q43" s="191">
        <f t="shared" ref="Q43:R43" si="24">SUM(Q33:Q41)</f>
        <v>1146285.53</v>
      </c>
      <c r="R43" s="191">
        <f t="shared" si="24"/>
        <v>1059533.54</v>
      </c>
      <c r="S43" s="190">
        <f t="shared" si="5"/>
        <v>0</v>
      </c>
      <c r="T43" s="190"/>
      <c r="U43" s="191">
        <f t="shared" ref="U43:AG43" si="25">SUM(U33:U41)</f>
        <v>13970.6</v>
      </c>
      <c r="V43" s="191">
        <f t="shared" si="25"/>
        <v>12474.9</v>
      </c>
      <c r="W43" s="191">
        <f t="shared" si="25"/>
        <v>14068.6</v>
      </c>
      <c r="X43" s="191">
        <f t="shared" si="25"/>
        <v>13415.130000000001</v>
      </c>
      <c r="Y43" s="191">
        <f t="shared" si="25"/>
        <v>13860.41</v>
      </c>
      <c r="Z43" s="191">
        <f t="shared" si="25"/>
        <v>12864.44</v>
      </c>
      <c r="AA43" s="191">
        <f t="shared" si="25"/>
        <v>13272.51</v>
      </c>
      <c r="AB43" s="191">
        <f t="shared" si="25"/>
        <v>13672.710000000001</v>
      </c>
      <c r="AC43" s="191">
        <f t="shared" si="25"/>
        <v>604631.70999999985</v>
      </c>
      <c r="AD43" s="191">
        <f t="shared" si="25"/>
        <v>101401.24</v>
      </c>
      <c r="AE43" s="191">
        <f t="shared" si="25"/>
        <v>84031.220000000016</v>
      </c>
      <c r="AF43" s="191">
        <f t="shared" si="25"/>
        <v>161870.07</v>
      </c>
      <c r="AG43" s="191">
        <f t="shared" si="25"/>
        <v>1059533.54</v>
      </c>
    </row>
    <row r="44" spans="1:33" x14ac:dyDescent="0.25">
      <c r="A44" s="127" t="s">
        <v>57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8" t="s">
        <v>284</v>
      </c>
      <c r="P45" s="161"/>
      <c r="Q45" s="161"/>
      <c r="R45" s="161"/>
      <c r="S45" s="190"/>
      <c r="T45" s="190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x14ac:dyDescent="0.25">
      <c r="A46" s="127" t="s">
        <v>230</v>
      </c>
      <c r="B46" s="161">
        <f>25000+12500</f>
        <v>37500</v>
      </c>
      <c r="C46" s="161">
        <v>37500</v>
      </c>
      <c r="D46" s="161">
        <v>37500</v>
      </c>
      <c r="E46" s="161">
        <v>37500</v>
      </c>
      <c r="N46" s="161">
        <f>SUM(B46:M46)</f>
        <v>150000</v>
      </c>
      <c r="P46" s="161">
        <f>Q46/12*$P$6</f>
        <v>337500</v>
      </c>
      <c r="Q46" s="161">
        <f t="shared" ref="Q46:Q63" si="26">R46</f>
        <v>450000</v>
      </c>
      <c r="R46" s="161">
        <f>AG46</f>
        <v>450000</v>
      </c>
      <c r="S46" s="190">
        <f t="shared" si="5"/>
        <v>0</v>
      </c>
      <c r="T46" s="190"/>
      <c r="U46" s="161">
        <f t="shared" ref="U46:AF46" si="27">25000+12500</f>
        <v>37500</v>
      </c>
      <c r="V46" s="161">
        <f t="shared" si="27"/>
        <v>37500</v>
      </c>
      <c r="W46" s="161">
        <f t="shared" si="27"/>
        <v>37500</v>
      </c>
      <c r="X46" s="161">
        <f t="shared" si="27"/>
        <v>37500</v>
      </c>
      <c r="Y46" s="161">
        <f t="shared" si="27"/>
        <v>37500</v>
      </c>
      <c r="Z46" s="161">
        <f t="shared" si="27"/>
        <v>37500</v>
      </c>
      <c r="AA46" s="161">
        <f t="shared" si="27"/>
        <v>37500</v>
      </c>
      <c r="AB46" s="161">
        <f t="shared" si="27"/>
        <v>37500</v>
      </c>
      <c r="AC46" s="161">
        <f t="shared" si="27"/>
        <v>37500</v>
      </c>
      <c r="AD46" s="161">
        <f t="shared" si="27"/>
        <v>37500</v>
      </c>
      <c r="AE46" s="161">
        <f t="shared" si="27"/>
        <v>37500</v>
      </c>
      <c r="AF46" s="161">
        <f t="shared" si="27"/>
        <v>37500</v>
      </c>
      <c r="AG46" s="161">
        <f>SUM(U46:AF46)</f>
        <v>450000</v>
      </c>
    </row>
    <row r="47" spans="1:33" x14ac:dyDescent="0.25">
      <c r="A47" s="127" t="s">
        <v>576</v>
      </c>
      <c r="B47" s="161">
        <v>-5309.02</v>
      </c>
      <c r="C47" s="161">
        <v>-4178.57</v>
      </c>
      <c r="D47" s="161">
        <v>-400</v>
      </c>
      <c r="E47" s="161">
        <v>9487.59</v>
      </c>
      <c r="N47" s="161">
        <f>SUM(B47:M47)</f>
        <v>-400</v>
      </c>
      <c r="P47" s="161">
        <f t="shared" ref="P47:P64" si="28">Q47/12*$P$6</f>
        <v>24816.747000000007</v>
      </c>
      <c r="Q47" s="161">
        <f>82722.49*0.4</f>
        <v>33088.996000000006</v>
      </c>
      <c r="R47" s="161">
        <f t="shared" ref="R47:R64" si="29">AG47</f>
        <v>82722.490000000005</v>
      </c>
      <c r="S47" s="190">
        <f t="shared" si="5"/>
        <v>0</v>
      </c>
      <c r="T47" s="190"/>
      <c r="U47" s="161">
        <v>8518.2800000000007</v>
      </c>
      <c r="V47" s="161">
        <v>5856.39</v>
      </c>
      <c r="W47" s="161">
        <v>8346.2199999999993</v>
      </c>
      <c r="X47" s="161">
        <v>4857.8599999999997</v>
      </c>
      <c r="Y47" s="161">
        <f>5661.41+210.04</f>
        <v>5871.45</v>
      </c>
      <c r="Z47" s="161">
        <v>5979.18</v>
      </c>
      <c r="AA47" s="161">
        <v>7652.61</v>
      </c>
      <c r="AB47" s="161">
        <v>7388.57</v>
      </c>
      <c r="AC47" s="161">
        <v>7702.5</v>
      </c>
      <c r="AD47" s="161">
        <f>7137.19+152.4</f>
        <v>7289.5899999999992</v>
      </c>
      <c r="AE47" s="161">
        <v>7249.21</v>
      </c>
      <c r="AF47" s="161">
        <v>6010.63</v>
      </c>
      <c r="AG47" s="161">
        <f>SUM(U47:AF47)</f>
        <v>82722.490000000005</v>
      </c>
    </row>
    <row r="48" spans="1:33" x14ac:dyDescent="0.25">
      <c r="A48" s="127" t="s">
        <v>331</v>
      </c>
      <c r="B48" s="161">
        <v>0</v>
      </c>
      <c r="C48" s="161">
        <v>0</v>
      </c>
      <c r="D48" s="161">
        <v>0</v>
      </c>
      <c r="E48" s="161">
        <v>182.25</v>
      </c>
      <c r="N48" s="161">
        <f>SUM(B48:M48)</f>
        <v>182.25</v>
      </c>
      <c r="P48" s="161"/>
      <c r="Q48" s="161"/>
      <c r="R48" s="161"/>
      <c r="S48" s="190"/>
      <c r="T48" s="190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</row>
    <row r="49" spans="1:33" x14ac:dyDescent="0.25">
      <c r="A49" s="127" t="s">
        <v>286</v>
      </c>
      <c r="B49" s="161">
        <v>267</v>
      </c>
      <c r="C49" s="161">
        <v>280</v>
      </c>
      <c r="D49" s="161">
        <v>280</v>
      </c>
      <c r="E49" s="161">
        <v>280</v>
      </c>
      <c r="N49" s="161">
        <f t="shared" ref="N49:N64" si="30">SUM(B49:M49)</f>
        <v>1107</v>
      </c>
      <c r="P49" s="161">
        <f t="shared" si="28"/>
        <v>1350</v>
      </c>
      <c r="Q49" s="161">
        <f t="shared" si="26"/>
        <v>1800</v>
      </c>
      <c r="R49" s="161">
        <f t="shared" si="29"/>
        <v>1800</v>
      </c>
      <c r="S49" s="190">
        <f t="shared" si="5"/>
        <v>0</v>
      </c>
      <c r="T49" s="190"/>
      <c r="U49" s="161">
        <v>150</v>
      </c>
      <c r="V49" s="161">
        <v>150</v>
      </c>
      <c r="W49" s="161">
        <v>150</v>
      </c>
      <c r="X49" s="161">
        <v>150</v>
      </c>
      <c r="Y49" s="161">
        <v>150</v>
      </c>
      <c r="Z49" s="161">
        <v>150</v>
      </c>
      <c r="AA49" s="161">
        <v>150</v>
      </c>
      <c r="AB49" s="161">
        <v>150</v>
      </c>
      <c r="AC49" s="161">
        <v>150</v>
      </c>
      <c r="AD49" s="161">
        <v>150</v>
      </c>
      <c r="AE49" s="161">
        <v>150</v>
      </c>
      <c r="AF49" s="161">
        <v>150</v>
      </c>
      <c r="AG49" s="161">
        <f t="shared" ref="AG49:AG64" si="31">SUM(U49:AF49)</f>
        <v>1800</v>
      </c>
    </row>
    <row r="50" spans="1:33" x14ac:dyDescent="0.25">
      <c r="A50" s="127" t="s">
        <v>435</v>
      </c>
      <c r="B50" s="161">
        <v>2100</v>
      </c>
      <c r="C50" s="161">
        <v>2100</v>
      </c>
      <c r="D50" s="161">
        <v>2100</v>
      </c>
      <c r="E50" s="161">
        <v>2100</v>
      </c>
      <c r="N50" s="161">
        <f t="shared" si="30"/>
        <v>8400</v>
      </c>
      <c r="P50" s="161">
        <f t="shared" si="28"/>
        <v>21756.9</v>
      </c>
      <c r="Q50" s="161">
        <f t="shared" si="26"/>
        <v>29009.200000000001</v>
      </c>
      <c r="R50" s="161">
        <f t="shared" si="29"/>
        <v>29009.200000000001</v>
      </c>
      <c r="S50" s="190">
        <f t="shared" si="5"/>
        <v>0</v>
      </c>
      <c r="T50" s="190"/>
      <c r="U50" s="161">
        <v>3575</v>
      </c>
      <c r="V50" s="161">
        <v>0</v>
      </c>
      <c r="W50" s="161">
        <v>1210</v>
      </c>
      <c r="X50" s="161">
        <v>1875</v>
      </c>
      <c r="Y50" s="161">
        <v>0</v>
      </c>
      <c r="Z50" s="161">
        <v>3844.35</v>
      </c>
      <c r="AA50" s="161">
        <v>5810</v>
      </c>
      <c r="AB50" s="161">
        <v>3409.85</v>
      </c>
      <c r="AC50" s="161">
        <v>0</v>
      </c>
      <c r="AD50" s="161">
        <v>7190</v>
      </c>
      <c r="AE50" s="161">
        <v>2095</v>
      </c>
      <c r="AF50" s="161">
        <v>0</v>
      </c>
      <c r="AG50" s="161">
        <f t="shared" si="31"/>
        <v>29009.200000000001</v>
      </c>
    </row>
    <row r="51" spans="1:33" x14ac:dyDescent="0.25">
      <c r="A51" s="127" t="s">
        <v>287</v>
      </c>
      <c r="B51" s="161">
        <v>5664.34</v>
      </c>
      <c r="C51" s="161">
        <v>1985.38</v>
      </c>
      <c r="D51" s="161">
        <v>4043.74</v>
      </c>
      <c r="E51" s="161">
        <v>1500.4</v>
      </c>
      <c r="N51" s="161">
        <f t="shared" si="30"/>
        <v>13193.859999999999</v>
      </c>
      <c r="P51" s="161">
        <f t="shared" si="28"/>
        <v>34523.272499999999</v>
      </c>
      <c r="Q51" s="161">
        <f t="shared" si="26"/>
        <v>46031.03</v>
      </c>
      <c r="R51" s="161">
        <f t="shared" si="29"/>
        <v>46031.03</v>
      </c>
      <c r="S51" s="190">
        <f t="shared" si="5"/>
        <v>0</v>
      </c>
      <c r="T51" s="190"/>
      <c r="U51" s="161">
        <v>959.14</v>
      </c>
      <c r="V51" s="161">
        <v>519.59</v>
      </c>
      <c r="W51" s="161">
        <v>1411.26</v>
      </c>
      <c r="X51" s="161">
        <v>2829.73</v>
      </c>
      <c r="Y51" s="161">
        <v>1685.25</v>
      </c>
      <c r="Z51" s="161">
        <v>10130.58</v>
      </c>
      <c r="AA51" s="161">
        <v>1273.76</v>
      </c>
      <c r="AB51" s="161">
        <v>6783.81</v>
      </c>
      <c r="AC51" s="161">
        <f>2446.62-1505</f>
        <v>941.61999999999989</v>
      </c>
      <c r="AD51" s="161">
        <v>9829.01</v>
      </c>
      <c r="AE51" s="161">
        <v>1402.74</v>
      </c>
      <c r="AF51" s="161">
        <v>8264.5400000000009</v>
      </c>
      <c r="AG51" s="161">
        <f t="shared" si="31"/>
        <v>46031.03</v>
      </c>
    </row>
    <row r="52" spans="1:33" x14ac:dyDescent="0.25">
      <c r="A52" s="127" t="s">
        <v>235</v>
      </c>
      <c r="B52" s="161">
        <v>5962.68</v>
      </c>
      <c r="C52" s="161">
        <v>5962.68</v>
      </c>
      <c r="D52" s="161">
        <v>5962.68</v>
      </c>
      <c r="E52" s="161">
        <v>5962.68</v>
      </c>
      <c r="N52" s="161">
        <f t="shared" si="30"/>
        <v>23850.720000000001</v>
      </c>
      <c r="P52" s="161">
        <f t="shared" si="28"/>
        <v>60930</v>
      </c>
      <c r="Q52" s="161">
        <f>6770*12</f>
        <v>81240</v>
      </c>
      <c r="R52" s="161">
        <f t="shared" si="29"/>
        <v>62935.24000000002</v>
      </c>
      <c r="S52" s="190">
        <f t="shared" si="5"/>
        <v>0</v>
      </c>
      <c r="T52" s="190"/>
      <c r="U52" s="161">
        <v>5394.18</v>
      </c>
      <c r="V52" s="161">
        <v>5394.18</v>
      </c>
      <c r="W52" s="161">
        <v>5394.18</v>
      </c>
      <c r="X52" s="161">
        <v>5394.18</v>
      </c>
      <c r="Y52" s="161">
        <v>5394.18</v>
      </c>
      <c r="Z52" s="161">
        <v>5394.18</v>
      </c>
      <c r="AA52" s="161">
        <v>5019.7700000000004</v>
      </c>
      <c r="AB52" s="161">
        <v>5471.33</v>
      </c>
      <c r="AC52" s="161">
        <v>5019.7700000000004</v>
      </c>
      <c r="AD52" s="161">
        <v>5019.7700000000004</v>
      </c>
      <c r="AE52" s="161">
        <v>5019.76</v>
      </c>
      <c r="AF52" s="161">
        <v>5019.76</v>
      </c>
      <c r="AG52" s="161">
        <f t="shared" si="31"/>
        <v>62935.24000000002</v>
      </c>
    </row>
    <row r="53" spans="1:33" x14ac:dyDescent="0.25">
      <c r="A53" s="127" t="s">
        <v>232</v>
      </c>
      <c r="B53" s="161">
        <v>3453.22</v>
      </c>
      <c r="C53" s="161">
        <v>2765.29</v>
      </c>
      <c r="D53" s="161">
        <v>1829.2</v>
      </c>
      <c r="E53" s="161">
        <v>741.51</v>
      </c>
      <c r="N53" s="161">
        <f t="shared" si="30"/>
        <v>8789.2199999999993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236</v>
      </c>
      <c r="B54" s="161">
        <v>456.36</v>
      </c>
      <c r="C54" s="161">
        <v>459.08</v>
      </c>
      <c r="D54" s="161">
        <v>475.6</v>
      </c>
      <c r="E54" s="161">
        <v>475.27</v>
      </c>
      <c r="N54" s="161">
        <f t="shared" si="30"/>
        <v>1866.31</v>
      </c>
      <c r="P54" s="161">
        <f t="shared" si="28"/>
        <v>10777.162499999999</v>
      </c>
      <c r="Q54" s="161">
        <f t="shared" si="26"/>
        <v>14369.55</v>
      </c>
      <c r="R54" s="161">
        <f t="shared" si="29"/>
        <v>14369.55</v>
      </c>
      <c r="S54" s="190">
        <f t="shared" si="5"/>
        <v>0</v>
      </c>
      <c r="T54" s="190"/>
      <c r="U54" s="161">
        <v>1568.56</v>
      </c>
      <c r="V54" s="161">
        <v>2423.8000000000002</v>
      </c>
      <c r="W54" s="161">
        <v>2122.8000000000002</v>
      </c>
      <c r="X54" s="161">
        <v>2200</v>
      </c>
      <c r="Y54" s="161">
        <v>-1041.1199999999999</v>
      </c>
      <c r="Z54" s="161">
        <v>2297.7600000000002</v>
      </c>
      <c r="AA54" s="161">
        <v>1026.78</v>
      </c>
      <c r="AB54" s="161">
        <v>603.67999999999995</v>
      </c>
      <c r="AC54" s="161">
        <v>603.67999999999995</v>
      </c>
      <c r="AD54" s="161">
        <v>605.98</v>
      </c>
      <c r="AE54" s="161">
        <v>606.07000000000005</v>
      </c>
      <c r="AF54" s="161">
        <v>1351.56</v>
      </c>
      <c r="AG54" s="161">
        <f t="shared" si="31"/>
        <v>14369.55</v>
      </c>
    </row>
    <row r="55" spans="1:33" x14ac:dyDescent="0.25">
      <c r="A55" s="127" t="s">
        <v>234</v>
      </c>
      <c r="B55" s="161">
        <v>25045.83</v>
      </c>
      <c r="C55" s="161">
        <v>25045.83</v>
      </c>
      <c r="D55" s="161">
        <v>25045.83</v>
      </c>
      <c r="E55" s="161">
        <v>25045.85</v>
      </c>
      <c r="N55" s="161">
        <f t="shared" si="30"/>
        <v>100183.34</v>
      </c>
      <c r="P55" s="161">
        <f t="shared" si="28"/>
        <v>225900</v>
      </c>
      <c r="Q55" s="161">
        <f>25100*12</f>
        <v>301200</v>
      </c>
      <c r="R55" s="161">
        <f t="shared" si="29"/>
        <v>217684.57</v>
      </c>
      <c r="S55" s="190">
        <f t="shared" si="5"/>
        <v>0</v>
      </c>
      <c r="T55" s="190"/>
      <c r="U55" s="161">
        <v>18020.830000000002</v>
      </c>
      <c r="V55" s="161">
        <v>18020.84</v>
      </c>
      <c r="W55" s="161">
        <v>18020.84</v>
      </c>
      <c r="X55" s="161">
        <v>18020.82</v>
      </c>
      <c r="Y55" s="161">
        <v>18020.830000000002</v>
      </c>
      <c r="Z55" s="161">
        <v>4868.74</v>
      </c>
      <c r="AA55" s="161">
        <v>18020.830000000002</v>
      </c>
      <c r="AB55" s="161">
        <v>18020.84</v>
      </c>
      <c r="AC55" s="161">
        <v>18020.84</v>
      </c>
      <c r="AD55" s="161">
        <v>18020.84</v>
      </c>
      <c r="AE55" s="161">
        <v>25576.66</v>
      </c>
      <c r="AF55" s="161">
        <v>25051.66</v>
      </c>
      <c r="AG55" s="161">
        <f t="shared" si="31"/>
        <v>217684.57</v>
      </c>
    </row>
    <row r="56" spans="1:33" hidden="1" x14ac:dyDescent="0.25">
      <c r="A56" s="127" t="s">
        <v>237</v>
      </c>
      <c r="N56" s="161">
        <f t="shared" si="30"/>
        <v>0</v>
      </c>
      <c r="P56" s="161">
        <f t="shared" si="28"/>
        <v>298.77</v>
      </c>
      <c r="Q56" s="161">
        <f t="shared" si="26"/>
        <v>398.36</v>
      </c>
      <c r="R56" s="161">
        <f t="shared" si="29"/>
        <v>398.36</v>
      </c>
      <c r="S56" s="190">
        <f t="shared" si="5"/>
        <v>0</v>
      </c>
      <c r="T56" s="190"/>
      <c r="U56" s="161">
        <v>5.49</v>
      </c>
      <c r="V56" s="161">
        <v>0</v>
      </c>
      <c r="W56" s="161">
        <v>100.81</v>
      </c>
      <c r="X56" s="161">
        <v>0</v>
      </c>
      <c r="Y56" s="161">
        <v>46.17</v>
      </c>
      <c r="Z56" s="161">
        <v>0</v>
      </c>
      <c r="AA56" s="161">
        <v>0</v>
      </c>
      <c r="AB56" s="161">
        <v>0</v>
      </c>
      <c r="AC56" s="161">
        <v>35.520000000000003</v>
      </c>
      <c r="AD56" s="161">
        <v>84.43</v>
      </c>
      <c r="AE56" s="161">
        <v>73.95</v>
      </c>
      <c r="AF56" s="161">
        <v>51.99</v>
      </c>
      <c r="AG56" s="161">
        <f t="shared" si="31"/>
        <v>398.36</v>
      </c>
    </row>
    <row r="57" spans="1:33" hidden="1" x14ac:dyDescent="0.25">
      <c r="A57" s="127" t="s">
        <v>465</v>
      </c>
      <c r="N57" s="161">
        <f t="shared" si="30"/>
        <v>0</v>
      </c>
      <c r="P57" s="161"/>
      <c r="Q57" s="161"/>
      <c r="R57" s="161"/>
      <c r="S57" s="190"/>
      <c r="T57" s="190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</row>
    <row r="58" spans="1:33" x14ac:dyDescent="0.25">
      <c r="A58" s="127" t="s">
        <v>244</v>
      </c>
      <c r="B58" s="161">
        <v>5021.17</v>
      </c>
      <c r="C58" s="161">
        <v>6521.17</v>
      </c>
      <c r="D58" s="161">
        <v>5021.17</v>
      </c>
      <c r="E58" s="161">
        <v>5021.17</v>
      </c>
      <c r="N58" s="161">
        <f t="shared" si="30"/>
        <v>21584.68</v>
      </c>
      <c r="P58" s="161">
        <f t="shared" si="28"/>
        <v>65632.319999999992</v>
      </c>
      <c r="Q58" s="161">
        <f t="shared" si="26"/>
        <v>87509.759999999995</v>
      </c>
      <c r="R58" s="161">
        <f t="shared" si="29"/>
        <v>87509.759999999995</v>
      </c>
      <c r="S58" s="190">
        <f t="shared" si="5"/>
        <v>0</v>
      </c>
      <c r="T58" s="190"/>
      <c r="U58" s="161">
        <v>7320.8</v>
      </c>
      <c r="V58" s="161">
        <v>7321.95</v>
      </c>
      <c r="W58" s="161">
        <v>6956.8</v>
      </c>
      <c r="X58" s="161">
        <v>7611.52</v>
      </c>
      <c r="Y58" s="161">
        <v>7241.42</v>
      </c>
      <c r="Z58" s="161">
        <v>7612.47</v>
      </c>
      <c r="AA58" s="161">
        <v>6608</v>
      </c>
      <c r="AB58" s="161">
        <v>7367.7</v>
      </c>
      <c r="AC58" s="161">
        <v>6608.09</v>
      </c>
      <c r="AD58" s="161">
        <v>7337.47</v>
      </c>
      <c r="AE58" s="161">
        <v>8150.65</v>
      </c>
      <c r="AF58" s="161">
        <v>7372.89</v>
      </c>
      <c r="AG58" s="161">
        <f t="shared" si="31"/>
        <v>87509.759999999995</v>
      </c>
    </row>
    <row r="59" spans="1:33" x14ac:dyDescent="0.25">
      <c r="A59" s="127" t="s">
        <v>238</v>
      </c>
      <c r="B59" s="161">
        <v>421.89</v>
      </c>
      <c r="C59" s="161">
        <v>421.89</v>
      </c>
      <c r="D59" s="161">
        <v>421.89</v>
      </c>
      <c r="E59" s="161">
        <v>421.89</v>
      </c>
      <c r="N59" s="161">
        <f t="shared" si="30"/>
        <v>1687.56</v>
      </c>
      <c r="P59" s="161">
        <f t="shared" si="28"/>
        <v>3338.7224999999994</v>
      </c>
      <c r="Q59" s="161">
        <f t="shared" si="26"/>
        <v>4451.6299999999992</v>
      </c>
      <c r="R59" s="161">
        <f t="shared" si="29"/>
        <v>4451.6299999999992</v>
      </c>
      <c r="S59" s="190">
        <f t="shared" si="5"/>
        <v>0</v>
      </c>
      <c r="T59" s="190"/>
      <c r="U59" s="161">
        <v>649.54999999999995</v>
      </c>
      <c r="V59" s="161">
        <v>160.78</v>
      </c>
      <c r="W59" s="161">
        <v>278.7</v>
      </c>
      <c r="X59" s="161">
        <v>536.80999999999995</v>
      </c>
      <c r="Y59" s="161">
        <v>160.78</v>
      </c>
      <c r="Z59" s="161">
        <v>160.78</v>
      </c>
      <c r="AA59" s="161">
        <v>436.05</v>
      </c>
      <c r="AB59" s="161">
        <v>686.41</v>
      </c>
      <c r="AC59" s="161">
        <v>235.54</v>
      </c>
      <c r="AD59" s="161">
        <v>416.41</v>
      </c>
      <c r="AE59" s="161">
        <v>347.74</v>
      </c>
      <c r="AF59" s="161">
        <v>382.08</v>
      </c>
      <c r="AG59" s="161">
        <f t="shared" si="31"/>
        <v>4451.6299999999992</v>
      </c>
    </row>
    <row r="60" spans="1:33" x14ac:dyDescent="0.25">
      <c r="A60" s="127" t="s">
        <v>288</v>
      </c>
      <c r="B60" s="161">
        <v>12931.85</v>
      </c>
      <c r="C60" s="161">
        <v>14722.7</v>
      </c>
      <c r="D60" s="161">
        <v>14722.7</v>
      </c>
      <c r="E60" s="161">
        <v>14722.7</v>
      </c>
      <c r="N60" s="161">
        <f t="shared" si="30"/>
        <v>57099.95</v>
      </c>
      <c r="P60" s="161">
        <f t="shared" si="28"/>
        <v>94636.117499999993</v>
      </c>
      <c r="Q60" s="161">
        <f t="shared" si="26"/>
        <v>126181.48999999999</v>
      </c>
      <c r="R60" s="161">
        <f t="shared" si="29"/>
        <v>126181.48999999999</v>
      </c>
      <c r="S60" s="190">
        <f t="shared" si="5"/>
        <v>0</v>
      </c>
      <c r="T60" s="190"/>
      <c r="U60" s="161">
        <v>9962.11</v>
      </c>
      <c r="V60" s="161">
        <v>10391.68</v>
      </c>
      <c r="W60" s="161">
        <v>10391.68</v>
      </c>
      <c r="X60" s="161">
        <v>10391.68</v>
      </c>
      <c r="Y60" s="161">
        <v>10581.56</v>
      </c>
      <c r="Z60" s="161">
        <v>10811.59</v>
      </c>
      <c r="AA60" s="161">
        <v>10493.31</v>
      </c>
      <c r="AB60" s="161">
        <v>10587.39</v>
      </c>
      <c r="AC60" s="161">
        <v>10587.39</v>
      </c>
      <c r="AD60" s="161">
        <v>10587.39</v>
      </c>
      <c r="AE60" s="161">
        <v>10723.34</v>
      </c>
      <c r="AF60" s="161">
        <v>10672.37</v>
      </c>
      <c r="AG60" s="161">
        <f t="shared" si="31"/>
        <v>126181.48999999999</v>
      </c>
    </row>
    <row r="61" spans="1:33" hidden="1" x14ac:dyDescent="0.25">
      <c r="A61" s="127" t="s">
        <v>571</v>
      </c>
      <c r="N61" s="161">
        <f t="shared" si="30"/>
        <v>0</v>
      </c>
      <c r="P61" s="161">
        <f t="shared" si="28"/>
        <v>0</v>
      </c>
      <c r="Q61" s="161">
        <f t="shared" si="26"/>
        <v>0</v>
      </c>
      <c r="R61" s="161">
        <f t="shared" si="29"/>
        <v>0</v>
      </c>
      <c r="S61" s="190">
        <f t="shared" si="5"/>
        <v>0</v>
      </c>
      <c r="T61" s="190"/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f t="shared" si="31"/>
        <v>0</v>
      </c>
    </row>
    <row r="62" spans="1:33" x14ac:dyDescent="0.25">
      <c r="A62" s="127" t="s">
        <v>291</v>
      </c>
      <c r="B62" s="161">
        <v>1325.05</v>
      </c>
      <c r="C62" s="161">
        <v>1325.05</v>
      </c>
      <c r="D62" s="161">
        <v>1325.05</v>
      </c>
      <c r="E62" s="161">
        <v>1325.05</v>
      </c>
      <c r="N62" s="161">
        <f t="shared" si="30"/>
        <v>5300.2</v>
      </c>
      <c r="P62" s="161">
        <f t="shared" si="28"/>
        <v>14091.157499999996</v>
      </c>
      <c r="Q62" s="161">
        <f t="shared" si="26"/>
        <v>18788.209999999995</v>
      </c>
      <c r="R62" s="161">
        <f t="shared" si="29"/>
        <v>18788.209999999995</v>
      </c>
      <c r="S62" s="190">
        <f t="shared" si="5"/>
        <v>0</v>
      </c>
      <c r="T62" s="190"/>
      <c r="U62" s="161">
        <v>1351.56</v>
      </c>
      <c r="V62" s="161">
        <v>1938.84</v>
      </c>
      <c r="W62" s="161">
        <v>1938.84</v>
      </c>
      <c r="X62" s="161">
        <v>1937.28</v>
      </c>
      <c r="Y62" s="161">
        <v>1939.84</v>
      </c>
      <c r="Z62" s="161">
        <v>1568.58</v>
      </c>
      <c r="AA62" s="161">
        <v>836.4</v>
      </c>
      <c r="AB62" s="161">
        <v>1730.97</v>
      </c>
      <c r="AC62" s="161">
        <v>1819.66</v>
      </c>
      <c r="AD62" s="161">
        <v>1490.62</v>
      </c>
      <c r="AE62" s="161">
        <v>1490.6</v>
      </c>
      <c r="AF62" s="161">
        <v>745.02</v>
      </c>
      <c r="AG62" s="161">
        <f t="shared" si="31"/>
        <v>18788.209999999995</v>
      </c>
    </row>
    <row r="63" spans="1:33" hidden="1" x14ac:dyDescent="0.25">
      <c r="A63" s="127" t="s">
        <v>258</v>
      </c>
      <c r="N63" s="161">
        <f t="shared" si="30"/>
        <v>0</v>
      </c>
      <c r="P63" s="161">
        <f t="shared" si="28"/>
        <v>5607.6975000000002</v>
      </c>
      <c r="Q63" s="161">
        <f t="shared" si="26"/>
        <v>7476.93</v>
      </c>
      <c r="R63" s="161">
        <f t="shared" si="29"/>
        <v>7476.93</v>
      </c>
      <c r="S63" s="190">
        <f t="shared" si="5"/>
        <v>0</v>
      </c>
      <c r="T63" s="190"/>
      <c r="U63" s="161">
        <v>1018.09</v>
      </c>
      <c r="V63" s="161">
        <v>1018.09</v>
      </c>
      <c r="W63" s="161">
        <v>1018.09</v>
      </c>
      <c r="X63" s="161">
        <v>1049.5999999999999</v>
      </c>
      <c r="Y63" s="161">
        <v>316.17</v>
      </c>
      <c r="Z63" s="161">
        <v>236.46</v>
      </c>
      <c r="AA63" s="161">
        <v>2820.43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f t="shared" si="31"/>
        <v>7476.93</v>
      </c>
    </row>
    <row r="64" spans="1:33" x14ac:dyDescent="0.25">
      <c r="A64" s="127" t="s">
        <v>379</v>
      </c>
      <c r="B64" s="161">
        <v>55.64</v>
      </c>
      <c r="C64" s="161">
        <v>55.64</v>
      </c>
      <c r="D64" s="161">
        <v>55.64</v>
      </c>
      <c r="E64" s="161">
        <v>55.64</v>
      </c>
      <c r="N64" s="206">
        <f t="shared" si="30"/>
        <v>222.56</v>
      </c>
      <c r="P64" s="161">
        <f t="shared" si="28"/>
        <v>14400</v>
      </c>
      <c r="Q64" s="161">
        <f>1600*12</f>
        <v>19200</v>
      </c>
      <c r="R64" s="161">
        <f t="shared" si="29"/>
        <v>10196.419999999998</v>
      </c>
      <c r="S64" s="190">
        <f t="shared" si="5"/>
        <v>0</v>
      </c>
      <c r="T64" s="190"/>
      <c r="U64" s="161">
        <v>0</v>
      </c>
      <c r="V64" s="161">
        <v>0</v>
      </c>
      <c r="W64" s="161">
        <v>0</v>
      </c>
      <c r="X64" s="161">
        <v>0</v>
      </c>
      <c r="Y64" s="161">
        <v>920.12</v>
      </c>
      <c r="Z64" s="161">
        <v>3023.66</v>
      </c>
      <c r="AA64" s="161">
        <v>560.84</v>
      </c>
      <c r="AB64" s="161">
        <v>560.86</v>
      </c>
      <c r="AC64" s="161">
        <v>1884.49</v>
      </c>
      <c r="AD64" s="161">
        <v>1014.56</v>
      </c>
      <c r="AE64" s="161">
        <v>1174.83</v>
      </c>
      <c r="AF64" s="161">
        <v>1057.06</v>
      </c>
      <c r="AG64" s="206">
        <f t="shared" si="31"/>
        <v>10196.419999999998</v>
      </c>
    </row>
    <row r="65" spans="1:33" x14ac:dyDescent="0.25">
      <c r="A65" s="128" t="s">
        <v>328</v>
      </c>
      <c r="B65" s="191">
        <f t="shared" ref="B65:F65" si="32">SUM(B46:B64)</f>
        <v>94896.010000000009</v>
      </c>
      <c r="C65" s="191">
        <f t="shared" si="32"/>
        <v>94966.14</v>
      </c>
      <c r="D65" s="191">
        <f t="shared" si="32"/>
        <v>98383.499999999985</v>
      </c>
      <c r="E65" s="191">
        <f t="shared" si="32"/>
        <v>104821.99999999999</v>
      </c>
      <c r="F65" s="191">
        <f t="shared" si="32"/>
        <v>0</v>
      </c>
      <c r="G65" s="191">
        <f t="shared" ref="G65:M65" si="33">SUM(G46:G64)</f>
        <v>0</v>
      </c>
      <c r="H65" s="191">
        <f t="shared" si="33"/>
        <v>0</v>
      </c>
      <c r="I65" s="191">
        <f t="shared" si="33"/>
        <v>0</v>
      </c>
      <c r="J65" s="191">
        <f t="shared" si="33"/>
        <v>0</v>
      </c>
      <c r="K65" s="191">
        <f t="shared" si="33"/>
        <v>0</v>
      </c>
      <c r="L65" s="191">
        <f t="shared" ref="L65" si="34">SUM(L46:L64)</f>
        <v>0</v>
      </c>
      <c r="M65" s="191">
        <f t="shared" si="33"/>
        <v>0</v>
      </c>
      <c r="N65" s="191">
        <f>SUM(N46:N64)</f>
        <v>393067.64999999997</v>
      </c>
      <c r="P65" s="191">
        <f>SUM(P46:P64)</f>
        <v>915558.86700000009</v>
      </c>
      <c r="Q65" s="191">
        <f t="shared" ref="Q65:R65" si="35">SUM(Q46:Q64)</f>
        <v>1220745.156</v>
      </c>
      <c r="R65" s="191">
        <f t="shared" si="35"/>
        <v>1159554.8799999999</v>
      </c>
      <c r="S65" s="190">
        <f t="shared" si="5"/>
        <v>0</v>
      </c>
      <c r="T65" s="190"/>
      <c r="U65" s="191">
        <f t="shared" ref="U65:AF65" si="36">SUM(U46:U64)</f>
        <v>95993.59</v>
      </c>
      <c r="V65" s="191">
        <f t="shared" si="36"/>
        <v>90696.139999999985</v>
      </c>
      <c r="W65" s="191">
        <f t="shared" si="36"/>
        <v>94840.22</v>
      </c>
      <c r="X65" s="191">
        <f t="shared" si="36"/>
        <v>94354.48000000001</v>
      </c>
      <c r="Y65" s="191">
        <f t="shared" si="36"/>
        <v>88786.64999999998</v>
      </c>
      <c r="Z65" s="191">
        <f t="shared" si="36"/>
        <v>93578.330000000016</v>
      </c>
      <c r="AA65" s="191">
        <f t="shared" si="36"/>
        <v>98208.779999999984</v>
      </c>
      <c r="AB65" s="191">
        <f t="shared" si="36"/>
        <v>100261.41</v>
      </c>
      <c r="AC65" s="191">
        <f t="shared" si="36"/>
        <v>91109.1</v>
      </c>
      <c r="AD65" s="191">
        <f t="shared" si="36"/>
        <v>106536.06999999998</v>
      </c>
      <c r="AE65" s="191">
        <f t="shared" si="36"/>
        <v>101560.55</v>
      </c>
      <c r="AF65" s="191">
        <f t="shared" si="36"/>
        <v>103629.56</v>
      </c>
      <c r="AG65" s="191">
        <f>SUM(AG46:AG64)</f>
        <v>1159554.8799999999</v>
      </c>
    </row>
    <row r="66" spans="1:33" x14ac:dyDescent="0.25">
      <c r="P66" s="161"/>
      <c r="Q66" s="161"/>
      <c r="R66" s="161"/>
      <c r="S66" s="190">
        <f t="shared" si="5"/>
        <v>0</v>
      </c>
      <c r="T66" s="19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x14ac:dyDescent="0.25">
      <c r="A67" s="128" t="s">
        <v>289</v>
      </c>
      <c r="P67" s="161"/>
      <c r="Q67" s="161"/>
      <c r="R67" s="161"/>
      <c r="S67" s="190">
        <f t="shared" si="5"/>
        <v>0</v>
      </c>
      <c r="T67" s="190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x14ac:dyDescent="0.25">
      <c r="A68" s="127" t="s">
        <v>247</v>
      </c>
      <c r="B68" s="161">
        <v>143.6</v>
      </c>
      <c r="C68" s="161">
        <v>201.1</v>
      </c>
      <c r="D68" s="161">
        <v>158.6</v>
      </c>
      <c r="E68" s="161">
        <v>211.91</v>
      </c>
      <c r="N68" s="161">
        <f>SUM(B68:M68)</f>
        <v>715.20999999999992</v>
      </c>
      <c r="P68" s="161">
        <f t="shared" ref="P68:P81" si="37">Q68/12*$P$6</f>
        <v>1372.5374999999999</v>
      </c>
      <c r="Q68" s="161">
        <f t="shared" ref="Q68:Q81" si="38">R68</f>
        <v>1830.05</v>
      </c>
      <c r="R68" s="161">
        <f>AG68</f>
        <v>1830.05</v>
      </c>
      <c r="S68" s="190">
        <f t="shared" si="5"/>
        <v>0</v>
      </c>
      <c r="T68" s="190"/>
      <c r="U68" s="161">
        <v>231.6</v>
      </c>
      <c r="V68" s="161">
        <v>181.9</v>
      </c>
      <c r="W68" s="161">
        <v>151.94999999999999</v>
      </c>
      <c r="X68" s="161">
        <v>135.54</v>
      </c>
      <c r="Y68" s="161">
        <v>147.36000000000001</v>
      </c>
      <c r="Z68" s="161">
        <v>135.63999999999999</v>
      </c>
      <c r="AA68" s="161">
        <v>141.44999999999999</v>
      </c>
      <c r="AB68" s="161">
        <v>154.02000000000001</v>
      </c>
      <c r="AC68" s="161">
        <v>129.82</v>
      </c>
      <c r="AD68" s="161">
        <v>140.52000000000001</v>
      </c>
      <c r="AE68" s="161">
        <v>154.94999999999999</v>
      </c>
      <c r="AF68" s="161">
        <v>125.3</v>
      </c>
      <c r="AG68" s="161">
        <f>SUM(U68:AF68)</f>
        <v>1830.05</v>
      </c>
    </row>
    <row r="69" spans="1:33" x14ac:dyDescent="0.25">
      <c r="A69" s="127" t="s">
        <v>248</v>
      </c>
      <c r="B69" s="161">
        <v>308.87</v>
      </c>
      <c r="C69" s="161">
        <v>365.54</v>
      </c>
      <c r="D69" s="161">
        <v>286.93</v>
      </c>
      <c r="E69" s="161">
        <v>380.23</v>
      </c>
      <c r="N69" s="161">
        <f t="shared" ref="N69:N81" si="39">SUM(B69:M69)</f>
        <v>1341.5700000000002</v>
      </c>
      <c r="P69" s="161">
        <f t="shared" si="37"/>
        <v>3282.0862499999998</v>
      </c>
      <c r="Q69" s="161">
        <f>8752.23/2</f>
        <v>4376.1149999999998</v>
      </c>
      <c r="R69" s="161">
        <f t="shared" ref="R69:R81" si="40">AG69</f>
        <v>8752.2300000000014</v>
      </c>
      <c r="S69" s="190">
        <f t="shared" si="5"/>
        <v>0</v>
      </c>
      <c r="T69" s="190"/>
      <c r="U69" s="161">
        <v>763.06</v>
      </c>
      <c r="V69" s="161">
        <v>700.02</v>
      </c>
      <c r="W69" s="161">
        <v>701.8</v>
      </c>
      <c r="X69" s="161">
        <v>709.3</v>
      </c>
      <c r="Y69" s="161">
        <v>754.79</v>
      </c>
      <c r="Z69" s="161">
        <v>696.33</v>
      </c>
      <c r="AA69" s="161">
        <v>758.24</v>
      </c>
      <c r="AB69" s="161">
        <v>745.68</v>
      </c>
      <c r="AC69" s="161">
        <v>728.84</v>
      </c>
      <c r="AD69" s="161">
        <v>821.1</v>
      </c>
      <c r="AE69" s="161">
        <v>696.83</v>
      </c>
      <c r="AF69" s="161">
        <v>676.24</v>
      </c>
      <c r="AG69" s="161">
        <f t="shared" ref="AG69:AG81" si="41">SUM(U69:AF69)</f>
        <v>8752.2300000000014</v>
      </c>
    </row>
    <row r="70" spans="1:33" hidden="1" x14ac:dyDescent="0.25">
      <c r="A70" s="127" t="s">
        <v>290</v>
      </c>
      <c r="N70" s="161">
        <f t="shared" si="39"/>
        <v>0</v>
      </c>
      <c r="P70" s="161">
        <f t="shared" si="37"/>
        <v>3982.9425000000001</v>
      </c>
      <c r="Q70" s="161">
        <f t="shared" si="38"/>
        <v>5310.59</v>
      </c>
      <c r="R70" s="161">
        <f t="shared" si="40"/>
        <v>5310.59</v>
      </c>
      <c r="S70" s="190">
        <f t="shared" si="5"/>
        <v>0</v>
      </c>
      <c r="T70" s="190"/>
      <c r="U70" s="161">
        <v>0</v>
      </c>
      <c r="V70" s="161">
        <v>0</v>
      </c>
      <c r="W70" s="161">
        <v>0</v>
      </c>
      <c r="X70" s="161">
        <v>300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5010.59</v>
      </c>
      <c r="AG70" s="161">
        <f t="shared" si="41"/>
        <v>5310.59</v>
      </c>
    </row>
    <row r="71" spans="1:33" hidden="1" x14ac:dyDescent="0.25">
      <c r="A71" s="127" t="s">
        <v>302</v>
      </c>
      <c r="N71" s="161">
        <f t="shared" si="39"/>
        <v>0</v>
      </c>
      <c r="P71" s="161">
        <f t="shared" si="37"/>
        <v>750</v>
      </c>
      <c r="Q71" s="161">
        <v>1000</v>
      </c>
      <c r="R71" s="161">
        <f t="shared" si="40"/>
        <v>62543.58</v>
      </c>
      <c r="S71" s="190">
        <f t="shared" si="5"/>
        <v>0</v>
      </c>
      <c r="T71" s="190"/>
      <c r="U71" s="161">
        <v>0</v>
      </c>
      <c r="V71" s="161">
        <v>1250</v>
      </c>
      <c r="W71" s="161">
        <v>0</v>
      </c>
      <c r="X71" s="161">
        <v>0</v>
      </c>
      <c r="Y71" s="161">
        <v>0</v>
      </c>
      <c r="Z71" s="161">
        <v>0</v>
      </c>
      <c r="AA71" s="161">
        <v>4000</v>
      </c>
      <c r="AB71" s="161">
        <v>0</v>
      </c>
      <c r="AC71" s="161">
        <v>23420.78</v>
      </c>
      <c r="AD71" s="161">
        <v>14264.01</v>
      </c>
      <c r="AE71" s="161">
        <v>18684.79</v>
      </c>
      <c r="AF71" s="161">
        <v>924</v>
      </c>
      <c r="AG71" s="161">
        <f t="shared" si="41"/>
        <v>62543.58</v>
      </c>
    </row>
    <row r="72" spans="1:33" x14ac:dyDescent="0.25">
      <c r="A72" s="127" t="s">
        <v>354</v>
      </c>
      <c r="B72" s="161">
        <v>333.33</v>
      </c>
      <c r="C72" s="161">
        <v>333.33</v>
      </c>
      <c r="D72" s="161">
        <v>333.33</v>
      </c>
      <c r="E72" s="161">
        <v>333.33</v>
      </c>
      <c r="N72" s="161">
        <f t="shared" si="39"/>
        <v>1333.32</v>
      </c>
      <c r="P72" s="161">
        <f t="shared" si="37"/>
        <v>9000</v>
      </c>
      <c r="Q72" s="161">
        <f>1000*12</f>
        <v>12000</v>
      </c>
      <c r="R72" s="161">
        <f t="shared" si="40"/>
        <v>16848.52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-5776.56</v>
      </c>
      <c r="AA72" s="161">
        <v>0</v>
      </c>
      <c r="AB72" s="161">
        <v>0</v>
      </c>
      <c r="AC72" s="161">
        <v>5375.34</v>
      </c>
      <c r="AD72" s="161">
        <v>0</v>
      </c>
      <c r="AE72" s="161">
        <v>1187.3599999999999</v>
      </c>
      <c r="AF72" s="161">
        <v>16062.38</v>
      </c>
      <c r="AG72" s="161">
        <f t="shared" si="41"/>
        <v>16848.52</v>
      </c>
    </row>
    <row r="73" spans="1:33" x14ac:dyDescent="0.25">
      <c r="A73" s="127" t="s">
        <v>380</v>
      </c>
      <c r="B73" s="161">
        <v>3250</v>
      </c>
      <c r="C73" s="161">
        <v>3250</v>
      </c>
      <c r="D73" s="161">
        <v>3250</v>
      </c>
      <c r="E73" s="161">
        <v>3250</v>
      </c>
      <c r="N73" s="161">
        <f>SUM(B73:M73)</f>
        <v>13000</v>
      </c>
      <c r="P73" s="161">
        <f t="shared" si="37"/>
        <v>29250</v>
      </c>
      <c r="Q73" s="161">
        <f>35000+4000</f>
        <v>39000</v>
      </c>
      <c r="R73" s="161">
        <f t="shared" si="40"/>
        <v>50400</v>
      </c>
      <c r="S73" s="190">
        <f t="shared" si="5"/>
        <v>0</v>
      </c>
      <c r="T73" s="190"/>
      <c r="U73" s="161">
        <v>5000</v>
      </c>
      <c r="V73" s="161">
        <v>5000</v>
      </c>
      <c r="W73" s="161">
        <v>5000</v>
      </c>
      <c r="X73" s="161">
        <v>5000</v>
      </c>
      <c r="Y73" s="161">
        <v>5000</v>
      </c>
      <c r="Z73" s="161">
        <v>4000</v>
      </c>
      <c r="AA73" s="161">
        <v>4000</v>
      </c>
      <c r="AB73" s="161">
        <v>4000</v>
      </c>
      <c r="AC73" s="161">
        <v>4000</v>
      </c>
      <c r="AD73" s="161">
        <v>4000</v>
      </c>
      <c r="AE73" s="161">
        <v>4000</v>
      </c>
      <c r="AF73" s="161">
        <v>1400</v>
      </c>
      <c r="AG73" s="161">
        <f>SUM(U73:AF73)</f>
        <v>50400</v>
      </c>
    </row>
    <row r="74" spans="1:33" hidden="1" x14ac:dyDescent="0.25">
      <c r="A74" s="127" t="s">
        <v>353</v>
      </c>
      <c r="N74" s="161">
        <f t="shared" si="39"/>
        <v>0</v>
      </c>
      <c r="P74" s="161">
        <f t="shared" si="37"/>
        <v>20250</v>
      </c>
      <c r="Q74" s="161">
        <f t="shared" si="38"/>
        <v>27000</v>
      </c>
      <c r="R74" s="161">
        <f t="shared" si="40"/>
        <v>27000</v>
      </c>
      <c r="S74" s="190">
        <f t="shared" si="5"/>
        <v>0</v>
      </c>
      <c r="T74" s="190"/>
      <c r="U74" s="161">
        <v>2250</v>
      </c>
      <c r="V74" s="161">
        <v>2250</v>
      </c>
      <c r="W74" s="161">
        <v>2250</v>
      </c>
      <c r="X74" s="161">
        <v>2250</v>
      </c>
      <c r="Y74" s="161">
        <v>2250</v>
      </c>
      <c r="Z74" s="161">
        <v>2250</v>
      </c>
      <c r="AA74" s="161">
        <v>2250</v>
      </c>
      <c r="AB74" s="161">
        <v>2250</v>
      </c>
      <c r="AC74" s="161">
        <v>2250</v>
      </c>
      <c r="AD74" s="161">
        <v>2250</v>
      </c>
      <c r="AE74" s="161">
        <v>2250</v>
      </c>
      <c r="AF74" s="161">
        <v>2250</v>
      </c>
      <c r="AG74" s="161">
        <f t="shared" si="41"/>
        <v>27000</v>
      </c>
    </row>
    <row r="75" spans="1:33" x14ac:dyDescent="0.25">
      <c r="A75" s="127" t="s">
        <v>381</v>
      </c>
      <c r="B75" s="161">
        <v>1041.67</v>
      </c>
      <c r="C75" s="161">
        <v>1041.67</v>
      </c>
      <c r="D75" s="161">
        <v>1041.67</v>
      </c>
      <c r="N75" s="161">
        <f t="shared" si="39"/>
        <v>3125.01</v>
      </c>
      <c r="P75" s="161">
        <f t="shared" si="37"/>
        <v>6468.7724999999991</v>
      </c>
      <c r="Q75" s="161">
        <f t="shared" si="38"/>
        <v>8625.0299999999988</v>
      </c>
      <c r="R75" s="161">
        <f t="shared" si="40"/>
        <v>8625.0299999999988</v>
      </c>
      <c r="S75" s="190">
        <f t="shared" si="5"/>
        <v>0</v>
      </c>
      <c r="T75" s="190"/>
      <c r="U75" s="161">
        <v>791.67</v>
      </c>
      <c r="V75" s="161">
        <v>791.67</v>
      </c>
      <c r="W75" s="161">
        <v>791.67</v>
      </c>
      <c r="X75" s="161">
        <v>791.67</v>
      </c>
      <c r="Y75" s="161">
        <f>8791.67-8000.01</f>
        <v>791.65999999999985</v>
      </c>
      <c r="Z75" s="161">
        <v>666.67</v>
      </c>
      <c r="AA75" s="161">
        <v>666.67</v>
      </c>
      <c r="AB75" s="161">
        <v>666.67</v>
      </c>
      <c r="AC75" s="161">
        <v>666.67</v>
      </c>
      <c r="AD75" s="161">
        <v>666.67</v>
      </c>
      <c r="AE75" s="161">
        <v>666.67</v>
      </c>
      <c r="AF75" s="161">
        <v>666.67</v>
      </c>
      <c r="AG75" s="161">
        <f t="shared" si="41"/>
        <v>8625.0299999999988</v>
      </c>
    </row>
    <row r="76" spans="1:33" hidden="1" x14ac:dyDescent="0.25">
      <c r="A76" s="127" t="s">
        <v>392</v>
      </c>
      <c r="N76" s="161">
        <f t="shared" si="39"/>
        <v>0</v>
      </c>
      <c r="P76" s="161">
        <f t="shared" si="37"/>
        <v>0</v>
      </c>
      <c r="Q76" s="161">
        <v>0</v>
      </c>
      <c r="R76" s="161">
        <f t="shared" si="40"/>
        <v>12978.179999999997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9838.1299999999992</v>
      </c>
      <c r="AD76" s="161">
        <v>1780.88</v>
      </c>
      <c r="AE76" s="161">
        <v>163.13</v>
      </c>
      <c r="AF76" s="161">
        <v>1196.04</v>
      </c>
      <c r="AG76" s="161">
        <f t="shared" si="41"/>
        <v>12978.179999999997</v>
      </c>
    </row>
    <row r="77" spans="1:33" hidden="1" x14ac:dyDescent="0.25">
      <c r="A77" s="127" t="s">
        <v>465</v>
      </c>
      <c r="N77" s="161">
        <f t="shared" ref="N77:N78" si="42">SUM(B77:M77)</f>
        <v>0</v>
      </c>
      <c r="P77" s="161">
        <f t="shared" si="37"/>
        <v>5018.204999999999</v>
      </c>
      <c r="Q77" s="161">
        <f t="shared" si="38"/>
        <v>6690.94</v>
      </c>
      <c r="R77" s="161">
        <f t="shared" si="40"/>
        <v>6690.94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6690.94</v>
      </c>
      <c r="AD77" s="161">
        <v>0</v>
      </c>
      <c r="AE77" s="161">
        <v>0</v>
      </c>
      <c r="AF77" s="161">
        <v>0</v>
      </c>
      <c r="AG77" s="161">
        <f t="shared" ref="AG77:AG78" si="43">SUM(U77:AF77)</f>
        <v>6690.94</v>
      </c>
    </row>
    <row r="78" spans="1:33" x14ac:dyDescent="0.25">
      <c r="A78" s="127" t="s">
        <v>253</v>
      </c>
      <c r="B78" s="161">
        <v>0</v>
      </c>
      <c r="C78" s="161">
        <v>697.98</v>
      </c>
      <c r="D78" s="161">
        <v>697.98</v>
      </c>
      <c r="E78" s="161">
        <v>697.98</v>
      </c>
      <c r="N78" s="161">
        <f t="shared" si="42"/>
        <v>2093.94</v>
      </c>
      <c r="P78" s="161">
        <f t="shared" si="37"/>
        <v>6495.2550000000001</v>
      </c>
      <c r="Q78" s="161">
        <f t="shared" si="38"/>
        <v>8660.34</v>
      </c>
      <c r="R78" s="161">
        <f t="shared" si="40"/>
        <v>8660.34</v>
      </c>
      <c r="S78" s="190">
        <f t="shared" si="5"/>
        <v>0</v>
      </c>
      <c r="T78" s="190"/>
      <c r="U78" s="161">
        <v>0</v>
      </c>
      <c r="V78" s="161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6496.38</v>
      </c>
      <c r="AD78" s="161">
        <v>721.32</v>
      </c>
      <c r="AE78" s="161">
        <v>721.32</v>
      </c>
      <c r="AF78" s="161">
        <v>721.32</v>
      </c>
      <c r="AG78" s="161">
        <f t="shared" si="43"/>
        <v>8660.34</v>
      </c>
    </row>
    <row r="79" spans="1:33" hidden="1" x14ac:dyDescent="0.25">
      <c r="A79" s="127" t="s">
        <v>249</v>
      </c>
      <c r="N79" s="161">
        <f t="shared" ref="N79" si="44">SUM(B79:M79)</f>
        <v>0</v>
      </c>
      <c r="P79" s="161">
        <f t="shared" si="37"/>
        <v>6924.4274999999998</v>
      </c>
      <c r="Q79" s="161">
        <f t="shared" si="38"/>
        <v>9232.57</v>
      </c>
      <c r="R79" s="161">
        <f t="shared" si="40"/>
        <v>9232.57</v>
      </c>
      <c r="S79" s="190">
        <f t="shared" si="5"/>
        <v>0</v>
      </c>
      <c r="T79" s="190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899.5</v>
      </c>
      <c r="AE79" s="161">
        <v>5881.56</v>
      </c>
      <c r="AF79" s="161">
        <v>2451.5100000000002</v>
      </c>
      <c r="AG79" s="161">
        <f t="shared" ref="AG79" si="45">SUM(U79:AF79)</f>
        <v>9232.57</v>
      </c>
    </row>
    <row r="80" spans="1:33" x14ac:dyDescent="0.25">
      <c r="A80" s="127" t="s">
        <v>382</v>
      </c>
      <c r="B80" s="161">
        <v>0</v>
      </c>
      <c r="C80" s="161">
        <v>110</v>
      </c>
      <c r="N80" s="161">
        <f t="shared" si="39"/>
        <v>110</v>
      </c>
      <c r="P80" s="161">
        <f t="shared" si="37"/>
        <v>336.75</v>
      </c>
      <c r="Q80" s="161">
        <f t="shared" si="38"/>
        <v>449</v>
      </c>
      <c r="R80" s="161">
        <f t="shared" si="40"/>
        <v>449</v>
      </c>
      <c r="S80" s="190">
        <f t="shared" si="5"/>
        <v>0</v>
      </c>
      <c r="T80" s="190"/>
      <c r="U80" s="161">
        <v>109</v>
      </c>
      <c r="V80" s="161">
        <v>0</v>
      </c>
      <c r="W80" s="161">
        <v>40</v>
      </c>
      <c r="X80" s="161">
        <v>0</v>
      </c>
      <c r="Y80" s="161">
        <v>0</v>
      </c>
      <c r="Z80" s="161">
        <v>0</v>
      </c>
      <c r="AA80" s="161">
        <v>0</v>
      </c>
      <c r="AB80" s="161">
        <v>300</v>
      </c>
      <c r="AC80" s="161">
        <v>0</v>
      </c>
      <c r="AD80" s="161">
        <v>0</v>
      </c>
      <c r="AE80" s="161">
        <v>0</v>
      </c>
      <c r="AF80" s="161">
        <v>0</v>
      </c>
      <c r="AG80" s="161">
        <f t="shared" si="41"/>
        <v>449</v>
      </c>
    </row>
    <row r="81" spans="1:33" x14ac:dyDescent="0.25">
      <c r="A81" s="127" t="s">
        <v>252</v>
      </c>
      <c r="B81" s="161">
        <v>225</v>
      </c>
      <c r="C81" s="161">
        <v>0</v>
      </c>
      <c r="D81" s="161">
        <v>500</v>
      </c>
      <c r="N81" s="206">
        <f t="shared" si="39"/>
        <v>725</v>
      </c>
      <c r="P81" s="161">
        <f t="shared" si="37"/>
        <v>1858.125</v>
      </c>
      <c r="Q81" s="161">
        <f t="shared" si="38"/>
        <v>2477.5</v>
      </c>
      <c r="R81" s="161">
        <f t="shared" si="40"/>
        <v>2477.5</v>
      </c>
      <c r="S81" s="190">
        <f t="shared" si="5"/>
        <v>0</v>
      </c>
      <c r="T81" s="190"/>
      <c r="U81" s="161">
        <v>225</v>
      </c>
      <c r="V81" s="161">
        <v>352.5</v>
      </c>
      <c r="W81" s="161">
        <v>0</v>
      </c>
      <c r="X81" s="161">
        <v>0</v>
      </c>
      <c r="Y81" s="161">
        <v>0</v>
      </c>
      <c r="Z81" s="161">
        <v>650</v>
      </c>
      <c r="AA81" s="161">
        <v>0</v>
      </c>
      <c r="AB81" s="161">
        <v>1250</v>
      </c>
      <c r="AC81" s="161">
        <v>0</v>
      </c>
      <c r="AD81" s="161">
        <v>0</v>
      </c>
      <c r="AE81" s="161">
        <v>0</v>
      </c>
      <c r="AF81" s="161">
        <v>0</v>
      </c>
      <c r="AG81" s="206">
        <f t="shared" si="41"/>
        <v>2477.5</v>
      </c>
    </row>
    <row r="82" spans="1:33" x14ac:dyDescent="0.25">
      <c r="A82" s="128" t="s">
        <v>292</v>
      </c>
      <c r="B82" s="191">
        <f>SUM(B68:B81)</f>
        <v>5302.47</v>
      </c>
      <c r="C82" s="191">
        <f t="shared" ref="C82:F82" si="46">SUM(C68:C81)</f>
        <v>5999.6200000000008</v>
      </c>
      <c r="D82" s="191">
        <f t="shared" si="46"/>
        <v>6268.51</v>
      </c>
      <c r="E82" s="191">
        <f>SUM(E68:E81)</f>
        <v>4873.4500000000007</v>
      </c>
      <c r="F82" s="191">
        <f t="shared" si="46"/>
        <v>0</v>
      </c>
      <c r="G82" s="191">
        <f t="shared" ref="G82:M82" si="47">SUM(G68:G81)</f>
        <v>0</v>
      </c>
      <c r="H82" s="191">
        <f t="shared" si="47"/>
        <v>0</v>
      </c>
      <c r="I82" s="191">
        <f t="shared" si="47"/>
        <v>0</v>
      </c>
      <c r="J82" s="191">
        <f t="shared" si="47"/>
        <v>0</v>
      </c>
      <c r="K82" s="191">
        <f t="shared" si="47"/>
        <v>0</v>
      </c>
      <c r="L82" s="191">
        <f t="shared" si="47"/>
        <v>0</v>
      </c>
      <c r="M82" s="191">
        <f t="shared" si="47"/>
        <v>0</v>
      </c>
      <c r="N82" s="191">
        <f>SUM(N68:N81)</f>
        <v>22444.05</v>
      </c>
      <c r="P82" s="191">
        <f>SUM(P68:P81)</f>
        <v>94989.101250000007</v>
      </c>
      <c r="Q82" s="191">
        <f t="shared" ref="Q82:R82" si="48">SUM(Q68:Q81)</f>
        <v>126652.13500000001</v>
      </c>
      <c r="R82" s="191">
        <f t="shared" si="48"/>
        <v>221798.53</v>
      </c>
      <c r="S82" s="190">
        <f t="shared" si="5"/>
        <v>0</v>
      </c>
      <c r="T82" s="190"/>
      <c r="U82" s="191">
        <f>SUM(U68:U81)</f>
        <v>9370.33</v>
      </c>
      <c r="V82" s="191">
        <f t="shared" ref="V82:AF82" si="49">SUM(V68:V81)</f>
        <v>10526.09</v>
      </c>
      <c r="W82" s="191">
        <f t="shared" si="49"/>
        <v>8935.42</v>
      </c>
      <c r="X82" s="191">
        <f>SUM(X68:X81)</f>
        <v>9186.51</v>
      </c>
      <c r="Y82" s="191">
        <f t="shared" si="49"/>
        <v>8943.81</v>
      </c>
      <c r="Z82" s="191">
        <f t="shared" si="49"/>
        <v>2622.08</v>
      </c>
      <c r="AA82" s="191">
        <f t="shared" si="49"/>
        <v>11816.36</v>
      </c>
      <c r="AB82" s="191">
        <f t="shared" si="49"/>
        <v>9366.369999999999</v>
      </c>
      <c r="AC82" s="191">
        <f t="shared" si="49"/>
        <v>59596.899999999994</v>
      </c>
      <c r="AD82" s="191">
        <f t="shared" si="49"/>
        <v>25544</v>
      </c>
      <c r="AE82" s="191">
        <f t="shared" si="49"/>
        <v>34406.61</v>
      </c>
      <c r="AF82" s="191">
        <f t="shared" si="49"/>
        <v>31484.049999999996</v>
      </c>
      <c r="AG82" s="191">
        <f>SUM(AG68:AG81)</f>
        <v>221798.53</v>
      </c>
    </row>
    <row r="83" spans="1:33" x14ac:dyDescent="0.25">
      <c r="A83" s="127" t="s">
        <v>241</v>
      </c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ht="15.75" thickBot="1" x14ac:dyDescent="0.3">
      <c r="A84" s="128" t="s">
        <v>206</v>
      </c>
      <c r="B84" s="192">
        <f t="shared" ref="B84:F84" si="50">B43+B65+B82</f>
        <v>252212.44999999998</v>
      </c>
      <c r="C84" s="192">
        <f t="shared" si="50"/>
        <v>236263.2</v>
      </c>
      <c r="D84" s="192">
        <f t="shared" si="50"/>
        <v>255947.51</v>
      </c>
      <c r="E84" s="192">
        <f t="shared" si="50"/>
        <v>252913.16999999998</v>
      </c>
      <c r="F84" s="192">
        <f t="shared" si="50"/>
        <v>0</v>
      </c>
      <c r="G84" s="192">
        <f t="shared" ref="G84:M84" si="51">G43+G65+G82</f>
        <v>0</v>
      </c>
      <c r="H84" s="192">
        <f t="shared" si="51"/>
        <v>0</v>
      </c>
      <c r="I84" s="192">
        <f t="shared" si="51"/>
        <v>0</v>
      </c>
      <c r="J84" s="192">
        <f t="shared" si="51"/>
        <v>0</v>
      </c>
      <c r="K84" s="192">
        <f t="shared" si="51"/>
        <v>0</v>
      </c>
      <c r="L84" s="192">
        <f t="shared" ref="L84" si="52">L43+L65+L82</f>
        <v>0</v>
      </c>
      <c r="M84" s="192">
        <f t="shared" si="51"/>
        <v>0</v>
      </c>
      <c r="N84" s="192">
        <f>N43+N65+N82</f>
        <v>997336.33000000007</v>
      </c>
      <c r="P84" s="192">
        <f>P43+P65+P82</f>
        <v>1870262.1157500001</v>
      </c>
      <c r="Q84" s="192">
        <f t="shared" ref="Q84:R84" si="53">Q43+Q65+Q82</f>
        <v>2493682.8209999995</v>
      </c>
      <c r="R84" s="192">
        <f t="shared" si="53"/>
        <v>2440886.9499999997</v>
      </c>
      <c r="S84" s="190">
        <f t="shared" ref="S84:S92" si="54">R84-AG84</f>
        <v>0</v>
      </c>
      <c r="T84" s="190"/>
      <c r="U84" s="192">
        <f t="shared" ref="U84:AF84" si="55">U43+U65+U82</f>
        <v>119334.52</v>
      </c>
      <c r="V84" s="192">
        <f t="shared" si="55"/>
        <v>113697.12999999998</v>
      </c>
      <c r="W84" s="192">
        <f t="shared" si="55"/>
        <v>117844.24</v>
      </c>
      <c r="X84" s="192">
        <f t="shared" si="55"/>
        <v>116956.12000000001</v>
      </c>
      <c r="Y84" s="192">
        <f t="shared" si="55"/>
        <v>111590.86999999998</v>
      </c>
      <c r="Z84" s="192">
        <f t="shared" si="55"/>
        <v>109064.85000000002</v>
      </c>
      <c r="AA84" s="192">
        <f t="shared" si="55"/>
        <v>123297.64999999998</v>
      </c>
      <c r="AB84" s="192">
        <f t="shared" si="55"/>
        <v>123300.49</v>
      </c>
      <c r="AC84" s="192">
        <f t="shared" si="55"/>
        <v>755337.70999999985</v>
      </c>
      <c r="AD84" s="192">
        <f t="shared" si="55"/>
        <v>233481.31</v>
      </c>
      <c r="AE84" s="192">
        <f t="shared" si="55"/>
        <v>219998.38</v>
      </c>
      <c r="AF84" s="192">
        <f t="shared" si="55"/>
        <v>296983.67999999999</v>
      </c>
      <c r="AG84" s="192">
        <f>AG43+AG65+AG82</f>
        <v>2440886.9499999997</v>
      </c>
    </row>
    <row r="85" spans="1:33" x14ac:dyDescent="0.25"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8" t="s">
        <v>293</v>
      </c>
      <c r="P86" s="161"/>
      <c r="Q86" s="161"/>
      <c r="R86" s="161"/>
      <c r="S86" s="190"/>
      <c r="T86" s="19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x14ac:dyDescent="0.25">
      <c r="A87" s="127" t="s">
        <v>294</v>
      </c>
      <c r="B87" s="161">
        <v>12500</v>
      </c>
      <c r="C87" s="161">
        <v>12500</v>
      </c>
      <c r="D87" s="161">
        <v>12500</v>
      </c>
      <c r="E87" s="161">
        <v>12500</v>
      </c>
      <c r="N87" s="161">
        <f>SUM(B87:M87)</f>
        <v>50000</v>
      </c>
      <c r="P87" s="161">
        <f t="shared" ref="P87:P89" si="56">Q87/12*$P$6</f>
        <v>112500</v>
      </c>
      <c r="Q87" s="161">
        <f t="shared" ref="Q87:Q89" si="57">R87</f>
        <v>150000</v>
      </c>
      <c r="R87" s="161">
        <f t="shared" ref="R87:R89" si="58">AG87</f>
        <v>150000</v>
      </c>
      <c r="S87" s="190">
        <f t="shared" si="54"/>
        <v>0</v>
      </c>
      <c r="T87" s="190"/>
      <c r="U87" s="161">
        <v>12500</v>
      </c>
      <c r="V87" s="161">
        <v>12500</v>
      </c>
      <c r="W87" s="161">
        <v>12500</v>
      </c>
      <c r="X87" s="161">
        <v>12500</v>
      </c>
      <c r="Y87" s="161">
        <v>12500</v>
      </c>
      <c r="Z87" s="161">
        <v>12500</v>
      </c>
      <c r="AA87" s="161">
        <v>12500</v>
      </c>
      <c r="AB87" s="161">
        <v>12500</v>
      </c>
      <c r="AC87" s="161">
        <v>12500</v>
      </c>
      <c r="AD87" s="161">
        <v>12500</v>
      </c>
      <c r="AE87" s="161">
        <v>12500</v>
      </c>
      <c r="AF87" s="161">
        <v>12500</v>
      </c>
      <c r="AG87" s="161">
        <f>SUM(U87:AF87)</f>
        <v>150000</v>
      </c>
    </row>
    <row r="88" spans="1:33" x14ac:dyDescent="0.25">
      <c r="A88" s="127" t="s">
        <v>593</v>
      </c>
      <c r="B88" s="161">
        <v>913.92</v>
      </c>
      <c r="C88" s="161">
        <v>600.72</v>
      </c>
      <c r="D88" s="161">
        <v>2300.21</v>
      </c>
      <c r="E88" s="161">
        <v>2602.7199999999998</v>
      </c>
      <c r="N88" s="161">
        <f>SUM(B88:M88)</f>
        <v>6417.57</v>
      </c>
      <c r="P88" s="161"/>
      <c r="Q88" s="161"/>
      <c r="R88" s="161"/>
      <c r="S88" s="190"/>
      <c r="T88" s="19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x14ac:dyDescent="0.25">
      <c r="A89" s="127" t="s">
        <v>266</v>
      </c>
      <c r="B89" s="161">
        <v>22216.67</v>
      </c>
      <c r="C89" s="161">
        <v>20066.669999999998</v>
      </c>
      <c r="D89" s="161">
        <v>24483.32</v>
      </c>
      <c r="E89" s="161">
        <v>23500</v>
      </c>
      <c r="N89" s="161">
        <f>SUM(B89:M89)</f>
        <v>90266.66</v>
      </c>
      <c r="P89" s="161">
        <f t="shared" si="56"/>
        <v>26089.117499999997</v>
      </c>
      <c r="Q89" s="161">
        <f t="shared" si="57"/>
        <v>34785.49</v>
      </c>
      <c r="R89" s="161">
        <f t="shared" si="58"/>
        <v>34785.49</v>
      </c>
      <c r="S89" s="190">
        <f t="shared" si="54"/>
        <v>0</v>
      </c>
      <c r="T89" s="190"/>
      <c r="U89" s="161">
        <v>2109.7199999999998</v>
      </c>
      <c r="V89" s="161">
        <v>2488.89</v>
      </c>
      <c r="W89" s="161">
        <v>2770.21</v>
      </c>
      <c r="X89" s="161">
        <v>2666.67</v>
      </c>
      <c r="Y89" s="161">
        <v>2755.56</v>
      </c>
      <c r="Z89" s="161">
        <v>2666.67</v>
      </c>
      <c r="AA89" s="161">
        <v>2755.56</v>
      </c>
      <c r="AB89" s="161">
        <v>3000</v>
      </c>
      <c r="AC89" s="161">
        <v>3333.33</v>
      </c>
      <c r="AD89" s="161">
        <v>3444.44</v>
      </c>
      <c r="AE89" s="161">
        <v>3333.33</v>
      </c>
      <c r="AF89" s="161">
        <v>3461.11</v>
      </c>
      <c r="AG89" s="161">
        <f>SUM(U89:AF89)</f>
        <v>34785.49</v>
      </c>
    </row>
    <row r="90" spans="1:33" x14ac:dyDescent="0.25">
      <c r="A90" s="128" t="s">
        <v>295</v>
      </c>
      <c r="B90" s="191">
        <f>SUM(B87:B89)</f>
        <v>35630.589999999997</v>
      </c>
      <c r="C90" s="191">
        <f t="shared" ref="C90:F90" si="59">SUM(C87:C89)</f>
        <v>33167.39</v>
      </c>
      <c r="D90" s="191">
        <f t="shared" si="59"/>
        <v>39283.53</v>
      </c>
      <c r="E90" s="191">
        <f>SUM(E87:E89)</f>
        <v>38602.720000000001</v>
      </c>
      <c r="F90" s="191">
        <f t="shared" si="59"/>
        <v>0</v>
      </c>
      <c r="G90" s="191">
        <f t="shared" ref="G90:M90" si="60">SUM(G87:G89)</f>
        <v>0</v>
      </c>
      <c r="H90" s="191">
        <f t="shared" si="60"/>
        <v>0</v>
      </c>
      <c r="I90" s="191">
        <f t="shared" si="60"/>
        <v>0</v>
      </c>
      <c r="J90" s="191">
        <f t="shared" si="60"/>
        <v>0</v>
      </c>
      <c r="K90" s="191">
        <f t="shared" si="60"/>
        <v>0</v>
      </c>
      <c r="L90" s="191">
        <f t="shared" ref="L90" si="61">SUM(L87:L89)</f>
        <v>0</v>
      </c>
      <c r="M90" s="191">
        <f t="shared" si="60"/>
        <v>0</v>
      </c>
      <c r="N90" s="191">
        <f>SUM(N87:N89)</f>
        <v>146684.23000000001</v>
      </c>
      <c r="P90" s="191">
        <f>SUM(P87:P89)</f>
        <v>138589.11749999999</v>
      </c>
      <c r="Q90" s="191">
        <f t="shared" ref="Q90:R90" si="62">SUM(Q87:Q89)</f>
        <v>184785.49</v>
      </c>
      <c r="R90" s="191">
        <f t="shared" si="62"/>
        <v>184785.49</v>
      </c>
      <c r="S90" s="190">
        <f t="shared" si="54"/>
        <v>0</v>
      </c>
      <c r="T90" s="190"/>
      <c r="U90" s="191">
        <f>SUM(U87:U89)</f>
        <v>14609.72</v>
      </c>
      <c r="V90" s="191">
        <f t="shared" ref="V90:AF90" si="63">SUM(V87:V89)</f>
        <v>14988.89</v>
      </c>
      <c r="W90" s="191">
        <f t="shared" si="63"/>
        <v>15270.21</v>
      </c>
      <c r="X90" s="191">
        <f>SUM(X87:X89)</f>
        <v>15166.67</v>
      </c>
      <c r="Y90" s="191">
        <f t="shared" si="63"/>
        <v>15255.56</v>
      </c>
      <c r="Z90" s="191">
        <f t="shared" si="63"/>
        <v>15166.67</v>
      </c>
      <c r="AA90" s="191">
        <f t="shared" si="63"/>
        <v>15255.56</v>
      </c>
      <c r="AB90" s="191">
        <f t="shared" si="63"/>
        <v>15500</v>
      </c>
      <c r="AC90" s="191">
        <f t="shared" si="63"/>
        <v>15833.33</v>
      </c>
      <c r="AD90" s="191">
        <f t="shared" si="63"/>
        <v>15944.44</v>
      </c>
      <c r="AE90" s="191">
        <f t="shared" si="63"/>
        <v>15833.33</v>
      </c>
      <c r="AF90" s="191">
        <f t="shared" si="63"/>
        <v>15961.11</v>
      </c>
      <c r="AG90" s="191">
        <f>SUM(AG87:AG89)</f>
        <v>184785.49</v>
      </c>
    </row>
    <row r="91" spans="1:33" x14ac:dyDescent="0.25"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ht="15.75" thickBot="1" x14ac:dyDescent="0.3">
      <c r="A92" s="128" t="s">
        <v>296</v>
      </c>
      <c r="B92" s="194">
        <f t="shared" ref="B92:M92" si="64">B29-B84+B90</f>
        <v>208566.70999999996</v>
      </c>
      <c r="C92" s="194">
        <f t="shared" si="64"/>
        <v>541676.42999999993</v>
      </c>
      <c r="D92" s="194">
        <f t="shared" si="64"/>
        <v>218157.06999999998</v>
      </c>
      <c r="E92" s="194">
        <f t="shared" si="64"/>
        <v>273977.33999999997</v>
      </c>
      <c r="F92" s="194">
        <f t="shared" si="64"/>
        <v>0</v>
      </c>
      <c r="G92" s="194">
        <f t="shared" si="64"/>
        <v>0</v>
      </c>
      <c r="H92" s="194">
        <f t="shared" si="64"/>
        <v>0</v>
      </c>
      <c r="I92" s="194">
        <f t="shared" si="64"/>
        <v>0</v>
      </c>
      <c r="J92" s="194">
        <f t="shared" ref="J92:L92" si="65">J29-J84+J90</f>
        <v>0</v>
      </c>
      <c r="K92" s="194">
        <f t="shared" si="65"/>
        <v>0</v>
      </c>
      <c r="L92" s="194">
        <f t="shared" si="65"/>
        <v>0</v>
      </c>
      <c r="M92" s="194">
        <f t="shared" si="64"/>
        <v>0</v>
      </c>
      <c r="N92" s="194">
        <f>N29-N84+N90</f>
        <v>1242377.5500000003</v>
      </c>
      <c r="O92" s="127"/>
      <c r="P92" s="194">
        <f t="shared" ref="P92:R92" si="66">P29-P84+P90</f>
        <v>594000.63675000006</v>
      </c>
      <c r="Q92" s="194">
        <f t="shared" si="66"/>
        <v>792000.84900000016</v>
      </c>
      <c r="R92" s="194">
        <f t="shared" si="66"/>
        <v>844796.72</v>
      </c>
      <c r="S92" s="190">
        <f t="shared" si="54"/>
        <v>0</v>
      </c>
      <c r="T92" s="190"/>
      <c r="U92" s="194">
        <f t="shared" ref="U92:AG92" si="67">U29-U84+U90</f>
        <v>-1834.0699999999943</v>
      </c>
      <c r="V92" s="194">
        <f t="shared" si="67"/>
        <v>8655.3500000000204</v>
      </c>
      <c r="W92" s="194">
        <f t="shared" si="67"/>
        <v>83095.280000000028</v>
      </c>
      <c r="X92" s="194">
        <f t="shared" si="67"/>
        <v>32817.569999999978</v>
      </c>
      <c r="Y92" s="194">
        <f t="shared" si="67"/>
        <v>177775.43</v>
      </c>
      <c r="Z92" s="194">
        <f t="shared" si="67"/>
        <v>87212.919999999955</v>
      </c>
      <c r="AA92" s="194">
        <f t="shared" si="67"/>
        <v>115696.81999999999</v>
      </c>
      <c r="AB92" s="194">
        <f t="shared" si="67"/>
        <v>116860.41000000002</v>
      </c>
      <c r="AC92" s="194">
        <f t="shared" si="67"/>
        <v>2404.5800000002328</v>
      </c>
      <c r="AD92" s="194">
        <f t="shared" si="67"/>
        <v>133766.34000000003</v>
      </c>
      <c r="AE92" s="194">
        <f t="shared" si="67"/>
        <v>21245.390000000029</v>
      </c>
      <c r="AF92" s="194">
        <f t="shared" si="67"/>
        <v>67100.700000000026</v>
      </c>
      <c r="AG92" s="194">
        <f t="shared" si="67"/>
        <v>844796.72</v>
      </c>
    </row>
    <row r="93" spans="1:33" ht="15.75" thickTop="1" x14ac:dyDescent="0.25">
      <c r="P93" s="161"/>
      <c r="Q93" s="161"/>
      <c r="R93" s="161"/>
      <c r="S93" s="190"/>
      <c r="T93" s="190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</row>
    <row r="94" spans="1:33" x14ac:dyDescent="0.25">
      <c r="P94" s="161"/>
      <c r="Q94" s="161"/>
      <c r="R94" s="161"/>
      <c r="S94" s="190"/>
      <c r="T94" s="190"/>
      <c r="U94" s="161">
        <v>-1834.07</v>
      </c>
      <c r="V94" s="161">
        <v>8655.35</v>
      </c>
      <c r="W94" s="161">
        <v>83095.28</v>
      </c>
      <c r="X94" s="161">
        <v>32817.57</v>
      </c>
      <c r="Y94" s="161">
        <v>177775.43</v>
      </c>
      <c r="Z94" s="161">
        <v>87212.92</v>
      </c>
      <c r="AA94" s="161">
        <v>115696.82</v>
      </c>
      <c r="AB94" s="161">
        <v>116860.41</v>
      </c>
      <c r="AC94" s="161">
        <v>2404.58</v>
      </c>
      <c r="AD94" s="161">
        <v>133766.34</v>
      </c>
      <c r="AE94" s="161">
        <v>21245.39</v>
      </c>
      <c r="AF94" s="161">
        <v>67100.7</v>
      </c>
      <c r="AG94" s="161">
        <v>844796.72</v>
      </c>
    </row>
    <row r="95" spans="1:33" x14ac:dyDescent="0.25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P95" s="195"/>
      <c r="Q95" s="195"/>
      <c r="R95" s="195"/>
      <c r="S95" s="190"/>
      <c r="T95" s="190"/>
      <c r="U95" s="195">
        <f>ROUND((U94-U92),2)</f>
        <v>0</v>
      </c>
      <c r="V95" s="195">
        <f t="shared" ref="V95:AG95" si="68">ROUND((V94-V92),2)</f>
        <v>0</v>
      </c>
      <c r="W95" s="195">
        <f t="shared" si="68"/>
        <v>0</v>
      </c>
      <c r="X95" s="195">
        <f t="shared" si="68"/>
        <v>0</v>
      </c>
      <c r="Y95" s="195">
        <f t="shared" si="68"/>
        <v>0</v>
      </c>
      <c r="Z95" s="195">
        <f t="shared" si="68"/>
        <v>0</v>
      </c>
      <c r="AA95" s="195">
        <f t="shared" si="68"/>
        <v>0</v>
      </c>
      <c r="AB95" s="195">
        <f t="shared" si="68"/>
        <v>0</v>
      </c>
      <c r="AC95" s="195">
        <f t="shared" si="68"/>
        <v>0</v>
      </c>
      <c r="AD95" s="195">
        <f>ROUND((AD94-AD92),2)</f>
        <v>0</v>
      </c>
      <c r="AE95" s="195">
        <f>ROUND((AE94-AE92),2)</f>
        <v>0</v>
      </c>
      <c r="AF95" s="195">
        <f>ROUND((AF94-AF92),2)</f>
        <v>0</v>
      </c>
      <c r="AG95" s="195">
        <f t="shared" si="68"/>
        <v>0</v>
      </c>
    </row>
    <row r="96" spans="1:33" x14ac:dyDescent="0.25">
      <c r="P96" s="161"/>
      <c r="Q96" s="161"/>
      <c r="R96" s="161"/>
      <c r="T96" s="190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88"/>
      <c r="Q194" s="188"/>
      <c r="R194" s="188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0" fitToHeight="0" orientation="portrait" r:id="rId1"/>
  <headerFooter>
    <oddFooter>&amp;CPage &amp;P of &amp;N</oddFooter>
  </headerFooter>
  <rowBreaks count="1" manualBreakCount="1">
    <brk id="4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6" activePane="bottomLeft" state="frozen"/>
      <selection activeCell="B67" sqref="B67"/>
      <selection pane="bottomLeft" activeCell="B67" sqref="B67"/>
    </sheetView>
  </sheetViews>
  <sheetFormatPr defaultColWidth="9.140625" defaultRowHeight="15" x14ac:dyDescent="0.25"/>
  <cols>
    <col min="1" max="1" width="41.28515625" style="127" bestFit="1" customWidth="1"/>
    <col min="2" max="2" width="18.28515625" style="161" bestFit="1" customWidth="1"/>
    <col min="3" max="5" width="18.28515625" style="161" customWidth="1"/>
    <col min="6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2" t="s">
        <v>330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T5" s="205"/>
    </row>
    <row r="6" spans="1:33" ht="18.75" x14ac:dyDescent="0.3">
      <c r="A6" s="196"/>
      <c r="B6" s="197" t="s">
        <v>297</v>
      </c>
      <c r="C6" s="197" t="s">
        <v>298</v>
      </c>
      <c r="D6" s="197" t="s">
        <v>299</v>
      </c>
      <c r="E6" s="197" t="s">
        <v>300</v>
      </c>
      <c r="F6" s="197" t="s">
        <v>370</v>
      </c>
      <c r="G6" s="197" t="s">
        <v>596</v>
      </c>
      <c r="H6" s="197" t="s">
        <v>597</v>
      </c>
      <c r="I6" s="197" t="s">
        <v>598</v>
      </c>
      <c r="J6" s="197" t="s">
        <v>599</v>
      </c>
      <c r="K6" s="197" t="s">
        <v>600</v>
      </c>
      <c r="L6" s="197" t="s">
        <v>601</v>
      </c>
      <c r="M6" s="197" t="s">
        <v>602</v>
      </c>
      <c r="N6" s="197" t="s">
        <v>203</v>
      </c>
      <c r="P6" s="189">
        <v>8</v>
      </c>
      <c r="Q6" s="189"/>
      <c r="R6" s="188" t="s">
        <v>203</v>
      </c>
      <c r="T6" s="188"/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ht="18.75" hidden="1" x14ac:dyDescent="0.3">
      <c r="A7" s="198" t="s">
        <v>58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hidden="1" x14ac:dyDescent="0.3">
      <c r="A8" s="196" t="s">
        <v>304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>
        <f>SUM(B8:M8)</f>
        <v>0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hidden="1" x14ac:dyDescent="0.3">
      <c r="A9" s="196" t="s">
        <v>312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0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hidden="1" x14ac:dyDescent="0.3">
      <c r="A10" s="196" t="s">
        <v>313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0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hidden="1" x14ac:dyDescent="0.3">
      <c r="A11" s="196" t="s">
        <v>371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0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hidden="1" x14ac:dyDescent="0.3">
      <c r="A12" s="196" t="s">
        <v>448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0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hidden="1" x14ac:dyDescent="0.3">
      <c r="A13" s="196" t="s">
        <v>314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0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hidden="1" x14ac:dyDescent="0.3">
      <c r="A14" s="196" t="s">
        <v>315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0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447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hidden="1" x14ac:dyDescent="0.3">
      <c r="A17" s="198" t="s">
        <v>219</v>
      </c>
      <c r="B17" s="200">
        <f t="shared" ref="B17:N17" si="8">SUM(B8:B16)</f>
        <v>0</v>
      </c>
      <c r="C17" s="200">
        <f t="shared" si="8"/>
        <v>0</v>
      </c>
      <c r="D17" s="200">
        <f t="shared" si="8"/>
        <v>0</v>
      </c>
      <c r="E17" s="200">
        <f t="shared" si="8"/>
        <v>0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0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hidden="1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hidden="1" x14ac:dyDescent="0.3">
      <c r="A19" s="198" t="s">
        <v>275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hidden="1" x14ac:dyDescent="0.3">
      <c r="A20" s="196" t="s">
        <v>305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0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hidden="1" x14ac:dyDescent="0.3">
      <c r="A21" s="196" t="s">
        <v>306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0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hidden="1" x14ac:dyDescent="0.3">
      <c r="A22" s="196" t="s">
        <v>307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0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hidden="1" x14ac:dyDescent="0.3">
      <c r="A23" s="196" t="s">
        <v>372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0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hidden="1" x14ac:dyDescent="0.3">
      <c r="A24" s="196" t="s">
        <v>308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0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hidden="1" x14ac:dyDescent="0.3">
      <c r="A25" s="196" t="s">
        <v>434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0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hidden="1" x14ac:dyDescent="0.3">
      <c r="A26" s="196" t="s">
        <v>277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0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hidden="1" x14ac:dyDescent="0.3">
      <c r="A27" s="196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0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hidden="1" x14ac:dyDescent="0.3">
      <c r="A29" s="196" t="s">
        <v>374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0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hidden="1" x14ac:dyDescent="0.3">
      <c r="A30" s="196" t="s">
        <v>375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0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hidden="1" x14ac:dyDescent="0.3">
      <c r="A31" s="196" t="s">
        <v>310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0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hidden="1" x14ac:dyDescent="0.3">
      <c r="A32" s="196" t="s">
        <v>321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0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373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595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hidden="1" x14ac:dyDescent="0.3">
      <c r="A35" s="196" t="s">
        <v>329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0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hidden="1" x14ac:dyDescent="0.3">
      <c r="A36" s="196" t="s">
        <v>311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0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hidden="1" x14ac:dyDescent="0.3">
      <c r="A37" s="198" t="s">
        <v>278</v>
      </c>
      <c r="B37" s="200">
        <f t="shared" ref="B37:N37" si="17">SUM(B20:B36)</f>
        <v>0</v>
      </c>
      <c r="C37" s="200">
        <f t="shared" si="17"/>
        <v>0</v>
      </c>
      <c r="D37" s="200">
        <f t="shared" si="17"/>
        <v>0</v>
      </c>
      <c r="E37" s="200">
        <f t="shared" si="17"/>
        <v>0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0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207</v>
      </c>
      <c r="B39" s="201">
        <f t="shared" ref="B39:H39" si="21">B17-B37</f>
        <v>0</v>
      </c>
      <c r="C39" s="201">
        <f t="shared" si="21"/>
        <v>0</v>
      </c>
      <c r="D39" s="201">
        <f t="shared" si="21"/>
        <v>0</v>
      </c>
      <c r="E39" s="201">
        <f t="shared" si="21"/>
        <v>0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0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205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hidden="1" x14ac:dyDescent="0.3">
      <c r="A43" s="198" t="s">
        <v>466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hidden="1" x14ac:dyDescent="0.3">
      <c r="A44" s="196" t="s">
        <v>467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0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hidden="1" x14ac:dyDescent="0.3">
      <c r="A45" s="196" t="s">
        <v>528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0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hidden="1" x14ac:dyDescent="0.3">
      <c r="A46" s="196" t="s">
        <v>577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0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hidden="1" x14ac:dyDescent="0.3">
      <c r="A47" s="196" t="s">
        <v>280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0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hidden="1" x14ac:dyDescent="0.3">
      <c r="A48" s="196" t="s">
        <v>468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0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hidden="1" x14ac:dyDescent="0.3">
      <c r="A49" s="196" t="s">
        <v>473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0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hidden="1" x14ac:dyDescent="0.3">
      <c r="A50" s="196" t="s">
        <v>469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0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hidden="1" x14ac:dyDescent="0.3">
      <c r="A52" s="196" t="s">
        <v>242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581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hidden="1" x14ac:dyDescent="0.3">
      <c r="A54" s="198" t="s">
        <v>532</v>
      </c>
      <c r="B54" s="200">
        <f t="shared" ref="B54:G54" si="30">SUM(B44:B53)</f>
        <v>0</v>
      </c>
      <c r="C54" s="200">
        <f t="shared" si="30"/>
        <v>0</v>
      </c>
      <c r="D54" s="200">
        <f t="shared" si="30"/>
        <v>0</v>
      </c>
      <c r="E54" s="200">
        <f t="shared" si="30"/>
        <v>0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0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hidden="1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284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hidden="1" x14ac:dyDescent="0.3">
      <c r="A57" s="196" t="s">
        <v>230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287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hidden="1" x14ac:dyDescent="0.3">
      <c r="A59" s="196" t="s">
        <v>234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288</v>
      </c>
      <c r="B60" s="199">
        <v>270.35000000000002</v>
      </c>
      <c r="C60" s="199">
        <v>270.35000000000002</v>
      </c>
      <c r="D60" s="199">
        <v>270.35000000000002</v>
      </c>
      <c r="E60" s="199">
        <v>270.35000000000002</v>
      </c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1081.4000000000001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328</v>
      </c>
      <c r="B61" s="200">
        <f t="shared" ref="B61:M61" si="36">SUM(B57:B60)</f>
        <v>270.35000000000002</v>
      </c>
      <c r="C61" s="200">
        <f t="shared" si="36"/>
        <v>270.35000000000002</v>
      </c>
      <c r="D61" s="200">
        <f t="shared" si="36"/>
        <v>270.35000000000002</v>
      </c>
      <c r="E61" s="200">
        <f t="shared" si="36"/>
        <v>270.35000000000002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1081.4000000000001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289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582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248</v>
      </c>
      <c r="B65" s="199">
        <v>91.1</v>
      </c>
      <c r="C65" s="199">
        <v>90.85</v>
      </c>
      <c r="D65" s="199">
        <v>90.31</v>
      </c>
      <c r="E65" s="199">
        <v>90.16</v>
      </c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362.41999999999996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535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hidden="1" x14ac:dyDescent="0.3">
      <c r="A67" s="196" t="s">
        <v>606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0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252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550</v>
      </c>
      <c r="AE68" s="193">
        <v>0</v>
      </c>
      <c r="AF68" s="193">
        <v>0</v>
      </c>
      <c r="AG68" s="161">
        <f t="shared" si="43"/>
        <v>912.49</v>
      </c>
    </row>
    <row r="69" spans="1:33" ht="18.75" hidden="1" x14ac:dyDescent="0.3">
      <c r="A69" s="196" t="s">
        <v>258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0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hidden="1" x14ac:dyDescent="0.3">
      <c r="A70" s="196" t="s">
        <v>361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0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hidden="1" x14ac:dyDescent="0.3">
      <c r="A71" s="196" t="s">
        <v>244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354</v>
      </c>
      <c r="B72" s="199">
        <v>3500</v>
      </c>
      <c r="C72" s="199">
        <v>1500</v>
      </c>
      <c r="D72" s="199">
        <v>1500</v>
      </c>
      <c r="E72" s="199">
        <v>1500</v>
      </c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8000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376</v>
      </c>
      <c r="B73" s="199">
        <v>395</v>
      </c>
      <c r="C73" s="199">
        <v>395</v>
      </c>
      <c r="D73" s="199">
        <v>391</v>
      </c>
      <c r="E73" s="199">
        <v>391</v>
      </c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1572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680</v>
      </c>
      <c r="B74" s="199">
        <v>0</v>
      </c>
      <c r="C74" s="199">
        <v>110</v>
      </c>
      <c r="D74" s="199">
        <v>0</v>
      </c>
      <c r="E74" s="199">
        <v>0</v>
      </c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110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470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377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hidden="1" x14ac:dyDescent="0.3">
      <c r="A77" s="196" t="s">
        <v>243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0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589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465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292</v>
      </c>
      <c r="B80" s="200">
        <f>SUM(B64:B79)</f>
        <v>3986.1</v>
      </c>
      <c r="C80" s="200">
        <f>SUM(C64:C79)</f>
        <v>2095.85</v>
      </c>
      <c r="D80" s="200">
        <f>SUM(D64:D79)</f>
        <v>1981.31</v>
      </c>
      <c r="E80" s="200">
        <f>SUM(E64:E79)</f>
        <v>1981.16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10044.42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241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317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318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hidden="1" x14ac:dyDescent="0.3">
      <c r="A84" s="198" t="s">
        <v>378</v>
      </c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0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266</v>
      </c>
      <c r="B85" s="199">
        <v>775</v>
      </c>
      <c r="C85" s="199">
        <v>700</v>
      </c>
      <c r="D85" s="199">
        <v>775</v>
      </c>
      <c r="E85" s="199">
        <v>750</v>
      </c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3000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319</v>
      </c>
      <c r="B86" s="200">
        <f>SUM(B83:B85)</f>
        <v>775</v>
      </c>
      <c r="C86" s="200">
        <f t="shared" ref="C86:M86" si="56">SUM(C83:C85)</f>
        <v>700</v>
      </c>
      <c r="D86" s="200">
        <f t="shared" si="56"/>
        <v>775</v>
      </c>
      <c r="E86" s="200">
        <f t="shared" si="56"/>
        <v>750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3000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206</v>
      </c>
      <c r="B88" s="201">
        <f>B54+B61+B80-B84-B85</f>
        <v>3481.45</v>
      </c>
      <c r="C88" s="201">
        <f>C54+C61+C80-C84-C85</f>
        <v>1666.1999999999998</v>
      </c>
      <c r="D88" s="201">
        <f t="shared" ref="D88:M88" si="60">D61+D80+D54</f>
        <v>2251.66</v>
      </c>
      <c r="E88" s="201">
        <f t="shared" si="60"/>
        <v>2251.5100000000002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8125.82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296</v>
      </c>
      <c r="B90" s="202">
        <f>B39-B88</f>
        <v>-3481.45</v>
      </c>
      <c r="C90" s="202">
        <f>C39-C88</f>
        <v>-1666.1999999999998</v>
      </c>
      <c r="D90" s="202">
        <f t="shared" ref="D90:M90" si="63">D39-D88+D86</f>
        <v>-1476.6599999999999</v>
      </c>
      <c r="E90" s="202">
        <f t="shared" si="63"/>
        <v>-1501.5100000000002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-8125.82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7" fitToHeight="0" orientation="portrait" r:id="rId1"/>
  <headerFooter>
    <oddFooter>&amp;CPage &amp;P of &amp;N</oddFooter>
  </headerFooter>
  <rowBreaks count="1" manualBreakCount="1"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B67" sqref="B67"/>
      <selection pane="bottomLeft" activeCell="B67" sqref="B67"/>
    </sheetView>
  </sheetViews>
  <sheetFormatPr defaultColWidth="9.140625" defaultRowHeight="15" x14ac:dyDescent="0.25"/>
  <cols>
    <col min="1" max="1" width="41.28515625" style="127" bestFit="1" customWidth="1"/>
    <col min="2" max="2" width="13.42578125" style="161" bestFit="1" customWidth="1"/>
    <col min="3" max="5" width="13.28515625" style="161" customWidth="1"/>
    <col min="6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2" t="s">
        <v>323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289</v>
      </c>
      <c r="S8" s="190"/>
      <c r="T8" s="190"/>
    </row>
    <row r="9" spans="1:33" s="161" customFormat="1" x14ac:dyDescent="0.25">
      <c r="A9" s="127" t="s">
        <v>529</v>
      </c>
      <c r="B9" s="161">
        <v>398.86</v>
      </c>
      <c r="C9" s="161">
        <v>398.86</v>
      </c>
      <c r="D9" s="161">
        <v>398.86</v>
      </c>
      <c r="E9" s="161">
        <v>398.86</v>
      </c>
      <c r="N9" s="161">
        <f>SUM(B9:M9)</f>
        <v>1595.44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248</v>
      </c>
      <c r="B10" s="161">
        <v>30.44</v>
      </c>
      <c r="C10" s="161">
        <v>31.56</v>
      </c>
      <c r="D10" s="161">
        <v>31.08</v>
      </c>
      <c r="E10" s="161">
        <v>30.96</v>
      </c>
      <c r="N10" s="161">
        <f>SUM(B10:M10)</f>
        <v>124.03999999999999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324</v>
      </c>
      <c r="C11" s="161">
        <v>110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354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413</v>
      </c>
      <c r="B13" s="161">
        <v>250</v>
      </c>
      <c r="C13" s="161">
        <v>250</v>
      </c>
      <c r="D13" s="161">
        <v>250</v>
      </c>
      <c r="E13" s="161">
        <v>241.67</v>
      </c>
      <c r="N13" s="161">
        <f>SUM(B13:M13)</f>
        <v>991.67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292</v>
      </c>
      <c r="B14" s="191">
        <f t="shared" ref="B14:N14" si="4">SUM(B9:B13)</f>
        <v>679.3</v>
      </c>
      <c r="C14" s="191">
        <f t="shared" si="4"/>
        <v>790.42000000000007</v>
      </c>
      <c r="D14" s="191">
        <f t="shared" si="4"/>
        <v>679.94</v>
      </c>
      <c r="E14" s="191">
        <f t="shared" si="4"/>
        <v>671.49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2821.15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241</v>
      </c>
      <c r="T15" s="190"/>
    </row>
    <row r="16" spans="1:33" s="161" customFormat="1" x14ac:dyDescent="0.25">
      <c r="A16" s="128" t="s">
        <v>317</v>
      </c>
      <c r="T16" s="190"/>
    </row>
    <row r="17" spans="1:33" s="161" customFormat="1" x14ac:dyDescent="0.25">
      <c r="A17" s="127" t="s">
        <v>266</v>
      </c>
      <c r="B17" s="161">
        <v>4382.01</v>
      </c>
      <c r="C17" s="161">
        <v>4006.12</v>
      </c>
      <c r="D17" s="161">
        <v>4435.3500000000004</v>
      </c>
      <c r="E17" s="161">
        <v>4292.28</v>
      </c>
      <c r="N17" s="161">
        <f>SUM(B17:M17)</f>
        <v>17115.760000000002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267</v>
      </c>
      <c r="B18" s="161">
        <v>-819.74</v>
      </c>
      <c r="C18" s="161">
        <v>-740.41</v>
      </c>
      <c r="D18" s="161">
        <v>-819.74</v>
      </c>
      <c r="E18" s="161">
        <v>-793.3</v>
      </c>
      <c r="N18" s="161">
        <f>SUM(B18:M18)</f>
        <v>-3173.1900000000005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578</v>
      </c>
      <c r="N19" s="161">
        <f>SUM(B19:M19)</f>
        <v>0</v>
      </c>
      <c r="T19" s="190"/>
    </row>
    <row r="20" spans="1:33" s="161" customFormat="1" x14ac:dyDescent="0.25">
      <c r="A20" s="128" t="s">
        <v>319</v>
      </c>
      <c r="B20" s="191">
        <f t="shared" ref="B20:M20" si="7">SUM(B17:B18)</f>
        <v>3562.2700000000004</v>
      </c>
      <c r="C20" s="191">
        <f t="shared" si="7"/>
        <v>3265.71</v>
      </c>
      <c r="D20" s="191">
        <f>SUM(D17:M19)</f>
        <v>7114.5900000000011</v>
      </c>
      <c r="E20" s="191">
        <f t="shared" si="7"/>
        <v>3498.9799999999996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13942.570000000002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296</v>
      </c>
      <c r="B22" s="194">
        <f t="shared" ref="B22:R22" si="11">B20-B14</f>
        <v>2882.9700000000003</v>
      </c>
      <c r="C22" s="194">
        <f t="shared" si="11"/>
        <v>2475.29</v>
      </c>
      <c r="D22" s="194">
        <f t="shared" si="11"/>
        <v>6434.6500000000015</v>
      </c>
      <c r="E22" s="194">
        <f t="shared" si="11"/>
        <v>2827.49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11121.420000000002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3"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2021-2020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2021-2020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2021-05-19T15:52:24Z</cp:lastPrinted>
  <dcterms:created xsi:type="dcterms:W3CDTF">2018-05-13T15:03:39Z</dcterms:created>
  <dcterms:modified xsi:type="dcterms:W3CDTF">2021-05-19T15:54:11Z</dcterms:modified>
</cp:coreProperties>
</file>