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42EF1B68-C1B8-4118-9B2E-B9EE6995DC45}" xr6:coauthVersionLast="45" xr6:coauthVersionMax="45" xr10:uidLastSave="{00000000-0000-0000-0000-000000000000}"/>
  <bookViews>
    <workbookView xWindow="-120" yWindow="-120" windowWidth="29040" windowHeight="15840" tabRatio="900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  <externalReference r:id="rId18"/>
  </externalReferences>
  <definedNames>
    <definedName name="_xlnm.Print_Area" localSheetId="8">'722 Bedford St'!$A$1:$F$70</definedName>
    <definedName name="_xlnm.Print_Area" localSheetId="1">'Consolidated Balance Sheet'!$A$5:$AP$141</definedName>
    <definedName name="_xlnm.Print_Area" localSheetId="0">'Consolidated Summary Balance  '!$A$8:$AP$59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 iterate="1" iterateCount="1" iterateDelta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0" i="7" l="1"/>
  <c r="J160" i="7"/>
  <c r="H160" i="7"/>
  <c r="F160" i="7"/>
  <c r="D160" i="7"/>
  <c r="B160" i="7"/>
  <c r="N157" i="7"/>
  <c r="L157" i="7"/>
  <c r="J157" i="7"/>
  <c r="H157" i="7"/>
  <c r="F157" i="7"/>
  <c r="D157" i="7"/>
  <c r="B157" i="7"/>
  <c r="B9" i="7" l="1"/>
  <c r="S31" i="1"/>
  <c r="F77" i="7"/>
  <c r="J106" i="7"/>
  <c r="J61" i="7"/>
  <c r="F68" i="8"/>
  <c r="F13" i="11"/>
  <c r="B12" i="7" l="1"/>
  <c r="B163" i="7" l="1"/>
  <c r="B67" i="7" l="1"/>
  <c r="AF10" i="7"/>
  <c r="AJ10" i="7" s="1"/>
  <c r="B10" i="7"/>
  <c r="B16" i="12" s="1"/>
  <c r="P10" i="7" l="1"/>
  <c r="AH10" i="7" s="1"/>
  <c r="AN10" i="7" l="1"/>
  <c r="AP10" i="7" s="1"/>
  <c r="AL10" i="7"/>
  <c r="AD16" i="12"/>
  <c r="AB16" i="12"/>
  <c r="Z16" i="12"/>
  <c r="X16" i="12"/>
  <c r="V16" i="12"/>
  <c r="T16" i="12"/>
  <c r="R16" i="12"/>
  <c r="N16" i="12"/>
  <c r="L16" i="12"/>
  <c r="J16" i="12"/>
  <c r="H16" i="12"/>
  <c r="F16" i="12"/>
  <c r="D16" i="12"/>
  <c r="R33" i="7"/>
  <c r="AF60" i="7"/>
  <c r="AJ60" i="7" s="1"/>
  <c r="P60" i="7"/>
  <c r="AH60" i="7" s="1"/>
  <c r="AH14" i="7"/>
  <c r="AF14" i="7"/>
  <c r="AJ14" i="7" s="1"/>
  <c r="P14" i="7"/>
  <c r="AN14" i="7" l="1"/>
  <c r="AP14" i="7" s="1"/>
  <c r="AF16" i="12"/>
  <c r="AJ16" i="12" s="1"/>
  <c r="AN60" i="7"/>
  <c r="AP60" i="7" s="1"/>
  <c r="AL60" i="7"/>
  <c r="P16" i="12"/>
  <c r="AH16" i="12" s="1"/>
  <c r="AL14" i="7"/>
  <c r="AF98" i="7"/>
  <c r="AJ98" i="7" s="1"/>
  <c r="H98" i="7"/>
  <c r="P98" i="7" s="1"/>
  <c r="AH98" i="7" s="1"/>
  <c r="F38" i="17"/>
  <c r="AN16" i="12" l="1"/>
  <c r="AP16" i="12" s="1"/>
  <c r="AL16" i="12"/>
  <c r="AN98" i="7"/>
  <c r="AP98" i="7" s="1"/>
  <c r="AL98" i="7"/>
  <c r="AF118" i="7"/>
  <c r="AJ118" i="7" s="1"/>
  <c r="B118" i="7"/>
  <c r="P118" i="7" s="1"/>
  <c r="AH118" i="7" s="1"/>
  <c r="AP109" i="7"/>
  <c r="AF109" i="7"/>
  <c r="AJ109" i="7" s="1"/>
  <c r="B109" i="7"/>
  <c r="P109" i="7" s="1"/>
  <c r="AH109" i="7" s="1"/>
  <c r="B62" i="7"/>
  <c r="U145" i="1"/>
  <c r="U134" i="1"/>
  <c r="AL118" i="7" l="1"/>
  <c r="AN118" i="7"/>
  <c r="AP118" i="7" s="1"/>
  <c r="AL109" i="7"/>
  <c r="R18" i="12"/>
  <c r="R20" i="12"/>
  <c r="R56" i="12" l="1"/>
  <c r="B57" i="7" l="1"/>
  <c r="N131" i="7"/>
  <c r="F57" i="7" l="1"/>
  <c r="P57" i="7" s="1"/>
  <c r="AH57" i="7" s="1"/>
  <c r="AF57" i="7"/>
  <c r="AJ57" i="7" s="1"/>
  <c r="AN57" i="7" l="1"/>
  <c r="AP57" i="7" s="1"/>
  <c r="AL57" i="7"/>
  <c r="B30" i="7"/>
  <c r="B11" i="7"/>
  <c r="AF61" i="7" l="1"/>
  <c r="N61" i="7"/>
  <c r="P61" i="7" s="1"/>
  <c r="AH61" i="7" s="1"/>
  <c r="AF80" i="7"/>
  <c r="AJ80" i="7" s="1"/>
  <c r="B80" i="7"/>
  <c r="P80" i="7" s="1"/>
  <c r="AH80" i="7" s="1"/>
  <c r="AL61" i="7" l="1"/>
  <c r="AN61" i="7"/>
  <c r="AP61" i="7" s="1"/>
  <c r="AN80" i="7"/>
  <c r="AP80" i="7" s="1"/>
  <c r="AL80" i="7"/>
  <c r="AD25" i="12"/>
  <c r="AB25" i="12"/>
  <c r="Z25" i="12"/>
  <c r="X25" i="12"/>
  <c r="V25" i="12"/>
  <c r="T25" i="12"/>
  <c r="R25" i="12"/>
  <c r="R65" i="7"/>
  <c r="AD55" i="12"/>
  <c r="AB55" i="12"/>
  <c r="Z55" i="12"/>
  <c r="X55" i="12"/>
  <c r="V55" i="12"/>
  <c r="T55" i="12"/>
  <c r="R55" i="12"/>
  <c r="AD26" i="12"/>
  <c r="AB26" i="12"/>
  <c r="Z26" i="12"/>
  <c r="X26" i="12"/>
  <c r="V26" i="12"/>
  <c r="T26" i="12"/>
  <c r="R26" i="12"/>
  <c r="AD21" i="12"/>
  <c r="AD20" i="12"/>
  <c r="AD19" i="12"/>
  <c r="AD18" i="12"/>
  <c r="AB21" i="12"/>
  <c r="AB20" i="12"/>
  <c r="AB19" i="12"/>
  <c r="AB18" i="12"/>
  <c r="Z21" i="12"/>
  <c r="Z20" i="12"/>
  <c r="Z19" i="12"/>
  <c r="Z18" i="12"/>
  <c r="X21" i="12"/>
  <c r="X20" i="12"/>
  <c r="X19" i="12"/>
  <c r="X18" i="12"/>
  <c r="V21" i="12"/>
  <c r="V20" i="12"/>
  <c r="V19" i="12"/>
  <c r="V18" i="12"/>
  <c r="T21" i="12"/>
  <c r="T20" i="12"/>
  <c r="T19" i="12"/>
  <c r="T18" i="12"/>
  <c r="R19" i="12"/>
  <c r="AB17" i="12"/>
  <c r="Z17" i="12"/>
  <c r="X17" i="12"/>
  <c r="V17" i="12"/>
  <c r="T17" i="12"/>
  <c r="R17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B42" i="7" l="1"/>
  <c r="J42" i="7" l="1"/>
  <c r="F36" i="15" l="1"/>
  <c r="S18" i="6"/>
  <c r="AK113" i="7"/>
  <c r="AI113" i="7"/>
  <c r="P73" i="7"/>
  <c r="AH73" i="7" s="1"/>
  <c r="AF73" i="7" l="1"/>
  <c r="AJ73" i="7" s="1"/>
  <c r="AL73" i="7" s="1"/>
  <c r="F37" i="15"/>
  <c r="U117" i="4"/>
  <c r="F9" i="7" l="1"/>
  <c r="F92" i="10" l="1"/>
  <c r="F24" i="15"/>
  <c r="U43" i="5" l="1"/>
  <c r="N12" i="7" l="1"/>
  <c r="B97" i="7"/>
  <c r="B88" i="7"/>
  <c r="AF97" i="7" l="1"/>
  <c r="AJ97" i="7" s="1"/>
  <c r="F97" i="7"/>
  <c r="P97" i="7" s="1"/>
  <c r="AH97" i="7" s="1"/>
  <c r="AN97" i="7" l="1"/>
  <c r="AP97" i="7" s="1"/>
  <c r="AL97" i="7"/>
  <c r="F10" i="9"/>
  <c r="AF132" i="7" l="1"/>
  <c r="AF133" i="7"/>
  <c r="AF134" i="7"/>
  <c r="AF135" i="7"/>
  <c r="AF136" i="7"/>
  <c r="AF137" i="7"/>
  <c r="AF138" i="7"/>
  <c r="AF82" i="7"/>
  <c r="AF88" i="7"/>
  <c r="AF96" i="7"/>
  <c r="AF108" i="7"/>
  <c r="AF110" i="7"/>
  <c r="AF111" i="7"/>
  <c r="AF59" i="7"/>
  <c r="AJ59" i="7" s="1"/>
  <c r="AF62" i="7"/>
  <c r="AF41" i="7"/>
  <c r="AF27" i="7"/>
  <c r="AJ27" i="7" s="1"/>
  <c r="B89" i="7" l="1"/>
  <c r="B76" i="7"/>
  <c r="F76" i="7"/>
  <c r="U45" i="6" l="1"/>
  <c r="AF30" i="7"/>
  <c r="AJ30" i="7" s="1"/>
  <c r="AF29" i="7"/>
  <c r="AJ29" i="7" s="1"/>
  <c r="AF32" i="7"/>
  <c r="AJ32" i="7" s="1"/>
  <c r="U58" i="4"/>
  <c r="J59" i="7" l="1"/>
  <c r="N9" i="7"/>
  <c r="E17" i="14"/>
  <c r="F17" i="11"/>
  <c r="F23" i="16" l="1"/>
  <c r="U129" i="4"/>
  <c r="B59" i="7" l="1"/>
  <c r="P59" i="7" s="1"/>
  <c r="AH59" i="7" s="1"/>
  <c r="AN59" i="7" s="1"/>
  <c r="AP59" i="7" s="1"/>
  <c r="B106" i="7"/>
  <c r="U147" i="1"/>
  <c r="U63" i="1"/>
  <c r="U89" i="1" s="1"/>
  <c r="AL59" i="7" l="1"/>
  <c r="J63" i="7"/>
  <c r="J15" i="7"/>
  <c r="J12" i="7"/>
  <c r="F44" i="8"/>
  <c r="F14" i="8"/>
  <c r="F37" i="16" l="1"/>
  <c r="F43" i="9"/>
  <c r="AF31" i="7"/>
  <c r="AJ31" i="7" s="1"/>
  <c r="N42" i="7" l="1"/>
  <c r="L106" i="7"/>
  <c r="L150" i="7" s="1"/>
  <c r="D20" i="7"/>
  <c r="D135" i="7"/>
  <c r="D138" i="7"/>
  <c r="D137" i="7"/>
  <c r="D136" i="7"/>
  <c r="D134" i="7"/>
  <c r="U66" i="2"/>
  <c r="F18" i="10" l="1"/>
  <c r="AF101" i="7"/>
  <c r="AF107" i="7"/>
  <c r="N64" i="7" l="1"/>
  <c r="N96" i="7"/>
  <c r="E69" i="14"/>
  <c r="E33" i="14"/>
  <c r="F90" i="7"/>
  <c r="B90" i="7"/>
  <c r="B133" i="7"/>
  <c r="AP110" i="7"/>
  <c r="AJ110" i="7"/>
  <c r="B110" i="7"/>
  <c r="P110" i="7" s="1"/>
  <c r="AH110" i="7" s="1"/>
  <c r="U160" i="1"/>
  <c r="U162" i="1" s="1"/>
  <c r="AL110" i="7" l="1"/>
  <c r="AF112" i="7"/>
  <c r="F42" i="7" l="1"/>
  <c r="U49" i="3"/>
  <c r="U19" i="3"/>
  <c r="D15" i="7"/>
  <c r="U23" i="2"/>
  <c r="N95" i="7" l="1"/>
  <c r="AP30" i="7"/>
  <c r="P30" i="7"/>
  <c r="AH30" i="7" s="1"/>
  <c r="AP29" i="7"/>
  <c r="B29" i="7"/>
  <c r="P29" i="7" s="1"/>
  <c r="AH29" i="7" s="1"/>
  <c r="AJ111" i="7"/>
  <c r="AP111" i="7"/>
  <c r="B111" i="7"/>
  <c r="P111" i="7" s="1"/>
  <c r="AH111" i="7" s="1"/>
  <c r="AL29" i="7" l="1"/>
  <c r="AL30" i="7"/>
  <c r="AL111" i="7"/>
  <c r="AJ88" i="7"/>
  <c r="J88" i="7"/>
  <c r="P88" i="7" s="1"/>
  <c r="AH88" i="7" s="1"/>
  <c r="AN88" i="7" l="1"/>
  <c r="AP88" i="7" s="1"/>
  <c r="AL88" i="7"/>
  <c r="F71" i="10" l="1"/>
  <c r="J75" i="7"/>
  <c r="N55" i="12" l="1"/>
  <c r="AJ96" i="7"/>
  <c r="P96" i="7"/>
  <c r="AH96" i="7" s="1"/>
  <c r="N39" i="12" l="1"/>
  <c r="AN96" i="7"/>
  <c r="AP96" i="7" s="1"/>
  <c r="AL96" i="7"/>
  <c r="U20" i="5" l="1"/>
  <c r="AJ62" i="7"/>
  <c r="P62" i="7"/>
  <c r="AH62" i="7" s="1"/>
  <c r="AF28" i="7"/>
  <c r="AJ28" i="7" s="1"/>
  <c r="AF100" i="7"/>
  <c r="AF99" i="7"/>
  <c r="AF94" i="7"/>
  <c r="AF93" i="7"/>
  <c r="AL62" i="7" l="1"/>
  <c r="AN62" i="7"/>
  <c r="AP62" i="7" s="1"/>
  <c r="D83" i="7"/>
  <c r="H75" i="7" l="1"/>
  <c r="B77" i="7" l="1"/>
  <c r="AF105" i="7" l="1"/>
  <c r="AF74" i="7" l="1"/>
  <c r="F33" i="7"/>
  <c r="AJ82" i="7" l="1"/>
  <c r="B82" i="7"/>
  <c r="P82" i="7" s="1"/>
  <c r="AH82" i="7" s="1"/>
  <c r="B31" i="7"/>
  <c r="AL82" i="7" l="1"/>
  <c r="AN82" i="7"/>
  <c r="AP82" i="7" s="1"/>
  <c r="D89" i="7"/>
  <c r="L42" i="12" l="1"/>
  <c r="N20" i="12"/>
  <c r="L20" i="12"/>
  <c r="J20" i="12"/>
  <c r="H20" i="12"/>
  <c r="F20" i="12"/>
  <c r="D20" i="12"/>
  <c r="AF20" i="12" l="1"/>
  <c r="AJ20" i="12" s="1"/>
  <c r="AF21" i="7"/>
  <c r="AJ21" i="7" s="1"/>
  <c r="F29" i="10" l="1"/>
  <c r="B81" i="7" l="1"/>
  <c r="AP108" i="7"/>
  <c r="AJ108" i="7"/>
  <c r="B108" i="7"/>
  <c r="P108" i="7" s="1"/>
  <c r="AH108" i="7" s="1"/>
  <c r="B41" i="7"/>
  <c r="P41" i="7" s="1"/>
  <c r="AH41" i="7" s="1"/>
  <c r="AJ41" i="7"/>
  <c r="B149" i="7"/>
  <c r="B24" i="7"/>
  <c r="B7" i="7"/>
  <c r="AL108" i="7" l="1"/>
  <c r="AP41" i="7"/>
  <c r="AL41" i="7"/>
  <c r="F12" i="7"/>
  <c r="D91" i="7" l="1"/>
  <c r="L138" i="7" l="1"/>
  <c r="L137" i="7"/>
  <c r="L136" i="7"/>
  <c r="N106" i="7" l="1"/>
  <c r="N56" i="7"/>
  <c r="N42" i="12" l="1"/>
  <c r="N150" i="7"/>
  <c r="C149" i="7"/>
  <c r="E149" i="7"/>
  <c r="G149" i="7"/>
  <c r="H149" i="7"/>
  <c r="I149" i="7"/>
  <c r="J149" i="7"/>
  <c r="K149" i="7"/>
  <c r="M149" i="7"/>
  <c r="C150" i="7"/>
  <c r="E150" i="7"/>
  <c r="G150" i="7"/>
  <c r="I150" i="7"/>
  <c r="K150" i="7"/>
  <c r="M150" i="7"/>
  <c r="D106" i="7"/>
  <c r="D150" i="7" s="1"/>
  <c r="D42" i="12" l="1"/>
  <c r="D75" i="7" l="1"/>
  <c r="D77" i="7"/>
  <c r="D85" i="7"/>
  <c r="U51" i="2" l="1"/>
  <c r="N149" i="7" l="1"/>
  <c r="H106" i="7"/>
  <c r="H150" i="7" s="1"/>
  <c r="F149" i="7"/>
  <c r="H42" i="12" l="1"/>
  <c r="AF131" i="7" l="1"/>
  <c r="F131" i="7"/>
  <c r="H39" i="7" l="1"/>
  <c r="H42" i="7"/>
  <c r="F22" i="17"/>
  <c r="F31" i="16" l="1"/>
  <c r="F13" i="16"/>
  <c r="AP27" i="7" l="1"/>
  <c r="AP32" i="7"/>
  <c r="AP31" i="7"/>
  <c r="AP28" i="7"/>
  <c r="V33" i="7"/>
  <c r="P32" i="7"/>
  <c r="AH32" i="7" s="1"/>
  <c r="AL32" i="7" l="1"/>
  <c r="F106" i="7"/>
  <c r="F150" i="7" s="1"/>
  <c r="U55" i="3"/>
  <c r="U56" i="3" s="1"/>
  <c r="F42" i="12" l="1"/>
  <c r="F43" i="16"/>
  <c r="F38" i="16"/>
  <c r="F39" i="16" s="1"/>
  <c r="F16" i="16"/>
  <c r="N14" i="12"/>
  <c r="L129" i="7"/>
  <c r="AF55" i="12"/>
  <c r="AJ55" i="12" s="1"/>
  <c r="L55" i="12"/>
  <c r="J55" i="12"/>
  <c r="H55" i="12"/>
  <c r="F55" i="12"/>
  <c r="D55" i="12"/>
  <c r="K55" i="12"/>
  <c r="I55" i="12"/>
  <c r="G55" i="12"/>
  <c r="E55" i="12"/>
  <c r="C55" i="12"/>
  <c r="AP131" i="7"/>
  <c r="AJ131" i="7"/>
  <c r="B37" i="12"/>
  <c r="B131" i="7"/>
  <c r="B55" i="12" s="1"/>
  <c r="B75" i="7"/>
  <c r="B58" i="7"/>
  <c r="P58" i="7" s="1"/>
  <c r="AH58" i="7" s="1"/>
  <c r="B56" i="7"/>
  <c r="B53" i="7"/>
  <c r="B50" i="7"/>
  <c r="P50" i="7" s="1"/>
  <c r="AH50" i="7" s="1"/>
  <c r="B49" i="7"/>
  <c r="P49" i="7" s="1"/>
  <c r="P31" i="7"/>
  <c r="AH31" i="7" s="1"/>
  <c r="B13" i="7"/>
  <c r="B39" i="7"/>
  <c r="B36" i="7"/>
  <c r="B27" i="7"/>
  <c r="P27" i="7" s="1"/>
  <c r="AH27" i="7" s="1"/>
  <c r="H154" i="7"/>
  <c r="H155" i="7" s="1"/>
  <c r="D130" i="7"/>
  <c r="D129" i="7"/>
  <c r="H83" i="7"/>
  <c r="H38" i="12" s="1"/>
  <c r="F130" i="7"/>
  <c r="F129" i="7"/>
  <c r="F75" i="7"/>
  <c r="F11" i="7"/>
  <c r="F13" i="12" s="1"/>
  <c r="J42" i="12"/>
  <c r="J117" i="7"/>
  <c r="J47" i="12" s="1"/>
  <c r="J127" i="7"/>
  <c r="J53" i="12" s="1"/>
  <c r="J89" i="7"/>
  <c r="H129" i="7"/>
  <c r="H130" i="7"/>
  <c r="H85" i="7"/>
  <c r="H39" i="12" s="1"/>
  <c r="F44" i="17"/>
  <c r="F30" i="17"/>
  <c r="F16" i="17"/>
  <c r="H9" i="7" s="1"/>
  <c r="H12" i="12" s="1"/>
  <c r="F13" i="17"/>
  <c r="H7" i="7" s="1"/>
  <c r="H10" i="12" s="1"/>
  <c r="F38" i="9"/>
  <c r="F60" i="9"/>
  <c r="F61" i="9" s="1"/>
  <c r="U78" i="4"/>
  <c r="F77" i="11"/>
  <c r="AD56" i="12"/>
  <c r="AD53" i="12"/>
  <c r="AD29" i="12"/>
  <c r="AD17" i="12"/>
  <c r="AD15" i="12"/>
  <c r="AD13" i="12"/>
  <c r="AE12" i="12"/>
  <c r="AD12" i="12"/>
  <c r="AD11" i="12"/>
  <c r="AE10" i="12"/>
  <c r="N56" i="12"/>
  <c r="N53" i="12"/>
  <c r="N46" i="12"/>
  <c r="N41" i="12"/>
  <c r="N40" i="12"/>
  <c r="N38" i="12"/>
  <c r="N37" i="12"/>
  <c r="N36" i="12"/>
  <c r="N35" i="12"/>
  <c r="N29" i="12"/>
  <c r="N19" i="12"/>
  <c r="N18" i="12"/>
  <c r="N17" i="12"/>
  <c r="N15" i="12"/>
  <c r="N13" i="12"/>
  <c r="N12" i="12"/>
  <c r="N11" i="12"/>
  <c r="F54" i="15"/>
  <c r="F44" i="15"/>
  <c r="F31" i="15"/>
  <c r="F6" i="15"/>
  <c r="F10" i="15" s="1"/>
  <c r="P133" i="7"/>
  <c r="AH133" i="7" s="1"/>
  <c r="P116" i="7"/>
  <c r="AH116" i="7" s="1"/>
  <c r="P77" i="7"/>
  <c r="AH77" i="7" s="1"/>
  <c r="P90" i="7"/>
  <c r="AH90" i="7" s="1"/>
  <c r="N43" i="7"/>
  <c r="N21" i="12" s="1"/>
  <c r="P24" i="7"/>
  <c r="AH24" i="7" s="1"/>
  <c r="N130" i="7"/>
  <c r="N129" i="7"/>
  <c r="N121" i="7"/>
  <c r="N120" i="7"/>
  <c r="N119" i="7"/>
  <c r="N117" i="7"/>
  <c r="N154" i="7"/>
  <c r="N63" i="7"/>
  <c r="N48" i="7"/>
  <c r="N33" i="7"/>
  <c r="AD33" i="7"/>
  <c r="AD45" i="7" s="1"/>
  <c r="AJ112" i="7"/>
  <c r="AJ93" i="7"/>
  <c r="AJ94" i="7"/>
  <c r="AJ99" i="7"/>
  <c r="AJ100" i="7"/>
  <c r="AJ101" i="7"/>
  <c r="AJ107" i="7"/>
  <c r="AJ74" i="7"/>
  <c r="AD46" i="12"/>
  <c r="AD43" i="7"/>
  <c r="AD14" i="12"/>
  <c r="E54" i="14"/>
  <c r="E47" i="14"/>
  <c r="E48" i="14" s="1"/>
  <c r="E10" i="14"/>
  <c r="T53" i="12"/>
  <c r="X53" i="12"/>
  <c r="AB53" i="12"/>
  <c r="T56" i="12"/>
  <c r="X56" i="12"/>
  <c r="Z56" i="12"/>
  <c r="AB56" i="12"/>
  <c r="T46" i="12"/>
  <c r="V46" i="12"/>
  <c r="X46" i="12"/>
  <c r="T47" i="12"/>
  <c r="V47" i="12"/>
  <c r="X47" i="12"/>
  <c r="C63" i="12"/>
  <c r="E63" i="12"/>
  <c r="G63" i="12"/>
  <c r="I63" i="12"/>
  <c r="K63" i="12"/>
  <c r="M63" i="12"/>
  <c r="C56" i="12"/>
  <c r="D56" i="12"/>
  <c r="E56" i="12"/>
  <c r="G56" i="12"/>
  <c r="H56" i="12"/>
  <c r="I56" i="12"/>
  <c r="J56" i="12"/>
  <c r="K56" i="12"/>
  <c r="L56" i="12"/>
  <c r="C54" i="12"/>
  <c r="E54" i="12"/>
  <c r="G54" i="12"/>
  <c r="I54" i="12"/>
  <c r="K54" i="12"/>
  <c r="C53" i="12"/>
  <c r="D53" i="12"/>
  <c r="E53" i="12"/>
  <c r="G53" i="12"/>
  <c r="H53" i="12"/>
  <c r="I53" i="12"/>
  <c r="K53" i="12"/>
  <c r="L53" i="12"/>
  <c r="D47" i="12"/>
  <c r="F47" i="12"/>
  <c r="H47" i="12"/>
  <c r="D46" i="12"/>
  <c r="F46" i="12"/>
  <c r="H46" i="12"/>
  <c r="J46" i="12"/>
  <c r="L46" i="12"/>
  <c r="B46" i="12"/>
  <c r="H26" i="12"/>
  <c r="D29" i="12"/>
  <c r="F29" i="12"/>
  <c r="H29" i="12"/>
  <c r="J29" i="12"/>
  <c r="L29" i="12"/>
  <c r="T29" i="12"/>
  <c r="V29" i="12"/>
  <c r="X29" i="12"/>
  <c r="Z29" i="12"/>
  <c r="AB29" i="12"/>
  <c r="D41" i="12"/>
  <c r="F41" i="12"/>
  <c r="H41" i="12"/>
  <c r="B41" i="12"/>
  <c r="D40" i="12"/>
  <c r="F40" i="12"/>
  <c r="H40" i="12"/>
  <c r="J40" i="12"/>
  <c r="L40" i="12"/>
  <c r="D35" i="12"/>
  <c r="F35" i="12"/>
  <c r="H35" i="12"/>
  <c r="J35" i="12"/>
  <c r="L35" i="12"/>
  <c r="D38" i="12"/>
  <c r="D37" i="12"/>
  <c r="F37" i="12"/>
  <c r="H37" i="12"/>
  <c r="L37" i="12"/>
  <c r="H36" i="12"/>
  <c r="L36" i="12"/>
  <c r="AC12" i="12"/>
  <c r="AC10" i="12"/>
  <c r="D17" i="12"/>
  <c r="F17" i="12"/>
  <c r="H17" i="12"/>
  <c r="J17" i="12"/>
  <c r="L17" i="12"/>
  <c r="D19" i="12"/>
  <c r="F19" i="12"/>
  <c r="H19" i="12"/>
  <c r="J19" i="12"/>
  <c r="L19" i="12"/>
  <c r="F18" i="12"/>
  <c r="H18" i="12"/>
  <c r="J18" i="12"/>
  <c r="L18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5" i="12"/>
  <c r="AP12" i="12"/>
  <c r="AB47" i="12"/>
  <c r="AB46" i="12"/>
  <c r="L85" i="7"/>
  <c r="L39" i="12" s="1"/>
  <c r="L104" i="7"/>
  <c r="L41" i="12" s="1"/>
  <c r="L38" i="12"/>
  <c r="L64" i="7"/>
  <c r="L33" i="7"/>
  <c r="J33" i="7"/>
  <c r="H33" i="7"/>
  <c r="AB43" i="7"/>
  <c r="AB33" i="7"/>
  <c r="L43" i="7"/>
  <c r="L21" i="12" s="1"/>
  <c r="F84" i="11"/>
  <c r="F68" i="11"/>
  <c r="L117" i="7" s="1"/>
  <c r="L47" i="12" s="1"/>
  <c r="F64" i="11"/>
  <c r="F65" i="11" s="1"/>
  <c r="F54" i="11"/>
  <c r="F55" i="11" s="1"/>
  <c r="F26" i="11"/>
  <c r="L12" i="7"/>
  <c r="L149" i="7" s="1"/>
  <c r="F10" i="11"/>
  <c r="L7" i="7" s="1"/>
  <c r="L10" i="12" s="1"/>
  <c r="F85" i="10"/>
  <c r="F76" i="10"/>
  <c r="F65" i="10"/>
  <c r="F57" i="10"/>
  <c r="F58" i="10" s="1"/>
  <c r="F10" i="10"/>
  <c r="P67" i="7"/>
  <c r="AH67" i="7" s="1"/>
  <c r="B105" i="7"/>
  <c r="B138" i="7"/>
  <c r="B137" i="7"/>
  <c r="B136" i="7"/>
  <c r="B132" i="7"/>
  <c r="P132" i="7" s="1"/>
  <c r="AH132" i="7" s="1"/>
  <c r="B130" i="7"/>
  <c r="B129" i="7"/>
  <c r="B128" i="7"/>
  <c r="P128" i="7" s="1"/>
  <c r="AH128" i="7" s="1"/>
  <c r="B127" i="7"/>
  <c r="B53" i="12" s="1"/>
  <c r="B121" i="7"/>
  <c r="B120" i="7"/>
  <c r="B119" i="7"/>
  <c r="B117" i="7"/>
  <c r="B112" i="7"/>
  <c r="P112" i="7" s="1"/>
  <c r="AH112" i="7" s="1"/>
  <c r="B107" i="7"/>
  <c r="B103" i="7"/>
  <c r="B40" i="12" s="1"/>
  <c r="B101" i="7"/>
  <c r="B100" i="7"/>
  <c r="P100" i="7" s="1"/>
  <c r="AH100" i="7" s="1"/>
  <c r="B99" i="7"/>
  <c r="P99" i="7" s="1"/>
  <c r="AH99" i="7" s="1"/>
  <c r="B94" i="7"/>
  <c r="P94" i="7" s="1"/>
  <c r="AH94" i="7" s="1"/>
  <c r="B93" i="7"/>
  <c r="P93" i="7" s="1"/>
  <c r="AH93" i="7" s="1"/>
  <c r="B92" i="7"/>
  <c r="P92" i="7" s="1"/>
  <c r="AH92" i="7" s="1"/>
  <c r="B91" i="7"/>
  <c r="B87" i="7"/>
  <c r="B86" i="7"/>
  <c r="P86" i="7" s="1"/>
  <c r="AH86" i="7" s="1"/>
  <c r="B85" i="7"/>
  <c r="B84" i="7"/>
  <c r="B83" i="7"/>
  <c r="B79" i="7"/>
  <c r="B78" i="7"/>
  <c r="B74" i="7"/>
  <c r="B35" i="12" s="1"/>
  <c r="B15" i="7"/>
  <c r="P15" i="7" s="1"/>
  <c r="AH15" i="7" s="1"/>
  <c r="J40" i="7"/>
  <c r="AJ138" i="7"/>
  <c r="AJ133" i="7"/>
  <c r="AF121" i="7"/>
  <c r="AF120" i="7"/>
  <c r="AF119" i="7"/>
  <c r="AF103" i="7"/>
  <c r="AF91" i="7"/>
  <c r="AF85" i="7"/>
  <c r="R113" i="7"/>
  <c r="U144" i="4"/>
  <c r="U131" i="4"/>
  <c r="U75" i="4"/>
  <c r="P135" i="7"/>
  <c r="AH135" i="7" s="1"/>
  <c r="P134" i="7"/>
  <c r="AH134" i="7" s="1"/>
  <c r="F127" i="7"/>
  <c r="F53" i="12" s="1"/>
  <c r="F95" i="7"/>
  <c r="F91" i="7"/>
  <c r="F89" i="7"/>
  <c r="F87" i="7"/>
  <c r="F83" i="7"/>
  <c r="F38" i="12" s="1"/>
  <c r="F78" i="7"/>
  <c r="F56" i="7"/>
  <c r="F36" i="7"/>
  <c r="AJ135" i="7"/>
  <c r="AJ134" i="7"/>
  <c r="V53" i="12"/>
  <c r="U28" i="3"/>
  <c r="U33" i="3" s="1"/>
  <c r="U50" i="3"/>
  <c r="U66" i="3"/>
  <c r="U56" i="6"/>
  <c r="U46" i="6"/>
  <c r="U27" i="6"/>
  <c r="U19" i="6"/>
  <c r="U26" i="5"/>
  <c r="U51" i="5"/>
  <c r="U44" i="5"/>
  <c r="D102" i="7"/>
  <c r="P102" i="7" s="1"/>
  <c r="AH102" i="7" s="1"/>
  <c r="D36" i="12"/>
  <c r="U31" i="2"/>
  <c r="Z53" i="12"/>
  <c r="Z46" i="12"/>
  <c r="Z43" i="7"/>
  <c r="F71" i="9"/>
  <c r="F65" i="9"/>
  <c r="F11" i="9"/>
  <c r="J130" i="7"/>
  <c r="J129" i="7"/>
  <c r="J7" i="7"/>
  <c r="J10" i="12" s="1"/>
  <c r="J81" i="7"/>
  <c r="J104" i="7"/>
  <c r="J91" i="7"/>
  <c r="J95" i="7"/>
  <c r="J83" i="7"/>
  <c r="J38" i="12" s="1"/>
  <c r="J79" i="7"/>
  <c r="J76" i="7"/>
  <c r="J64" i="7"/>
  <c r="J154" i="7" s="1"/>
  <c r="J155" i="7" s="1"/>
  <c r="J158" i="7" s="1"/>
  <c r="J36" i="7"/>
  <c r="Z33" i="7"/>
  <c r="Z45" i="7" s="1"/>
  <c r="X33" i="7"/>
  <c r="F79" i="8"/>
  <c r="F73" i="8"/>
  <c r="F69" i="8"/>
  <c r="F48" i="8"/>
  <c r="F8" i="8"/>
  <c r="F9" i="8" s="1"/>
  <c r="AP93" i="7"/>
  <c r="AP94" i="7"/>
  <c r="AP99" i="7"/>
  <c r="AP100" i="7"/>
  <c r="AP101" i="7"/>
  <c r="AP107" i="7"/>
  <c r="AP112" i="7"/>
  <c r="X122" i="7"/>
  <c r="AF56" i="7"/>
  <c r="AF51" i="7"/>
  <c r="AF50" i="7"/>
  <c r="F51" i="7"/>
  <c r="F53" i="7"/>
  <c r="F48" i="7"/>
  <c r="D53" i="7"/>
  <c r="D48" i="7"/>
  <c r="B63" i="7"/>
  <c r="B55" i="7"/>
  <c r="P55" i="7" s="1"/>
  <c r="AH55" i="7" s="1"/>
  <c r="B54" i="7"/>
  <c r="P54" i="7" s="1"/>
  <c r="AH54" i="7" s="1"/>
  <c r="B52" i="7"/>
  <c r="P52" i="7" s="1"/>
  <c r="AH52" i="7" s="1"/>
  <c r="B51" i="7"/>
  <c r="X65" i="7"/>
  <c r="X43" i="7"/>
  <c r="V122" i="7"/>
  <c r="T122" i="7"/>
  <c r="H122" i="7"/>
  <c r="F122" i="7"/>
  <c r="D122" i="7"/>
  <c r="AF24" i="7"/>
  <c r="AJ24" i="7" s="1"/>
  <c r="AF26" i="7"/>
  <c r="AJ26" i="7" s="1"/>
  <c r="AF25" i="7"/>
  <c r="AJ25" i="7" s="1"/>
  <c r="AF23" i="7"/>
  <c r="AJ23" i="7" s="1"/>
  <c r="AF20" i="7"/>
  <c r="AJ20" i="7" s="1"/>
  <c r="AF19" i="7"/>
  <c r="AJ19" i="7" s="1"/>
  <c r="H65" i="7"/>
  <c r="H25" i="12" s="1"/>
  <c r="F64" i="7"/>
  <c r="D64" i="7"/>
  <c r="D154" i="7" s="1"/>
  <c r="D155" i="7" s="1"/>
  <c r="B64" i="7"/>
  <c r="B28" i="7"/>
  <c r="D42" i="7"/>
  <c r="F39" i="7"/>
  <c r="D39" i="7"/>
  <c r="B38" i="7"/>
  <c r="P38" i="7" s="1"/>
  <c r="AH38" i="7" s="1"/>
  <c r="B37" i="7"/>
  <c r="B35" i="7"/>
  <c r="P35" i="7" s="1"/>
  <c r="AH35" i="7" s="1"/>
  <c r="F14" i="12"/>
  <c r="D12" i="7"/>
  <c r="D149" i="7" s="1"/>
  <c r="D18" i="7"/>
  <c r="D17" i="7"/>
  <c r="D16" i="7"/>
  <c r="B25" i="7"/>
  <c r="P25" i="7" s="1"/>
  <c r="AH25" i="7" s="1"/>
  <c r="B23" i="7"/>
  <c r="B22" i="7"/>
  <c r="P22" i="7" s="1"/>
  <c r="AH22" i="7" s="1"/>
  <c r="B21" i="7"/>
  <c r="P21" i="7" s="1"/>
  <c r="AH21" i="7" s="1"/>
  <c r="B20" i="7"/>
  <c r="P20" i="7" s="1"/>
  <c r="AH20" i="7" s="1"/>
  <c r="B19" i="7"/>
  <c r="P19" i="7" s="1"/>
  <c r="AH19" i="7" s="1"/>
  <c r="B18" i="7"/>
  <c r="B17" i="7"/>
  <c r="B16" i="7"/>
  <c r="F8" i="7"/>
  <c r="F11" i="12" s="1"/>
  <c r="D8" i="7"/>
  <c r="D11" i="12" s="1"/>
  <c r="B8" i="7"/>
  <c r="F7" i="7"/>
  <c r="D7" i="7"/>
  <c r="D10" i="12" s="1"/>
  <c r="B10" i="12"/>
  <c r="U53" i="2"/>
  <c r="B26" i="7"/>
  <c r="B19" i="12" s="1"/>
  <c r="U85" i="1"/>
  <c r="U165" i="1" s="1"/>
  <c r="B48" i="7"/>
  <c r="B33" i="7" l="1"/>
  <c r="B47" i="12"/>
  <c r="B39" i="12"/>
  <c r="B18" i="12"/>
  <c r="X45" i="7"/>
  <c r="X69" i="7" s="1"/>
  <c r="AB45" i="7"/>
  <c r="L63" i="7"/>
  <c r="P63" i="7" s="1"/>
  <c r="AH63" i="7" s="1"/>
  <c r="AF22" i="7"/>
  <c r="AJ22" i="7" s="1"/>
  <c r="AL22" i="7" s="1"/>
  <c r="T113" i="7"/>
  <c r="V113" i="7"/>
  <c r="X43" i="12"/>
  <c r="X113" i="7"/>
  <c r="AB113" i="7"/>
  <c r="Z113" i="7"/>
  <c r="AF48" i="7"/>
  <c r="F39" i="12"/>
  <c r="AF17" i="7"/>
  <c r="AJ17" i="7" s="1"/>
  <c r="AF53" i="7"/>
  <c r="AJ53" i="7" s="1"/>
  <c r="AF90" i="7"/>
  <c r="AJ90" i="7" s="1"/>
  <c r="AL90" i="7" s="1"/>
  <c r="AF12" i="12"/>
  <c r="AJ12" i="12" s="1"/>
  <c r="AF9" i="7"/>
  <c r="AJ9" i="7" s="1"/>
  <c r="AF104" i="7"/>
  <c r="AJ104" i="7" s="1"/>
  <c r="AF37" i="12"/>
  <c r="AJ37" i="12" s="1"/>
  <c r="AF81" i="7"/>
  <c r="AJ81" i="7" s="1"/>
  <c r="AF92" i="7"/>
  <c r="AJ92" i="7" s="1"/>
  <c r="AF79" i="7"/>
  <c r="AJ79" i="7" s="1"/>
  <c r="Z47" i="12"/>
  <c r="Z48" i="12" s="1"/>
  <c r="AF117" i="7"/>
  <c r="AF116" i="7"/>
  <c r="AJ116" i="7" s="1"/>
  <c r="AN116" i="7" s="1"/>
  <c r="AP116" i="7" s="1"/>
  <c r="U58" i="6"/>
  <c r="AF78" i="7"/>
  <c r="AJ78" i="7" s="1"/>
  <c r="AF87" i="7"/>
  <c r="AJ87" i="7" s="1"/>
  <c r="AF95" i="7"/>
  <c r="AJ95" i="7" s="1"/>
  <c r="AF76" i="7"/>
  <c r="AJ76" i="7" s="1"/>
  <c r="AF89" i="7"/>
  <c r="AJ89" i="7" s="1"/>
  <c r="AF39" i="7"/>
  <c r="AJ39" i="7" s="1"/>
  <c r="AF13" i="12"/>
  <c r="AJ13" i="12" s="1"/>
  <c r="AF11" i="7"/>
  <c r="AJ11" i="7" s="1"/>
  <c r="AF75" i="7"/>
  <c r="AF42" i="7"/>
  <c r="AJ42" i="7" s="1"/>
  <c r="AF36" i="7"/>
  <c r="AJ36" i="7" s="1"/>
  <c r="AF12" i="7"/>
  <c r="AJ12" i="7" s="1"/>
  <c r="AF129" i="7"/>
  <c r="AJ129" i="7" s="1"/>
  <c r="AF102" i="7"/>
  <c r="AJ102" i="7" s="1"/>
  <c r="AF77" i="7"/>
  <c r="AJ77" i="7" s="1"/>
  <c r="AF18" i="7"/>
  <c r="AJ18" i="7" s="1"/>
  <c r="AF52" i="7"/>
  <c r="AJ52" i="7" s="1"/>
  <c r="AF128" i="7"/>
  <c r="AJ128" i="7" s="1"/>
  <c r="AF49" i="7"/>
  <c r="AJ49" i="7" s="1"/>
  <c r="AF54" i="7"/>
  <c r="AJ54" i="7" s="1"/>
  <c r="AF55" i="7"/>
  <c r="AJ55" i="7" s="1"/>
  <c r="R53" i="12"/>
  <c r="AF53" i="12" s="1"/>
  <c r="AJ53" i="12" s="1"/>
  <c r="AF127" i="7"/>
  <c r="AJ127" i="7" s="1"/>
  <c r="AF86" i="7"/>
  <c r="AJ86" i="7" s="1"/>
  <c r="AF84" i="7"/>
  <c r="AJ84" i="7" s="1"/>
  <c r="AF38" i="12"/>
  <c r="AJ38" i="12" s="1"/>
  <c r="AF83" i="7"/>
  <c r="AJ83" i="7" s="1"/>
  <c r="R29" i="12"/>
  <c r="AF29" i="12" s="1"/>
  <c r="AJ29" i="12" s="1"/>
  <c r="AF67" i="7"/>
  <c r="AJ67" i="7" s="1"/>
  <c r="AL67" i="7" s="1"/>
  <c r="AF26" i="12"/>
  <c r="AJ26" i="12" s="1"/>
  <c r="AF64" i="7"/>
  <c r="AJ64" i="7" s="1"/>
  <c r="AF58" i="7"/>
  <c r="AF15" i="12"/>
  <c r="AJ15" i="12" s="1"/>
  <c r="AF13" i="7"/>
  <c r="AJ13" i="7" s="1"/>
  <c r="AF17" i="12"/>
  <c r="AJ17" i="12" s="1"/>
  <c r="AF15" i="7"/>
  <c r="AJ15" i="7" s="1"/>
  <c r="AN15" i="7" s="1"/>
  <c r="AP15" i="7" s="1"/>
  <c r="AF40" i="7"/>
  <c r="AJ40" i="7" s="1"/>
  <c r="AF38" i="7"/>
  <c r="AJ38" i="7" s="1"/>
  <c r="AF37" i="7"/>
  <c r="AJ37" i="7" s="1"/>
  <c r="AF35" i="7"/>
  <c r="AF16" i="7"/>
  <c r="AF8" i="7"/>
  <c r="AJ8" i="7" s="1"/>
  <c r="F49" i="8"/>
  <c r="D33" i="7"/>
  <c r="AD10" i="12"/>
  <c r="AD22" i="12" s="1"/>
  <c r="Z22" i="12"/>
  <c r="P23" i="7"/>
  <c r="AH23" i="7" s="1"/>
  <c r="AL23" i="7" s="1"/>
  <c r="B26" i="12"/>
  <c r="B154" i="7"/>
  <c r="J37" i="12"/>
  <c r="P37" i="12" s="1"/>
  <c r="AH37" i="12" s="1"/>
  <c r="J150" i="7"/>
  <c r="F44" i="16"/>
  <c r="AF7" i="7"/>
  <c r="AJ7" i="7" s="1"/>
  <c r="F19" i="10"/>
  <c r="F59" i="10" s="1"/>
  <c r="P84" i="7"/>
  <c r="AH84" i="7" s="1"/>
  <c r="E55" i="14"/>
  <c r="E70" i="14" s="1"/>
  <c r="J39" i="12"/>
  <c r="F44" i="9"/>
  <c r="J43" i="7"/>
  <c r="J21" i="12" s="1"/>
  <c r="J22" i="12" s="1"/>
  <c r="U54" i="5"/>
  <c r="L48" i="12"/>
  <c r="L26" i="12"/>
  <c r="L154" i="7"/>
  <c r="L155" i="7" s="1"/>
  <c r="L158" i="7" s="1"/>
  <c r="U147" i="4"/>
  <c r="B36" i="12"/>
  <c r="B11" i="12"/>
  <c r="P11" i="12" s="1"/>
  <c r="AH11" i="12" s="1"/>
  <c r="F97" i="10"/>
  <c r="F38" i="15"/>
  <c r="F45" i="15" s="1"/>
  <c r="F55" i="15" s="1"/>
  <c r="AL93" i="7"/>
  <c r="B150" i="7"/>
  <c r="B42" i="12"/>
  <c r="P37" i="7"/>
  <c r="AH37" i="7" s="1"/>
  <c r="B20" i="12"/>
  <c r="F72" i="10"/>
  <c r="F77" i="10" s="1"/>
  <c r="P101" i="7"/>
  <c r="AH101" i="7" s="1"/>
  <c r="AL101" i="7" s="1"/>
  <c r="F92" i="11"/>
  <c r="L130" i="7"/>
  <c r="P130" i="7" s="1"/>
  <c r="AH130" i="7" s="1"/>
  <c r="AJ105" i="7"/>
  <c r="AB65" i="7"/>
  <c r="P149" i="7"/>
  <c r="F74" i="8"/>
  <c r="F80" i="8" s="1"/>
  <c r="F69" i="11"/>
  <c r="AL99" i="7"/>
  <c r="N155" i="7"/>
  <c r="N158" i="7" s="1"/>
  <c r="AN24" i="7"/>
  <c r="AP24" i="7" s="1"/>
  <c r="J139" i="7"/>
  <c r="T48" i="12"/>
  <c r="AJ119" i="7"/>
  <c r="AC22" i="12"/>
  <c r="P11" i="7"/>
  <c r="AH11" i="7" s="1"/>
  <c r="F65" i="7"/>
  <c r="F43" i="7"/>
  <c r="F21" i="12" s="1"/>
  <c r="P104" i="7"/>
  <c r="AH104" i="7" s="1"/>
  <c r="AJ120" i="7"/>
  <c r="Z65" i="7"/>
  <c r="Z27" i="12" s="1"/>
  <c r="F10" i="12"/>
  <c r="F54" i="12"/>
  <c r="J41" i="12"/>
  <c r="P41" i="12" s="1"/>
  <c r="AH41" i="12" s="1"/>
  <c r="N7" i="7"/>
  <c r="N10" i="12" s="1"/>
  <c r="N22" i="12" s="1"/>
  <c r="E19" i="14"/>
  <c r="E34" i="14" s="1"/>
  <c r="U27" i="5"/>
  <c r="B14" i="12"/>
  <c r="U68" i="3"/>
  <c r="D54" i="12"/>
  <c r="D57" i="12" s="1"/>
  <c r="D39" i="12"/>
  <c r="P95" i="7"/>
  <c r="AH95" i="7" s="1"/>
  <c r="U33" i="2"/>
  <c r="F39" i="17"/>
  <c r="F40" i="17" s="1"/>
  <c r="F45" i="17" s="1"/>
  <c r="H54" i="12"/>
  <c r="H57" i="12" s="1"/>
  <c r="P87" i="7"/>
  <c r="AH87" i="7" s="1"/>
  <c r="L14" i="12"/>
  <c r="L22" i="12" s="1"/>
  <c r="N43" i="12"/>
  <c r="AB122" i="7"/>
  <c r="L122" i="7"/>
  <c r="U28" i="6"/>
  <c r="D48" i="12"/>
  <c r="L113" i="7"/>
  <c r="F18" i="11"/>
  <c r="F56" i="11" s="1"/>
  <c r="F23" i="17"/>
  <c r="F24" i="17" s="1"/>
  <c r="P40" i="7"/>
  <c r="AH40" i="7" s="1"/>
  <c r="P121" i="7"/>
  <c r="AH121" i="7" s="1"/>
  <c r="N54" i="12"/>
  <c r="N57" i="12" s="1"/>
  <c r="F24" i="16"/>
  <c r="F25" i="16" s="1"/>
  <c r="N113" i="7"/>
  <c r="P74" i="7"/>
  <c r="AH74" i="7" s="1"/>
  <c r="AL74" i="7" s="1"/>
  <c r="J65" i="7"/>
  <c r="J25" i="12" s="1"/>
  <c r="AJ137" i="7"/>
  <c r="P117" i="7"/>
  <c r="AH117" i="7" s="1"/>
  <c r="F48" i="12"/>
  <c r="F66" i="9"/>
  <c r="F72" i="9" s="1"/>
  <c r="H43" i="7"/>
  <c r="H21" i="12" s="1"/>
  <c r="H22" i="12" s="1"/>
  <c r="H139" i="7"/>
  <c r="D139" i="7"/>
  <c r="U80" i="4"/>
  <c r="AJ91" i="7"/>
  <c r="V54" i="12"/>
  <c r="Z54" i="12"/>
  <c r="Z57" i="12" s="1"/>
  <c r="AD139" i="7"/>
  <c r="F25" i="15"/>
  <c r="T65" i="7"/>
  <c r="T27" i="12" s="1"/>
  <c r="J122" i="7"/>
  <c r="AB48" i="12"/>
  <c r="D43" i="7"/>
  <c r="D21" i="12" s="1"/>
  <c r="R43" i="7"/>
  <c r="X139" i="7"/>
  <c r="P103" i="7"/>
  <c r="AH103" i="7" s="1"/>
  <c r="P17" i="7"/>
  <c r="AH17" i="7" s="1"/>
  <c r="AJ121" i="7"/>
  <c r="AF35" i="12"/>
  <c r="AJ35" i="12" s="1"/>
  <c r="J48" i="12"/>
  <c r="X48" i="12"/>
  <c r="L43" i="12"/>
  <c r="H27" i="12"/>
  <c r="V48" i="12"/>
  <c r="N47" i="12"/>
  <c r="N48" i="12" s="1"/>
  <c r="T139" i="7"/>
  <c r="P36" i="7"/>
  <c r="AH36" i="7" s="1"/>
  <c r="T43" i="7"/>
  <c r="AL112" i="7"/>
  <c r="P138" i="7"/>
  <c r="AH138" i="7" s="1"/>
  <c r="J113" i="7"/>
  <c r="L45" i="7"/>
  <c r="T33" i="7"/>
  <c r="AJ51" i="7"/>
  <c r="R122" i="7"/>
  <c r="V56" i="12"/>
  <c r="AL94" i="7"/>
  <c r="H158" i="7"/>
  <c r="AL31" i="7"/>
  <c r="D65" i="7"/>
  <c r="D25" i="12" s="1"/>
  <c r="AD54" i="12"/>
  <c r="AD57" i="12" s="1"/>
  <c r="D26" i="12"/>
  <c r="H113" i="7"/>
  <c r="H124" i="7" s="1"/>
  <c r="AF19" i="12"/>
  <c r="AJ19" i="12" s="1"/>
  <c r="P16" i="7"/>
  <c r="AH16" i="7" s="1"/>
  <c r="AN20" i="7"/>
  <c r="AP20" i="7" s="1"/>
  <c r="D14" i="12"/>
  <c r="P39" i="7"/>
  <c r="AH39" i="7" s="1"/>
  <c r="V65" i="7"/>
  <c r="V27" i="12" s="1"/>
  <c r="Z139" i="7"/>
  <c r="P105" i="7"/>
  <c r="AH105" i="7" s="1"/>
  <c r="P127" i="7"/>
  <c r="AH127" i="7" s="1"/>
  <c r="N139" i="7"/>
  <c r="X54" i="12"/>
  <c r="X57" i="12" s="1"/>
  <c r="P13" i="7"/>
  <c r="AH13" i="7" s="1"/>
  <c r="B15" i="12"/>
  <c r="P15" i="12" s="1"/>
  <c r="AH15" i="12" s="1"/>
  <c r="AL24" i="7"/>
  <c r="AL21" i="7"/>
  <c r="P76" i="7"/>
  <c r="AH76" i="7" s="1"/>
  <c r="J36" i="12"/>
  <c r="V139" i="7"/>
  <c r="AF40" i="12"/>
  <c r="AJ40" i="12" s="1"/>
  <c r="AJ103" i="7"/>
  <c r="AA22" i="12"/>
  <c r="X27" i="12"/>
  <c r="P106" i="7"/>
  <c r="AH106" i="7" s="1"/>
  <c r="P9" i="7"/>
  <c r="AH9" i="7" s="1"/>
  <c r="Z122" i="7"/>
  <c r="H43" i="12"/>
  <c r="T54" i="12"/>
  <c r="T57" i="12" s="1"/>
  <c r="P42" i="7"/>
  <c r="AH42" i="7" s="1"/>
  <c r="F154" i="7"/>
  <c r="F155" i="7" s="1"/>
  <c r="F158" i="7" s="1"/>
  <c r="F26" i="12"/>
  <c r="AN133" i="7"/>
  <c r="AP133" i="7" s="1"/>
  <c r="AL133" i="7"/>
  <c r="P85" i="7"/>
  <c r="AH85" i="7" s="1"/>
  <c r="P137" i="7"/>
  <c r="AH137" i="7" s="1"/>
  <c r="Y22" i="12"/>
  <c r="W22" i="12"/>
  <c r="AD65" i="7"/>
  <c r="P13" i="12"/>
  <c r="AH13" i="12" s="1"/>
  <c r="H48" i="12"/>
  <c r="V43" i="7"/>
  <c r="V45" i="7" s="1"/>
  <c r="P46" i="12"/>
  <c r="AH46" i="12" s="1"/>
  <c r="P19" i="12"/>
  <c r="AH19" i="12" s="1"/>
  <c r="AJ136" i="7"/>
  <c r="N26" i="12"/>
  <c r="R46" i="12"/>
  <c r="R54" i="12"/>
  <c r="P79" i="7"/>
  <c r="AH79" i="7" s="1"/>
  <c r="N122" i="7"/>
  <c r="P55" i="12"/>
  <c r="AH55" i="12" s="1"/>
  <c r="AL55" i="12" s="1"/>
  <c r="R47" i="12"/>
  <c r="P119" i="7"/>
  <c r="AH119" i="7" s="1"/>
  <c r="AE22" i="12"/>
  <c r="AL20" i="7"/>
  <c r="P8" i="7"/>
  <c r="AH8" i="7" s="1"/>
  <c r="P78" i="7"/>
  <c r="AH78" i="7" s="1"/>
  <c r="P91" i="7"/>
  <c r="AH91" i="7" s="1"/>
  <c r="P131" i="7"/>
  <c r="AH131" i="7" s="1"/>
  <c r="AL131" i="7" s="1"/>
  <c r="P53" i="7"/>
  <c r="AH53" i="7" s="1"/>
  <c r="P26" i="7"/>
  <c r="F139" i="7"/>
  <c r="F56" i="12"/>
  <c r="P51" i="7"/>
  <c r="AH51" i="7" s="1"/>
  <c r="AN134" i="7"/>
  <c r="AP134" i="7" s="1"/>
  <c r="AL134" i="7"/>
  <c r="AL135" i="7"/>
  <c r="AN135" i="7"/>
  <c r="AP135" i="7" s="1"/>
  <c r="P48" i="7"/>
  <c r="AH48" i="7" s="1"/>
  <c r="P64" i="7"/>
  <c r="AH64" i="7" s="1"/>
  <c r="P56" i="7"/>
  <c r="AH56" i="7" s="1"/>
  <c r="P89" i="7"/>
  <c r="AH89" i="7" s="1"/>
  <c r="P83" i="7"/>
  <c r="AH83" i="7" s="1"/>
  <c r="F113" i="7"/>
  <c r="F124" i="7" s="1"/>
  <c r="F36" i="12"/>
  <c r="U69" i="2"/>
  <c r="P129" i="7"/>
  <c r="AN21" i="7"/>
  <c r="AP21" i="7" s="1"/>
  <c r="P12" i="7"/>
  <c r="AH12" i="7" s="1"/>
  <c r="B17" i="12"/>
  <c r="P17" i="12" s="1"/>
  <c r="AH17" i="12" s="1"/>
  <c r="AN25" i="7"/>
  <c r="AP25" i="7" s="1"/>
  <c r="AL25" i="7"/>
  <c r="B65" i="7"/>
  <c r="B25" i="12" s="1"/>
  <c r="P81" i="7"/>
  <c r="AH81" i="7" s="1"/>
  <c r="B56" i="12"/>
  <c r="B43" i="7"/>
  <c r="AH49" i="7"/>
  <c r="AL19" i="7"/>
  <c r="AN19" i="7"/>
  <c r="AP19" i="7" s="1"/>
  <c r="B113" i="7"/>
  <c r="B139" i="7"/>
  <c r="B54" i="12"/>
  <c r="B29" i="12"/>
  <c r="P29" i="12" s="1"/>
  <c r="AH29" i="12" s="1"/>
  <c r="P75" i="7"/>
  <c r="AH75" i="7" s="1"/>
  <c r="P136" i="7"/>
  <c r="AH136" i="7" s="1"/>
  <c r="B12" i="12"/>
  <c r="P12" i="12" s="1"/>
  <c r="AH12" i="12" s="1"/>
  <c r="B122" i="7"/>
  <c r="P120" i="7"/>
  <c r="J54" i="12"/>
  <c r="J57" i="12" s="1"/>
  <c r="J26" i="12"/>
  <c r="P28" i="7"/>
  <c r="AJ85" i="7"/>
  <c r="AJ50" i="7"/>
  <c r="AD47" i="12"/>
  <c r="AD122" i="7"/>
  <c r="D113" i="7"/>
  <c r="P18" i="7"/>
  <c r="AH18" i="7" s="1"/>
  <c r="D18" i="12"/>
  <c r="AJ56" i="7"/>
  <c r="P35" i="12"/>
  <c r="P53" i="12"/>
  <c r="AJ132" i="7"/>
  <c r="R139" i="7"/>
  <c r="P107" i="7"/>
  <c r="AH107" i="7" s="1"/>
  <c r="AL107" i="7" s="1"/>
  <c r="B38" i="12"/>
  <c r="AL100" i="7"/>
  <c r="AL27" i="7"/>
  <c r="P40" i="12"/>
  <c r="AH40" i="12" s="1"/>
  <c r="N65" i="7"/>
  <c r="D158" i="7"/>
  <c r="B45" i="7" l="1"/>
  <c r="B69" i="7" s="1"/>
  <c r="AJ48" i="7"/>
  <c r="R21" i="12"/>
  <c r="R22" i="12" s="1"/>
  <c r="R45" i="7"/>
  <c r="R69" i="7" s="1"/>
  <c r="T45" i="7"/>
  <c r="T69" i="7" s="1"/>
  <c r="L65" i="7"/>
  <c r="L25" i="12" s="1"/>
  <c r="L27" i="12" s="1"/>
  <c r="L31" i="12" s="1"/>
  <c r="B21" i="12"/>
  <c r="P21" i="12" s="1"/>
  <c r="AH21" i="12" s="1"/>
  <c r="AF41" i="12"/>
  <c r="AJ41" i="12" s="1"/>
  <c r="AN41" i="12" s="1"/>
  <c r="AP41" i="12" s="1"/>
  <c r="AH113" i="7"/>
  <c r="AD43" i="12"/>
  <c r="AD113" i="7"/>
  <c r="AD141" i="7" s="1"/>
  <c r="V60" i="6"/>
  <c r="AB43" i="12"/>
  <c r="AB50" i="12" s="1"/>
  <c r="AF106" i="7"/>
  <c r="AJ106" i="7" s="1"/>
  <c r="AN106" i="7" s="1"/>
  <c r="AP106" i="7" s="1"/>
  <c r="V150" i="4"/>
  <c r="AF14" i="12"/>
  <c r="AJ14" i="12" s="1"/>
  <c r="AF11" i="12"/>
  <c r="AJ11" i="12" s="1"/>
  <c r="AN11" i="12" s="1"/>
  <c r="AP11" i="12" s="1"/>
  <c r="AN23" i="7"/>
  <c r="AP23" i="7" s="1"/>
  <c r="AH43" i="7"/>
  <c r="AH28" i="7"/>
  <c r="AL28" i="7" s="1"/>
  <c r="AH26" i="7"/>
  <c r="AL26" i="7" s="1"/>
  <c r="X22" i="12"/>
  <c r="X31" i="12" s="1"/>
  <c r="AF63" i="7"/>
  <c r="AJ63" i="7" s="1"/>
  <c r="AN63" i="7" s="1"/>
  <c r="AP63" i="7" s="1"/>
  <c r="AF122" i="7"/>
  <c r="AL92" i="7"/>
  <c r="AN92" i="7"/>
  <c r="AP92" i="7" s="1"/>
  <c r="AL102" i="7"/>
  <c r="AN102" i="7"/>
  <c r="AP102" i="7" s="1"/>
  <c r="AN77" i="7"/>
  <c r="AP77" i="7" s="1"/>
  <c r="AL77" i="7"/>
  <c r="AN54" i="7"/>
  <c r="AP54" i="7" s="1"/>
  <c r="AL54" i="7"/>
  <c r="AN128" i="7"/>
  <c r="AP128" i="7" s="1"/>
  <c r="AL128" i="7"/>
  <c r="AN55" i="7"/>
  <c r="AP55" i="7" s="1"/>
  <c r="AL55" i="7"/>
  <c r="AL52" i="7"/>
  <c r="AN52" i="7"/>
  <c r="AP52" i="7" s="1"/>
  <c r="AN86" i="7"/>
  <c r="AP86" i="7" s="1"/>
  <c r="AL86" i="7"/>
  <c r="AN84" i="7"/>
  <c r="AP84" i="7" s="1"/>
  <c r="AJ58" i="7"/>
  <c r="AN38" i="7"/>
  <c r="AP38" i="7" s="1"/>
  <c r="AL38" i="7"/>
  <c r="AN37" i="7"/>
  <c r="AP37" i="7" s="1"/>
  <c r="AF43" i="7"/>
  <c r="AJ35" i="7"/>
  <c r="AL35" i="7" s="1"/>
  <c r="AJ16" i="7"/>
  <c r="AJ33" i="7" s="1"/>
  <c r="AF33" i="7"/>
  <c r="AB22" i="12"/>
  <c r="AB69" i="7"/>
  <c r="AL84" i="7"/>
  <c r="J45" i="7"/>
  <c r="J69" i="7" s="1"/>
  <c r="P20" i="12"/>
  <c r="AH20" i="12" s="1"/>
  <c r="N45" i="7"/>
  <c r="N69" i="7" s="1"/>
  <c r="F98" i="10"/>
  <c r="L139" i="7"/>
  <c r="L141" i="7" s="1"/>
  <c r="L50" i="12"/>
  <c r="P150" i="7"/>
  <c r="P151" i="7" s="1"/>
  <c r="AN22" i="7"/>
  <c r="AP22" i="7" s="1"/>
  <c r="AL37" i="7"/>
  <c r="L124" i="7"/>
  <c r="AN67" i="7"/>
  <c r="AP67" i="7" s="1"/>
  <c r="F45" i="7"/>
  <c r="F69" i="7" s="1"/>
  <c r="F93" i="11"/>
  <c r="F95" i="11" s="1"/>
  <c r="J141" i="7"/>
  <c r="J143" i="7" s="1"/>
  <c r="AL87" i="7"/>
  <c r="AB124" i="7"/>
  <c r="B155" i="7"/>
  <c r="B158" i="7" s="1"/>
  <c r="B166" i="7" s="1"/>
  <c r="P154" i="7"/>
  <c r="AL119" i="7"/>
  <c r="AN105" i="7"/>
  <c r="AP105" i="7" s="1"/>
  <c r="F57" i="15"/>
  <c r="AL137" i="7"/>
  <c r="L54" i="12"/>
  <c r="L57" i="12" s="1"/>
  <c r="L59" i="12" s="1"/>
  <c r="AN81" i="7"/>
  <c r="AP81" i="7" s="1"/>
  <c r="AN104" i="7"/>
  <c r="AP104" i="7" s="1"/>
  <c r="P10" i="12"/>
  <c r="AH10" i="12" s="1"/>
  <c r="F22" i="12"/>
  <c r="P7" i="7"/>
  <c r="AH7" i="7" s="1"/>
  <c r="H31" i="12"/>
  <c r="AL104" i="7"/>
  <c r="AN40" i="7"/>
  <c r="AP40" i="7" s="1"/>
  <c r="AL40" i="7"/>
  <c r="AN11" i="7"/>
  <c r="AP11" i="7" s="1"/>
  <c r="T141" i="7"/>
  <c r="F57" i="12"/>
  <c r="AN121" i="7"/>
  <c r="AP121" i="7" s="1"/>
  <c r="Z31" i="12"/>
  <c r="R124" i="7"/>
  <c r="AL89" i="7"/>
  <c r="AL17" i="12"/>
  <c r="AN36" i="7"/>
  <c r="AP36" i="7" s="1"/>
  <c r="AN90" i="7"/>
  <c r="AP90" i="7" s="1"/>
  <c r="AN127" i="7"/>
  <c r="AP127" i="7" s="1"/>
  <c r="Z69" i="7"/>
  <c r="V56" i="5"/>
  <c r="AL105" i="7"/>
  <c r="AN87" i="7"/>
  <c r="AP87" i="7" s="1"/>
  <c r="V72" i="2"/>
  <c r="J124" i="7"/>
  <c r="E72" i="14"/>
  <c r="N124" i="7"/>
  <c r="F46" i="16"/>
  <c r="F74" i="9"/>
  <c r="AL13" i="7"/>
  <c r="AN91" i="7"/>
  <c r="AP91" i="7" s="1"/>
  <c r="AL11" i="7"/>
  <c r="AL15" i="7"/>
  <c r="U70" i="3"/>
  <c r="D43" i="12"/>
  <c r="D50" i="12" s="1"/>
  <c r="AL95" i="7"/>
  <c r="D27" i="12"/>
  <c r="F47" i="17"/>
  <c r="H45" i="7"/>
  <c r="H69" i="7" s="1"/>
  <c r="P14" i="12"/>
  <c r="AH14" i="12" s="1"/>
  <c r="AH129" i="7"/>
  <c r="AH139" i="7" s="1"/>
  <c r="AL127" i="7"/>
  <c r="AN137" i="7"/>
  <c r="AP137" i="7" s="1"/>
  <c r="AN9" i="7"/>
  <c r="AP9" i="7" s="1"/>
  <c r="P56" i="12"/>
  <c r="AH56" i="12" s="1"/>
  <c r="Z141" i="7"/>
  <c r="J43" i="12"/>
  <c r="J50" i="12" s="1"/>
  <c r="X50" i="12"/>
  <c r="F43" i="12"/>
  <c r="F50" i="12" s="1"/>
  <c r="AN89" i="7"/>
  <c r="AP89" i="7" s="1"/>
  <c r="V57" i="12"/>
  <c r="AN51" i="7"/>
  <c r="AP51" i="7" s="1"/>
  <c r="AL36" i="7"/>
  <c r="AL17" i="7"/>
  <c r="AN8" i="7"/>
  <c r="AP8" i="7" s="1"/>
  <c r="Z43" i="12"/>
  <c r="Z50" i="12" s="1"/>
  <c r="AN79" i="7"/>
  <c r="AP79" i="7" s="1"/>
  <c r="AL121" i="7"/>
  <c r="AN17" i="7"/>
  <c r="AP17" i="7" s="1"/>
  <c r="P33" i="7"/>
  <c r="AN15" i="12"/>
  <c r="AP15" i="12" s="1"/>
  <c r="AL15" i="12"/>
  <c r="AL9" i="7"/>
  <c r="AL116" i="7"/>
  <c r="D45" i="7"/>
  <c r="D69" i="7" s="1"/>
  <c r="AL79" i="7"/>
  <c r="AN19" i="12"/>
  <c r="AP19" i="12" s="1"/>
  <c r="AL103" i="7"/>
  <c r="AL76" i="7"/>
  <c r="AN39" i="7"/>
  <c r="AP39" i="7" s="1"/>
  <c r="N59" i="12"/>
  <c r="T22" i="12"/>
  <c r="T31" i="12" s="1"/>
  <c r="AN95" i="7"/>
  <c r="AP95" i="7" s="1"/>
  <c r="AL64" i="7"/>
  <c r="AL42" i="7"/>
  <c r="D22" i="12"/>
  <c r="AN119" i="7"/>
  <c r="AP119" i="7" s="1"/>
  <c r="AL39" i="7"/>
  <c r="P36" i="12"/>
  <c r="AH36" i="12" s="1"/>
  <c r="AL12" i="7"/>
  <c r="AL83" i="7"/>
  <c r="H141" i="7"/>
  <c r="AL19" i="12"/>
  <c r="N50" i="12"/>
  <c r="AF18" i="12"/>
  <c r="AJ18" i="12" s="1"/>
  <c r="AN64" i="7"/>
  <c r="AP64" i="7" s="1"/>
  <c r="H50" i="12"/>
  <c r="H59" i="12"/>
  <c r="AN103" i="7"/>
  <c r="AP103" i="7" s="1"/>
  <c r="V69" i="7"/>
  <c r="AN76" i="7"/>
  <c r="AP76" i="7" s="1"/>
  <c r="AL12" i="12"/>
  <c r="AN13" i="7"/>
  <c r="AP13" i="7" s="1"/>
  <c r="AN42" i="7"/>
  <c r="AP42" i="7" s="1"/>
  <c r="AL8" i="7"/>
  <c r="AF46" i="12"/>
  <c r="AJ46" i="12" s="1"/>
  <c r="R48" i="12"/>
  <c r="N141" i="7"/>
  <c r="N143" i="7" s="1"/>
  <c r="Z124" i="7"/>
  <c r="P42" i="12"/>
  <c r="AH42" i="12" s="1"/>
  <c r="AD69" i="7"/>
  <c r="AD27" i="12"/>
  <c r="AD31" i="12" s="1"/>
  <c r="P26" i="12"/>
  <c r="AH26" i="12" s="1"/>
  <c r="AL26" i="12" s="1"/>
  <c r="R141" i="7"/>
  <c r="R61" i="12" s="1"/>
  <c r="AL13" i="12"/>
  <c r="T43" i="12"/>
  <c r="T59" i="12" s="1"/>
  <c r="P43" i="7"/>
  <c r="AN136" i="7"/>
  <c r="AP136" i="7" s="1"/>
  <c r="AN48" i="7"/>
  <c r="AP48" i="7" s="1"/>
  <c r="X124" i="7"/>
  <c r="X141" i="7"/>
  <c r="AL91" i="7"/>
  <c r="AN53" i="7"/>
  <c r="AP53" i="7" s="1"/>
  <c r="AL53" i="7"/>
  <c r="AH65" i="7"/>
  <c r="AL48" i="7"/>
  <c r="P65" i="7"/>
  <c r="AL51" i="7"/>
  <c r="AN56" i="7"/>
  <c r="AP56" i="7" s="1"/>
  <c r="P39" i="12"/>
  <c r="AH39" i="12" s="1"/>
  <c r="AL136" i="7"/>
  <c r="F141" i="7"/>
  <c r="F143" i="7" s="1"/>
  <c r="AN83" i="7"/>
  <c r="AP83" i="7" s="1"/>
  <c r="AN12" i="7"/>
  <c r="AP12" i="7" s="1"/>
  <c r="B57" i="12"/>
  <c r="AL81" i="7"/>
  <c r="AN17" i="12"/>
  <c r="AP17" i="12" s="1"/>
  <c r="P139" i="7"/>
  <c r="B48" i="12"/>
  <c r="P47" i="12"/>
  <c r="AH120" i="7"/>
  <c r="P122" i="7"/>
  <c r="B124" i="7"/>
  <c r="B141" i="7"/>
  <c r="AL49" i="7"/>
  <c r="AN49" i="7"/>
  <c r="AP49" i="7" s="1"/>
  <c r="F82" i="8"/>
  <c r="J27" i="12"/>
  <c r="J31" i="12" s="1"/>
  <c r="N25" i="12"/>
  <c r="N27" i="12" s="1"/>
  <c r="N31" i="12" s="1"/>
  <c r="AF56" i="12"/>
  <c r="AJ56" i="12" s="1"/>
  <c r="R57" i="12"/>
  <c r="AL85" i="7"/>
  <c r="AN85" i="7"/>
  <c r="AP85" i="7" s="1"/>
  <c r="V43" i="12"/>
  <c r="AF36" i="12"/>
  <c r="AN13" i="12"/>
  <c r="AP13" i="12" s="1"/>
  <c r="AL40" i="12"/>
  <c r="AN40" i="12"/>
  <c r="AP40" i="12" s="1"/>
  <c r="P38" i="12"/>
  <c r="AH38" i="12" s="1"/>
  <c r="B43" i="12"/>
  <c r="AN132" i="7"/>
  <c r="AP132" i="7" s="1"/>
  <c r="AL132" i="7"/>
  <c r="AJ117" i="7"/>
  <c r="P113" i="7"/>
  <c r="AL37" i="12"/>
  <c r="AN37" i="12"/>
  <c r="AP37" i="12" s="1"/>
  <c r="T124" i="7"/>
  <c r="AB27" i="12"/>
  <c r="AL138" i="7"/>
  <c r="AN138" i="7"/>
  <c r="AP138" i="7" s="1"/>
  <c r="D141" i="7"/>
  <c r="D124" i="7"/>
  <c r="X59" i="12"/>
  <c r="AH35" i="12"/>
  <c r="AL18" i="7"/>
  <c r="AN18" i="7"/>
  <c r="AP18" i="7" s="1"/>
  <c r="AL78" i="7"/>
  <c r="AN78" i="7"/>
  <c r="AP78" i="7" s="1"/>
  <c r="V124" i="7"/>
  <c r="V141" i="7"/>
  <c r="F25" i="12"/>
  <c r="F27" i="12" s="1"/>
  <c r="AH53" i="12"/>
  <c r="B27" i="12"/>
  <c r="AD48" i="12"/>
  <c r="AF47" i="12"/>
  <c r="AN50" i="7"/>
  <c r="AP50" i="7" s="1"/>
  <c r="AL50" i="7"/>
  <c r="AN29" i="12"/>
  <c r="AP29" i="12" s="1"/>
  <c r="AL29" i="12"/>
  <c r="AF39" i="12"/>
  <c r="AJ39" i="12" s="1"/>
  <c r="R43" i="12"/>
  <c r="AJ75" i="7"/>
  <c r="P18" i="12"/>
  <c r="AH18" i="12" s="1"/>
  <c r="AL56" i="7"/>
  <c r="B46" i="7" l="1"/>
  <c r="P45" i="7"/>
  <c r="P69" i="7" s="1"/>
  <c r="AF45" i="7"/>
  <c r="X142" i="7"/>
  <c r="X61" i="12"/>
  <c r="AF65" i="7"/>
  <c r="L69" i="7"/>
  <c r="L142" i="7" s="1"/>
  <c r="B22" i="12"/>
  <c r="B31" i="12" s="1"/>
  <c r="AF42" i="12"/>
  <c r="AJ42" i="12" s="1"/>
  <c r="AN42" i="12" s="1"/>
  <c r="AP42" i="12" s="1"/>
  <c r="AL41" i="12"/>
  <c r="AJ113" i="7"/>
  <c r="AN113" i="7" s="1"/>
  <c r="AP113" i="7" s="1"/>
  <c r="AF113" i="7"/>
  <c r="AF124" i="7" s="1"/>
  <c r="AN16" i="7"/>
  <c r="AP16" i="7" s="1"/>
  <c r="AL11" i="12"/>
  <c r="AD124" i="7"/>
  <c r="AN26" i="7"/>
  <c r="AP26" i="7" s="1"/>
  <c r="AL106" i="7"/>
  <c r="AL14" i="12"/>
  <c r="AH33" i="7"/>
  <c r="AH45" i="7" s="1"/>
  <c r="AL16" i="7"/>
  <c r="AL33" i="7" s="1"/>
  <c r="AB31" i="12"/>
  <c r="AF10" i="12"/>
  <c r="AJ10" i="12" s="1"/>
  <c r="AN10" i="12" s="1"/>
  <c r="AP10" i="12" s="1"/>
  <c r="AF130" i="7"/>
  <c r="AF139" i="7" s="1"/>
  <c r="AJ43" i="7"/>
  <c r="AN43" i="7" s="1"/>
  <c r="AP43" i="7" s="1"/>
  <c r="AL58" i="7"/>
  <c r="AN58" i="7"/>
  <c r="AP58" i="7" s="1"/>
  <c r="AN7" i="7"/>
  <c r="AP7" i="7" s="1"/>
  <c r="B142" i="7"/>
  <c r="J142" i="7"/>
  <c r="H61" i="12"/>
  <c r="F100" i="10"/>
  <c r="R142" i="7"/>
  <c r="D142" i="7"/>
  <c r="D143" i="7"/>
  <c r="N61" i="12"/>
  <c r="L61" i="12"/>
  <c r="AN20" i="12"/>
  <c r="AP20" i="12" s="1"/>
  <c r="AL20" i="12"/>
  <c r="B143" i="7"/>
  <c r="V142" i="7"/>
  <c r="Z142" i="7"/>
  <c r="V61" i="12"/>
  <c r="T142" i="7"/>
  <c r="T61" i="12"/>
  <c r="T62" i="12" s="1"/>
  <c r="X62" i="12"/>
  <c r="Z61" i="12"/>
  <c r="AD61" i="12"/>
  <c r="L143" i="7"/>
  <c r="H143" i="7"/>
  <c r="H142" i="7"/>
  <c r="R59" i="12"/>
  <c r="R50" i="12"/>
  <c r="AB54" i="12"/>
  <c r="AB57" i="12" s="1"/>
  <c r="AB59" i="12" s="1"/>
  <c r="AB139" i="7"/>
  <c r="AB141" i="7" s="1"/>
  <c r="AJ65" i="7"/>
  <c r="AN65" i="7" s="1"/>
  <c r="AP65" i="7" s="1"/>
  <c r="AL63" i="7"/>
  <c r="P54" i="12"/>
  <c r="AH54" i="12" s="1"/>
  <c r="AH57" i="12" s="1"/>
  <c r="D31" i="12"/>
  <c r="F31" i="12"/>
  <c r="AL7" i="7"/>
  <c r="H60" i="12"/>
  <c r="X60" i="12"/>
  <c r="F142" i="7"/>
  <c r="N142" i="7"/>
  <c r="D59" i="12"/>
  <c r="J59" i="12"/>
  <c r="J61" i="12" s="1"/>
  <c r="N60" i="12"/>
  <c r="F59" i="12"/>
  <c r="AN14" i="12"/>
  <c r="AP14" i="12" s="1"/>
  <c r="AL129" i="7"/>
  <c r="AN129" i="7"/>
  <c r="AP129" i="7" s="1"/>
  <c r="L63" i="12"/>
  <c r="AL43" i="7"/>
  <c r="T60" i="12"/>
  <c r="Z59" i="12"/>
  <c r="AN26" i="12"/>
  <c r="AP26" i="12" s="1"/>
  <c r="T50" i="12"/>
  <c r="L60" i="12"/>
  <c r="H63" i="12"/>
  <c r="N63" i="12"/>
  <c r="AN46" i="12"/>
  <c r="AP46" i="12" s="1"/>
  <c r="AL46" i="12"/>
  <c r="AD142" i="7"/>
  <c r="AF21" i="12"/>
  <c r="V22" i="12"/>
  <c r="V31" i="12" s="1"/>
  <c r="B50" i="12"/>
  <c r="P43" i="12"/>
  <c r="P124" i="7"/>
  <c r="B59" i="12"/>
  <c r="B60" i="12" s="1"/>
  <c r="AL120" i="7"/>
  <c r="AN120" i="7"/>
  <c r="AP120" i="7" s="1"/>
  <c r="AH122" i="7"/>
  <c r="AH141" i="7" s="1"/>
  <c r="P48" i="12"/>
  <c r="AH47" i="12"/>
  <c r="AH48" i="12" s="1"/>
  <c r="AH22" i="12"/>
  <c r="P141" i="7"/>
  <c r="P143" i="7" s="1"/>
  <c r="AN75" i="7"/>
  <c r="AP75" i="7" s="1"/>
  <c r="AL75" i="7"/>
  <c r="AN18" i="12"/>
  <c r="AP18" i="12" s="1"/>
  <c r="AL18" i="12"/>
  <c r="AN39" i="12"/>
  <c r="AP39" i="12" s="1"/>
  <c r="AL39" i="12"/>
  <c r="AF48" i="12"/>
  <c r="AJ47" i="12"/>
  <c r="B28" i="12"/>
  <c r="AL35" i="12"/>
  <c r="AH43" i="12"/>
  <c r="P22" i="12"/>
  <c r="AL117" i="7"/>
  <c r="AJ122" i="7"/>
  <c r="AN117" i="7"/>
  <c r="AP117" i="7" s="1"/>
  <c r="AJ36" i="12"/>
  <c r="AN56" i="12"/>
  <c r="AP56" i="12" s="1"/>
  <c r="AL56" i="12"/>
  <c r="AD50" i="12"/>
  <c r="AD59" i="12"/>
  <c r="P25" i="12"/>
  <c r="AF25" i="12"/>
  <c r="R27" i="12"/>
  <c r="R31" i="12" s="1"/>
  <c r="AN53" i="12"/>
  <c r="AP53" i="12" s="1"/>
  <c r="AL53" i="12"/>
  <c r="AN38" i="12"/>
  <c r="AP38" i="12" s="1"/>
  <c r="AL38" i="12"/>
  <c r="V50" i="12"/>
  <c r="V59" i="12"/>
  <c r="AF69" i="7" l="1"/>
  <c r="P142" i="7"/>
  <c r="R60" i="12"/>
  <c r="AL42" i="12"/>
  <c r="AF43" i="12"/>
  <c r="AF50" i="12" s="1"/>
  <c r="R62" i="12"/>
  <c r="AL45" i="7"/>
  <c r="AL113" i="7"/>
  <c r="AF141" i="7"/>
  <c r="AN33" i="7"/>
  <c r="AP33" i="7" s="1"/>
  <c r="AL10" i="12"/>
  <c r="AJ45" i="7"/>
  <c r="AJ69" i="7" s="1"/>
  <c r="AJ130" i="7"/>
  <c r="AL65" i="7"/>
  <c r="D61" i="12"/>
  <c r="F61" i="12"/>
  <c r="B61" i="12"/>
  <c r="Z62" i="12"/>
  <c r="V62" i="12"/>
  <c r="AD62" i="12"/>
  <c r="AD60" i="12"/>
  <c r="AB142" i="7"/>
  <c r="AB61" i="12"/>
  <c r="AB62" i="12" s="1"/>
  <c r="Z60" i="12"/>
  <c r="P57" i="12"/>
  <c r="P59" i="12" s="1"/>
  <c r="P63" i="12" s="1"/>
  <c r="AB60" i="12"/>
  <c r="AF54" i="12"/>
  <c r="AJ54" i="12" s="1"/>
  <c r="AJ57" i="12" s="1"/>
  <c r="D60" i="12"/>
  <c r="F60" i="12"/>
  <c r="J60" i="12"/>
  <c r="J63" i="12"/>
  <c r="D63" i="12"/>
  <c r="F63" i="12"/>
  <c r="B63" i="12"/>
  <c r="V60" i="12"/>
  <c r="AJ21" i="12"/>
  <c r="AF22" i="12"/>
  <c r="AL122" i="7"/>
  <c r="AH124" i="7"/>
  <c r="P50" i="12"/>
  <c r="AH59" i="12"/>
  <c r="AF27" i="12"/>
  <c r="AJ25" i="12"/>
  <c r="AJ27" i="12" s="1"/>
  <c r="AN36" i="12"/>
  <c r="AP36" i="12" s="1"/>
  <c r="AL36" i="12"/>
  <c r="AJ43" i="12"/>
  <c r="AH50" i="12"/>
  <c r="AN122" i="7"/>
  <c r="AP122" i="7" s="1"/>
  <c r="AJ124" i="7"/>
  <c r="AQ22" i="12"/>
  <c r="AH25" i="12"/>
  <c r="P27" i="12"/>
  <c r="P31" i="12" s="1"/>
  <c r="AQ45" i="7"/>
  <c r="AH69" i="7"/>
  <c r="AH142" i="7" s="1"/>
  <c r="AJ48" i="12"/>
  <c r="AL47" i="12"/>
  <c r="AL48" i="12" s="1"/>
  <c r="AN47" i="12"/>
  <c r="AP47" i="12" s="1"/>
  <c r="AL43" i="12" l="1"/>
  <c r="AL50" i="12" s="1"/>
  <c r="AF142" i="7"/>
  <c r="AF44" i="12"/>
  <c r="AN45" i="7"/>
  <c r="AP45" i="7" s="1"/>
  <c r="AL130" i="7"/>
  <c r="AL139" i="7" s="1"/>
  <c r="AL141" i="7" s="1"/>
  <c r="AN130" i="7"/>
  <c r="AP130" i="7" s="1"/>
  <c r="AJ139" i="7"/>
  <c r="AL69" i="7"/>
  <c r="P61" i="12"/>
  <c r="P60" i="12"/>
  <c r="AN57" i="12"/>
  <c r="AP57" i="12" s="1"/>
  <c r="AJ59" i="12"/>
  <c r="AN59" i="12" s="1"/>
  <c r="AN54" i="12"/>
  <c r="AP54" i="12" s="1"/>
  <c r="AF57" i="12"/>
  <c r="AF59" i="12" s="1"/>
  <c r="AF63" i="12" s="1"/>
  <c r="AL54" i="12"/>
  <c r="AL57" i="12" s="1"/>
  <c r="AN124" i="7"/>
  <c r="AP124" i="7" s="1"/>
  <c r="AL124" i="7"/>
  <c r="AL21" i="12"/>
  <c r="AL22" i="12" s="1"/>
  <c r="AJ22" i="12"/>
  <c r="AN22" i="12" s="1"/>
  <c r="AP22" i="12" s="1"/>
  <c r="AN21" i="12"/>
  <c r="AP21" i="12" s="1"/>
  <c r="AJ50" i="12"/>
  <c r="AN50" i="12" s="1"/>
  <c r="AP50" i="12" s="1"/>
  <c r="AF31" i="12"/>
  <c r="AN48" i="12"/>
  <c r="AP48" i="12" s="1"/>
  <c r="AN69" i="7"/>
  <c r="AP69" i="7" s="1"/>
  <c r="AH27" i="12"/>
  <c r="AL25" i="12"/>
  <c r="AL27" i="12" s="1"/>
  <c r="AN25" i="12"/>
  <c r="AP25" i="12" s="1"/>
  <c r="AN43" i="12"/>
  <c r="AP43" i="12" s="1"/>
  <c r="AL59" i="12" l="1"/>
  <c r="AL62" i="12" s="1"/>
  <c r="AN139" i="7"/>
  <c r="AP139" i="7" s="1"/>
  <c r="AJ141" i="7"/>
  <c r="AL142" i="7"/>
  <c r="AJ31" i="12"/>
  <c r="AJ60" i="12" s="1"/>
  <c r="AF60" i="12"/>
  <c r="AL31" i="12"/>
  <c r="AN27" i="12"/>
  <c r="AP27" i="12" s="1"/>
  <c r="AH31" i="12"/>
  <c r="AH60" i="12" s="1"/>
  <c r="AP59" i="12"/>
  <c r="AL60" i="12" l="1"/>
  <c r="AJ142" i="7"/>
  <c r="AN141" i="7"/>
  <c r="AN31" i="12"/>
  <c r="AN142" i="7" l="1"/>
  <c r="AP141" i="7"/>
  <c r="AP142" i="7" s="1"/>
  <c r="AP31" i="12"/>
  <c r="AP60" i="12" s="1"/>
  <c r="AN60" i="12"/>
  <c r="P157" i="7" l="1"/>
  <c r="N160" i="7" l="1"/>
</calcChain>
</file>

<file path=xl/sharedStrings.xml><?xml version="1.0" encoding="utf-8"?>
<sst xmlns="http://schemas.openxmlformats.org/spreadsheetml/2006/main" count="1898" uniqueCount="757">
  <si>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</si>
  <si>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</si>
  <si>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</si>
  <si>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</si>
  <si>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</si>
  <si>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</si>
  <si>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</si>
  <si>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</si>
  <si>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</si>
  <si>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</si>
  <si>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</si>
  <si>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</si>
  <si>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</si>
  <si>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</si>
  <si>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</si>
  <si>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</si>
  <si>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</si>
  <si>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</si>
  <si>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</si>
  <si>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</si>
  <si>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</si>
  <si>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</si>
  <si>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</si>
  <si>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</si>
  <si>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</si>
  <si>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</si>
  <si>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</si>
  <si>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</si>
  <si>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</si>
  <si>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</si>
  <si>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</si>
  <si>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</si>
  <si>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</si>
  <si>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</si>
  <si>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</si>
  <si>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</si>
  <si>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</si>
  <si>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</si>
  <si>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</si>
  <si>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</si>
  <si>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</si>
  <si>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</si>
  <si>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</si>
  <si>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</si>
  <si>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</si>
  <si>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</si>
  <si>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</si>
  <si>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</si>
  <si>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</si>
  <si>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</si>
  <si>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</si>
  <si>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</si>
  <si>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</si>
  <si>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</si>
  <si>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</si>
  <si>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</si>
  <si>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</si>
  <si>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</si>
  <si>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</si>
  <si>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</si>
  <si>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</si>
  <si>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</si>
  <si>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</si>
  <si>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</si>
  <si>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</si>
  <si>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</si>
  <si>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</si>
  <si>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</si>
  <si>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</si>
  <si>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</si>
  <si>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</si>
  <si>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</si>
  <si>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</si>
  <si>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</si>
  <si>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</si>
  <si>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</si>
  <si>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</si>
  <si>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</si>
  <si>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</si>
  <si>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</si>
  <si>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</si>
  <si>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</si>
  <si>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</si>
  <si>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</si>
  <si>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</si>
  <si>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</si>
  <si>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</si>
  <si>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</si>
  <si>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</si>
  <si>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</si>
  <si>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</si>
  <si>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</si>
  <si>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</si>
  <si>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</si>
  <si>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</si>
  <si>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</si>
  <si>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</si>
  <si>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</si>
  <si>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</si>
  <si>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</si>
  <si>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</si>
  <si>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</si>
  <si>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</si>
  <si>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</si>
  <si>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</si>
  <si>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</si>
  <si>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</si>
  <si>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</si>
  <si>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</si>
  <si>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</si>
  <si>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</si>
  <si>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</si>
  <si>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</si>
  <si>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</si>
  <si>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</si>
  <si>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</si>
  <si>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</si>
  <si>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</si>
  <si>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</si>
  <si>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</si>
  <si>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</si>
  <si>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</si>
  <si>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</si>
  <si>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</si>
  <si>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</si>
  <si>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</si>
  <si>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</si>
  <si>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</si>
  <si>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</si>
  <si>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</si>
  <si>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</si>
  <si>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</si>
  <si>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</si>
  <si>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</si>
  <si>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</si>
  <si>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</si>
  <si>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</si>
  <si>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</si>
  <si>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</si>
  <si>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</si>
  <si>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</si>
  <si>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</si>
  <si>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</si>
  <si>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</si>
  <si>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</si>
  <si>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</si>
  <si>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</si>
  <si>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</si>
  <si>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</si>
  <si>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</si>
  <si>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</si>
  <si>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</si>
  <si>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</si>
  <si>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</si>
  <si>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</si>
  <si>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</si>
  <si>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</si>
  <si>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</si>
  <si>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</si>
  <si>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</si>
  <si>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</si>
  <si>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</si>
  <si>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</si>
  <si>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</si>
  <si>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</si>
  <si>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</si>
  <si>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</si>
  <si>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</si>
  <si>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</si>
  <si>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</si>
  <si>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</si>
  <si>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</si>
  <si>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</si>
  <si>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</si>
  <si>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</si>
  <si>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</si>
  <si>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</si>
  <si>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</si>
  <si>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</si>
  <si>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</si>
  <si>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</si>
  <si>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</si>
  <si>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</si>
  <si>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</si>
  <si>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</si>
  <si>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</si>
  <si>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</si>
  <si>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</si>
  <si>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</si>
  <si>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</si>
  <si>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</si>
  <si>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</si>
  <si>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</si>
  <si>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</si>
  <si>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</si>
  <si>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</si>
  <si>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</si>
  <si>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</si>
  <si>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</si>
  <si>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</si>
  <si>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</si>
  <si>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</si>
  <si>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</si>
  <si>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</si>
  <si>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</si>
  <si>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</si>
  <si>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</si>
  <si>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</si>
  <si>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</si>
  <si>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</si>
  <si>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</si>
  <si>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</si>
  <si>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</si>
  <si>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</si>
  <si>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</si>
  <si>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</si>
  <si>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</si>
  <si>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</si>
  <si>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</si>
  <si>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</si>
  <si>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</si>
  <si>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</si>
  <si>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</si>
  <si>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</si>
  <si>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</si>
  <si>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</si>
  <si>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</si>
  <si>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</si>
  <si>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</si>
  <si>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</si>
  <si>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</si>
  <si>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</si>
  <si>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</si>
  <si>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</si>
  <si>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</si>
  <si>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</si>
  <si>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</si>
  <si>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</si>
  <si>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</si>
  <si>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</si>
  <si>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</si>
  <si>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</si>
  <si>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</si>
  <si>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</si>
  <si>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</si>
  <si>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</si>
  <si>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</si>
  <si>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</si>
  <si>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</si>
  <si>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</si>
  <si>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</si>
  <si>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</si>
  <si>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</si>
  <si>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</si>
  <si>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</si>
  <si>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</si>
  <si>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</si>
  <si>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</si>
  <si>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</si>
  <si>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</si>
  <si>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</si>
  <si>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</si>
  <si>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</si>
  <si>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</si>
  <si>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</si>
  <si>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</si>
  <si>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</si>
  <si>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</si>
  <si>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</si>
  <si>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</si>
  <si>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</si>
  <si>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</si>
  <si>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</si>
  <si>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</si>
  <si>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</si>
  <si>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</si>
  <si>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</si>
  <si>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</si>
  <si>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</si>
  <si>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</si>
  <si>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</si>
  <si>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</si>
  <si>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</si>
  <si>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</si>
  <si>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</si>
  <si>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</si>
  <si>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</si>
  <si>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</si>
  <si>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</si>
  <si>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</si>
  <si>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</si>
  <si>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</si>
  <si>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</si>
  <si>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</si>
  <si>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</si>
  <si>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</si>
  <si>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</si>
  <si>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</si>
  <si>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</si>
  <si>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</si>
  <si>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</si>
  <si>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</si>
  <si>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</si>
  <si>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</si>
  <si>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</si>
  <si>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</si>
  <si>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</si>
  <si>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</si>
  <si>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</si>
  <si>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</si>
  <si>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</si>
  <si>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</si>
  <si>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</si>
  <si>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</si>
  <si>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</si>
  <si>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</si>
  <si>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</si>
  <si>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</si>
  <si>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</si>
  <si>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</si>
  <si>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</si>
  <si>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</si>
  <si>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</si>
  <si>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</si>
  <si>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</si>
  <si>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</si>
  <si>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</si>
  <si>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</si>
  <si>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</si>
  <si>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</si>
  <si>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</si>
  <si>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</si>
  <si>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</si>
  <si>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</si>
  <si>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</si>
  <si>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</si>
  <si>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</si>
  <si>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</si>
  <si>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</si>
  <si>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</si>
  <si>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</si>
  <si>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</si>
  <si>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</si>
  <si>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</si>
  <si>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</si>
  <si>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</si>
  <si>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</si>
  <si>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</si>
  <si>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</si>
  <si>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</si>
  <si>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</si>
  <si>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</si>
  <si>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</si>
  <si>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</si>
  <si>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</si>
  <si>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</si>
  <si>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</si>
  <si>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</si>
  <si>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</si>
  <si>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</si>
  <si>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</si>
  <si>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</si>
  <si>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</si>
  <si>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</si>
  <si>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</si>
  <si>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</si>
  <si>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</si>
  <si>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</si>
  <si>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</si>
  <si>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</si>
  <si>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</si>
  <si>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</si>
  <si>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</si>
  <si>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</si>
  <si>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</si>
  <si>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</si>
  <si>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</si>
  <si>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</si>
  <si>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</si>
  <si>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</si>
  <si>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</si>
  <si>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</si>
  <si>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</si>
  <si>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</si>
  <si>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</si>
  <si>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</si>
  <si>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</si>
  <si>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</si>
  <si>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</si>
  <si>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</si>
  <si>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</si>
  <si>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</si>
  <si>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</si>
  <si>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</si>
  <si>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</si>
  <si>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</si>
  <si>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</si>
  <si>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</si>
  <si>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</si>
  <si>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</si>
  <si>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</si>
  <si>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</si>
  <si>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</si>
  <si>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</si>
  <si>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</si>
  <si>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</si>
  <si>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</si>
  <si>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</si>
  <si>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</si>
  <si>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</si>
  <si>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</si>
  <si>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</si>
  <si>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</si>
  <si>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</si>
  <si>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</si>
  <si>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</si>
  <si>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</si>
  <si>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</si>
  <si>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</si>
  <si>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</si>
  <si>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</si>
  <si>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</si>
  <si>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</si>
  <si>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</si>
  <si>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</si>
  <si>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</si>
  <si>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</si>
  <si>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</si>
  <si>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</si>
  <si>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</si>
  <si>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</si>
  <si>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</si>
  <si>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</si>
  <si>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</si>
  <si>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</si>
  <si>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</si>
  <si>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</si>
  <si>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</si>
  <si>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</si>
  <si>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</si>
  <si>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</si>
  <si>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</si>
  <si>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</si>
  <si>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</si>
  <si>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</si>
  <si>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</si>
  <si>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</si>
  <si>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</si>
  <si>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</si>
  <si>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</si>
  <si>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</si>
  <si>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</si>
  <si>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</si>
  <si>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</si>
  <si>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</si>
  <si>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</si>
  <si>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</si>
  <si>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</si>
  <si>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</si>
  <si>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</si>
  <si>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</si>
  <si>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</si>
  <si>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</si>
  <si>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</si>
  <si>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</si>
  <si>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</si>
  <si>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</si>
  <si>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</si>
  <si>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</si>
  <si>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</si>
  <si>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</si>
  <si>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</si>
  <si>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</si>
  <si>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</si>
  <si>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</si>
  <si>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</si>
  <si>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</si>
  <si>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</si>
  <si>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</si>
  <si>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</si>
  <si>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</si>
  <si>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</si>
  <si>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</si>
  <si>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</si>
  <si>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</si>
  <si>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</si>
  <si>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</si>
  <si>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</si>
  <si>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</si>
  <si>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</si>
  <si>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</si>
  <si>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</si>
  <si>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</si>
  <si>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</si>
  <si>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</si>
  <si>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</si>
  <si>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</si>
  <si>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</si>
  <si>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</si>
  <si>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</si>
  <si>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</si>
  <si>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</si>
  <si>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</si>
  <si>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</si>
  <si>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</si>
  <si>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</si>
  <si>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</si>
  <si>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</si>
  <si>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</si>
  <si>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</si>
  <si>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</si>
  <si>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</si>
  <si>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</si>
  <si>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</si>
  <si>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</si>
  <si>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</si>
  <si>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</si>
  <si>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</si>
  <si>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</si>
  <si>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</si>
  <si>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</si>
  <si>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</si>
  <si>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</si>
  <si>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</si>
  <si>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</si>
  <si>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</si>
  <si>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</si>
  <si>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</si>
  <si>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</si>
  <si>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</si>
  <si>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</si>
  <si>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</si>
  <si>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</si>
  <si>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</si>
  <si>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</si>
  <si>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</si>
  <si>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</si>
  <si>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</si>
  <si>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</si>
  <si>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</si>
  <si>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</si>
  <si>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</si>
  <si>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</si>
  <si>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</si>
  <si>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</si>
  <si>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</si>
  <si>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</si>
  <si>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</si>
  <si>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</si>
  <si>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</si>
  <si>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</si>
  <si>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</si>
  <si>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</si>
  <si>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</si>
  <si>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</si>
  <si>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</si>
  <si>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</si>
  <si>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</si>
  <si>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</si>
  <si>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</si>
  <si>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</si>
  <si>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</si>
  <si>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</si>
  <si>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</si>
  <si>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</si>
  <si>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</si>
  <si>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</si>
  <si>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</si>
  <si>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</si>
  <si>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</si>
  <si>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</si>
  <si>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</si>
  <si>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</si>
  <si>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</si>
  <si>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</si>
  <si>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</si>
  <si>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</si>
  <si>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</si>
  <si>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</si>
  <si>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</si>
  <si>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</si>
  <si>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</si>
  <si>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</si>
  <si>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</si>
  <si>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</si>
  <si>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</si>
  <si>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</si>
  <si>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</si>
  <si>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</si>
  <si>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</si>
  <si>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</si>
  <si>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</si>
  <si>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</si>
  <si>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</si>
  <si>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</si>
  <si>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</si>
  <si>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</si>
  <si>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</si>
  <si>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</si>
  <si>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</si>
  <si>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</si>
  <si>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</si>
  <si>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</si>
  <si>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</si>
  <si>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</si>
  <si>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</si>
  <si>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</si>
  <si>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</si>
  <si>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</si>
  <si>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</si>
  <si>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</si>
  <si>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</si>
  <si>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</si>
  <si>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</si>
  <si>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</si>
  <si>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</si>
  <si>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</si>
  <si>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</si>
  <si>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</si>
  <si>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</si>
  <si>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</si>
  <si>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</si>
  <si>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</si>
  <si>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</si>
  <si>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</si>
  <si>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</si>
  <si>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</si>
  <si>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</si>
  <si>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</si>
  <si>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</si>
  <si>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</si>
  <si>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</si>
  <si>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</si>
  <si>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</si>
  <si>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</si>
  <si>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</si>
  <si>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</si>
  <si>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</si>
  <si>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</si>
  <si>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</si>
  <si>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</si>
  <si>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</si>
  <si>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</si>
  <si>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</si>
  <si>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</si>
  <si>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</si>
  <si>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</si>
  <si>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</si>
  <si>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</si>
  <si>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</si>
  <si>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</si>
  <si>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</si>
  <si>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</si>
  <si>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</si>
  <si>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</si>
  <si>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</si>
  <si>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</si>
  <si>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</si>
  <si>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</si>
  <si>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</si>
  <si>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</si>
  <si>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</si>
  <si>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</si>
  <si>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</si>
  <si>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</si>
  <si>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</si>
  <si>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</si>
  <si>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</si>
  <si>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</si>
  <si>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</si>
  <si>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</si>
  <si>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</si>
  <si>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</si>
  <si>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</si>
  <si>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</si>
  <si>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</si>
  <si>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</si>
  <si>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</si>
  <si>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</si>
  <si>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</si>
  <si>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</si>
  <si>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</si>
  <si>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</si>
  <si>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</si>
  <si>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</si>
  <si>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</si>
  <si>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</si>
  <si>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</si>
  <si>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</si>
  <si>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</si>
  <si>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</si>
  <si>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</si>
  <si>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</si>
  <si>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</si>
  <si>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</si>
  <si>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</si>
  <si>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</si>
  <si>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</si>
  <si>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</si>
  <si>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</si>
  <si>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</si>
  <si>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</si>
  <si>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</si>
  <si>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</si>
  <si>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</si>
  <si>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</si>
  <si>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</si>
  <si>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</si>
  <si>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1510 · Prepaid Expenses</t>
  </si>
  <si>
    <t>Total Change 2019 to 2020</t>
  </si>
  <si>
    <t>2019 YTD to 2020 YTD %</t>
  </si>
  <si>
    <t xml:space="preserve">     Vivion (VSP)</t>
  </si>
  <si>
    <t xml:space="preserve">     Construction in Progress</t>
  </si>
  <si>
    <t>MINTING - WIP - Silver</t>
  </si>
  <si>
    <t>VISION (VSP)</t>
  </si>
  <si>
    <t xml:space="preserve">     Minting Blanks - WIP</t>
  </si>
  <si>
    <t>ACCRUED EXPENSES - CONTINGENCY</t>
  </si>
  <si>
    <t xml:space="preserve">     Accrued Expenses - Contingency</t>
  </si>
  <si>
    <t>As of 3/31/2020</t>
  </si>
  <si>
    <t>For Period 3/31/2020 &amp; 3/31/2019</t>
  </si>
  <si>
    <t>COMPUTER EQUIPMENT</t>
  </si>
  <si>
    <t xml:space="preserve">     Computer Equipment</t>
  </si>
  <si>
    <t>CAPITAL CONTRIBUTIONS - DMO</t>
  </si>
  <si>
    <t>CAPITAL CONTRIBUTIONS - MLO</t>
  </si>
  <si>
    <t>CAPITAL CONTRIBUTIONS - PAO</t>
  </si>
  <si>
    <t>CAPITAL CONTRIBUTIONS - PLO</t>
  </si>
  <si>
    <t>CAPITAL CONTRIBUTIONS - SLO</t>
  </si>
  <si>
    <t>SECURITY EQUIPMENT</t>
  </si>
  <si>
    <t>M240</t>
  </si>
  <si>
    <t>MINTING - ACCRUED CONTINGENCY 1OZ</t>
  </si>
  <si>
    <t>NOTE PAYABLE - CROFOOT CO</t>
  </si>
  <si>
    <t xml:space="preserve">     Security Equipment</t>
  </si>
  <si>
    <t xml:space="preserve">     Minting - Accrued Contingency 1oz</t>
  </si>
  <si>
    <t xml:space="preserve">     Note Payable - Crofoot Co</t>
  </si>
  <si>
    <t>2250 - Accrued Commisions</t>
  </si>
  <si>
    <t xml:space="preserve">     Accrued Expenses - Commissions</t>
  </si>
  <si>
    <t xml:space="preserve">     Due from Stockholders</t>
  </si>
  <si>
    <t xml:space="preserve">     Due from Stockholder</t>
  </si>
  <si>
    <t xml:space="preserve">     Deposits on Accounts</t>
  </si>
  <si>
    <t>CASH - WF Sweep MMF</t>
  </si>
  <si>
    <t>LOANS TO BOD</t>
  </si>
  <si>
    <t xml:space="preserve">     Loans to BOD</t>
  </si>
  <si>
    <t>Depreciation for Disposals in 2020</t>
  </si>
  <si>
    <t>Adjustment to tie BB to DPCO</t>
  </si>
  <si>
    <t>Adj for 2019 Depreciation in Apri</t>
  </si>
  <si>
    <t>8/31/20</t>
  </si>
  <si>
    <t>DUE FROM THE LITTLE BRICK SCHOOLHOUSE</t>
  </si>
  <si>
    <t>DUE FROM BROKER - ADM</t>
  </si>
  <si>
    <t>As of 9/30/2019</t>
  </si>
  <si>
    <t>For Period 9/30/2020 &amp; 9/30/2019</t>
  </si>
  <si>
    <t>As of 9/30/2020</t>
  </si>
  <si>
    <t>9/30/20</t>
  </si>
  <si>
    <t>CNT Lending 9/30/2020</t>
  </si>
  <si>
    <t>8/30/20</t>
  </si>
  <si>
    <t>1410 · Construction in Progress</t>
  </si>
  <si>
    <t>2060 · Due to CNT Construction Loan</t>
  </si>
  <si>
    <t>INVESTMENT DIVIDENDS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</si>
</sst>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14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43" fontId="16" fillId="0" borderId="8" xfId="1" applyFont="1" applyFill="1" applyBorder="1">
      <alignment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49" fontId="12" fillId="4" borderId="0" xfId="0" applyNumberFormat="1" applyFont="1" applyFill="1" applyAlignment="1"/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9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164" fontId="4" fillId="0" borderId="10" xfId="0" applyNumberFormat="1" applyFont="1" applyFill="1" applyBorder="1" applyAlignment="1">
      <alignment horizontal="right" vertical="top"/>
    </xf>
    <xf numFmtId="0" fontId="4" fillId="5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0" fontId="4" fillId="4" borderId="0" xfId="0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 wrapText="1" readingOrder="1"/>
    </xf>
    <xf numFmtId="0" fontId="25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NT/2020%20Month%20End/Reconciliations/Depreciation%20Expense%2007%20-%20Jul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September%20-%20Combined%20Profit%20&amp;%20Lo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End Tie Out to DPCO Proj"/>
      <sheetName val="Year End Tie Out"/>
      <sheetName val="Fixed Asset Schedule"/>
      <sheetName val="Old Sec Disposal"/>
      <sheetName val="1305 Additions"/>
      <sheetName val="1305 Disposal"/>
      <sheetName val="1310 Additions"/>
      <sheetName val="1310 Disposals"/>
      <sheetName val="1315 Additions"/>
      <sheetName val="1315 Disposal"/>
      <sheetName val="1320 Additions"/>
      <sheetName val="1325 Additions"/>
      <sheetName val="1326 Additions"/>
      <sheetName val="1327 Additions"/>
      <sheetName val="1330 Additions"/>
      <sheetName val="1340 Additions"/>
      <sheetName val="1350 Additions"/>
      <sheetName val="1336 Additions"/>
      <sheetName val="Fixed Asset Schedule (2)"/>
      <sheetName val="Maynard Manuf. Adj."/>
    </sheetNames>
    <sheetDataSet>
      <sheetData sheetId="0"/>
      <sheetData sheetId="1">
        <row r="21">
          <cell r="J21">
            <v>-846562.63705677656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5">
          <cell r="B65">
            <v>965943.37</v>
          </cell>
          <cell r="C65">
            <v>3764.61</v>
          </cell>
          <cell r="D65">
            <v>124104.74</v>
          </cell>
          <cell r="E65">
            <v>0</v>
          </cell>
          <cell r="F65">
            <v>75780.31</v>
          </cell>
          <cell r="G65">
            <v>83263.420000000013</v>
          </cell>
          <cell r="H65">
            <v>130917.75000000001</v>
          </cell>
        </row>
        <row r="178">
          <cell r="B178">
            <v>27944247.66999504</v>
          </cell>
          <cell r="C178">
            <v>-23625.330000000627</v>
          </cell>
          <cell r="D178">
            <v>2542025.8000000003</v>
          </cell>
          <cell r="E178">
            <v>34178.83</v>
          </cell>
          <cell r="F178">
            <v>-84543.630000000034</v>
          </cell>
          <cell r="G178">
            <v>125011.41999999998</v>
          </cell>
          <cell r="H178">
            <v>172124.76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4"/>
  <sheetViews>
    <sheetView zoomScale="70" zoomScaleNormal="70" workbookViewId="0">
      <pane ySplit="7" topLeftCell="A47" activePane="bottomLeft" state="frozen"/>
      <selection activeCell="D162" sqref="D162"/>
      <selection pane="bottomLeft" activeCell="D69" sqref="D69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59" t="s">
        <v>480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42" ht="24.9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42" ht="24.95" customHeight="1" x14ac:dyDescent="0.2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42" s="29" customFormat="1" ht="31.5" x14ac:dyDescent="0.2">
      <c r="A4" s="158" t="s">
        <v>474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 t="s">
        <v>474</v>
      </c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 t="s">
        <v>474</v>
      </c>
      <c r="AH4" s="158"/>
      <c r="AI4" s="158"/>
      <c r="AJ4" s="158"/>
      <c r="AK4" s="158"/>
      <c r="AL4" s="158"/>
      <c r="AM4" s="158"/>
      <c r="AN4" s="158"/>
      <c r="AO4" s="37"/>
      <c r="AP4" s="28"/>
    </row>
    <row r="5" spans="1:42" s="29" customFormat="1" ht="31.5" x14ac:dyDescent="0.2">
      <c r="A5" s="158" t="s">
        <v>718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60">
        <v>43555</v>
      </c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 t="s">
        <v>251</v>
      </c>
      <c r="AH5" s="158"/>
      <c r="AI5" s="158"/>
      <c r="AJ5" s="158"/>
      <c r="AK5" s="158"/>
      <c r="AL5" s="158"/>
      <c r="AM5" s="158"/>
      <c r="AN5" s="158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58" t="s">
        <v>719</v>
      </c>
      <c r="AH6" s="158"/>
      <c r="AI6" s="158"/>
      <c r="AJ6" s="158"/>
      <c r="AK6" s="158"/>
      <c r="AL6" s="158"/>
      <c r="AM6" s="158"/>
      <c r="AN6" s="158"/>
    </row>
    <row r="7" spans="1:42" s="31" customFormat="1" ht="53.25" thickBot="1" x14ac:dyDescent="0.25">
      <c r="A7" s="32"/>
      <c r="B7" s="33" t="s">
        <v>240</v>
      </c>
      <c r="C7" s="33"/>
      <c r="D7" s="33" t="s">
        <v>241</v>
      </c>
      <c r="E7" s="33"/>
      <c r="F7" s="33" t="s">
        <v>242</v>
      </c>
      <c r="G7" s="33"/>
      <c r="H7" s="33" t="s">
        <v>243</v>
      </c>
      <c r="I7" s="33"/>
      <c r="J7" s="33" t="s">
        <v>244</v>
      </c>
      <c r="K7" s="33"/>
      <c r="L7" s="33" t="s">
        <v>473</v>
      </c>
      <c r="M7" s="33"/>
      <c r="N7" s="33" t="s">
        <v>506</v>
      </c>
      <c r="O7" s="33"/>
      <c r="P7" s="34" t="s">
        <v>245</v>
      </c>
      <c r="Q7" s="35"/>
      <c r="R7" s="53" t="s">
        <v>240</v>
      </c>
      <c r="S7" s="33"/>
      <c r="T7" s="53" t="s">
        <v>241</v>
      </c>
      <c r="U7" s="33"/>
      <c r="V7" s="53" t="s">
        <v>242</v>
      </c>
      <c r="W7" s="33"/>
      <c r="X7" s="53" t="s">
        <v>243</v>
      </c>
      <c r="Y7" s="33"/>
      <c r="Z7" s="53" t="s">
        <v>244</v>
      </c>
      <c r="AA7" s="33"/>
      <c r="AB7" s="53" t="s">
        <v>473</v>
      </c>
      <c r="AC7" s="33"/>
      <c r="AD7" s="53" t="s">
        <v>508</v>
      </c>
      <c r="AE7" s="33"/>
      <c r="AF7" s="34" t="s">
        <v>245</v>
      </c>
      <c r="AG7" s="35"/>
      <c r="AH7" s="33">
        <v>2020</v>
      </c>
      <c r="AI7" s="33"/>
      <c r="AJ7" s="33">
        <v>2019</v>
      </c>
      <c r="AK7" s="33"/>
      <c r="AL7" s="36" t="s">
        <v>709</v>
      </c>
      <c r="AM7" s="36"/>
      <c r="AN7" s="36" t="s">
        <v>710</v>
      </c>
      <c r="AO7" s="36"/>
      <c r="AP7" s="36" t="s">
        <v>566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253</v>
      </c>
      <c r="P9" s="10"/>
      <c r="Q9" s="8" t="s">
        <v>253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253</v>
      </c>
    </row>
    <row r="10" spans="1:42" s="9" customFormat="1" ht="24.95" customHeight="1" x14ac:dyDescent="0.35">
      <c r="A10" s="11" t="s">
        <v>246</v>
      </c>
      <c r="B10" s="12">
        <f>'Consolidated Balance Sheet'!B7</f>
        <v>7471049.5499999998</v>
      </c>
      <c r="C10" s="12"/>
      <c r="D10" s="12">
        <f>'Consolidated Balance Sheet'!D7</f>
        <v>52217.55</v>
      </c>
      <c r="E10" s="12"/>
      <c r="F10" s="12">
        <f>'Consolidated Balance Sheet'!F7</f>
        <v>1574194.3</v>
      </c>
      <c r="G10" s="12"/>
      <c r="H10" s="12">
        <f>'Consolidated Balance Sheet'!H7</f>
        <v>6404.09</v>
      </c>
      <c r="I10" s="12"/>
      <c r="J10" s="12">
        <f>'Consolidated Balance Sheet'!J7</f>
        <v>165457.97</v>
      </c>
      <c r="K10" s="12"/>
      <c r="L10" s="12">
        <f>'Consolidated Balance Sheet'!L7</f>
        <v>168251.57</v>
      </c>
      <c r="N10" s="12">
        <f>'Consolidated Balance Sheet'!N7</f>
        <v>69782.84</v>
      </c>
      <c r="P10" s="12">
        <f>SUM(B10:N10)</f>
        <v>9507357.870000001</v>
      </c>
      <c r="Q10" s="11" t="s">
        <v>246</v>
      </c>
      <c r="R10" s="54">
        <f>'Consolidated Balance Sheet'!R7</f>
        <v>7408926.5399999991</v>
      </c>
      <c r="S10" s="12"/>
      <c r="T10" s="54">
        <f>'Consolidated Balance Sheet'!T7</f>
        <v>221087.8</v>
      </c>
      <c r="U10" s="12"/>
      <c r="V10" s="54">
        <f>'Consolidated Balance Sheet'!V7</f>
        <v>1221222.23</v>
      </c>
      <c r="W10" s="12"/>
      <c r="X10" s="54">
        <f>'Consolidated Balance Sheet'!X7</f>
        <v>3401.54</v>
      </c>
      <c r="Y10" s="12"/>
      <c r="Z10" s="54">
        <f>'Consolidated Balance Sheet'!Z7</f>
        <v>134966.75</v>
      </c>
      <c r="AA10" s="12"/>
      <c r="AB10" s="54">
        <f>'Consolidated Balance Sheet'!AB7</f>
        <v>312078.56</v>
      </c>
      <c r="AC10" s="12">
        <f>'Consolidated Balance Sheet'!AC7</f>
        <v>0</v>
      </c>
      <c r="AD10" s="54">
        <f>'Consolidated Balance Sheet'!AD7</f>
        <v>136545.47</v>
      </c>
      <c r="AE10" s="12">
        <f>'Consolidated Balance Sheet'!AE7</f>
        <v>0</v>
      </c>
      <c r="AF10" s="12">
        <f>SUM(R10:AD10)</f>
        <v>9438228.8899999987</v>
      </c>
      <c r="AG10" s="11" t="s">
        <v>246</v>
      </c>
      <c r="AH10" s="12">
        <f>P10</f>
        <v>9507357.870000001</v>
      </c>
      <c r="AI10" s="12"/>
      <c r="AJ10" s="12">
        <f>AF10</f>
        <v>9438228.8899999987</v>
      </c>
      <c r="AK10" s="12"/>
      <c r="AL10" s="12">
        <f t="shared" ref="AL10:AL19" si="0">AH10-AJ10</f>
        <v>69128.98000000231</v>
      </c>
      <c r="AM10" s="12"/>
      <c r="AN10" s="13">
        <f>AH10/AJ10</f>
        <v>1.0073243593481025</v>
      </c>
      <c r="AO10" s="13"/>
      <c r="AP10" s="14">
        <f t="shared" ref="AP10:AP19" si="1">AN10-1</f>
        <v>7.3243593481024938E-3</v>
      </c>
    </row>
    <row r="11" spans="1:42" s="9" customFormat="1" ht="24.95" customHeight="1" x14ac:dyDescent="0.2">
      <c r="A11" s="9" t="s">
        <v>247</v>
      </c>
      <c r="B11" s="12">
        <f>'Consolidated Balance Sheet'!B8</f>
        <v>71737380.319999993</v>
      </c>
      <c r="C11" s="12"/>
      <c r="D11" s="12">
        <f>'Consolidated Balance Sheet'!D8</f>
        <v>0</v>
      </c>
      <c r="E11" s="12"/>
      <c r="F11" s="12">
        <f>'Consolidated Balance Sheet'!F8</f>
        <v>6363.11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1" si="2">SUM(B11:N11)</f>
        <v>71743743.429999992</v>
      </c>
      <c r="Q11" s="9" t="s">
        <v>247</v>
      </c>
      <c r="R11" s="54">
        <f>'Consolidated Balance Sheet'!R8</f>
        <v>10648565.92</v>
      </c>
      <c r="S11" s="12"/>
      <c r="T11" s="54">
        <f>'Consolidated Balance Sheet'!T8</f>
        <v>334387.01</v>
      </c>
      <c r="U11" s="12"/>
      <c r="V11" s="54">
        <f>'Consolidated Balance Sheet'!V8</f>
        <v>73147.44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1" si="3">SUM(R11:AD11)</f>
        <v>11056100.369999999</v>
      </c>
      <c r="AG11" s="9" t="s">
        <v>247</v>
      </c>
      <c r="AH11" s="12">
        <f t="shared" ref="AH11:AH19" si="4">P11</f>
        <v>71743743.429999992</v>
      </c>
      <c r="AI11" s="12"/>
      <c r="AJ11" s="12">
        <f t="shared" ref="AJ11:AJ19" si="5">AF11</f>
        <v>11056100.369999999</v>
      </c>
      <c r="AK11" s="12"/>
      <c r="AL11" s="12">
        <f t="shared" si="0"/>
        <v>60687643.059999995</v>
      </c>
      <c r="AM11" s="12"/>
      <c r="AN11" s="13">
        <f>AH11/AJ11</f>
        <v>6.4890640487193769</v>
      </c>
      <c r="AO11" s="13"/>
      <c r="AP11" s="14">
        <f t="shared" si="1"/>
        <v>5.4890640487193769</v>
      </c>
    </row>
    <row r="12" spans="1:42" s="9" customFormat="1" ht="24.95" customHeight="1" x14ac:dyDescent="0.2">
      <c r="A12" s="9" t="s">
        <v>254</v>
      </c>
      <c r="B12" s="12">
        <f>'Consolidated Balance Sheet'!B9</f>
        <v>157089.76999999999</v>
      </c>
      <c r="C12" s="12"/>
      <c r="D12" s="12">
        <f>'Consolidated Balance Sheet'!D9</f>
        <v>0</v>
      </c>
      <c r="E12" s="12"/>
      <c r="F12" s="12">
        <f>'Consolidated Balance Sheet'!F9</f>
        <v>2517.81</v>
      </c>
      <c r="G12" s="12"/>
      <c r="H12" s="12">
        <f>'Consolidated Balance Sheet'!H9</f>
        <v>923626.25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1083233.83</v>
      </c>
      <c r="Q12" s="9" t="s">
        <v>254</v>
      </c>
      <c r="R12" s="54">
        <f>'Consolidated Balance Sheet'!R9</f>
        <v>154021.82</v>
      </c>
      <c r="S12" s="12"/>
      <c r="T12" s="54">
        <f>'Consolidated Balance Sheet'!T9</f>
        <v>0</v>
      </c>
      <c r="U12" s="12"/>
      <c r="V12" s="54">
        <f>'Consolidated Balance Sheet'!V9</f>
        <v>0</v>
      </c>
      <c r="W12" s="12"/>
      <c r="X12" s="54">
        <f>'Consolidated Balance Sheet'!X9</f>
        <v>1015085.5399999999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2182.39</v>
      </c>
      <c r="AE12" s="12">
        <f>'Consolidated Balance Sheet'!AE9</f>
        <v>0</v>
      </c>
      <c r="AF12" s="12">
        <f t="shared" si="3"/>
        <v>1171289.7499999998</v>
      </c>
      <c r="AG12" s="9" t="s">
        <v>254</v>
      </c>
      <c r="AH12" s="12">
        <f t="shared" si="4"/>
        <v>1083233.83</v>
      </c>
      <c r="AI12" s="12"/>
      <c r="AJ12" s="12">
        <f t="shared" si="5"/>
        <v>1171289.7499999998</v>
      </c>
      <c r="AK12" s="12"/>
      <c r="AL12" s="12">
        <f t="shared" si="0"/>
        <v>-88055.919999999693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255</v>
      </c>
      <c r="B13" s="12">
        <f>'Consolidated Balance Sheet'!B11</f>
        <v>0</v>
      </c>
      <c r="C13" s="12"/>
      <c r="D13" s="12">
        <f>'Consolidated Balance Sheet'!D11</f>
        <v>0</v>
      </c>
      <c r="E13" s="12"/>
      <c r="F13" s="12">
        <f>'Consolidated Balance Sheet'!F11</f>
        <v>229958.12</v>
      </c>
      <c r="G13" s="12"/>
      <c r="H13" s="12">
        <f>'Consolidated Balance Sheet'!H11</f>
        <v>0</v>
      </c>
      <c r="I13" s="12"/>
      <c r="J13" s="12">
        <f>'Consolidated Balance Sheet'!J11</f>
        <v>0</v>
      </c>
      <c r="K13" s="12"/>
      <c r="L13" s="12">
        <f>'Consolidated Balance Sheet'!L11</f>
        <v>0</v>
      </c>
      <c r="N13" s="12">
        <f>'Consolidated Balance Sheet'!N11</f>
        <v>0</v>
      </c>
      <c r="P13" s="12">
        <f t="shared" si="2"/>
        <v>229958.12</v>
      </c>
      <c r="Q13" s="9" t="s">
        <v>255</v>
      </c>
      <c r="R13" s="54">
        <f>'Consolidated Balance Sheet'!R11</f>
        <v>0</v>
      </c>
      <c r="S13" s="12"/>
      <c r="T13" s="54">
        <f>'Consolidated Balance Sheet'!T11</f>
        <v>0</v>
      </c>
      <c r="U13" s="12"/>
      <c r="V13" s="54">
        <f>'Consolidated Balance Sheet'!V11</f>
        <v>169450.03000000003</v>
      </c>
      <c r="W13" s="12"/>
      <c r="X13" s="54">
        <f>'Consolidated Balance Sheet'!X11</f>
        <v>0</v>
      </c>
      <c r="Y13" s="12"/>
      <c r="Z13" s="54">
        <f>'Consolidated Balance Sheet'!Z11</f>
        <v>0</v>
      </c>
      <c r="AA13" s="12"/>
      <c r="AB13" s="54">
        <f>'Consolidated Balance Sheet'!AB11</f>
        <v>0</v>
      </c>
      <c r="AC13" s="12"/>
      <c r="AD13" s="54">
        <f>'Consolidated Balance Sheet'!AD11</f>
        <v>0</v>
      </c>
      <c r="AE13" s="12"/>
      <c r="AF13" s="12">
        <f t="shared" si="3"/>
        <v>169450.03000000003</v>
      </c>
      <c r="AG13" s="9" t="s">
        <v>255</v>
      </c>
      <c r="AH13" s="12">
        <f t="shared" si="4"/>
        <v>229958.12</v>
      </c>
      <c r="AI13" s="12"/>
      <c r="AJ13" s="12">
        <f t="shared" si="5"/>
        <v>169450.03000000003</v>
      </c>
      <c r="AK13" s="12"/>
      <c r="AL13" s="12">
        <f t="shared" si="0"/>
        <v>60508.089999999967</v>
      </c>
      <c r="AM13" s="12"/>
      <c r="AN13" s="13">
        <f t="shared" ref="AN13:AN22" si="6">AH13/AJ13</f>
        <v>1.357085153658574</v>
      </c>
      <c r="AO13" s="13"/>
      <c r="AP13" s="14">
        <f t="shared" si="1"/>
        <v>0.35708515365857396</v>
      </c>
    </row>
    <row r="14" spans="1:42" s="9" customFormat="1" ht="24.95" customHeight="1" x14ac:dyDescent="0.2">
      <c r="A14" s="9" t="s">
        <v>256</v>
      </c>
      <c r="B14" s="12">
        <f>'Consolidated Balance Sheet'!B12</f>
        <v>605404.14</v>
      </c>
      <c r="C14" s="12"/>
      <c r="D14" s="12">
        <f>'Consolidated Balance Sheet'!D12</f>
        <v>300000</v>
      </c>
      <c r="E14" s="12"/>
      <c r="F14" s="12">
        <f>'Consolidated Balance Sheet'!F12</f>
        <v>7090162.8399999999</v>
      </c>
      <c r="G14" s="12"/>
      <c r="H14" s="12">
        <f>'Consolidated Balance Sheet'!H12</f>
        <v>0</v>
      </c>
      <c r="I14" s="12"/>
      <c r="J14" s="12">
        <f>'Consolidated Balance Sheet'!J12</f>
        <v>200000</v>
      </c>
      <c r="K14" s="12"/>
      <c r="L14" s="12">
        <f>'Consolidated Balance Sheet'!L12</f>
        <v>2176288.06</v>
      </c>
      <c r="N14" s="12">
        <f>'Consolidated Balance Sheet'!N12</f>
        <v>32500</v>
      </c>
      <c r="P14" s="12">
        <f t="shared" si="2"/>
        <v>10404355.039999999</v>
      </c>
      <c r="Q14" s="9" t="s">
        <v>256</v>
      </c>
      <c r="R14" s="54">
        <f>'Consolidated Balance Sheet'!R12</f>
        <v>884847.01</v>
      </c>
      <c r="S14" s="12"/>
      <c r="T14" s="54">
        <f>'Consolidated Balance Sheet'!T12</f>
        <v>480000</v>
      </c>
      <c r="U14" s="12"/>
      <c r="V14" s="54">
        <f>'Consolidated Balance Sheet'!V12</f>
        <v>4900000</v>
      </c>
      <c r="W14" s="12"/>
      <c r="X14" s="54">
        <f>'Consolidated Balance Sheet'!X12</f>
        <v>0</v>
      </c>
      <c r="Y14" s="12"/>
      <c r="Z14" s="54">
        <f>'Consolidated Balance Sheet'!Z12</f>
        <v>250000</v>
      </c>
      <c r="AA14" s="12"/>
      <c r="AB14" s="54">
        <f>'Consolidated Balance Sheet'!AB12</f>
        <v>1734932.71</v>
      </c>
      <c r="AC14" s="12"/>
      <c r="AD14" s="54">
        <f>'Consolidated Balance Sheet'!AD12</f>
        <v>65000</v>
      </c>
      <c r="AE14" s="12"/>
      <c r="AF14" s="12">
        <f t="shared" si="3"/>
        <v>8314779.7199999997</v>
      </c>
      <c r="AG14" s="9" t="s">
        <v>256</v>
      </c>
      <c r="AH14" s="12">
        <f t="shared" si="4"/>
        <v>10404355.039999999</v>
      </c>
      <c r="AI14" s="12"/>
      <c r="AJ14" s="12">
        <f t="shared" si="5"/>
        <v>8314779.7199999997</v>
      </c>
      <c r="AK14" s="12"/>
      <c r="AL14" s="12">
        <f t="shared" si="0"/>
        <v>2089575.3199999994</v>
      </c>
      <c r="AM14" s="12"/>
      <c r="AN14" s="13">
        <f t="shared" si="6"/>
        <v>1.2513085602224467</v>
      </c>
      <c r="AO14" s="13"/>
      <c r="AP14" s="14">
        <f t="shared" si="1"/>
        <v>0.25130856022244674</v>
      </c>
    </row>
    <row r="15" spans="1:42" s="9" customFormat="1" ht="24.95" customHeight="1" x14ac:dyDescent="0.2">
      <c r="A15" s="9" t="s">
        <v>257</v>
      </c>
      <c r="B15" s="12">
        <f>'Consolidated Balance Sheet'!B13</f>
        <v>26005668.719999999</v>
      </c>
      <c r="C15" s="12"/>
      <c r="D15" s="12">
        <f>'Consolidated Balance Sheet'!D13</f>
        <v>0</v>
      </c>
      <c r="E15" s="12"/>
      <c r="F15" s="12">
        <f>'Consolidated Balance Sheet'!F13</f>
        <v>0</v>
      </c>
      <c r="G15" s="12"/>
      <c r="H15" s="12">
        <f>'Consolidated Balance Sheet'!H13</f>
        <v>0</v>
      </c>
      <c r="I15" s="12"/>
      <c r="J15" s="12">
        <f>'Consolidated Balance Sheet'!J13</f>
        <v>0</v>
      </c>
      <c r="K15" s="12"/>
      <c r="L15" s="12">
        <f>'Consolidated Balance Sheet'!L13</f>
        <v>0</v>
      </c>
      <c r="N15" s="12">
        <f>'Consolidated Balance Sheet'!N13</f>
        <v>0</v>
      </c>
      <c r="P15" s="12">
        <f t="shared" si="2"/>
        <v>26005668.719999999</v>
      </c>
      <c r="Q15" s="9" t="s">
        <v>257</v>
      </c>
      <c r="R15" s="54">
        <f>'Consolidated Balance Sheet'!R13</f>
        <v>15151636.720000001</v>
      </c>
      <c r="S15" s="12"/>
      <c r="T15" s="54">
        <f>'Consolidated Balance Sheet'!T13</f>
        <v>0</v>
      </c>
      <c r="U15" s="12"/>
      <c r="V15" s="54">
        <f>'Consolidated Balance Sheet'!V13</f>
        <v>0</v>
      </c>
      <c r="W15" s="12"/>
      <c r="X15" s="54">
        <f>'Consolidated Balance Sheet'!X13</f>
        <v>0</v>
      </c>
      <c r="Y15" s="12"/>
      <c r="Z15" s="54">
        <f>'Consolidated Balance Sheet'!Z13</f>
        <v>0</v>
      </c>
      <c r="AA15" s="12"/>
      <c r="AB15" s="54">
        <f>'Consolidated Balance Sheet'!AB13</f>
        <v>0</v>
      </c>
      <c r="AC15" s="12"/>
      <c r="AD15" s="54">
        <f>'Consolidated Balance Sheet'!AD13</f>
        <v>0</v>
      </c>
      <c r="AE15" s="12"/>
      <c r="AF15" s="12">
        <f t="shared" si="3"/>
        <v>15151636.720000001</v>
      </c>
      <c r="AG15" s="9" t="s">
        <v>257</v>
      </c>
      <c r="AH15" s="12">
        <f t="shared" si="4"/>
        <v>26005668.719999999</v>
      </c>
      <c r="AI15" s="12"/>
      <c r="AJ15" s="12">
        <f t="shared" si="5"/>
        <v>15151636.720000001</v>
      </c>
      <c r="AK15" s="12"/>
      <c r="AL15" s="12">
        <f t="shared" si="0"/>
        <v>10854031.999999998</v>
      </c>
      <c r="AM15" s="12"/>
      <c r="AN15" s="13">
        <f t="shared" si="6"/>
        <v>1.7163603642682899</v>
      </c>
      <c r="AO15" s="13"/>
      <c r="AP15" s="14">
        <f t="shared" si="1"/>
        <v>0.71636036426828986</v>
      </c>
    </row>
    <row r="16" spans="1:42" s="9" customFormat="1" ht="24.95" customHeight="1" x14ac:dyDescent="0.2">
      <c r="A16" s="9" t="s">
        <v>737</v>
      </c>
      <c r="B16" s="12">
        <f>'Consolidated Balance Sheet'!B14+'Consolidated Balance Sheet'!B10</f>
        <v>1750431.36</v>
      </c>
      <c r="C16" s="12"/>
      <c r="D16" s="12">
        <f>'Consolidated Balance Sheet'!D14</f>
        <v>0</v>
      </c>
      <c r="E16" s="12"/>
      <c r="F16" s="12">
        <f>'Consolidated Balance Sheet'!F14</f>
        <v>0</v>
      </c>
      <c r="G16" s="12"/>
      <c r="H16" s="12">
        <f>'Consolidated Balance Sheet'!H14</f>
        <v>0</v>
      </c>
      <c r="I16" s="12"/>
      <c r="J16" s="12">
        <f>'Consolidated Balance Sheet'!J14</f>
        <v>0</v>
      </c>
      <c r="K16" s="12"/>
      <c r="L16" s="12">
        <f>'Consolidated Balance Sheet'!L14</f>
        <v>0</v>
      </c>
      <c r="N16" s="12">
        <f>'Consolidated Balance Sheet'!N14</f>
        <v>0</v>
      </c>
      <c r="P16" s="12">
        <f t="shared" si="2"/>
        <v>1750431.36</v>
      </c>
      <c r="Q16" s="9" t="s">
        <v>737</v>
      </c>
      <c r="R16" s="54">
        <f>'Consolidated Balance Sheet'!R14</f>
        <v>0</v>
      </c>
      <c r="S16" s="12"/>
      <c r="T16" s="54">
        <f>'Consolidated Balance Sheet'!T14</f>
        <v>0</v>
      </c>
      <c r="U16" s="12"/>
      <c r="V16" s="54">
        <f>'Consolidated Balance Sheet'!V14</f>
        <v>0</v>
      </c>
      <c r="W16" s="12"/>
      <c r="X16" s="54">
        <f>'Consolidated Balance Sheet'!X14</f>
        <v>0</v>
      </c>
      <c r="Y16" s="12"/>
      <c r="Z16" s="54">
        <f>'Consolidated Balance Sheet'!Z14</f>
        <v>0</v>
      </c>
      <c r="AA16" s="12"/>
      <c r="AB16" s="54">
        <f>'Consolidated Balance Sheet'!AB14</f>
        <v>0</v>
      </c>
      <c r="AC16" s="12"/>
      <c r="AD16" s="54">
        <f>'Consolidated Balance Sheet'!AD14</f>
        <v>0</v>
      </c>
      <c r="AE16" s="12"/>
      <c r="AF16" s="12">
        <f t="shared" si="3"/>
        <v>0</v>
      </c>
      <c r="AG16" s="9" t="s">
        <v>737</v>
      </c>
      <c r="AH16" s="12">
        <f t="shared" si="4"/>
        <v>1750431.36</v>
      </c>
      <c r="AI16" s="12"/>
      <c r="AJ16" s="12">
        <f t="shared" si="5"/>
        <v>0</v>
      </c>
      <c r="AK16" s="12"/>
      <c r="AL16" s="12">
        <f t="shared" si="0"/>
        <v>1750431.36</v>
      </c>
      <c r="AM16" s="12"/>
      <c r="AN16" s="13" t="e">
        <f t="shared" si="6"/>
        <v>#DIV/0!</v>
      </c>
      <c r="AO16" s="13"/>
      <c r="AP16" s="14" t="e">
        <f t="shared" si="1"/>
        <v>#DIV/0!</v>
      </c>
    </row>
    <row r="17" spans="1:43" s="9" customFormat="1" ht="24.95" customHeight="1" x14ac:dyDescent="0.2">
      <c r="A17" s="15" t="s">
        <v>258</v>
      </c>
      <c r="B17" s="12">
        <f>'Consolidated Balance Sheet'!B15</f>
        <v>8166056.25</v>
      </c>
      <c r="C17" s="12"/>
      <c r="D17" s="12">
        <f>'Consolidated Balance Sheet'!D15</f>
        <v>0</v>
      </c>
      <c r="E17" s="12"/>
      <c r="F17" s="12">
        <f>'Consolidated Balance Sheet'!F15</f>
        <v>0</v>
      </c>
      <c r="G17" s="12"/>
      <c r="H17" s="12">
        <f>'Consolidated Balance Sheet'!H15</f>
        <v>0</v>
      </c>
      <c r="I17" s="12"/>
      <c r="J17" s="12">
        <f>'Consolidated Balance Sheet'!J15</f>
        <v>0</v>
      </c>
      <c r="K17" s="12"/>
      <c r="L17" s="12">
        <f>'Consolidated Balance Sheet'!L15</f>
        <v>0</v>
      </c>
      <c r="M17" s="12"/>
      <c r="N17" s="12">
        <f>'Consolidated Balance Sheet'!N15</f>
        <v>0</v>
      </c>
      <c r="O17" s="12"/>
      <c r="P17" s="12">
        <f t="shared" si="2"/>
        <v>8166056.25</v>
      </c>
      <c r="Q17" s="15" t="s">
        <v>258</v>
      </c>
      <c r="R17" s="54">
        <f>'Consolidated Balance Sheet'!R15</f>
        <v>360929.03</v>
      </c>
      <c r="S17" s="12"/>
      <c r="T17" s="54">
        <f>'Consolidated Balance Sheet'!T15</f>
        <v>0</v>
      </c>
      <c r="U17" s="12"/>
      <c r="V17" s="54">
        <f>'Consolidated Balance Sheet'!V15</f>
        <v>0</v>
      </c>
      <c r="W17" s="12"/>
      <c r="X17" s="54">
        <f>'Consolidated Balance Sheet'!X15</f>
        <v>0</v>
      </c>
      <c r="Y17" s="12"/>
      <c r="Z17" s="54">
        <f>'Consolidated Balance Sheet'!Z15</f>
        <v>0</v>
      </c>
      <c r="AA17" s="12"/>
      <c r="AB17" s="54">
        <f>'Consolidated Balance Sheet'!AB15</f>
        <v>0</v>
      </c>
      <c r="AC17" s="12"/>
      <c r="AD17" s="54">
        <f>'Consolidated Balance Sheet'!AD15</f>
        <v>0</v>
      </c>
      <c r="AE17" s="12"/>
      <c r="AF17" s="12">
        <f t="shared" si="3"/>
        <v>360929.03</v>
      </c>
      <c r="AG17" s="15" t="s">
        <v>258</v>
      </c>
      <c r="AH17" s="12">
        <f t="shared" si="4"/>
        <v>8166056.25</v>
      </c>
      <c r="AI17" s="12"/>
      <c r="AJ17" s="12">
        <f t="shared" si="5"/>
        <v>360929.03</v>
      </c>
      <c r="AK17" s="12"/>
      <c r="AL17" s="12">
        <f t="shared" si="0"/>
        <v>7805127.2199999997</v>
      </c>
      <c r="AM17" s="12"/>
      <c r="AN17" s="13">
        <f t="shared" si="6"/>
        <v>22.625102364306908</v>
      </c>
      <c r="AO17" s="13"/>
      <c r="AP17" s="14">
        <f t="shared" si="1"/>
        <v>21.625102364306908</v>
      </c>
    </row>
    <row r="18" spans="1:43" s="9" customFormat="1" ht="24.95" customHeight="1" x14ac:dyDescent="0.2">
      <c r="A18" s="9" t="s">
        <v>475</v>
      </c>
      <c r="B18" s="12">
        <f>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Sheet'!B24+'Consolidated Balance Sheet'!B25+'Consolidated Balance Sheet'!B27+'Consolidated Balance Sheet'!B28+'Consolidated Balance Sheet'!B31+CNT!S56+CNT!S58+CNT!S57</f>
        <v>-20536090.580000013</v>
      </c>
      <c r="C18" s="12"/>
      <c r="D18" s="12">
        <f>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Sheet'!D24+'Consolidated Balance Sheet'!D25+'Consolidated Balance Sheet'!D27+'Consolidated Balance Sheet'!D28+'Consolidated Balance Sheet'!D31</f>
        <v>0</v>
      </c>
      <c r="E18" s="12"/>
      <c r="F18" s="12">
        <f>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Sheet'!F24+'Consolidated Balance Sheet'!F25+'Consolidated Balance Sheet'!F27+'Consolidated Balance Sheet'!F28+'Consolidated Balance Sheet'!F31</f>
        <v>0</v>
      </c>
      <c r="G18" s="12"/>
      <c r="H18" s="12">
        <f>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Sheet'!H24+'Consolidated Balance Sheet'!H25+'Consolidated Balance Sheet'!H27+'Consolidated Balance Sheet'!H28+'Consolidated Balance Sheet'!H31</f>
        <v>0</v>
      </c>
      <c r="I18" s="12"/>
      <c r="J18" s="12">
        <f>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Sheet'!J24+'Consolidated Balance Sheet'!J25+'Consolidated Balance Sheet'!J27+'Consolidated Balance Sheet'!J28+'Consolidated Balance Sheet'!J31</f>
        <v>0</v>
      </c>
      <c r="K18" s="12"/>
      <c r="L18" s="12">
        <f>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Sheet'!L24+'Consolidated Balance Sheet'!L25+'Consolidated Balance Sheet'!L27+'Consolidated Balance Sheet'!L28+'Consolidated Balance Sheet'!L31</f>
        <v>0</v>
      </c>
      <c r="N18" s="12">
        <f>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Sheet'!N24+'Consolidated Balance Sheet'!N25+'Consolidated Balance Sheet'!N27+'Consolidated Balance Sheet'!N28+'Consolidated Balance Sheet'!N31</f>
        <v>0</v>
      </c>
      <c r="P18" s="12">
        <f t="shared" si="2"/>
        <v>-20536090.580000013</v>
      </c>
      <c r="Q18" s="9" t="s">
        <v>475</v>
      </c>
      <c r="R18" s="54">
        <f>SUM('Consolidated Balance Sheet'!R16:R25)+SUM('Consolidated Balance Sheet'!R27:R32)</f>
        <v>1895372.7000000393</v>
      </c>
      <c r="S18" s="12"/>
      <c r="T18" s="54">
        <f>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Sheet'!T24+'Consolidated Balance Sheet'!T25+'Consolidated Balance Sheet'!T27+'Consolidated Balance Sheet'!T28+'Consolidated Balance Sheet'!T31</f>
        <v>103438.56</v>
      </c>
      <c r="U18" s="12"/>
      <c r="V18" s="54">
        <f>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Sheet'!V24+'Consolidated Balance Sheet'!V25+'Consolidated Balance Sheet'!V27+'Consolidated Balance Sheet'!V28+'Consolidated Balance Sheet'!V31</f>
        <v>0</v>
      </c>
      <c r="W18" s="12"/>
      <c r="X18" s="54">
        <f>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Sheet'!X24+'Consolidated Balance Sheet'!X25+'Consolidated Balance Sheet'!X27+'Consolidated Balance Sheet'!X28+'Consolidated Balance Sheet'!X31</f>
        <v>0</v>
      </c>
      <c r="Y18" s="12"/>
      <c r="Z18" s="54">
        <f>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Sheet'!Z24+'Consolidated Balance Sheet'!Z25+'Consolidated Balance Sheet'!Z27+'Consolidated Balance Sheet'!Z28+'Consolidated Balance Sheet'!Z31</f>
        <v>0</v>
      </c>
      <c r="AA18" s="12"/>
      <c r="AB18" s="54">
        <f>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Sheet'!AB24+'Consolidated Balance Sheet'!AB25+'Consolidated Balance Sheet'!AB27+'Consolidated Balance Sheet'!AB28+'Consolidated Balance Sheet'!AB31</f>
        <v>0</v>
      </c>
      <c r="AC18" s="12"/>
      <c r="AD18" s="54">
        <f>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Sheet'!AD24+'Consolidated Balance Sheet'!AD25+'Consolidated Balance Sheet'!AD27+'Consolidated Balance Sheet'!AD28+'Consolidated Balance Sheet'!AD31</f>
        <v>0</v>
      </c>
      <c r="AE18" s="12"/>
      <c r="AF18" s="12">
        <f t="shared" si="3"/>
        <v>1998811.2600000394</v>
      </c>
      <c r="AG18" s="9" t="s">
        <v>475</v>
      </c>
      <c r="AH18" s="12">
        <f t="shared" si="4"/>
        <v>-20536090.580000013</v>
      </c>
      <c r="AI18" s="12"/>
      <c r="AJ18" s="12">
        <f t="shared" si="5"/>
        <v>1998811.2600000394</v>
      </c>
      <c r="AK18" s="12"/>
      <c r="AL18" s="12">
        <f t="shared" si="0"/>
        <v>-22534901.840000052</v>
      </c>
      <c r="AM18" s="12"/>
      <c r="AN18" s="13">
        <f t="shared" si="6"/>
        <v>-10.274151937687007</v>
      </c>
      <c r="AO18" s="13"/>
      <c r="AP18" s="14">
        <f t="shared" si="1"/>
        <v>-11.274151937687007</v>
      </c>
    </row>
    <row r="19" spans="1:43" s="9" customFormat="1" ht="24.95" customHeight="1" x14ac:dyDescent="0.2">
      <c r="A19" s="9" t="s">
        <v>594</v>
      </c>
      <c r="B19" s="12">
        <f>'Consolidated Balance Sheet'!B26</f>
        <v>-30081777.469999999</v>
      </c>
      <c r="C19" s="12"/>
      <c r="D19" s="12">
        <f>'Consolidated Balance Sheet'!D26</f>
        <v>0</v>
      </c>
      <c r="E19" s="12"/>
      <c r="F19" s="12">
        <f>'Consolidated Balance Sheet'!F26</f>
        <v>0</v>
      </c>
      <c r="G19" s="12"/>
      <c r="H19" s="12">
        <f>'Consolidated Balance Sheet'!H26</f>
        <v>0</v>
      </c>
      <c r="I19" s="12"/>
      <c r="J19" s="12">
        <f>'Consolidated Balance Sheet'!J26</f>
        <v>0</v>
      </c>
      <c r="K19" s="12"/>
      <c r="L19" s="12">
        <f>'Consolidated Balance Sheet'!L26</f>
        <v>0</v>
      </c>
      <c r="N19" s="12">
        <f>'Consolidated Balance Sheet'!N26</f>
        <v>0</v>
      </c>
      <c r="P19" s="12">
        <f t="shared" si="2"/>
        <v>-30081777.469999999</v>
      </c>
      <c r="Q19" s="9" t="s">
        <v>594</v>
      </c>
      <c r="R19" s="54">
        <f>'Consolidated Balance Sheet'!R26</f>
        <v>-20471810.41</v>
      </c>
      <c r="S19" s="12"/>
      <c r="T19" s="54">
        <f>'Consolidated Balance Sheet'!T26</f>
        <v>0</v>
      </c>
      <c r="U19" s="12"/>
      <c r="V19" s="54">
        <f>'Consolidated Balance Sheet'!V26</f>
        <v>0</v>
      </c>
      <c r="W19" s="12"/>
      <c r="X19" s="54">
        <f>'Consolidated Balance Sheet'!X26</f>
        <v>0</v>
      </c>
      <c r="Y19" s="12"/>
      <c r="Z19" s="54">
        <f>'Consolidated Balance Sheet'!Z26</f>
        <v>0</v>
      </c>
      <c r="AA19" s="12"/>
      <c r="AB19" s="54">
        <f>'Consolidated Balance Sheet'!AB26</f>
        <v>0</v>
      </c>
      <c r="AC19" s="12"/>
      <c r="AD19" s="54">
        <f>'Consolidated Balance Sheet'!AD26</f>
        <v>0</v>
      </c>
      <c r="AE19" s="12"/>
      <c r="AF19" s="12">
        <f t="shared" si="3"/>
        <v>-20471810.41</v>
      </c>
      <c r="AG19" s="9" t="s">
        <v>594</v>
      </c>
      <c r="AH19" s="12">
        <f t="shared" si="4"/>
        <v>-30081777.469999999</v>
      </c>
      <c r="AI19" s="12"/>
      <c r="AJ19" s="12">
        <f t="shared" si="5"/>
        <v>-20471810.41</v>
      </c>
      <c r="AK19" s="12"/>
      <c r="AL19" s="12">
        <f t="shared" si="0"/>
        <v>-9609967.0599999987</v>
      </c>
      <c r="AM19" s="12"/>
      <c r="AN19" s="13">
        <f t="shared" si="6"/>
        <v>1.4694243873666275</v>
      </c>
      <c r="AO19" s="13"/>
      <c r="AP19" s="14">
        <f t="shared" si="1"/>
        <v>0.4694243873666275</v>
      </c>
    </row>
    <row r="20" spans="1:43" s="9" customFormat="1" ht="24.95" customHeight="1" x14ac:dyDescent="0.2">
      <c r="A20" s="9" t="s">
        <v>270</v>
      </c>
      <c r="B20" s="12">
        <f>'Consolidated Balance Sheet'!B37</f>
        <v>9391249.1899999995</v>
      </c>
      <c r="C20" s="12"/>
      <c r="D20" s="12">
        <f>'Consolidated Balance Sheet'!D27</f>
        <v>0</v>
      </c>
      <c r="E20" s="12"/>
      <c r="F20" s="12">
        <f>'Consolidated Balance Sheet'!F27</f>
        <v>0</v>
      </c>
      <c r="G20" s="12"/>
      <c r="H20" s="12">
        <f>'Consolidated Balance Sheet'!H27</f>
        <v>0</v>
      </c>
      <c r="I20" s="12"/>
      <c r="J20" s="12">
        <f>'Consolidated Balance Sheet'!J27</f>
        <v>0</v>
      </c>
      <c r="K20" s="12"/>
      <c r="L20" s="12">
        <f>'Consolidated Balance Sheet'!L27</f>
        <v>0</v>
      </c>
      <c r="N20" s="12">
        <f>'Consolidated Balance Sheet'!N27</f>
        <v>0</v>
      </c>
      <c r="P20" s="12">
        <f>SUM(B20:N20)</f>
        <v>9391249.1899999995</v>
      </c>
      <c r="Q20" s="9" t="s">
        <v>270</v>
      </c>
      <c r="R20" s="54">
        <f>'Consolidated Balance Sheet'!R37</f>
        <v>528347.9</v>
      </c>
      <c r="S20" s="12"/>
      <c r="T20" s="54">
        <f>'Consolidated Balance Sheet'!T37</f>
        <v>0</v>
      </c>
      <c r="U20" s="12"/>
      <c r="V20" s="54">
        <f>'Consolidated Balance Sheet'!V37</f>
        <v>0</v>
      </c>
      <c r="W20" s="12"/>
      <c r="X20" s="54">
        <f>'Consolidated Balance Sheet'!X37</f>
        <v>0</v>
      </c>
      <c r="Y20" s="12"/>
      <c r="Z20" s="54">
        <f>'Consolidated Balance Sheet'!Z37</f>
        <v>0</v>
      </c>
      <c r="AA20" s="12"/>
      <c r="AB20" s="54">
        <f>'Consolidated Balance Sheet'!AB37</f>
        <v>0</v>
      </c>
      <c r="AC20" s="12"/>
      <c r="AD20" s="54">
        <f>'Consolidated Balance Sheet'!AD37</f>
        <v>0</v>
      </c>
      <c r="AE20" s="12"/>
      <c r="AF20" s="12">
        <f t="shared" ref="AF20" si="7">SUM(R20:AD20)</f>
        <v>528347.9</v>
      </c>
      <c r="AG20" s="9" t="s">
        <v>270</v>
      </c>
      <c r="AH20" s="12">
        <f t="shared" ref="AH20" si="8">P20</f>
        <v>9391249.1899999995</v>
      </c>
      <c r="AI20" s="12"/>
      <c r="AJ20" s="12">
        <f t="shared" ref="AJ20" si="9">AF20</f>
        <v>528347.9</v>
      </c>
      <c r="AK20" s="12"/>
      <c r="AL20" s="12">
        <f t="shared" ref="AL20" si="10">AH20-AJ20</f>
        <v>8862901.2899999991</v>
      </c>
      <c r="AM20" s="12"/>
      <c r="AN20" s="13">
        <f t="shared" ref="AN20" si="11">AH20/AJ20</f>
        <v>17.774744992835213</v>
      </c>
      <c r="AO20" s="13"/>
      <c r="AP20" s="14">
        <f t="shared" ref="AP20" si="12">AN20-1</f>
        <v>16.774744992835213</v>
      </c>
    </row>
    <row r="21" spans="1:43" s="9" customFormat="1" ht="24.95" customHeight="1" x14ac:dyDescent="0.2">
      <c r="A21" s="9" t="s">
        <v>274</v>
      </c>
      <c r="B21" s="16">
        <f>'Consolidated Balance Sheet'!B43-'Consolidated Balance Sheet'!B37</f>
        <v>452950.68999999948</v>
      </c>
      <c r="C21" s="16"/>
      <c r="D21" s="16">
        <f>'Consolidated Balance Sheet'!D43</f>
        <v>3669</v>
      </c>
      <c r="E21" s="16"/>
      <c r="F21" s="16">
        <f>'Consolidated Balance Sheet'!F43</f>
        <v>51229.350000000006</v>
      </c>
      <c r="G21" s="16"/>
      <c r="H21" s="16">
        <f>'Consolidated Balance Sheet'!H43</f>
        <v>1940.5</v>
      </c>
      <c r="I21" s="16"/>
      <c r="J21" s="16">
        <f>'Consolidated Balance Sheet'!J43</f>
        <v>2887.59</v>
      </c>
      <c r="K21" s="16"/>
      <c r="L21" s="16">
        <f>'Consolidated Balance Sheet'!L43</f>
        <v>0</v>
      </c>
      <c r="M21" s="16"/>
      <c r="N21" s="16">
        <f>'Consolidated Balance Sheet'!N43</f>
        <v>387.51</v>
      </c>
      <c r="O21" s="16"/>
      <c r="P21" s="16">
        <f t="shared" si="2"/>
        <v>513064.63999999949</v>
      </c>
      <c r="Q21" s="9" t="s">
        <v>274</v>
      </c>
      <c r="R21" s="55">
        <f>'Consolidated Balance Sheet'!R43-'Consolidated Balance Sheet'!R37</f>
        <v>209586.90000000002</v>
      </c>
      <c r="S21" s="16"/>
      <c r="T21" s="55">
        <f>'Consolidated Balance Sheet'!T35+'Consolidated Balance Sheet'!T36+'Consolidated Balance Sheet'!T38+'Consolidated Balance Sheet'!T39+'Consolidated Balance Sheet'!T40+'Consolidated Balance Sheet'!T41+'Consolidated Balance Sheet'!T42</f>
        <v>9622.9</v>
      </c>
      <c r="U21" s="16"/>
      <c r="V21" s="55">
        <f>'Consolidated Balance Sheet'!V35+'Consolidated Balance Sheet'!V36+'Consolidated Balance Sheet'!V38+'Consolidated Balance Sheet'!V39+'Consolidated Balance Sheet'!V40+'Consolidated Balance Sheet'!V41+'Consolidated Balance Sheet'!V42</f>
        <v>62450.47</v>
      </c>
      <c r="W21" s="16"/>
      <c r="X21" s="55">
        <f>'Consolidated Balance Sheet'!X35+'Consolidated Balance Sheet'!X36+'Consolidated Balance Sheet'!X38+'Consolidated Balance Sheet'!X39+'Consolidated Balance Sheet'!X40+'Consolidated Balance Sheet'!X41+'Consolidated Balance Sheet'!X42</f>
        <v>1851.5</v>
      </c>
      <c r="Y21" s="16"/>
      <c r="Z21" s="55">
        <f>'Consolidated Balance Sheet'!Z35+'Consolidated Balance Sheet'!Z36+'Consolidated Balance Sheet'!Z38+'Consolidated Balance Sheet'!Z39+'Consolidated Balance Sheet'!Z40+'Consolidated Balance Sheet'!Z41+'Consolidated Balance Sheet'!Z42</f>
        <v>2512.64</v>
      </c>
      <c r="AA21" s="16"/>
      <c r="AB21" s="55">
        <f>'Consolidated Balance Sheet'!AB35+'Consolidated Balance Sheet'!AB36+'Consolidated Balance Sheet'!AB38+'Consolidated Balance Sheet'!AB39+'Consolidated Balance Sheet'!AB40+'Consolidated Balance Sheet'!AB41+'Consolidated Balance Sheet'!AB42</f>
        <v>0</v>
      </c>
      <c r="AC21" s="16"/>
      <c r="AD21" s="55">
        <f>'Consolidated Balance Sheet'!AD35+'Consolidated Balance Sheet'!AD36+'Consolidated Balance Sheet'!AD38+'Consolidated Balance Sheet'!AD39+'Consolidated Balance Sheet'!AD40+'Consolidated Balance Sheet'!AD41+'Consolidated Balance Sheet'!AD42</f>
        <v>1125</v>
      </c>
      <c r="AE21" s="16"/>
      <c r="AF21" s="16">
        <f t="shared" si="3"/>
        <v>287149.41000000003</v>
      </c>
      <c r="AG21" s="9" t="s">
        <v>274</v>
      </c>
      <c r="AH21" s="16">
        <f>P21</f>
        <v>513064.63999999949</v>
      </c>
      <c r="AI21" s="16"/>
      <c r="AJ21" s="16">
        <f>AF21</f>
        <v>287149.41000000003</v>
      </c>
      <c r="AK21" s="16"/>
      <c r="AL21" s="16">
        <f>AH21-AJ21</f>
        <v>225915.22999999946</v>
      </c>
      <c r="AM21" s="12"/>
      <c r="AN21" s="13">
        <f t="shared" si="6"/>
        <v>1.7867515033375811</v>
      </c>
      <c r="AO21" s="13"/>
      <c r="AP21" s="14">
        <f>AN21-1</f>
        <v>0.78675150333758115</v>
      </c>
    </row>
    <row r="22" spans="1:43" s="9" customFormat="1" ht="24.95" customHeight="1" x14ac:dyDescent="0.2">
      <c r="A22" s="20" t="s">
        <v>275</v>
      </c>
      <c r="B22" s="12">
        <f>SUM(B10:B21)</f>
        <v>75119411.939999968</v>
      </c>
      <c r="C22" s="12"/>
      <c r="D22" s="12">
        <f>SUM(D10:D21)</f>
        <v>355886.55</v>
      </c>
      <c r="E22" s="12"/>
      <c r="F22" s="12">
        <f>SUM(F10:F21)</f>
        <v>8954425.5299999993</v>
      </c>
      <c r="G22" s="12"/>
      <c r="H22" s="12">
        <f>SUM(H10:H21)</f>
        <v>931970.84</v>
      </c>
      <c r="I22" s="12"/>
      <c r="J22" s="12">
        <f>SUM(J10:J21)</f>
        <v>368345.56</v>
      </c>
      <c r="K22" s="12"/>
      <c r="L22" s="12">
        <f>SUM(L10:L21)</f>
        <v>2344539.63</v>
      </c>
      <c r="M22" s="12"/>
      <c r="N22" s="12">
        <f>SUM(N10:N21)</f>
        <v>102670.34999999999</v>
      </c>
      <c r="O22" s="12"/>
      <c r="P22" s="12">
        <f>SUM(P10:P21)</f>
        <v>88177250.399999976</v>
      </c>
      <c r="Q22" s="20" t="s">
        <v>275</v>
      </c>
      <c r="R22" s="54">
        <f>SUM(R10:R21)</f>
        <v>16770424.130000047</v>
      </c>
      <c r="S22" s="12"/>
      <c r="T22" s="54">
        <f>SUM(T10:T21)</f>
        <v>1148536.27</v>
      </c>
      <c r="U22" s="12"/>
      <c r="V22" s="54">
        <f t="shared" ref="V22:AF22" si="13">SUM(V10:V21)</f>
        <v>6426270.1699999999</v>
      </c>
      <c r="W22" s="12">
        <f t="shared" si="13"/>
        <v>0</v>
      </c>
      <c r="X22" s="54">
        <f t="shared" si="13"/>
        <v>1020338.58</v>
      </c>
      <c r="Y22" s="12">
        <f t="shared" si="13"/>
        <v>0</v>
      </c>
      <c r="Z22" s="54">
        <f t="shared" si="13"/>
        <v>387479.39</v>
      </c>
      <c r="AA22" s="12">
        <f t="shared" si="13"/>
        <v>0</v>
      </c>
      <c r="AB22" s="54">
        <f t="shared" si="13"/>
        <v>2047011.27</v>
      </c>
      <c r="AC22" s="12">
        <f t="shared" si="13"/>
        <v>0</v>
      </c>
      <c r="AD22" s="54">
        <f t="shared" si="13"/>
        <v>204852.86000000002</v>
      </c>
      <c r="AE22" s="12">
        <f t="shared" si="13"/>
        <v>0</v>
      </c>
      <c r="AF22" s="12">
        <f t="shared" si="13"/>
        <v>28004912.670000039</v>
      </c>
      <c r="AG22" s="20" t="s">
        <v>275</v>
      </c>
      <c r="AH22" s="12">
        <f>SUM(AH10:AH21)</f>
        <v>88177250.399999976</v>
      </c>
      <c r="AI22" s="12"/>
      <c r="AJ22" s="12">
        <f>SUM(AJ10:AJ21)</f>
        <v>28004912.670000039</v>
      </c>
      <c r="AK22" s="12"/>
      <c r="AL22" s="12">
        <f>SUM(AL10:AL21)</f>
        <v>60172337.729999945</v>
      </c>
      <c r="AM22" s="12"/>
      <c r="AN22" s="13">
        <f t="shared" si="6"/>
        <v>3.148635078389618</v>
      </c>
      <c r="AO22" s="13"/>
      <c r="AP22" s="14">
        <f>AN22-1</f>
        <v>2.148635078389618</v>
      </c>
      <c r="AQ22" s="22">
        <f>AH22-P22</f>
        <v>0</v>
      </c>
    </row>
    <row r="23" spans="1:43" s="9" customFormat="1" ht="24.95" customHeight="1" x14ac:dyDescent="0.2">
      <c r="B23" s="12"/>
      <c r="C23" s="12"/>
      <c r="D23" s="12"/>
      <c r="E23" s="12"/>
      <c r="F23" s="12"/>
      <c r="G23" s="12"/>
      <c r="P23" s="10"/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N23" s="10"/>
      <c r="AO23" s="10"/>
      <c r="AP23" s="19"/>
    </row>
    <row r="24" spans="1:43" s="9" customFormat="1" ht="24.95" customHeight="1" x14ac:dyDescent="0.2">
      <c r="A24" s="8" t="s">
        <v>276</v>
      </c>
      <c r="B24" s="12"/>
      <c r="C24" s="12"/>
      <c r="D24" s="12"/>
      <c r="E24" s="12"/>
      <c r="F24" s="12"/>
      <c r="G24" s="12"/>
      <c r="P24" s="10"/>
      <c r="Q24" s="8" t="s">
        <v>276</v>
      </c>
      <c r="R24" s="60"/>
      <c r="S24" s="10"/>
      <c r="T24" s="60"/>
      <c r="U24" s="10"/>
      <c r="V24" s="60"/>
      <c r="W24" s="10"/>
      <c r="X24" s="60"/>
      <c r="Y24" s="10"/>
      <c r="Z24" s="60"/>
      <c r="AA24" s="10"/>
      <c r="AB24" s="60"/>
      <c r="AC24" s="10"/>
      <c r="AD24" s="60"/>
      <c r="AE24" s="10"/>
      <c r="AF24" s="10"/>
      <c r="AG24" s="8" t="s">
        <v>276</v>
      </c>
      <c r="AN24" s="10"/>
      <c r="AO24" s="10"/>
      <c r="AP24" s="19"/>
    </row>
    <row r="25" spans="1:43" s="9" customFormat="1" ht="24.95" customHeight="1" x14ac:dyDescent="0.2">
      <c r="A25" s="9" t="s">
        <v>476</v>
      </c>
      <c r="B25" s="12">
        <f>'Consolidated Balance Sheet'!B65+-'Consolidated Balance Sheet'!B64</f>
        <v>16294866.259999998</v>
      </c>
      <c r="C25" s="12"/>
      <c r="D25" s="12">
        <f>'Consolidated Balance Sheet'!D65+-'Consolidated Balance Sheet'!D64</f>
        <v>28814.959999999999</v>
      </c>
      <c r="E25" s="12"/>
      <c r="F25" s="12">
        <f>'Consolidated Balance Sheet'!F65+-'Consolidated Balance Sheet'!F64</f>
        <v>1743231.1</v>
      </c>
      <c r="G25" s="12"/>
      <c r="H25" s="12">
        <f>'Consolidated Balance Sheet'!H65+-'Consolidated Balance Sheet'!H64</f>
        <v>0</v>
      </c>
      <c r="I25" s="12"/>
      <c r="J25" s="12">
        <f>'Consolidated Balance Sheet'!J65+-'Consolidated Balance Sheet'!J64</f>
        <v>4290908.5599999996</v>
      </c>
      <c r="K25" s="12"/>
      <c r="L25" s="12">
        <f>'Consolidated Balance Sheet'!L65+-'Consolidated Balance Sheet'!L64</f>
        <v>4810642.5599999996</v>
      </c>
      <c r="N25" s="12">
        <f>'Consolidated Balance Sheet'!N65+-'Consolidated Balance Sheet'!N64</f>
        <v>10134842.560000001</v>
      </c>
      <c r="P25" s="12">
        <f>SUM(B25:N25)</f>
        <v>37303306</v>
      </c>
      <c r="Q25" s="9" t="s">
        <v>476</v>
      </c>
      <c r="R25" s="54">
        <f>SUM('Consolidated Balance Sheet'!R48:R63)</f>
        <v>17555473.530000001</v>
      </c>
      <c r="S25" s="12"/>
      <c r="T25" s="54">
        <f>SUM('Consolidated Balance Sheet'!T48:T63)</f>
        <v>28814.959999999999</v>
      </c>
      <c r="U25" s="12"/>
      <c r="V25" s="54">
        <f>SUM('Consolidated Balance Sheet'!V48:V63)</f>
        <v>1054605.6400000001</v>
      </c>
      <c r="W25" s="12"/>
      <c r="X25" s="54">
        <f>SUM('Consolidated Balance Sheet'!X48:X63)</f>
        <v>0</v>
      </c>
      <c r="Y25" s="12"/>
      <c r="Z25" s="54">
        <f>SUM('Consolidated Balance Sheet'!Z48:Z63)</f>
        <v>4139175.0099999993</v>
      </c>
      <c r="AA25" s="12"/>
      <c r="AB25" s="54">
        <f>SUM('Consolidated Balance Sheet'!AB48:AB63)</f>
        <v>4810642.5599999996</v>
      </c>
      <c r="AC25" s="12"/>
      <c r="AD25" s="54">
        <f>SUM('Consolidated Balance Sheet'!AD48:AD63)</f>
        <v>9244680.4399999995</v>
      </c>
      <c r="AE25" s="12"/>
      <c r="AF25" s="12">
        <f>SUM(R25:AD25)</f>
        <v>36833392.140000001</v>
      </c>
      <c r="AG25" s="9" t="s">
        <v>476</v>
      </c>
      <c r="AH25" s="12">
        <f>P25</f>
        <v>37303306</v>
      </c>
      <c r="AI25" s="12"/>
      <c r="AJ25" s="12">
        <f>AF25</f>
        <v>36833392.140000001</v>
      </c>
      <c r="AK25" s="12"/>
      <c r="AL25" s="12">
        <f>AH25-AJ25</f>
        <v>469913.8599999994</v>
      </c>
      <c r="AM25" s="12"/>
      <c r="AN25" s="13">
        <f t="shared" ref="AN25:AN31" si="14">AH25/AJ25</f>
        <v>1.012757821984299</v>
      </c>
      <c r="AO25" s="13"/>
      <c r="AP25" s="14">
        <f t="shared" ref="AP25:AP31" si="15">AN25-1</f>
        <v>1.2757821984298978E-2</v>
      </c>
    </row>
    <row r="26" spans="1:43" s="9" customFormat="1" ht="24.95" customHeight="1" x14ac:dyDescent="0.2">
      <c r="A26" s="9" t="s">
        <v>522</v>
      </c>
      <c r="B26" s="16">
        <f>'Consolidated Balance Sheet'!B64</f>
        <v>-8116442.2300000004</v>
      </c>
      <c r="C26" s="16"/>
      <c r="D26" s="16">
        <f>'Consolidated Balance Sheet'!D64</f>
        <v>-21527.7</v>
      </c>
      <c r="E26" s="16"/>
      <c r="F26" s="16">
        <f>'Consolidated Balance Sheet'!F64</f>
        <v>-921881.05</v>
      </c>
      <c r="G26" s="16"/>
      <c r="H26" s="16">
        <f>'Consolidated Balance Sheet'!H64</f>
        <v>0</v>
      </c>
      <c r="I26" s="16"/>
      <c r="J26" s="16">
        <f>'Consolidated Balance Sheet'!J64</f>
        <v>-2621716.17</v>
      </c>
      <c r="K26" s="16"/>
      <c r="L26" s="16">
        <f>'Consolidated Balance Sheet'!L64</f>
        <v>-1640262.48</v>
      </c>
      <c r="M26" s="17"/>
      <c r="N26" s="16">
        <f>'Consolidated Balance Sheet'!N64</f>
        <v>-1396839.15</v>
      </c>
      <c r="O26" s="17"/>
      <c r="P26" s="16">
        <f>SUM(B26:N26)</f>
        <v>-14718668.780000001</v>
      </c>
      <c r="Q26" s="9" t="s">
        <v>522</v>
      </c>
      <c r="R26" s="55">
        <f>'Consolidated Balance Sheet'!R64</f>
        <v>-8731504.6899999995</v>
      </c>
      <c r="S26" s="16"/>
      <c r="T26" s="55">
        <f>'Consolidated Balance Sheet'!T64</f>
        <v>-16508.22</v>
      </c>
      <c r="U26" s="16"/>
      <c r="V26" s="55">
        <f>'Consolidated Balance Sheet'!V64</f>
        <v>-699569.49</v>
      </c>
      <c r="W26" s="16"/>
      <c r="X26" s="55">
        <f>'Consolidated Balance Sheet'!X64</f>
        <v>0</v>
      </c>
      <c r="Y26" s="16"/>
      <c r="Z26" s="55">
        <f>'Consolidated Balance Sheet'!Z64</f>
        <v>-2518526.89</v>
      </c>
      <c r="AA26" s="16"/>
      <c r="AB26" s="55">
        <f>'Consolidated Balance Sheet'!AB64</f>
        <v>-1529612.77</v>
      </c>
      <c r="AC26" s="16"/>
      <c r="AD26" s="55">
        <f>'Consolidated Balance Sheet'!AD64</f>
        <v>-1268545.3</v>
      </c>
      <c r="AE26" s="16"/>
      <c r="AF26" s="16">
        <f>SUM(R26:AD26)</f>
        <v>-14764267.360000001</v>
      </c>
      <c r="AG26" s="9" t="s">
        <v>522</v>
      </c>
      <c r="AH26" s="16">
        <f>P26</f>
        <v>-14718668.780000001</v>
      </c>
      <c r="AI26" s="16"/>
      <c r="AJ26" s="16">
        <f>AF26</f>
        <v>-14764267.360000001</v>
      </c>
      <c r="AK26" s="16"/>
      <c r="AL26" s="16">
        <f>AH26-AJ26</f>
        <v>45598.580000000075</v>
      </c>
      <c r="AM26" s="12"/>
      <c r="AN26" s="13">
        <f t="shared" si="14"/>
        <v>0.99691155823122402</v>
      </c>
      <c r="AO26" s="13"/>
      <c r="AP26" s="14">
        <f t="shared" si="15"/>
        <v>-3.0884417687759846E-3</v>
      </c>
    </row>
    <row r="27" spans="1:43" s="9" customFormat="1" ht="24.95" customHeight="1" x14ac:dyDescent="0.2">
      <c r="A27" s="20" t="s">
        <v>334</v>
      </c>
      <c r="B27" s="12">
        <f>SUM(B25:B26)</f>
        <v>8178424.0299999975</v>
      </c>
      <c r="C27" s="12"/>
      <c r="D27" s="12">
        <f>SUM(D25:D26)</f>
        <v>7287.2599999999984</v>
      </c>
      <c r="E27" s="12"/>
      <c r="F27" s="12">
        <f>SUM(F25:F26)</f>
        <v>821350.05</v>
      </c>
      <c r="G27" s="12"/>
      <c r="H27" s="12">
        <f>SUM(H25:H26)</f>
        <v>0</v>
      </c>
      <c r="I27" s="12"/>
      <c r="J27" s="12">
        <f>SUM(J25:J26)</f>
        <v>1669192.3899999997</v>
      </c>
      <c r="K27" s="12"/>
      <c r="L27" s="12">
        <f>SUM(L25:L26)</f>
        <v>3170380.0799999996</v>
      </c>
      <c r="M27" s="12"/>
      <c r="N27" s="12">
        <f>SUM(N25:N26)</f>
        <v>8738003.4100000001</v>
      </c>
      <c r="O27" s="12"/>
      <c r="P27" s="12">
        <f>SUM(P25:P26)</f>
        <v>22584637.219999999</v>
      </c>
      <c r="Q27" s="20" t="s">
        <v>334</v>
      </c>
      <c r="R27" s="54">
        <f>SUM(R25:R26)</f>
        <v>8823968.8400000017</v>
      </c>
      <c r="S27" s="12"/>
      <c r="T27" s="54">
        <f>SUM(T25:T26)</f>
        <v>12306.739999999998</v>
      </c>
      <c r="U27" s="12"/>
      <c r="V27" s="54">
        <f>SUM(V25:V26)</f>
        <v>355036.15000000014</v>
      </c>
      <c r="W27" s="12"/>
      <c r="X27" s="54">
        <f>SUM(X25:X26)</f>
        <v>0</v>
      </c>
      <c r="Y27" s="12"/>
      <c r="Z27" s="54">
        <f>SUM(Z25:Z26)</f>
        <v>1620648.1199999992</v>
      </c>
      <c r="AA27" s="12"/>
      <c r="AB27" s="54">
        <f>SUM(AB25:AB26)</f>
        <v>3281029.7899999996</v>
      </c>
      <c r="AC27" s="12"/>
      <c r="AD27" s="54">
        <f>SUM(AD25:AD26)</f>
        <v>7976135.1399999997</v>
      </c>
      <c r="AE27" s="12"/>
      <c r="AF27" s="12">
        <f>SUM(AF25:AF26)</f>
        <v>22069124.780000001</v>
      </c>
      <c r="AG27" s="20" t="s">
        <v>334</v>
      </c>
      <c r="AH27" s="22">
        <f>SUM(AH25:AH26)</f>
        <v>22584637.219999999</v>
      </c>
      <c r="AI27" s="22"/>
      <c r="AJ27" s="22">
        <f>SUM(AJ25:AJ26)</f>
        <v>22069124.780000001</v>
      </c>
      <c r="AK27" s="22"/>
      <c r="AL27" s="22">
        <f>SUM(AL25:AL26)</f>
        <v>515512.43999999948</v>
      </c>
      <c r="AM27" s="22"/>
      <c r="AN27" s="13">
        <f t="shared" si="14"/>
        <v>1.0233589888651669</v>
      </c>
      <c r="AO27" s="13"/>
      <c r="AP27" s="14">
        <f t="shared" si="15"/>
        <v>2.3358988865166852E-2</v>
      </c>
    </row>
    <row r="28" spans="1:43" s="9" customFormat="1" ht="24.95" customHeight="1" x14ac:dyDescent="0.2">
      <c r="A28" s="20"/>
      <c r="B28" s="12">
        <f>B27-'Consolidated Balance Sheet'!B65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0"/>
      <c r="R28" s="54"/>
      <c r="S28" s="12"/>
      <c r="T28" s="54"/>
      <c r="U28" s="12"/>
      <c r="V28" s="54"/>
      <c r="W28" s="12"/>
      <c r="X28" s="54"/>
      <c r="Y28" s="12"/>
      <c r="Z28" s="54"/>
      <c r="AA28" s="12"/>
      <c r="AB28" s="54"/>
      <c r="AC28" s="12"/>
      <c r="AD28" s="54"/>
      <c r="AE28" s="12"/>
      <c r="AF28" s="12"/>
      <c r="AG28" s="20"/>
      <c r="AH28" s="22"/>
      <c r="AI28" s="22"/>
      <c r="AJ28" s="22"/>
      <c r="AK28" s="22"/>
      <c r="AL28" s="22"/>
      <c r="AM28" s="22"/>
      <c r="AN28" s="13"/>
      <c r="AO28" s="10"/>
      <c r="AP28" s="14"/>
    </row>
    <row r="29" spans="1:43" s="9" customFormat="1" ht="24.95" customHeight="1" x14ac:dyDescent="0.2">
      <c r="A29" s="9" t="s">
        <v>406</v>
      </c>
      <c r="B29" s="12">
        <f>'Consolidated Balance Sheet'!B67</f>
        <v>583.64</v>
      </c>
      <c r="C29" s="12"/>
      <c r="D29" s="12">
        <f>'Consolidated Balance Sheet'!D67</f>
        <v>0</v>
      </c>
      <c r="E29" s="12"/>
      <c r="F29" s="12">
        <f>'Consolidated Balance Sheet'!F67</f>
        <v>0</v>
      </c>
      <c r="G29" s="12"/>
      <c r="H29" s="12">
        <f>'Consolidated Balance Sheet'!H67</f>
        <v>0</v>
      </c>
      <c r="I29" s="12"/>
      <c r="J29" s="12">
        <f>'Consolidated Balance Sheet'!J67</f>
        <v>0</v>
      </c>
      <c r="K29" s="12"/>
      <c r="L29" s="12">
        <f>'Consolidated Balance Sheet'!L67</f>
        <v>0</v>
      </c>
      <c r="M29" s="12"/>
      <c r="N29" s="12">
        <f>'Consolidated Balance Sheet'!N67</f>
        <v>0</v>
      </c>
      <c r="O29" s="12"/>
      <c r="P29" s="12">
        <f>SUM(B29:N29)</f>
        <v>583.64</v>
      </c>
      <c r="Q29" s="9" t="s">
        <v>406</v>
      </c>
      <c r="R29" s="54">
        <f>'Consolidated Balance Sheet'!R67</f>
        <v>0</v>
      </c>
      <c r="S29" s="12"/>
      <c r="T29" s="54">
        <f>'Consolidated Balance Sheet'!T67</f>
        <v>0</v>
      </c>
      <c r="U29" s="12"/>
      <c r="V29" s="54">
        <f>'Consolidated Balance Sheet'!V67</f>
        <v>0</v>
      </c>
      <c r="W29" s="12"/>
      <c r="X29" s="54">
        <f>'Consolidated Balance Sheet'!X67</f>
        <v>0</v>
      </c>
      <c r="Y29" s="12"/>
      <c r="Z29" s="54">
        <f>'Consolidated Balance Sheet'!Z67</f>
        <v>0</v>
      </c>
      <c r="AA29" s="12"/>
      <c r="AB29" s="54">
        <f>'Consolidated Balance Sheet'!AB67</f>
        <v>0</v>
      </c>
      <c r="AC29" s="12"/>
      <c r="AD29" s="54">
        <f>'Consolidated Balance Sheet'!AD67</f>
        <v>0</v>
      </c>
      <c r="AE29" s="12"/>
      <c r="AF29" s="12">
        <f>SUM(R29:AD29)</f>
        <v>0</v>
      </c>
      <c r="AG29" s="9" t="s">
        <v>406</v>
      </c>
      <c r="AH29" s="22">
        <f>P29</f>
        <v>583.64</v>
      </c>
      <c r="AI29" s="12"/>
      <c r="AJ29" s="12">
        <f>AF29</f>
        <v>0</v>
      </c>
      <c r="AK29" s="12"/>
      <c r="AL29" s="22">
        <f>AH29-AJ29</f>
        <v>583.64</v>
      </c>
      <c r="AM29" s="12"/>
      <c r="AN29" s="13" t="e">
        <f t="shared" si="14"/>
        <v>#DIV/0!</v>
      </c>
      <c r="AO29" s="13"/>
      <c r="AP29" s="14" t="e">
        <f t="shared" si="15"/>
        <v>#DIV/0!</v>
      </c>
    </row>
    <row r="30" spans="1:43" s="9" customFormat="1" ht="24.9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R30" s="54"/>
      <c r="S30" s="12"/>
      <c r="T30" s="54"/>
      <c r="U30" s="12"/>
      <c r="V30" s="54"/>
      <c r="W30" s="12"/>
      <c r="X30" s="54"/>
      <c r="Y30" s="12"/>
      <c r="Z30" s="54"/>
      <c r="AA30" s="12"/>
      <c r="AB30" s="54"/>
      <c r="AC30" s="12"/>
      <c r="AD30" s="54"/>
      <c r="AE30" s="12"/>
      <c r="AF30" s="12"/>
      <c r="AH30" s="22"/>
      <c r="AI30" s="12"/>
      <c r="AJ30" s="12"/>
      <c r="AK30" s="12"/>
      <c r="AL30" s="12"/>
      <c r="AM30" s="12"/>
      <c r="AN30" s="13"/>
      <c r="AO30" s="13"/>
      <c r="AP30" s="14"/>
    </row>
    <row r="31" spans="1:43" s="9" customFormat="1" ht="24.95" customHeight="1" thickBot="1" x14ac:dyDescent="0.25">
      <c r="A31" s="8" t="s">
        <v>289</v>
      </c>
      <c r="B31" s="23">
        <f>B29+B27+B22</f>
        <v>83298419.60999997</v>
      </c>
      <c r="C31" s="23"/>
      <c r="D31" s="23">
        <f>SUM(D27,D22,D29)</f>
        <v>363173.81</v>
      </c>
      <c r="E31" s="23"/>
      <c r="F31" s="23">
        <f>SUM(F27,F22,F29)</f>
        <v>9775775.5800000001</v>
      </c>
      <c r="G31" s="23"/>
      <c r="H31" s="23">
        <f>SUM(H27,H22,H29)</f>
        <v>931970.84</v>
      </c>
      <c r="I31" s="23"/>
      <c r="J31" s="23">
        <f>SUM(J27,J22,J29)</f>
        <v>2037537.9499999997</v>
      </c>
      <c r="K31" s="23"/>
      <c r="L31" s="23">
        <f>SUM(L27,L22,L29)</f>
        <v>5514919.709999999</v>
      </c>
      <c r="M31" s="23"/>
      <c r="N31" s="23">
        <f>SUM(N27,N22,N29)</f>
        <v>8840673.7599999998</v>
      </c>
      <c r="O31" s="23"/>
      <c r="P31" s="23">
        <f>SUM(P27,P22,P29)</f>
        <v>110762471.25999998</v>
      </c>
      <c r="Q31" s="8" t="s">
        <v>289</v>
      </c>
      <c r="R31" s="57">
        <f>SUM(R27,R22,R29)</f>
        <v>25594392.970000051</v>
      </c>
      <c r="S31" s="23"/>
      <c r="T31" s="57">
        <f>SUM(T27,T22,T29)</f>
        <v>1160843.01</v>
      </c>
      <c r="U31" s="23"/>
      <c r="V31" s="57">
        <f>SUM(V27,V22,V29)</f>
        <v>6781306.3200000003</v>
      </c>
      <c r="W31" s="23"/>
      <c r="X31" s="57">
        <f>SUM(X27,X22,X29)</f>
        <v>1020338.58</v>
      </c>
      <c r="Y31" s="23"/>
      <c r="Z31" s="57">
        <f>SUM(Z27,Z22,Z29)</f>
        <v>2008127.5099999993</v>
      </c>
      <c r="AA31" s="23"/>
      <c r="AB31" s="57">
        <f>SUM(AB27,AB22,AB29)</f>
        <v>5328041.0599999996</v>
      </c>
      <c r="AC31" s="23"/>
      <c r="AD31" s="57">
        <f>SUM(AD27,AD22,AD29)</f>
        <v>8180988</v>
      </c>
      <c r="AE31" s="23"/>
      <c r="AF31" s="23">
        <f>SUM(AF27,AF22,AF29)</f>
        <v>50074037.45000004</v>
      </c>
      <c r="AG31" s="8" t="s">
        <v>289</v>
      </c>
      <c r="AH31" s="23">
        <f>SUM(AH27,AH22,AH29)</f>
        <v>110762471.25999998</v>
      </c>
      <c r="AI31" s="23"/>
      <c r="AJ31" s="23">
        <f>SUM(AJ27,AJ22,AJ29)</f>
        <v>50074037.45000004</v>
      </c>
      <c r="AK31" s="23"/>
      <c r="AL31" s="23">
        <f>SUM(AL27,AL22,AL29)</f>
        <v>60688433.809999943</v>
      </c>
      <c r="AM31" s="25"/>
      <c r="AN31" s="13">
        <f t="shared" si="14"/>
        <v>2.2119740468421103</v>
      </c>
      <c r="AO31" s="13"/>
      <c r="AP31" s="14">
        <f t="shared" si="15"/>
        <v>1.2119740468421103</v>
      </c>
      <c r="AQ31" s="22"/>
    </row>
    <row r="32" spans="1:43" s="9" customFormat="1" ht="24.95" customHeight="1" thickTop="1" x14ac:dyDescent="0.2">
      <c r="B32" s="12"/>
      <c r="C32" s="12"/>
      <c r="D32" s="12"/>
      <c r="E32" s="12"/>
      <c r="F32" s="12"/>
      <c r="G32" s="12"/>
      <c r="P32" s="10"/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P32" s="26"/>
    </row>
    <row r="33" spans="1:42" s="9" customFormat="1" ht="24.95" customHeight="1" x14ac:dyDescent="0.2">
      <c r="A33" s="8" t="s">
        <v>105</v>
      </c>
      <c r="B33" s="12"/>
      <c r="C33" s="12"/>
      <c r="D33" s="12"/>
      <c r="E33" s="12"/>
      <c r="F33" s="12"/>
      <c r="G33" s="12"/>
      <c r="P33" s="10"/>
      <c r="Q33" s="8" t="s">
        <v>105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105</v>
      </c>
      <c r="AP33" s="19"/>
    </row>
    <row r="34" spans="1:42" s="9" customFormat="1" ht="24.95" customHeight="1" x14ac:dyDescent="0.2">
      <c r="A34" s="8" t="s">
        <v>290</v>
      </c>
      <c r="B34" s="12"/>
      <c r="C34" s="12"/>
      <c r="D34" s="12"/>
      <c r="E34" s="12"/>
      <c r="F34" s="12"/>
      <c r="G34" s="12"/>
      <c r="P34" s="10"/>
      <c r="Q34" s="8" t="s">
        <v>290</v>
      </c>
      <c r="R34" s="60"/>
      <c r="S34" s="10"/>
      <c r="T34" s="60"/>
      <c r="U34" s="10"/>
      <c r="V34" s="60"/>
      <c r="W34" s="10"/>
      <c r="X34" s="60"/>
      <c r="Y34" s="10"/>
      <c r="Z34" s="60"/>
      <c r="AA34" s="10"/>
      <c r="AB34" s="60"/>
      <c r="AC34" s="10"/>
      <c r="AD34" s="60"/>
      <c r="AE34" s="10"/>
      <c r="AF34" s="10"/>
      <c r="AG34" s="8" t="s">
        <v>290</v>
      </c>
      <c r="AP34" s="19"/>
    </row>
    <row r="35" spans="1:42" s="9" customFormat="1" ht="24.95" customHeight="1" x14ac:dyDescent="0.2">
      <c r="A35" s="9" t="s">
        <v>291</v>
      </c>
      <c r="B35" s="12">
        <f>'Consolidated Balance Sheet'!B74</f>
        <v>0</v>
      </c>
      <c r="C35" s="12"/>
      <c r="D35" s="12">
        <f>'Consolidated Balance Sheet'!D74</f>
        <v>0</v>
      </c>
      <c r="E35" s="12"/>
      <c r="F35" s="12">
        <f>'Consolidated Balance Sheet'!F74</f>
        <v>0</v>
      </c>
      <c r="G35" s="12"/>
      <c r="H35" s="12">
        <f>'Consolidated Balance Sheet'!H74</f>
        <v>0</v>
      </c>
      <c r="I35" s="12"/>
      <c r="J35" s="12">
        <f>'Consolidated Balance Sheet'!J74</f>
        <v>0</v>
      </c>
      <c r="K35" s="12"/>
      <c r="L35" s="12">
        <f>'Consolidated Balance Sheet'!L74</f>
        <v>0</v>
      </c>
      <c r="M35" s="12"/>
      <c r="N35" s="12">
        <f>'Consolidated Balance Sheet'!N74</f>
        <v>0</v>
      </c>
      <c r="O35" s="12"/>
      <c r="P35" s="12">
        <f>SUM(B35:N35)</f>
        <v>0</v>
      </c>
      <c r="Q35" s="9" t="s">
        <v>291</v>
      </c>
      <c r="R35" s="54">
        <v>1946824.41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1946824.41</v>
      </c>
      <c r="AG35" s="9" t="s">
        <v>291</v>
      </c>
      <c r="AH35" s="12">
        <f>P35</f>
        <v>0</v>
      </c>
      <c r="AI35" s="12"/>
      <c r="AJ35" s="12">
        <f>AF35</f>
        <v>1946824.41</v>
      </c>
      <c r="AK35" s="12"/>
      <c r="AL35" s="12">
        <f t="shared" ref="AL35:AL42" si="16">AH35-AJ35</f>
        <v>-1946824.41</v>
      </c>
      <c r="AM35" s="12"/>
      <c r="AN35" s="13"/>
      <c r="AO35" s="13"/>
      <c r="AP35" s="14">
        <f t="shared" ref="AP35:AP43" si="17">AN35-1</f>
        <v>-1</v>
      </c>
    </row>
    <row r="36" spans="1:42" s="9" customFormat="1" ht="24.95" customHeight="1" x14ac:dyDescent="0.2">
      <c r="A36" s="9" t="s">
        <v>292</v>
      </c>
      <c r="B36" s="12">
        <f>'Consolidated Balance Sheet'!B75+'Consolidated Balance Sheet'!B76+'Consolidated Balance Sheet'!B77+'Consolidated Balance Sheet'!B78+'Consolidated Balance Sheet'!B79+CNT!S103</f>
        <v>20380343.059999999</v>
      </c>
      <c r="C36" s="12"/>
      <c r="D36" s="12">
        <f>'Consolidated Balance Sheet'!D75+'Consolidated Balance Sheet'!D76+'Consolidated Balance Sheet'!D77+'Consolidated Balance Sheet'!D78+'Consolidated Balance Sheet'!D79</f>
        <v>0</v>
      </c>
      <c r="E36" s="12"/>
      <c r="F36" s="12">
        <f>'Consolidated Balance Sheet'!F75+'Consolidated Balance Sheet'!F76+'Consolidated Balance Sheet'!F77+'Consolidated Balance Sheet'!F78+'Consolidated Balance Sheet'!F79</f>
        <v>22709.54</v>
      </c>
      <c r="G36" s="12"/>
      <c r="H36" s="12">
        <f>'Consolidated Balance Sheet'!H75+'Consolidated Balance Sheet'!H76+'Consolidated Balance Sheet'!H77+'Consolidated Balance Sheet'!H78+'Consolidated Balance Sheet'!H79</f>
        <v>0</v>
      </c>
      <c r="I36" s="12"/>
      <c r="J36" s="12">
        <f>'Consolidated Balance Sheet'!J75+'Consolidated Balance Sheet'!J76+'Consolidated Balance Sheet'!J77+'Consolidated Balance Sheet'!J78+'Consolidated Balance Sheet'!J79</f>
        <v>4884.6000000000004</v>
      </c>
      <c r="K36" s="12"/>
      <c r="L36" s="12">
        <f>'Consolidated Balance Sheet'!L75+'Consolidated Balance Sheet'!L76+'Consolidated Balance Sheet'!L77+'Consolidated Balance Sheet'!L78+'Consolidated Balance Sheet'!L79</f>
        <v>0</v>
      </c>
      <c r="N36" s="12">
        <f>'Consolidated Balance Sheet'!N75+'Consolidated Balance Sheet'!N76+'Consolidated Balance Sheet'!N77+'Consolidated Balance Sheet'!N78+'Consolidated Balance Sheet'!N79</f>
        <v>0</v>
      </c>
      <c r="P36" s="12">
        <f t="shared" ref="P36:P42" si="18">SUM(B36:N36)</f>
        <v>20407937.199999999</v>
      </c>
      <c r="Q36" s="9" t="s">
        <v>292</v>
      </c>
      <c r="R36" s="54">
        <v>6698245.7000000002</v>
      </c>
      <c r="S36" s="12"/>
      <c r="T36" s="54">
        <v>978254.50999999989</v>
      </c>
      <c r="U36" s="12"/>
      <c r="V36" s="54">
        <v>138.32</v>
      </c>
      <c r="W36" s="12"/>
      <c r="X36" s="54">
        <v>0</v>
      </c>
      <c r="Y36" s="12"/>
      <c r="Z36" s="54">
        <v>3153.84</v>
      </c>
      <c r="AA36" s="12"/>
      <c r="AB36" s="54">
        <v>0</v>
      </c>
      <c r="AC36" s="12"/>
      <c r="AD36" s="54">
        <v>0</v>
      </c>
      <c r="AE36" s="12"/>
      <c r="AF36" s="12">
        <f t="shared" ref="AF36:AF42" si="19">SUM(R36:AD36)</f>
        <v>7679792.3700000001</v>
      </c>
      <c r="AG36" s="9" t="s">
        <v>292</v>
      </c>
      <c r="AH36" s="12">
        <f t="shared" ref="AH36:AH42" si="20">P36</f>
        <v>20407937.199999999</v>
      </c>
      <c r="AI36" s="12"/>
      <c r="AJ36" s="12">
        <f t="shared" ref="AJ36:AJ42" si="21">AF36</f>
        <v>7679792.3700000001</v>
      </c>
      <c r="AK36" s="12"/>
      <c r="AL36" s="12">
        <f t="shared" si="16"/>
        <v>12728144.829999998</v>
      </c>
      <c r="AM36" s="12"/>
      <c r="AN36" s="13">
        <f t="shared" ref="AN36:AN43" si="22">AH36/AJ36</f>
        <v>2.657355331599935</v>
      </c>
      <c r="AO36" s="13"/>
      <c r="AP36" s="14">
        <f t="shared" si="17"/>
        <v>1.657355331599935</v>
      </c>
    </row>
    <row r="37" spans="1:42" s="9" customFormat="1" ht="24.95" customHeight="1" x14ac:dyDescent="0.2">
      <c r="A37" s="9" t="s">
        <v>390</v>
      </c>
      <c r="B37" s="12">
        <f>'Consolidated Balance Sheet'!B81</f>
        <v>0</v>
      </c>
      <c r="C37" s="12"/>
      <c r="D37" s="12">
        <f>'Consolidated Balance Sheet'!D81</f>
        <v>0</v>
      </c>
      <c r="E37" s="12"/>
      <c r="F37" s="12">
        <f>'Consolidated Balance Sheet'!F81</f>
        <v>0</v>
      </c>
      <c r="G37" s="12"/>
      <c r="H37" s="12">
        <f>'Consolidated Balance Sheet'!H81</f>
        <v>0</v>
      </c>
      <c r="I37" s="12"/>
      <c r="J37" s="12">
        <f>'Consolidated Balance Sheet'!J81</f>
        <v>20938.05</v>
      </c>
      <c r="K37" s="12"/>
      <c r="L37" s="12">
        <f>'Consolidated Balance Sheet'!L81</f>
        <v>0</v>
      </c>
      <c r="N37" s="12">
        <f>'Consolidated Balance Sheet'!N81</f>
        <v>0</v>
      </c>
      <c r="P37" s="12">
        <f t="shared" si="18"/>
        <v>20938.05</v>
      </c>
      <c r="Q37" s="9" t="s">
        <v>390</v>
      </c>
      <c r="R37" s="54">
        <v>0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40334.269999999997</v>
      </c>
      <c r="AA37" s="12"/>
      <c r="AB37" s="54">
        <v>0</v>
      </c>
      <c r="AC37" s="12"/>
      <c r="AD37" s="54">
        <v>0</v>
      </c>
      <c r="AE37" s="12"/>
      <c r="AF37" s="12">
        <f t="shared" si="19"/>
        <v>40334.269999999997</v>
      </c>
      <c r="AG37" s="9" t="s">
        <v>390</v>
      </c>
      <c r="AH37" s="12">
        <f t="shared" si="20"/>
        <v>20938.05</v>
      </c>
      <c r="AI37" s="12"/>
      <c r="AJ37" s="12">
        <f t="shared" si="21"/>
        <v>40334.269999999997</v>
      </c>
      <c r="AK37" s="12"/>
      <c r="AL37" s="12">
        <f t="shared" si="16"/>
        <v>-19396.219999999998</v>
      </c>
      <c r="AM37" s="12"/>
      <c r="AN37" s="13">
        <f t="shared" si="22"/>
        <v>0.51911315117392731</v>
      </c>
      <c r="AO37" s="13"/>
      <c r="AP37" s="14">
        <f t="shared" si="17"/>
        <v>-0.48088684882607269</v>
      </c>
    </row>
    <row r="38" spans="1:42" s="9" customFormat="1" ht="24.95" customHeight="1" x14ac:dyDescent="0.2">
      <c r="A38" s="9" t="s">
        <v>297</v>
      </c>
      <c r="B38" s="12">
        <f>'Consolidated Balance Sheet'!B83+'Consolidated Balance Sheet'!B107</f>
        <v>15772444.83</v>
      </c>
      <c r="C38" s="12"/>
      <c r="D38" s="12">
        <f>'Consolidated Balance Sheet'!D83</f>
        <v>0</v>
      </c>
      <c r="E38" s="12"/>
      <c r="F38" s="12">
        <f>'Consolidated Balance Sheet'!F83</f>
        <v>374769.08</v>
      </c>
      <c r="G38" s="12"/>
      <c r="H38" s="12">
        <f>'Consolidated Balance Sheet'!H83</f>
        <v>12666.58</v>
      </c>
      <c r="I38" s="12"/>
      <c r="J38" s="12">
        <f>'Consolidated Balance Sheet'!J83</f>
        <v>0</v>
      </c>
      <c r="K38" s="12"/>
      <c r="L38" s="12">
        <f>'Consolidated Balance Sheet'!L83</f>
        <v>0</v>
      </c>
      <c r="N38" s="12">
        <f>'Consolidated Balance Sheet'!N83</f>
        <v>0</v>
      </c>
      <c r="P38" s="12">
        <f t="shared" si="18"/>
        <v>16159880.49</v>
      </c>
      <c r="Q38" s="9" t="s">
        <v>297</v>
      </c>
      <c r="R38" s="54">
        <v>4383851.3600000003</v>
      </c>
      <c r="S38" s="12"/>
      <c r="T38" s="54">
        <v>0</v>
      </c>
      <c r="U38" s="12"/>
      <c r="V38" s="54">
        <v>294690.53000000003</v>
      </c>
      <c r="W38" s="12"/>
      <c r="X38" s="54">
        <v>14898.04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9"/>
        <v>4693439.9300000006</v>
      </c>
      <c r="AG38" s="9" t="s">
        <v>297</v>
      </c>
      <c r="AH38" s="12">
        <f t="shared" si="20"/>
        <v>16159880.49</v>
      </c>
      <c r="AI38" s="12"/>
      <c r="AJ38" s="12">
        <f t="shared" si="21"/>
        <v>4693439.9300000006</v>
      </c>
      <c r="AK38" s="12"/>
      <c r="AL38" s="12">
        <f t="shared" si="16"/>
        <v>11466440.559999999</v>
      </c>
      <c r="AM38" s="12"/>
      <c r="AN38" s="13">
        <f t="shared" si="22"/>
        <v>3.44307815397991</v>
      </c>
      <c r="AO38" s="13"/>
      <c r="AP38" s="14">
        <f t="shared" si="17"/>
        <v>2.44307815397991</v>
      </c>
    </row>
    <row r="39" spans="1:42" s="9" customFormat="1" ht="24.95" customHeight="1" x14ac:dyDescent="0.2">
      <c r="A39" s="9" t="s">
        <v>477</v>
      </c>
      <c r="B39" s="12">
        <f>'Consolidated Balance Sheet'!B84+'Consolidated Balance Sheet'!B85+'Consolidated Balance Sheet'!B86+'Consolidated Balance Sheet'!B87+'Consolidated Balance Sheet'!B89+'Consolidated Balance Sheet'!B90+'Consolidated Balance Sheet'!B91+'Consolidated Balance Sheet'!B92+'Consolidated Balance Sheet'!B93+'Consolidated Balance Sheet'!B94+'Consolidated Balance Sheet'!B95+'Consolidated Balance Sheet'!B99+'Consolidated Balance Sheet'!B100+'Consolidated Balance Sheet'!B102+'Consolidated Balance Sheet'!B112+'Consolidated Balance Sheet'!B101+'Consolidated Balance Sheet'!B108+'Consolidated Balance Sheet'!B111+'Consolidated Balance Sheet'!B110+'Consolidated Balance Sheet'!B88+'Consolidated Balance Sheet'!B97+CNT!S99+'Consolidated Balance Sheet'!B109</f>
        <v>5187017.2299999995</v>
      </c>
      <c r="C39" s="12"/>
      <c r="D39" s="12">
        <f>'Consolidated Balance Sheet'!D84+'Consolidated Balance Sheet'!D85+'Consolidated Balance Sheet'!D86+'Consolidated Balance Sheet'!D87+'Consolidated Balance Sheet'!D89+'Consolidated Balance Sheet'!D90+'Consolidated Balance Sheet'!D91+'Consolidated Balance Sheet'!D92+'Consolidated Balance Sheet'!D93+'Consolidated Balance Sheet'!D94+'Consolidated Balance Sheet'!D95+'Consolidated Balance Sheet'!D99+'Consolidated Balance Sheet'!D100+'Consolidated Balance Sheet'!D102+'Consolidated Balance Sheet'!D112+'Consolidated Balance Sheet'!D101</f>
        <v>2033.14</v>
      </c>
      <c r="E39" s="12"/>
      <c r="F39" s="12">
        <f>'Consolidated Balance Sheet'!F84+'Consolidated Balance Sheet'!F85+'Consolidated Balance Sheet'!F86+'Consolidated Balance Sheet'!F87+'Consolidated Balance Sheet'!F89+'Consolidated Balance Sheet'!F90+'Consolidated Balance Sheet'!F91+'Consolidated Balance Sheet'!F92+'Consolidated Balance Sheet'!F93+'Consolidated Balance Sheet'!F94+'Consolidated Balance Sheet'!F95+'Consolidated Balance Sheet'!F99+'Consolidated Balance Sheet'!F100+'Consolidated Balance Sheet'!F102+'Consolidated Balance Sheet'!F112+'Consolidated Balance Sheet'!F101+'Consolidated Balance Sheet'!F97</f>
        <v>88591.25</v>
      </c>
      <c r="G39" s="12"/>
      <c r="H39" s="12">
        <f>'Consolidated Balance Sheet'!H84+'Consolidated Balance Sheet'!H85+'Consolidated Balance Sheet'!H86+'Consolidated Balance Sheet'!H87+'Consolidated Balance Sheet'!H89+'Consolidated Balance Sheet'!H90+'Consolidated Balance Sheet'!H91+'Consolidated Balance Sheet'!H92+'Consolidated Balance Sheet'!H93+'Consolidated Balance Sheet'!H94+'Consolidated Balance Sheet'!H95+'Consolidated Balance Sheet'!H99+'Consolidated Balance Sheet'!H100+'Consolidated Balance Sheet'!H102+'Consolidated Balance Sheet'!H112+'Consolidated Balance Sheet'!H101+'Consolidated Balance Sheet'!H98</f>
        <v>1595.44</v>
      </c>
      <c r="I39" s="12"/>
      <c r="J39" s="12">
        <f>'Consolidated Balance Sheet'!J84+'Consolidated Balance Sheet'!J85+'Consolidated Balance Sheet'!J86+'Consolidated Balance Sheet'!J87+'Consolidated Balance Sheet'!J89+'Consolidated Balance Sheet'!J90+'Consolidated Balance Sheet'!J91+'Consolidated Balance Sheet'!J92+'Consolidated Balance Sheet'!J93+'Consolidated Balance Sheet'!J94+'Consolidated Balance Sheet'!J95+'Consolidated Balance Sheet'!J99+'Consolidated Balance Sheet'!J100+'Consolidated Balance Sheet'!J102+'Consolidated Balance Sheet'!J112+'Consolidated Balance Sheet'!J101+'Consolidated Balance Sheet'!J88</f>
        <v>14398.64</v>
      </c>
      <c r="K39" s="12"/>
      <c r="L39" s="12">
        <f>'Consolidated Balance Sheet'!L84+'Consolidated Balance Sheet'!L85+'Consolidated Balance Sheet'!L86+'Consolidated Balance Sheet'!L87+'Consolidated Balance Sheet'!L89+'Consolidated Balance Sheet'!L90+'Consolidated Balance Sheet'!L91+'Consolidated Balance Sheet'!L92+'Consolidated Balance Sheet'!L93+'Consolidated Balance Sheet'!L94+'Consolidated Balance Sheet'!L95+'Consolidated Balance Sheet'!L99+'Consolidated Balance Sheet'!L100+'Consolidated Balance Sheet'!L102+'Consolidated Balance Sheet'!L112+'Consolidated Balance Sheet'!L101</f>
        <v>2175</v>
      </c>
      <c r="N39" s="12">
        <f>'Consolidated Balance Sheet'!N84+'Consolidated Balance Sheet'!N85+'Consolidated Balance Sheet'!N86+'Consolidated Balance Sheet'!N87+'Consolidated Balance Sheet'!N89+'Consolidated Balance Sheet'!N90+'Consolidated Balance Sheet'!N91+'Consolidated Balance Sheet'!N92+'Consolidated Balance Sheet'!N93+'Consolidated Balance Sheet'!N94+'Consolidated Balance Sheet'!N95+'Consolidated Balance Sheet'!N99+'Consolidated Balance Sheet'!N100+'Consolidated Balance Sheet'!N102+'Consolidated Balance Sheet'!N112+'Consolidated Balance Sheet'!N101+'Consolidated Balance Sheet'!N96</f>
        <v>0</v>
      </c>
      <c r="P39" s="12">
        <f t="shared" si="18"/>
        <v>5295810.6999999993</v>
      </c>
      <c r="Q39" s="9" t="s">
        <v>477</v>
      </c>
      <c r="R39" s="54">
        <v>662325.10000000009</v>
      </c>
      <c r="S39" s="12"/>
      <c r="T39" s="54">
        <v>68952.710000000006</v>
      </c>
      <c r="U39" s="12"/>
      <c r="V39" s="54">
        <v>93590.849999999991</v>
      </c>
      <c r="W39" s="12"/>
      <c r="X39" s="54">
        <v>0</v>
      </c>
      <c r="Y39" s="12"/>
      <c r="Z39" s="54">
        <v>13066.880000000001</v>
      </c>
      <c r="AA39" s="12"/>
      <c r="AB39" s="54">
        <v>675</v>
      </c>
      <c r="AC39" s="12"/>
      <c r="AD39" s="54">
        <v>772203.23</v>
      </c>
      <c r="AE39" s="12"/>
      <c r="AF39" s="12">
        <f t="shared" si="19"/>
        <v>1610813.77</v>
      </c>
      <c r="AG39" s="9" t="s">
        <v>477</v>
      </c>
      <c r="AH39" s="12">
        <f t="shared" si="20"/>
        <v>5295810.6999999993</v>
      </c>
      <c r="AI39" s="12"/>
      <c r="AJ39" s="12">
        <f t="shared" si="21"/>
        <v>1610813.77</v>
      </c>
      <c r="AK39" s="12"/>
      <c r="AL39" s="12">
        <f t="shared" si="16"/>
        <v>3684996.9299999992</v>
      </c>
      <c r="AM39" s="12"/>
      <c r="AN39" s="13">
        <f t="shared" si="22"/>
        <v>3.2876616767436744</v>
      </c>
      <c r="AO39" s="13"/>
      <c r="AP39" s="14">
        <f t="shared" si="17"/>
        <v>2.2876616767436744</v>
      </c>
    </row>
    <row r="40" spans="1:42" s="9" customFormat="1" ht="24.95" customHeight="1" x14ac:dyDescent="0.2">
      <c r="A40" s="9" t="s">
        <v>308</v>
      </c>
      <c r="B40" s="12">
        <f>'Consolidated Balance Sheet'!B103</f>
        <v>5132276.25</v>
      </c>
      <c r="C40" s="12"/>
      <c r="D40" s="12">
        <f>'Consolidated Balance Sheet'!D103</f>
        <v>0</v>
      </c>
      <c r="E40" s="12"/>
      <c r="F40" s="12">
        <f>'Consolidated Balance Sheet'!F103</f>
        <v>0</v>
      </c>
      <c r="G40" s="12"/>
      <c r="H40" s="12">
        <f>'Consolidated Balance Sheet'!H103</f>
        <v>0</v>
      </c>
      <c r="I40" s="12"/>
      <c r="J40" s="12">
        <f>'Consolidated Balance Sheet'!J103</f>
        <v>0</v>
      </c>
      <c r="K40" s="12"/>
      <c r="L40" s="12">
        <f>'Consolidated Balance Sheet'!L103</f>
        <v>0</v>
      </c>
      <c r="N40" s="12">
        <f>'Consolidated Balance Sheet'!N103</f>
        <v>0</v>
      </c>
      <c r="P40" s="12">
        <f t="shared" si="18"/>
        <v>5132276.25</v>
      </c>
      <c r="Q40" s="9" t="s">
        <v>308</v>
      </c>
      <c r="R40" s="54">
        <v>119284.99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9"/>
        <v>119284.99</v>
      </c>
      <c r="AG40" s="9" t="s">
        <v>308</v>
      </c>
      <c r="AH40" s="12">
        <f t="shared" si="20"/>
        <v>5132276.25</v>
      </c>
      <c r="AI40" s="12"/>
      <c r="AJ40" s="12">
        <f t="shared" si="21"/>
        <v>119284.99</v>
      </c>
      <c r="AK40" s="12"/>
      <c r="AL40" s="12">
        <f t="shared" si="16"/>
        <v>5012991.26</v>
      </c>
      <c r="AM40" s="12"/>
      <c r="AN40" s="13">
        <f t="shared" si="22"/>
        <v>43.025331602911649</v>
      </c>
      <c r="AO40" s="13"/>
      <c r="AP40" s="14">
        <f t="shared" si="17"/>
        <v>42.025331602911649</v>
      </c>
    </row>
    <row r="41" spans="1:42" s="9" customFormat="1" ht="24.95" customHeight="1" x14ac:dyDescent="0.2">
      <c r="A41" s="9" t="s">
        <v>389</v>
      </c>
      <c r="B41" s="12">
        <f>'Consolidated Balance Sheet'!B104</f>
        <v>0</v>
      </c>
      <c r="C41" s="12"/>
      <c r="D41" s="12">
        <f>'Consolidated Balance Sheet'!D104</f>
        <v>0</v>
      </c>
      <c r="E41" s="12"/>
      <c r="F41" s="12">
        <f>'Consolidated Balance Sheet'!F104</f>
        <v>0</v>
      </c>
      <c r="G41" s="12"/>
      <c r="H41" s="12">
        <f>'Consolidated Balance Sheet'!H104</f>
        <v>0</v>
      </c>
      <c r="I41" s="12"/>
      <c r="J41" s="12">
        <f>'Consolidated Balance Sheet'!J104</f>
        <v>1053998.3899999999</v>
      </c>
      <c r="K41" s="12"/>
      <c r="L41" s="12">
        <f>'Consolidated Balance Sheet'!L104</f>
        <v>110199.03999999999</v>
      </c>
      <c r="N41" s="12">
        <f>'Consolidated Balance Sheet'!N104</f>
        <v>0</v>
      </c>
      <c r="P41" s="12">
        <f t="shared" si="18"/>
        <v>1164197.43</v>
      </c>
      <c r="Q41" s="9" t="s">
        <v>389</v>
      </c>
      <c r="R41" s="54">
        <v>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963117.74</v>
      </c>
      <c r="AA41" s="12"/>
      <c r="AB41" s="54">
        <v>97285.09</v>
      </c>
      <c r="AC41" s="12"/>
      <c r="AD41" s="54">
        <v>0</v>
      </c>
      <c r="AE41" s="12"/>
      <c r="AF41" s="12">
        <f t="shared" si="19"/>
        <v>1060402.83</v>
      </c>
      <c r="AG41" s="9" t="s">
        <v>389</v>
      </c>
      <c r="AH41" s="12">
        <f>P41</f>
        <v>1164197.43</v>
      </c>
      <c r="AI41" s="12"/>
      <c r="AJ41" s="12">
        <f t="shared" si="21"/>
        <v>1060402.83</v>
      </c>
      <c r="AK41" s="12"/>
      <c r="AL41" s="12">
        <f t="shared" si="16"/>
        <v>103794.59999999986</v>
      </c>
      <c r="AM41" s="12"/>
      <c r="AN41" s="13">
        <f t="shared" si="22"/>
        <v>1.0978822359423539</v>
      </c>
      <c r="AO41" s="13"/>
      <c r="AP41" s="14">
        <f t="shared" si="17"/>
        <v>9.7882235942353901E-2</v>
      </c>
    </row>
    <row r="42" spans="1:42" s="9" customFormat="1" ht="24.95" customHeight="1" x14ac:dyDescent="0.2">
      <c r="A42" s="9" t="s">
        <v>596</v>
      </c>
      <c r="B42" s="16">
        <f>'Consolidated Balance Sheet'!B106+'Consolidated Balance Sheet'!B105</f>
        <v>8276825</v>
      </c>
      <c r="C42" s="16"/>
      <c r="D42" s="16">
        <f>'Consolidated Balance Sheet'!D106+'Consolidated Balance Sheet'!D105</f>
        <v>3939.49</v>
      </c>
      <c r="E42" s="16"/>
      <c r="F42" s="16">
        <f>'Consolidated Balance Sheet'!F106+'Consolidated Balance Sheet'!F105</f>
        <v>100536.04</v>
      </c>
      <c r="G42" s="16"/>
      <c r="H42" s="16">
        <f>'Consolidated Balance Sheet'!H106+'Consolidated Balance Sheet'!H105</f>
        <v>458137.97</v>
      </c>
      <c r="I42" s="16"/>
      <c r="J42" s="16">
        <f>'Consolidated Balance Sheet'!J106+'Consolidated Balance Sheet'!J105</f>
        <v>1153631.6399999999</v>
      </c>
      <c r="K42" s="16"/>
      <c r="L42" s="16">
        <f>'Consolidated Balance Sheet'!L106+'Consolidated Balance Sheet'!L105</f>
        <v>0</v>
      </c>
      <c r="M42" s="17"/>
      <c r="N42" s="16">
        <f>'Consolidated Balance Sheet'!N106+'Consolidated Balance Sheet'!N105</f>
        <v>390162.84</v>
      </c>
      <c r="O42" s="17"/>
      <c r="P42" s="16">
        <f t="shared" si="18"/>
        <v>10383232.98</v>
      </c>
      <c r="Q42" s="9" t="s">
        <v>596</v>
      </c>
      <c r="R42" s="55">
        <v>6155450</v>
      </c>
      <c r="S42" s="16"/>
      <c r="T42" s="55">
        <v>85505.01</v>
      </c>
      <c r="U42" s="16"/>
      <c r="V42" s="55">
        <v>202354.48</v>
      </c>
      <c r="W42" s="16"/>
      <c r="X42" s="55">
        <v>278707.85000000003</v>
      </c>
      <c r="Y42" s="16"/>
      <c r="Z42" s="55">
        <v>1173081.9100000001</v>
      </c>
      <c r="AA42" s="16"/>
      <c r="AB42" s="55">
        <v>0</v>
      </c>
      <c r="AC42" s="16"/>
      <c r="AD42" s="55">
        <v>0</v>
      </c>
      <c r="AE42" s="16"/>
      <c r="AF42" s="16">
        <f t="shared" si="19"/>
        <v>7895099.25</v>
      </c>
      <c r="AG42" s="9" t="s">
        <v>596</v>
      </c>
      <c r="AH42" s="16">
        <f t="shared" si="20"/>
        <v>10383232.98</v>
      </c>
      <c r="AI42" s="16"/>
      <c r="AJ42" s="16">
        <f t="shared" si="21"/>
        <v>7895099.25</v>
      </c>
      <c r="AK42" s="16"/>
      <c r="AL42" s="16">
        <f t="shared" si="16"/>
        <v>2488133.7300000004</v>
      </c>
      <c r="AM42" s="12"/>
      <c r="AN42" s="13">
        <f t="shared" si="22"/>
        <v>1.3151491388787799</v>
      </c>
      <c r="AO42" s="13"/>
      <c r="AP42" s="14">
        <f t="shared" si="17"/>
        <v>0.31514913887877993</v>
      </c>
    </row>
    <row r="43" spans="1:42" s="9" customFormat="1" ht="24.95" customHeight="1" x14ac:dyDescent="0.2">
      <c r="A43" s="20" t="s">
        <v>382</v>
      </c>
      <c r="B43" s="12">
        <f>SUM(B35:B42)</f>
        <v>54748906.369999997</v>
      </c>
      <c r="C43" s="12"/>
      <c r="D43" s="12">
        <f>SUM(D35:D42)</f>
        <v>5972.63</v>
      </c>
      <c r="E43" s="12"/>
      <c r="F43" s="12">
        <f>SUM(F35:F42)</f>
        <v>586605.91</v>
      </c>
      <c r="G43" s="12"/>
      <c r="H43" s="12">
        <f>SUM(H35:H42)</f>
        <v>472399.99</v>
      </c>
      <c r="I43" s="12"/>
      <c r="J43" s="12">
        <f>SUM(J35:J42)</f>
        <v>2247851.3199999998</v>
      </c>
      <c r="K43" s="12"/>
      <c r="L43" s="12">
        <f>SUM(L35:L42)</f>
        <v>112374.04</v>
      </c>
      <c r="M43" s="12"/>
      <c r="N43" s="12">
        <f>SUM(N35:N42)</f>
        <v>390162.84</v>
      </c>
      <c r="O43" s="12"/>
      <c r="P43" s="12">
        <f>SUM(P35:P42)</f>
        <v>58564273.099999994</v>
      </c>
      <c r="Q43" s="20" t="s">
        <v>382</v>
      </c>
      <c r="R43" s="54">
        <f>SUM(R35:R42)</f>
        <v>19965981.559999999</v>
      </c>
      <c r="S43" s="12"/>
      <c r="T43" s="54">
        <f>SUM(T35:T42)</f>
        <v>1132712.2299999997</v>
      </c>
      <c r="U43" s="12"/>
      <c r="V43" s="54">
        <f>SUM(V35:V42)</f>
        <v>590774.18000000005</v>
      </c>
      <c r="W43" s="12"/>
      <c r="X43" s="54">
        <f>SUM(X35:X42)</f>
        <v>293605.89</v>
      </c>
      <c r="Y43" s="12"/>
      <c r="Z43" s="54">
        <f>SUM(Z35:Z42)</f>
        <v>2192754.64</v>
      </c>
      <c r="AA43" s="12"/>
      <c r="AB43" s="54">
        <f>SUM(AB35:AB42)</f>
        <v>97960.09</v>
      </c>
      <c r="AC43" s="12"/>
      <c r="AD43" s="54">
        <f>SUM(AD35:AD42)</f>
        <v>772203.23</v>
      </c>
      <c r="AE43" s="12"/>
      <c r="AF43" s="12">
        <f>SUM(AF35:AF42)</f>
        <v>25045991.82</v>
      </c>
      <c r="AG43" s="20" t="s">
        <v>382</v>
      </c>
      <c r="AH43" s="12">
        <f>SUM(AH35:AH42)</f>
        <v>58564273.099999994</v>
      </c>
      <c r="AI43" s="12"/>
      <c r="AJ43" s="12">
        <f>SUM(AJ35:AJ42)</f>
        <v>25045991.82</v>
      </c>
      <c r="AK43" s="12"/>
      <c r="AL43" s="12">
        <f>SUM(AL35:AL42)</f>
        <v>33518281.279999997</v>
      </c>
      <c r="AM43" s="22"/>
      <c r="AN43" s="13">
        <f t="shared" si="22"/>
        <v>2.3382692736182484</v>
      </c>
      <c r="AO43" s="13"/>
      <c r="AP43" s="14">
        <f t="shared" si="17"/>
        <v>1.3382692736182484</v>
      </c>
    </row>
    <row r="44" spans="1:42" s="9" customFormat="1" ht="24.9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2">
        <f>'Consolidated Balance Sheet'!AF113-AF43</f>
        <v>-6009127.0899999999</v>
      </c>
      <c r="AN44" s="13"/>
      <c r="AO44" s="13"/>
      <c r="AP44" s="19"/>
    </row>
    <row r="45" spans="1:42" s="9" customFormat="1" ht="24.95" customHeight="1" x14ac:dyDescent="0.2">
      <c r="A45" s="8" t="s">
        <v>313</v>
      </c>
      <c r="B45" s="12"/>
      <c r="C45" s="12"/>
      <c r="D45" s="12"/>
      <c r="E45" s="12"/>
      <c r="F45" s="12"/>
      <c r="G45" s="12"/>
      <c r="P45" s="10"/>
      <c r="Q45" s="8" t="s">
        <v>313</v>
      </c>
      <c r="R45" s="60"/>
      <c r="S45" s="10"/>
      <c r="T45" s="60"/>
      <c r="U45" s="10"/>
      <c r="V45" s="60"/>
      <c r="W45" s="10"/>
      <c r="X45" s="60"/>
      <c r="Y45" s="10"/>
      <c r="Z45" s="60"/>
      <c r="AA45" s="10"/>
      <c r="AB45" s="60"/>
      <c r="AC45" s="10"/>
      <c r="AD45" s="60"/>
      <c r="AE45" s="10"/>
      <c r="AF45" s="10"/>
      <c r="AG45" s="8" t="s">
        <v>313</v>
      </c>
      <c r="AN45" s="10"/>
      <c r="AO45" s="10"/>
      <c r="AP45" s="19"/>
    </row>
    <row r="46" spans="1:42" s="9" customFormat="1" ht="24.95" customHeight="1" x14ac:dyDescent="0.2">
      <c r="A46" s="9" t="s">
        <v>314</v>
      </c>
      <c r="B46" s="12">
        <f>'Consolidated Balance Sheet'!B116</f>
        <v>0</v>
      </c>
      <c r="C46" s="12"/>
      <c r="D46" s="12">
        <f>'Consolidated Balance Sheet'!D116</f>
        <v>0</v>
      </c>
      <c r="E46" s="12"/>
      <c r="F46" s="12">
        <f>'Consolidated Balance Sheet'!F116</f>
        <v>0</v>
      </c>
      <c r="G46" s="12"/>
      <c r="H46" s="12">
        <f>'Consolidated Balance Sheet'!H116</f>
        <v>0</v>
      </c>
      <c r="I46" s="12"/>
      <c r="J46" s="12">
        <f>'Consolidated Balance Sheet'!J116</f>
        <v>0</v>
      </c>
      <c r="K46" s="12"/>
      <c r="L46" s="12">
        <f>'Consolidated Balance Sheet'!L116</f>
        <v>0</v>
      </c>
      <c r="M46" s="12"/>
      <c r="N46" s="12">
        <f>'Consolidated Balance Sheet'!N116</f>
        <v>0</v>
      </c>
      <c r="O46" s="12"/>
      <c r="P46" s="12">
        <f>SUM(B46:N46)</f>
        <v>0</v>
      </c>
      <c r="Q46" s="9" t="s">
        <v>314</v>
      </c>
      <c r="R46" s="54">
        <f>'Consolidated Balance Sheet'!R116</f>
        <v>0</v>
      </c>
      <c r="S46" s="12"/>
      <c r="T46" s="54">
        <f>'Consolidated Balance Sheet'!T116</f>
        <v>0</v>
      </c>
      <c r="U46" s="12"/>
      <c r="V46" s="54">
        <f>'Consolidated Balance Sheet'!V116</f>
        <v>0</v>
      </c>
      <c r="W46" s="12"/>
      <c r="X46" s="54">
        <f>'Consolidated Balance Sheet'!X116</f>
        <v>0</v>
      </c>
      <c r="Y46" s="12"/>
      <c r="Z46" s="54">
        <f>'Consolidated Balance Sheet'!Z116</f>
        <v>0</v>
      </c>
      <c r="AA46" s="12"/>
      <c r="AB46" s="54">
        <f>'Consolidated Balance Sheet'!AB116</f>
        <v>0</v>
      </c>
      <c r="AC46" s="12"/>
      <c r="AD46" s="54">
        <f>'Consolidated Balance Sheet'!AD116</f>
        <v>0</v>
      </c>
      <c r="AE46" s="12"/>
      <c r="AF46" s="12">
        <f>SUM(R46:AD46)</f>
        <v>0</v>
      </c>
      <c r="AG46" s="9" t="s">
        <v>314</v>
      </c>
      <c r="AH46" s="12">
        <f>P46</f>
        <v>0</v>
      </c>
      <c r="AI46" s="12"/>
      <c r="AJ46" s="12">
        <f>AF46</f>
        <v>0</v>
      </c>
      <c r="AK46" s="12"/>
      <c r="AL46" s="12">
        <f>AH46-AJ46</f>
        <v>0</v>
      </c>
      <c r="AM46" s="12"/>
      <c r="AN46" s="13" t="e">
        <f>AH46/AJ46</f>
        <v>#DIV/0!</v>
      </c>
      <c r="AO46" s="13"/>
      <c r="AP46" s="14" t="e">
        <f>AN46-1</f>
        <v>#DIV/0!</v>
      </c>
    </row>
    <row r="47" spans="1:42" s="9" customFormat="1" ht="24.95" customHeight="1" x14ac:dyDescent="0.2">
      <c r="A47" s="9" t="s">
        <v>478</v>
      </c>
      <c r="B47" s="16">
        <f>'Consolidated Balance Sheet'!B117+'Consolidated Balance Sheet'!B119+'Consolidated Balance Sheet'!B120+'Consolidated Balance Sheet'!B121+'Consolidated Balance Sheet'!B118</f>
        <v>2071061.47</v>
      </c>
      <c r="C47" s="16"/>
      <c r="D47" s="16">
        <f>'Consolidated Balance Sheet'!D117+'Consolidated Balance Sheet'!D119+'Consolidated Balance Sheet'!D120+'Consolidated Balance Sheet'!D121</f>
        <v>0</v>
      </c>
      <c r="E47" s="16"/>
      <c r="F47" s="16">
        <f>'Consolidated Balance Sheet'!F117+'Consolidated Balance Sheet'!F119+'Consolidated Balance Sheet'!F120+'Consolidated Balance Sheet'!F121</f>
        <v>0</v>
      </c>
      <c r="G47" s="16"/>
      <c r="H47" s="16">
        <f>'Consolidated Balance Sheet'!H117+'Consolidated Balance Sheet'!H119+'Consolidated Balance Sheet'!H120+'Consolidated Balance Sheet'!H121</f>
        <v>0</v>
      </c>
      <c r="I47" s="16"/>
      <c r="J47" s="16">
        <f>'Consolidated Balance Sheet'!J117+'Consolidated Balance Sheet'!J119+'Consolidated Balance Sheet'!J120+'Consolidated Balance Sheet'!J121</f>
        <v>1038675.03</v>
      </c>
      <c r="K47" s="16"/>
      <c r="L47" s="16">
        <f>'Consolidated Balance Sheet'!L117+'Consolidated Balance Sheet'!L119+'Consolidated Balance Sheet'!L120+'Consolidated Balance Sheet'!L121</f>
        <v>247750</v>
      </c>
      <c r="M47" s="17"/>
      <c r="N47" s="16">
        <f>'Consolidated Balance Sheet'!N117+'Consolidated Balance Sheet'!N119+'Consolidated Balance Sheet'!N120+'Consolidated Balance Sheet'!N121</f>
        <v>0</v>
      </c>
      <c r="O47" s="17"/>
      <c r="P47" s="16">
        <f>SUM(B47:N47)</f>
        <v>3357486.5</v>
      </c>
      <c r="Q47" s="9" t="s">
        <v>315</v>
      </c>
      <c r="R47" s="55">
        <f>'Consolidated Balance Sheet'!R117+'Consolidated Balance Sheet'!R119+'Consolidated Balance Sheet'!R120+'Consolidated Balance Sheet'!R121</f>
        <v>40465.760000000002</v>
      </c>
      <c r="S47" s="16"/>
      <c r="T47" s="55">
        <f>'Consolidated Balance Sheet'!T117+'Consolidated Balance Sheet'!T119+'Consolidated Balance Sheet'!T120+'Consolidated Balance Sheet'!T121</f>
        <v>0</v>
      </c>
      <c r="U47" s="16"/>
      <c r="V47" s="55">
        <f>'Consolidated Balance Sheet'!V117+'Consolidated Balance Sheet'!V119+'Consolidated Balance Sheet'!V120+'Consolidated Balance Sheet'!V121</f>
        <v>0</v>
      </c>
      <c r="W47" s="16"/>
      <c r="X47" s="55">
        <f>'Consolidated Balance Sheet'!X117+'Consolidated Balance Sheet'!X119+'Consolidated Balance Sheet'!X120+'Consolidated Balance Sheet'!X121</f>
        <v>0</v>
      </c>
      <c r="Y47" s="16"/>
      <c r="Z47" s="55">
        <f>'Consolidated Balance Sheet'!Z117+'Consolidated Balance Sheet'!Z119+'Consolidated Balance Sheet'!Z120+'Consolidated Balance Sheet'!Z121</f>
        <v>1038675.03</v>
      </c>
      <c r="AA47" s="16"/>
      <c r="AB47" s="55">
        <f>'Consolidated Balance Sheet'!AB117+'Consolidated Balance Sheet'!AB119+'Consolidated Balance Sheet'!AB120+'Consolidated Balance Sheet'!AB121</f>
        <v>247750</v>
      </c>
      <c r="AC47" s="16"/>
      <c r="AD47" s="55">
        <f>'Consolidated Balance Sheet'!AD117+'Consolidated Balance Sheet'!AD119+'Consolidated Balance Sheet'!AD120+'Consolidated Balance Sheet'!AD121</f>
        <v>5926002.1500000004</v>
      </c>
      <c r="AE47" s="16"/>
      <c r="AF47" s="16">
        <f>SUM(R47:AD47)</f>
        <v>7252892.9400000004</v>
      </c>
      <c r="AG47" s="9" t="s">
        <v>315</v>
      </c>
      <c r="AH47" s="16">
        <f>P47</f>
        <v>3357486.5</v>
      </c>
      <c r="AI47" s="16"/>
      <c r="AJ47" s="16">
        <f>AF47</f>
        <v>7252892.9400000004</v>
      </c>
      <c r="AK47" s="16"/>
      <c r="AL47" s="16">
        <f>AH47-AJ47</f>
        <v>-3895406.4400000004</v>
      </c>
      <c r="AM47" s="12"/>
      <c r="AN47" s="13">
        <f>AH47/AJ47</f>
        <v>0.46291687024405459</v>
      </c>
      <c r="AO47" s="13"/>
      <c r="AP47" s="14">
        <f>AN47-1</f>
        <v>-0.53708312975594541</v>
      </c>
    </row>
    <row r="48" spans="1:42" s="9" customFormat="1" ht="24.95" customHeight="1" x14ac:dyDescent="0.2">
      <c r="A48" s="20" t="s">
        <v>319</v>
      </c>
      <c r="B48" s="12">
        <f>SUM(B46:B47)</f>
        <v>2071061.47</v>
      </c>
      <c r="C48" s="12"/>
      <c r="D48" s="12">
        <f>SUM(D46:D47)</f>
        <v>0</v>
      </c>
      <c r="E48" s="12"/>
      <c r="F48" s="12">
        <f>SUM(F46:F47)</f>
        <v>0</v>
      </c>
      <c r="G48" s="12"/>
      <c r="H48" s="12">
        <f>SUM(H46:H47)</f>
        <v>0</v>
      </c>
      <c r="I48" s="12"/>
      <c r="J48" s="12">
        <f>SUM(J46:J47)</f>
        <v>1038675.03</v>
      </c>
      <c r="K48" s="12"/>
      <c r="L48" s="12">
        <f>SUM(L46:L47)</f>
        <v>247750</v>
      </c>
      <c r="M48" s="12"/>
      <c r="N48" s="12">
        <f>SUM(N46:N47)</f>
        <v>0</v>
      </c>
      <c r="O48" s="12"/>
      <c r="P48" s="12">
        <f>SUM(P46:P47)</f>
        <v>3357486.5</v>
      </c>
      <c r="Q48" s="20" t="s">
        <v>319</v>
      </c>
      <c r="R48" s="54">
        <f>SUM(R46:R47)</f>
        <v>40465.760000000002</v>
      </c>
      <c r="S48" s="12"/>
      <c r="T48" s="54">
        <f>SUM(T46:T47)</f>
        <v>0</v>
      </c>
      <c r="U48" s="12"/>
      <c r="V48" s="54">
        <f>SUM(V46:V47)</f>
        <v>0</v>
      </c>
      <c r="W48" s="12"/>
      <c r="X48" s="54">
        <f>SUM(X46:X47)</f>
        <v>0</v>
      </c>
      <c r="Y48" s="12"/>
      <c r="Z48" s="54">
        <f>SUM(Z46:Z47)</f>
        <v>1038675.03</v>
      </c>
      <c r="AA48" s="12"/>
      <c r="AB48" s="54">
        <f>SUM(AB46:AB47)</f>
        <v>247750</v>
      </c>
      <c r="AC48" s="12"/>
      <c r="AD48" s="54">
        <f>SUM(AD46:AD47)</f>
        <v>5926002.1500000004</v>
      </c>
      <c r="AE48" s="12"/>
      <c r="AF48" s="12">
        <f>SUM(AF46:AF47)</f>
        <v>7252892.9400000004</v>
      </c>
      <c r="AG48" s="20" t="s">
        <v>319</v>
      </c>
      <c r="AH48" s="12">
        <f>SUM(AH46:AH47)</f>
        <v>3357486.5</v>
      </c>
      <c r="AI48" s="12"/>
      <c r="AJ48" s="12">
        <f>SUM(AJ46:AJ47)</f>
        <v>7252892.9400000004</v>
      </c>
      <c r="AK48" s="12"/>
      <c r="AL48" s="12">
        <f>SUM(AL46:AL47)</f>
        <v>-3895406.4400000004</v>
      </c>
      <c r="AM48" s="12"/>
      <c r="AN48" s="13">
        <f>AH48/AJ48</f>
        <v>0.46291687024405459</v>
      </c>
      <c r="AO48" s="13"/>
      <c r="AP48" s="14">
        <f>AN48-1</f>
        <v>-0.53708312975594541</v>
      </c>
    </row>
    <row r="49" spans="1:42" s="9" customFormat="1" ht="24.9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0"/>
      <c r="Q49" s="20"/>
      <c r="R49" s="60"/>
      <c r="S49" s="10"/>
      <c r="T49" s="60"/>
      <c r="U49" s="10"/>
      <c r="V49" s="60"/>
      <c r="W49" s="10"/>
      <c r="X49" s="60"/>
      <c r="Y49" s="10"/>
      <c r="Z49" s="60"/>
      <c r="AA49" s="10"/>
      <c r="AB49" s="60"/>
      <c r="AC49" s="10"/>
      <c r="AD49" s="60"/>
      <c r="AE49" s="10"/>
      <c r="AF49" s="10"/>
      <c r="AG49" s="20"/>
      <c r="AN49" s="10"/>
      <c r="AO49" s="10"/>
      <c r="AP49" s="14"/>
    </row>
    <row r="50" spans="1:42" s="9" customFormat="1" ht="24.95" customHeight="1" x14ac:dyDescent="0.2">
      <c r="A50" s="27" t="s">
        <v>320</v>
      </c>
      <c r="B50" s="21">
        <f>B48+B43</f>
        <v>56819967.839999996</v>
      </c>
      <c r="C50" s="21"/>
      <c r="D50" s="21">
        <f>D48+D43</f>
        <v>5972.63</v>
      </c>
      <c r="E50" s="21"/>
      <c r="F50" s="21">
        <f>F48+F43</f>
        <v>586605.91</v>
      </c>
      <c r="G50" s="21"/>
      <c r="H50" s="21">
        <f>H48+H43</f>
        <v>472399.99</v>
      </c>
      <c r="I50" s="21"/>
      <c r="J50" s="21">
        <f>J48+J43</f>
        <v>3286526.3499999996</v>
      </c>
      <c r="K50" s="21"/>
      <c r="L50" s="21">
        <f>L48+L43</f>
        <v>360124.04</v>
      </c>
      <c r="M50" s="21"/>
      <c r="N50" s="21">
        <f>N48+N43</f>
        <v>390162.84</v>
      </c>
      <c r="O50" s="21"/>
      <c r="P50" s="21">
        <f>P48+P43</f>
        <v>61921759.599999994</v>
      </c>
      <c r="Q50" s="27" t="s">
        <v>320</v>
      </c>
      <c r="R50" s="56">
        <f>R48+R43</f>
        <v>20006447.32</v>
      </c>
      <c r="S50" s="21"/>
      <c r="T50" s="56">
        <f>T48+T43</f>
        <v>1132712.2299999997</v>
      </c>
      <c r="U50" s="21"/>
      <c r="V50" s="56">
        <f>V48+V43</f>
        <v>590774.18000000005</v>
      </c>
      <c r="W50" s="21"/>
      <c r="X50" s="56">
        <f>X48+X43</f>
        <v>293605.89</v>
      </c>
      <c r="Y50" s="21"/>
      <c r="Z50" s="56">
        <f>Z48+Z43</f>
        <v>3231429.67</v>
      </c>
      <c r="AA50" s="21"/>
      <c r="AB50" s="56">
        <f>AB48+AB43</f>
        <v>345710.08999999997</v>
      </c>
      <c r="AC50" s="21"/>
      <c r="AD50" s="56">
        <f>AD48+AD43</f>
        <v>6698205.3800000008</v>
      </c>
      <c r="AE50" s="21"/>
      <c r="AF50" s="21">
        <f>AF48+AF43</f>
        <v>32298884.760000002</v>
      </c>
      <c r="AG50" s="27" t="s">
        <v>320</v>
      </c>
      <c r="AH50" s="21">
        <f>AH43+AH48</f>
        <v>61921759.599999994</v>
      </c>
      <c r="AI50" s="21"/>
      <c r="AJ50" s="21">
        <f>AJ43+AJ48</f>
        <v>32298884.760000002</v>
      </c>
      <c r="AK50" s="21"/>
      <c r="AL50" s="21">
        <f>AL43+AL48</f>
        <v>29622874.839999996</v>
      </c>
      <c r="AM50" s="12"/>
      <c r="AN50" s="13">
        <f>AH50/AJ50</f>
        <v>1.917148535007188</v>
      </c>
      <c r="AO50" s="13"/>
      <c r="AP50" s="14">
        <f>AN50-1</f>
        <v>0.91714853500718796</v>
      </c>
    </row>
    <row r="51" spans="1:42" s="9" customFormat="1" ht="24.95" customHeight="1" x14ac:dyDescent="0.2">
      <c r="B51" s="12"/>
      <c r="C51" s="12"/>
      <c r="D51" s="12"/>
      <c r="E51" s="12"/>
      <c r="F51" s="12"/>
      <c r="G51" s="12"/>
      <c r="P51" s="10"/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N51" s="10"/>
      <c r="AO51" s="10"/>
      <c r="AP51" s="19"/>
    </row>
    <row r="52" spans="1:42" s="9" customFormat="1" ht="24.95" customHeight="1" x14ac:dyDescent="0.2">
      <c r="A52" s="8" t="s">
        <v>160</v>
      </c>
      <c r="B52" s="12"/>
      <c r="C52" s="12"/>
      <c r="D52" s="12"/>
      <c r="E52" s="12"/>
      <c r="F52" s="12"/>
      <c r="G52" s="12"/>
      <c r="P52" s="10"/>
      <c r="Q52" s="8" t="s">
        <v>160</v>
      </c>
      <c r="R52" s="60"/>
      <c r="S52" s="10"/>
      <c r="T52" s="60"/>
      <c r="U52" s="10"/>
      <c r="V52" s="60"/>
      <c r="W52" s="10"/>
      <c r="X52" s="60"/>
      <c r="Y52" s="10"/>
      <c r="Z52" s="60"/>
      <c r="AA52" s="10"/>
      <c r="AB52" s="60"/>
      <c r="AC52" s="10"/>
      <c r="AD52" s="60"/>
      <c r="AE52" s="10"/>
      <c r="AF52" s="10"/>
      <c r="AG52" s="8" t="s">
        <v>160</v>
      </c>
      <c r="AN52" s="10"/>
      <c r="AO52" s="10"/>
      <c r="AP52" s="19"/>
    </row>
    <row r="53" spans="1:42" s="9" customFormat="1" ht="24.95" customHeight="1" x14ac:dyDescent="0.2">
      <c r="A53" s="9" t="s">
        <v>321</v>
      </c>
      <c r="B53" s="12">
        <f>'Consolidated Balance Sheet'!B127</f>
        <v>152325</v>
      </c>
      <c r="C53" s="12">
        <f>'Consolidated Balance Sheet'!C127</f>
        <v>0</v>
      </c>
      <c r="D53" s="12">
        <f>'Consolidated Balance Sheet'!D127</f>
        <v>0</v>
      </c>
      <c r="E53" s="12">
        <f>'Consolidated Balance Sheet'!E127</f>
        <v>0</v>
      </c>
      <c r="F53" s="12">
        <f>'Consolidated Balance Sheet'!F127</f>
        <v>1000</v>
      </c>
      <c r="G53" s="12">
        <f>'Consolidated Balance Sheet'!G127</f>
        <v>0</v>
      </c>
      <c r="H53" s="12">
        <f>'Consolidated Balance Sheet'!H127</f>
        <v>0</v>
      </c>
      <c r="I53" s="12">
        <f>'Consolidated Balance Sheet'!I127</f>
        <v>0</v>
      </c>
      <c r="J53" s="12">
        <f>'Consolidated Balance Sheet'!J127</f>
        <v>24927.59</v>
      </c>
      <c r="K53" s="12">
        <f>'Consolidated Balance Sheet'!K127</f>
        <v>0</v>
      </c>
      <c r="L53" s="12">
        <f>'Consolidated Balance Sheet'!L127</f>
        <v>0</v>
      </c>
      <c r="M53" s="12"/>
      <c r="N53" s="12">
        <f>'Consolidated Balance Sheet'!N127</f>
        <v>0</v>
      </c>
      <c r="O53" s="12"/>
      <c r="P53" s="12">
        <f>SUM(B53:N53)</f>
        <v>178252.59</v>
      </c>
      <c r="Q53" s="9" t="s">
        <v>321</v>
      </c>
      <c r="R53" s="54">
        <f>'Consolidated Balance Sheet'!R127</f>
        <v>152325</v>
      </c>
      <c r="S53" s="12"/>
      <c r="T53" s="54">
        <f>'Consolidated Balance Sheet'!T127</f>
        <v>0</v>
      </c>
      <c r="U53" s="12"/>
      <c r="V53" s="54">
        <f>'Consolidated Balance Sheet'!V127</f>
        <v>1000</v>
      </c>
      <c r="W53" s="12"/>
      <c r="X53" s="54">
        <f>'Consolidated Balance Sheet'!X127</f>
        <v>0</v>
      </c>
      <c r="Y53" s="12"/>
      <c r="Z53" s="54">
        <f>'Consolidated Balance Sheet'!Z127</f>
        <v>25000.03</v>
      </c>
      <c r="AA53" s="12"/>
      <c r="AB53" s="54">
        <f>'Consolidated Balance Sheet'!AB127</f>
        <v>0</v>
      </c>
      <c r="AC53" s="12"/>
      <c r="AD53" s="54">
        <f>'Consolidated Balance Sheet'!AD127</f>
        <v>0</v>
      </c>
      <c r="AE53" s="12"/>
      <c r="AF53" s="12">
        <f>SUM(R53:AD53)</f>
        <v>178325.03</v>
      </c>
      <c r="AG53" s="9" t="s">
        <v>321</v>
      </c>
      <c r="AH53" s="12">
        <f>P53</f>
        <v>178252.59</v>
      </c>
      <c r="AI53" s="12"/>
      <c r="AJ53" s="12">
        <f>AF53</f>
        <v>178325.03</v>
      </c>
      <c r="AK53" s="12"/>
      <c r="AL53" s="12">
        <f>AH53-AJ53</f>
        <v>-72.440000000002328</v>
      </c>
      <c r="AM53" s="12"/>
      <c r="AN53" s="13">
        <f t="shared" ref="AN53:AN59" si="23">AH53/AJ53</f>
        <v>0.99959377547840589</v>
      </c>
      <c r="AO53" s="13"/>
      <c r="AP53" s="14">
        <f t="shared" ref="AP53:AP59" si="24">AN53-1</f>
        <v>-4.0622452159411182E-4</v>
      </c>
    </row>
    <row r="54" spans="1:42" s="9" customFormat="1" ht="24.95" customHeight="1" x14ac:dyDescent="0.2">
      <c r="A54" s="9" t="s">
        <v>479</v>
      </c>
      <c r="B54" s="12">
        <f>'Consolidated Balance Sheet'!B128+'Consolidated Balance Sheet'!B129+'Consolidated Balance Sheet'!B130</f>
        <v>29602918.760000002</v>
      </c>
      <c r="C54" s="12">
        <f>'Consolidated Balance Sheet'!C128+'Consolidated Balance Sheet'!C129+'Consolidated Balance Sheet'!C130</f>
        <v>0</v>
      </c>
      <c r="D54" s="12">
        <f>'Consolidated Balance Sheet'!D128+'Consolidated Balance Sheet'!D129+'Consolidated Balance Sheet'!D130</f>
        <v>357201.18</v>
      </c>
      <c r="E54" s="12">
        <f>'Consolidated Balance Sheet'!E128+'Consolidated Balance Sheet'!E129+'Consolidated Balance Sheet'!E130</f>
        <v>0</v>
      </c>
      <c r="F54" s="12">
        <f>'Consolidated Balance Sheet'!F128+'Consolidated Balance Sheet'!F129+'Consolidated Balance Sheet'!F130</f>
        <v>2542025.7999999998</v>
      </c>
      <c r="G54" s="12">
        <f>'Consolidated Balance Sheet'!G128+'Consolidated Balance Sheet'!G129+'Consolidated Balance Sheet'!G130</f>
        <v>0</v>
      </c>
      <c r="H54" s="12">
        <f>'Consolidated Balance Sheet'!H128+'Consolidated Balance Sheet'!H129+'Consolidated Balance Sheet'!H130</f>
        <v>459570.85000000003</v>
      </c>
      <c r="I54" s="12">
        <f>'Consolidated Balance Sheet'!I128+'Consolidated Balance Sheet'!I129+'Consolidated Balance Sheet'!I130</f>
        <v>0</v>
      </c>
      <c r="J54" s="12">
        <f>'Consolidated Balance Sheet'!J128+'Consolidated Balance Sheet'!J129+'Consolidated Balance Sheet'!J130</f>
        <v>-1273915.9900000002</v>
      </c>
      <c r="K54" s="12">
        <f>'Consolidated Balance Sheet'!K128+'Consolidated Balance Sheet'!K129+'Consolidated Balance Sheet'!K130</f>
        <v>0</v>
      </c>
      <c r="L54" s="12">
        <f>'Consolidated Balance Sheet'!L128+'Consolidated Balance Sheet'!L129+'Consolidated Balance Sheet'!L130</f>
        <v>5154795.67</v>
      </c>
      <c r="M54" s="12"/>
      <c r="N54" s="12">
        <f>'Consolidated Balance Sheet'!N128+'Consolidated Balance Sheet'!N129+'Consolidated Balance Sheet'!N130</f>
        <v>2324383.6900000004</v>
      </c>
      <c r="O54" s="12"/>
      <c r="P54" s="12">
        <f>SUM(B54:N54)</f>
        <v>39166979.960000001</v>
      </c>
      <c r="Q54" s="9" t="s">
        <v>507</v>
      </c>
      <c r="R54" s="54">
        <f>'Consolidated Balance Sheet'!R128+'Consolidated Balance Sheet'!R129+'Consolidated Balance Sheet'!R130</f>
        <v>11709321.479999999</v>
      </c>
      <c r="S54" s="12"/>
      <c r="T54" s="54">
        <f>'Consolidated Balance Sheet'!T128+'Consolidated Balance Sheet'!T129+'Consolidated Balance Sheet'!T130</f>
        <v>2036750.75</v>
      </c>
      <c r="U54" s="12"/>
      <c r="V54" s="54">
        <f>'Consolidated Balance Sheet'!V128+'Consolidated Balance Sheet'!V129+'Consolidated Balance Sheet'!V130</f>
        <v>1193273.1200000001</v>
      </c>
      <c r="W54" s="12"/>
      <c r="X54" s="54">
        <f>'Consolidated Balance Sheet'!X128+'Consolidated Balance Sheet'!X129+'Consolidated Balance Sheet'!X130</f>
        <v>419118.38</v>
      </c>
      <c r="Y54" s="12"/>
      <c r="Z54" s="54">
        <f>'Consolidated Balance Sheet'!Z128+'Consolidated Balance Sheet'!Z129+'Consolidated Balance Sheet'!Z130</f>
        <v>-1251994.2</v>
      </c>
      <c r="AA54" s="12"/>
      <c r="AB54" s="54">
        <f>'Consolidated Balance Sheet'!AB128+'Consolidated Balance Sheet'!AB129+'Consolidated Balance Sheet'!AB130</f>
        <v>4978648.17</v>
      </c>
      <c r="AC54" s="12"/>
      <c r="AD54" s="54">
        <f>'Consolidated Balance Sheet'!AD128+'Consolidated Balance Sheet'!AD129+'Consolidated Balance Sheet'!AD130</f>
        <v>1451344.56</v>
      </c>
      <c r="AE54" s="12"/>
      <c r="AF54" s="12">
        <f>SUM(R54:AD54)</f>
        <v>20536462.259999998</v>
      </c>
      <c r="AG54" s="9" t="s">
        <v>322</v>
      </c>
      <c r="AH54" s="12">
        <f>P54</f>
        <v>39166979.960000001</v>
      </c>
      <c r="AI54" s="12"/>
      <c r="AJ54" s="12">
        <f>AF54</f>
        <v>20536462.259999998</v>
      </c>
      <c r="AK54" s="12"/>
      <c r="AL54" s="12">
        <f>AH54-AJ54</f>
        <v>18630517.700000003</v>
      </c>
      <c r="AM54" s="12"/>
      <c r="AN54" s="13">
        <f t="shared" si="23"/>
        <v>1.9071921669920575</v>
      </c>
      <c r="AO54" s="13"/>
      <c r="AP54" s="14">
        <f t="shared" si="24"/>
        <v>0.90719216699205751</v>
      </c>
    </row>
    <row r="55" spans="1:42" s="9" customFormat="1" ht="24.95" customHeight="1" x14ac:dyDescent="0.2">
      <c r="A55" s="9" t="s">
        <v>548</v>
      </c>
      <c r="B55" s="12">
        <f>'Consolidated Balance Sheet'!B131</f>
        <v>1741208.01</v>
      </c>
      <c r="C55" s="12">
        <f>'Consolidated Balance Sheet'!C129+'Consolidated Balance Sheet'!C130+'Consolidated Balance Sheet'!C131</f>
        <v>0</v>
      </c>
      <c r="D55" s="12">
        <f>'Consolidated Balance Sheet'!D131</f>
        <v>0</v>
      </c>
      <c r="E55" s="12">
        <f>'Consolidated Balance Sheet'!E129+'Consolidated Balance Sheet'!E130+'Consolidated Balance Sheet'!E131</f>
        <v>0</v>
      </c>
      <c r="F55" s="12">
        <f>'Consolidated Balance Sheet'!F131</f>
        <v>6646143.8700000001</v>
      </c>
      <c r="G55" s="12">
        <f>'Consolidated Balance Sheet'!G129+'Consolidated Balance Sheet'!G130+'Consolidated Balance Sheet'!G131</f>
        <v>0</v>
      </c>
      <c r="H55" s="12">
        <f>'Consolidated Balance Sheet'!H131</f>
        <v>0</v>
      </c>
      <c r="I55" s="12">
        <f>'Consolidated Balance Sheet'!I129+'Consolidated Balance Sheet'!I130+'Consolidated Balance Sheet'!I131</f>
        <v>0</v>
      </c>
      <c r="J55" s="12">
        <f>'Consolidated Balance Sheet'!J131</f>
        <v>0</v>
      </c>
      <c r="K55" s="12">
        <f>'Consolidated Balance Sheet'!K129+'Consolidated Balance Sheet'!K130+'Consolidated Balance Sheet'!K131</f>
        <v>0</v>
      </c>
      <c r="L55" s="12">
        <f>'Consolidated Balance Sheet'!L131</f>
        <v>0</v>
      </c>
      <c r="M55" s="12"/>
      <c r="N55" s="12">
        <f>'Consolidated Balance Sheet'!N131</f>
        <v>6126127.2300000004</v>
      </c>
      <c r="O55" s="12"/>
      <c r="P55" s="12">
        <f>SUM(B55:N55)</f>
        <v>14513479.109999999</v>
      </c>
      <c r="Q55" s="9" t="s">
        <v>548</v>
      </c>
      <c r="R55" s="54">
        <f>'Consolidated Balance Sheet'!R131</f>
        <v>0</v>
      </c>
      <c r="S55" s="12"/>
      <c r="T55" s="54">
        <f>'Consolidated Balance Sheet'!T131</f>
        <v>0</v>
      </c>
      <c r="U55" s="12"/>
      <c r="V55" s="54">
        <f>'Consolidated Balance Sheet'!V131</f>
        <v>4996824.41</v>
      </c>
      <c r="W55" s="12"/>
      <c r="X55" s="54">
        <f>'Consolidated Balance Sheet'!X131</f>
        <v>0</v>
      </c>
      <c r="Y55" s="12"/>
      <c r="Z55" s="54">
        <f>'Consolidated Balance Sheet'!Z131</f>
        <v>0</v>
      </c>
      <c r="AA55" s="12"/>
      <c r="AB55" s="54">
        <f>'Consolidated Balance Sheet'!AB131</f>
        <v>0</v>
      </c>
      <c r="AC55" s="12"/>
      <c r="AD55" s="54">
        <f>'Consolidated Balance Sheet'!AD131</f>
        <v>0</v>
      </c>
      <c r="AE55" s="12"/>
      <c r="AF55" s="12">
        <f>SUM(R55:AD55)</f>
        <v>4996824.41</v>
      </c>
      <c r="AG55" s="9" t="s">
        <v>548</v>
      </c>
      <c r="AH55" s="12">
        <f>P55</f>
        <v>14513479.109999999</v>
      </c>
      <c r="AI55" s="12">
        <v>0</v>
      </c>
      <c r="AJ55" s="12">
        <f>AF55</f>
        <v>4996824.41</v>
      </c>
      <c r="AK55" s="12"/>
      <c r="AL55" s="12">
        <f>AH55-AJ55</f>
        <v>9516654.6999999993</v>
      </c>
      <c r="AM55" s="12"/>
      <c r="AN55" s="13"/>
      <c r="AO55" s="13"/>
      <c r="AP55" s="14"/>
    </row>
    <row r="56" spans="1:42" s="9" customFormat="1" ht="24.95" customHeight="1" x14ac:dyDescent="0.2">
      <c r="A56" s="9" t="s">
        <v>325</v>
      </c>
      <c r="B56" s="16">
        <f>'Consolidated Balance Sheet'!B132+'Consolidated Balance Sheet'!B133+'Consolidated Balance Sheet'!B134+'Consolidated Balance Sheet'!B135+'Consolidated Balance Sheet'!B136+'Consolidated Balance Sheet'!B137+'Consolidated Balance Sheet'!B138</f>
        <v>-5018000</v>
      </c>
      <c r="C56" s="16">
        <f>'Consolidated Balance Sheet'!C132+'Consolidated Balance Sheet'!C133+'Consolidated Balance Sheet'!C134+'Consolidated Balance Sheet'!C135+'Consolidated Balance Sheet'!C136+'Consolidated Balance Sheet'!C137+'Consolidated Balance Sheet'!C138</f>
        <v>0</v>
      </c>
      <c r="D56" s="16">
        <f>'Consolidated Balance Sheet'!D132+'Consolidated Balance Sheet'!D133+'Consolidated Balance Sheet'!D134+'Consolidated Balance Sheet'!D135+'Consolidated Balance Sheet'!D136+'Consolidated Balance Sheet'!D137+'Consolidated Balance Sheet'!D138</f>
        <v>0</v>
      </c>
      <c r="E56" s="16">
        <f>'Consolidated Balance Sheet'!E132+'Consolidated Balance Sheet'!E133+'Consolidated Balance Sheet'!E134+'Consolidated Balance Sheet'!E135+'Consolidated Balance Sheet'!E136+'Consolidated Balance Sheet'!E137+'Consolidated Balance Sheet'!E138</f>
        <v>0</v>
      </c>
      <c r="F56" s="16">
        <f>'Consolidated Balance Sheet'!F132+'Consolidated Balance Sheet'!F133+'Consolidated Balance Sheet'!F134+'Consolidated Balance Sheet'!F135+'Consolidated Balance Sheet'!F136+'Consolidated Balance Sheet'!F137+'Consolidated Balance Sheet'!F138</f>
        <v>0</v>
      </c>
      <c r="G56" s="16">
        <f>'Consolidated Balance Sheet'!G132+'Consolidated Balance Sheet'!G133+'Consolidated Balance Sheet'!G134+'Consolidated Balance Sheet'!G135+'Consolidated Balance Sheet'!G136+'Consolidated Balance Sheet'!G137+'Consolidated Balance Sheet'!G138</f>
        <v>0</v>
      </c>
      <c r="H56" s="16">
        <f>'Consolidated Balance Sheet'!H132+'Consolidated Balance Sheet'!H133+'Consolidated Balance Sheet'!H134+'Consolidated Balance Sheet'!H135+'Consolidated Balance Sheet'!H136+'Consolidated Balance Sheet'!H137+'Consolidated Balance Sheet'!H138</f>
        <v>0</v>
      </c>
      <c r="I56" s="16">
        <f>'Consolidated Balance Sheet'!I132+'Consolidated Balance Sheet'!I133+'Consolidated Balance Sheet'!I134+'Consolidated Balance Sheet'!I135+'Consolidated Balance Sheet'!I136+'Consolidated Balance Sheet'!I137+'Consolidated Balance Sheet'!I138</f>
        <v>0</v>
      </c>
      <c r="J56" s="16">
        <f>'Consolidated Balance Sheet'!J132+'Consolidated Balance Sheet'!J133+'Consolidated Balance Sheet'!J134+'Consolidated Balance Sheet'!J135+'Consolidated Balance Sheet'!J136+'Consolidated Balance Sheet'!J137+'Consolidated Balance Sheet'!J138</f>
        <v>0</v>
      </c>
      <c r="K56" s="16">
        <f>'Consolidated Balance Sheet'!K132+'Consolidated Balance Sheet'!K133+'Consolidated Balance Sheet'!K134+'Consolidated Balance Sheet'!K135+'Consolidated Balance Sheet'!K136+'Consolidated Balance Sheet'!K137+'Consolidated Balance Sheet'!K138</f>
        <v>0</v>
      </c>
      <c r="L56" s="16">
        <f>'Consolidated Balance Sheet'!L132+'Consolidated Balance Sheet'!L133+'Consolidated Balance Sheet'!L134+'Consolidated Balance Sheet'!L135+'Consolidated Balance Sheet'!L136+'Consolidated Balance Sheet'!L137+'Consolidated Balance Sheet'!L138</f>
        <v>0</v>
      </c>
      <c r="M56" s="16"/>
      <c r="N56" s="16">
        <f>'Consolidated Balance Sheet'!N132+'Consolidated Balance Sheet'!N133+'Consolidated Balance Sheet'!N134+'Consolidated Balance Sheet'!N135+'Consolidated Balance Sheet'!N136+'Consolidated Balance Sheet'!N137+'Consolidated Balance Sheet'!N138</f>
        <v>0</v>
      </c>
      <c r="O56" s="16"/>
      <c r="P56" s="16">
        <f>SUM(B56:N56)</f>
        <v>-5018000</v>
      </c>
      <c r="Q56" s="9" t="s">
        <v>325</v>
      </c>
      <c r="R56" s="55">
        <f>SUM('Consolidated Balance Sheet'!R132:R138)</f>
        <v>-392483.45999999996</v>
      </c>
      <c r="S56" s="16"/>
      <c r="T56" s="55">
        <f>'Consolidated Balance Sheet'!T132+'Consolidated Balance Sheet'!T133+'Consolidated Balance Sheet'!T134+'Consolidated Balance Sheet'!T135+'Consolidated Balance Sheet'!T136+'Consolidated Balance Sheet'!T137+'Consolidated Balance Sheet'!T138</f>
        <v>-1534848.46</v>
      </c>
      <c r="U56" s="16"/>
      <c r="V56" s="55">
        <f>'Consolidated Balance Sheet'!V132+'Consolidated Balance Sheet'!V133+'Consolidated Balance Sheet'!V134+'Consolidated Balance Sheet'!V135+'Consolidated Balance Sheet'!V136+'Consolidated Balance Sheet'!V137+'Consolidated Balance Sheet'!V138</f>
        <v>0</v>
      </c>
      <c r="W56" s="16"/>
      <c r="X56" s="55">
        <f>'Consolidated Balance Sheet'!X132+'Consolidated Balance Sheet'!X133+'Consolidated Balance Sheet'!X134+'Consolidated Balance Sheet'!X135+'Consolidated Balance Sheet'!X136+'Consolidated Balance Sheet'!X137+'Consolidated Balance Sheet'!X138</f>
        <v>0</v>
      </c>
      <c r="Y56" s="16"/>
      <c r="Z56" s="55">
        <f>'Consolidated Balance Sheet'!Z132+'Consolidated Balance Sheet'!Z133+'Consolidated Balance Sheet'!Z134+'Consolidated Balance Sheet'!Z135+'Consolidated Balance Sheet'!Z136+'Consolidated Balance Sheet'!Z137+'Consolidated Balance Sheet'!Z138</f>
        <v>0</v>
      </c>
      <c r="AA56" s="16"/>
      <c r="AB56" s="55">
        <f>'Consolidated Balance Sheet'!AB132+'Consolidated Balance Sheet'!AB133+'Consolidated Balance Sheet'!AB134+'Consolidated Balance Sheet'!AB135+'Consolidated Balance Sheet'!AB136+'Consolidated Balance Sheet'!AB137+'Consolidated Balance Sheet'!AB138</f>
        <v>0</v>
      </c>
      <c r="AC56" s="16"/>
      <c r="AD56" s="55">
        <f>'Consolidated Balance Sheet'!AD132+'Consolidated Balance Sheet'!AD133+'Consolidated Balance Sheet'!AD134+'Consolidated Balance Sheet'!AD135+'Consolidated Balance Sheet'!AD136+'Consolidated Balance Sheet'!AD137+'Consolidated Balance Sheet'!AD138</f>
        <v>0</v>
      </c>
      <c r="AE56" s="16"/>
      <c r="AF56" s="16">
        <f>SUM(R56:AD56)</f>
        <v>-1927331.92</v>
      </c>
      <c r="AG56" s="9" t="s">
        <v>325</v>
      </c>
      <c r="AH56" s="12">
        <f>P56</f>
        <v>-5018000</v>
      </c>
      <c r="AI56" s="12"/>
      <c r="AJ56" s="12">
        <f>AF56</f>
        <v>-1927331.92</v>
      </c>
      <c r="AK56" s="12"/>
      <c r="AL56" s="12">
        <f>AH56-AJ56</f>
        <v>-3090668.08</v>
      </c>
      <c r="AM56" s="12"/>
      <c r="AN56" s="13">
        <f t="shared" si="23"/>
        <v>2.6035992803979506</v>
      </c>
      <c r="AO56" s="13"/>
      <c r="AP56" s="14">
        <f t="shared" si="24"/>
        <v>1.6035992803979506</v>
      </c>
    </row>
    <row r="57" spans="1:42" s="9" customFormat="1" ht="24.95" customHeight="1" x14ac:dyDescent="0.2">
      <c r="A57" s="27" t="s">
        <v>331</v>
      </c>
      <c r="B57" s="21">
        <f>SUM(B53:B56)</f>
        <v>26478451.770000003</v>
      </c>
      <c r="C57" s="21"/>
      <c r="D57" s="21">
        <f>SUM(D53:D56)</f>
        <v>357201.18</v>
      </c>
      <c r="E57" s="21"/>
      <c r="F57" s="21">
        <f>SUM(F53:F56)</f>
        <v>9189169.6699999999</v>
      </c>
      <c r="G57" s="21"/>
      <c r="H57" s="21">
        <f>SUM(H53:H56)</f>
        <v>459570.85000000003</v>
      </c>
      <c r="I57" s="21"/>
      <c r="J57" s="21">
        <f>SUM(J53:J56)</f>
        <v>-1248988.4000000001</v>
      </c>
      <c r="K57" s="21"/>
      <c r="L57" s="21">
        <f>SUM(L53:L56)</f>
        <v>5154795.67</v>
      </c>
      <c r="M57" s="21"/>
      <c r="N57" s="21">
        <f>SUM(N53:N56)</f>
        <v>8450510.9200000018</v>
      </c>
      <c r="O57" s="21"/>
      <c r="P57" s="21">
        <f>SUM(P53:P56)</f>
        <v>48840711.660000004</v>
      </c>
      <c r="Q57" s="27" t="s">
        <v>331</v>
      </c>
      <c r="R57" s="56">
        <f>SUM(R53:R56)</f>
        <v>11469163.02</v>
      </c>
      <c r="S57" s="21"/>
      <c r="T57" s="56">
        <f t="shared" ref="T57:AB57" si="25">SUM(T53:T56)</f>
        <v>501902.29000000004</v>
      </c>
      <c r="U57" s="21"/>
      <c r="V57" s="56">
        <f t="shared" si="25"/>
        <v>6191097.5300000003</v>
      </c>
      <c r="W57" s="21"/>
      <c r="X57" s="56">
        <f t="shared" si="25"/>
        <v>419118.38</v>
      </c>
      <c r="Y57" s="21"/>
      <c r="Z57" s="56">
        <f t="shared" si="25"/>
        <v>-1226994.17</v>
      </c>
      <c r="AA57" s="21"/>
      <c r="AB57" s="56">
        <f t="shared" si="25"/>
        <v>4978648.17</v>
      </c>
      <c r="AC57" s="21"/>
      <c r="AD57" s="56">
        <f>SUM(AD53:AD56)</f>
        <v>1451344.56</v>
      </c>
      <c r="AE57" s="21"/>
      <c r="AF57" s="21">
        <f>SUM(AF53:AF56)</f>
        <v>23784279.780000001</v>
      </c>
      <c r="AG57" s="27" t="s">
        <v>331</v>
      </c>
      <c r="AH57" s="21">
        <f>SUM(AH53:AH56)</f>
        <v>48840711.660000004</v>
      </c>
      <c r="AI57" s="21"/>
      <c r="AJ57" s="21">
        <f>SUM(AJ53:AJ56)</f>
        <v>23784279.780000001</v>
      </c>
      <c r="AK57" s="21"/>
      <c r="AL57" s="21">
        <f>SUM(AL53:AL56)</f>
        <v>25056431.880000003</v>
      </c>
      <c r="AM57" s="22"/>
      <c r="AN57" s="13">
        <f t="shared" si="23"/>
        <v>2.0534870978548505</v>
      </c>
      <c r="AO57" s="13"/>
      <c r="AP57" s="14">
        <f t="shared" si="24"/>
        <v>1.0534870978548505</v>
      </c>
    </row>
    <row r="58" spans="1:42" s="9" customFormat="1" ht="24.95" customHeight="1" x14ac:dyDescent="0.2">
      <c r="B58" s="12"/>
      <c r="C58" s="12"/>
      <c r="D58" s="12"/>
      <c r="E58" s="12"/>
      <c r="F58" s="12"/>
      <c r="G58" s="12"/>
      <c r="P58" s="10"/>
      <c r="R58" s="60"/>
      <c r="S58" s="10"/>
      <c r="T58" s="60"/>
      <c r="U58" s="10"/>
      <c r="V58" s="60"/>
      <c r="W58" s="10"/>
      <c r="X58" s="60"/>
      <c r="Y58" s="10"/>
      <c r="Z58" s="60"/>
      <c r="AA58" s="10"/>
      <c r="AB58" s="60"/>
      <c r="AC58" s="10"/>
      <c r="AD58" s="60"/>
      <c r="AE58" s="10"/>
      <c r="AF58" s="10"/>
      <c r="AN58" s="13"/>
      <c r="AO58" s="13"/>
      <c r="AP58" s="19"/>
    </row>
    <row r="59" spans="1:42" s="9" customFormat="1" ht="24.95" customHeight="1" thickBot="1" x14ac:dyDescent="0.25">
      <c r="A59" s="8" t="s">
        <v>333</v>
      </c>
      <c r="B59" s="23">
        <f>SUM(B57,B48,B43)</f>
        <v>83298419.609999999</v>
      </c>
      <c r="C59" s="23"/>
      <c r="D59" s="23">
        <f>SUM(D57,D48,D43)</f>
        <v>363173.81</v>
      </c>
      <c r="E59" s="23"/>
      <c r="F59" s="23">
        <f>SUM(F57,F48,F43)</f>
        <v>9775775.5800000001</v>
      </c>
      <c r="G59" s="23"/>
      <c r="H59" s="23">
        <f>SUM(H57,H48,H43)</f>
        <v>931970.84000000008</v>
      </c>
      <c r="I59" s="23"/>
      <c r="J59" s="23">
        <f>SUM(J57,J48,J43)</f>
        <v>2037537.9499999997</v>
      </c>
      <c r="K59" s="23"/>
      <c r="L59" s="23">
        <f>SUM(L57,L48,L43)</f>
        <v>5514919.71</v>
      </c>
      <c r="M59" s="23"/>
      <c r="N59" s="23">
        <f>SUM(N57,N48,N43)</f>
        <v>8840673.7600000016</v>
      </c>
      <c r="O59" s="23"/>
      <c r="P59" s="23">
        <f>SUM(P57,P48,P43)</f>
        <v>110762471.25999999</v>
      </c>
      <c r="Q59" s="8" t="s">
        <v>333</v>
      </c>
      <c r="R59" s="57">
        <f>SUM(R57,R48,R43)</f>
        <v>31475610.339999996</v>
      </c>
      <c r="S59" s="23"/>
      <c r="T59" s="57">
        <f>SUM(T57,T48,T43)</f>
        <v>1634614.5199999998</v>
      </c>
      <c r="U59" s="23"/>
      <c r="V59" s="57">
        <f>SUM(V57,V48,V43)</f>
        <v>6781871.71</v>
      </c>
      <c r="W59" s="23"/>
      <c r="X59" s="57">
        <f>SUM(X57,X48,X43)</f>
        <v>712724.27</v>
      </c>
      <c r="Y59" s="23"/>
      <c r="Z59" s="57">
        <f>SUM(Z57,Z48,Z43)</f>
        <v>2004435.5000000002</v>
      </c>
      <c r="AA59" s="23"/>
      <c r="AB59" s="57">
        <f>SUM(AB57,AB48,AB43)</f>
        <v>5324358.26</v>
      </c>
      <c r="AC59" s="23"/>
      <c r="AD59" s="57">
        <f>SUM(AD57,AD48,AD43)</f>
        <v>8149549.9400000013</v>
      </c>
      <c r="AE59" s="23"/>
      <c r="AF59" s="23">
        <f>SUM(AF57,AF48,AF43)</f>
        <v>56083164.540000007</v>
      </c>
      <c r="AG59" s="8" t="s">
        <v>333</v>
      </c>
      <c r="AH59" s="23">
        <f>SUM(AH57,AH48,AH43)</f>
        <v>110762471.25999999</v>
      </c>
      <c r="AI59" s="23"/>
      <c r="AJ59" s="23">
        <f>SUM(AJ57,AJ48,AJ43)</f>
        <v>56083164.540000007</v>
      </c>
      <c r="AK59" s="23"/>
      <c r="AL59" s="23">
        <f>SUM(AL57,AL48,AL43)</f>
        <v>54679306.719999999</v>
      </c>
      <c r="AM59" s="25"/>
      <c r="AN59" s="13">
        <f t="shared" si="23"/>
        <v>1.9749682844840406</v>
      </c>
      <c r="AO59" s="13"/>
      <c r="AP59" s="14">
        <f t="shared" si="24"/>
        <v>0.9749682844840406</v>
      </c>
    </row>
    <row r="60" spans="1:42" ht="15.75" thickTop="1" x14ac:dyDescent="0.2">
      <c r="B60" s="3">
        <f>B59-CNT!U162</f>
        <v>0</v>
      </c>
      <c r="C60" s="3"/>
      <c r="D60" s="3">
        <f>D59-D31</f>
        <v>0</v>
      </c>
      <c r="E60" s="3"/>
      <c r="F60" s="3">
        <f>F59-F31</f>
        <v>0</v>
      </c>
      <c r="G60" s="3"/>
      <c r="H60" s="3">
        <f>H59-H31</f>
        <v>0</v>
      </c>
      <c r="I60" s="3"/>
      <c r="J60" s="3">
        <f>J59-J31</f>
        <v>0</v>
      </c>
      <c r="K60" s="3"/>
      <c r="L60" s="3">
        <f>L59-L31</f>
        <v>0</v>
      </c>
      <c r="M60" s="3"/>
      <c r="N60" s="3">
        <f>N59-N31</f>
        <v>0</v>
      </c>
      <c r="O60" s="3"/>
      <c r="P60" s="3">
        <f>P59-P31</f>
        <v>0</v>
      </c>
      <c r="R60" s="58">
        <f>R59-R31</f>
        <v>5881217.3699999452</v>
      </c>
      <c r="T60" s="58">
        <f>T59-T31</f>
        <v>473771.50999999978</v>
      </c>
      <c r="U60" s="3"/>
      <c r="V60" s="58">
        <f>V59-V31</f>
        <v>565.38999999966472</v>
      </c>
      <c r="X60" s="58">
        <f>X59-X31</f>
        <v>-307614.30999999994</v>
      </c>
      <c r="Z60" s="58">
        <f>Z59-Z31</f>
        <v>-3692.009999999078</v>
      </c>
      <c r="AB60" s="58">
        <f>AB59-AB31</f>
        <v>-3682.7999999998137</v>
      </c>
      <c r="AD60" s="58">
        <f>AD59-AD31</f>
        <v>-31438.059999998659</v>
      </c>
      <c r="AE60" s="3"/>
      <c r="AF60" s="3">
        <f>AF59-AF31</f>
        <v>6009127.0899999663</v>
      </c>
      <c r="AG60" s="3"/>
      <c r="AH60" s="3">
        <f>AH59-AH31</f>
        <v>0</v>
      </c>
      <c r="AI60" s="3"/>
      <c r="AJ60" s="3">
        <f>AJ59-AJ31</f>
        <v>6009127.0899999663</v>
      </c>
      <c r="AK60" s="3"/>
      <c r="AL60" s="3">
        <f>AL59-AL31</f>
        <v>-6009127.089999944</v>
      </c>
      <c r="AM60" s="3"/>
      <c r="AN60" s="4">
        <f>AN59-AN31</f>
        <v>-0.23700576235806969</v>
      </c>
      <c r="AO60" s="3"/>
      <c r="AP60" s="3">
        <f>AP59-AP31</f>
        <v>-0.23700576235806969</v>
      </c>
    </row>
    <row r="61" spans="1:42" x14ac:dyDescent="0.2">
      <c r="B61" s="3">
        <f>B59-B31</f>
        <v>0</v>
      </c>
      <c r="C61" s="3"/>
      <c r="D61" s="3">
        <f>D59-D31</f>
        <v>0</v>
      </c>
      <c r="E61" s="3"/>
      <c r="F61" s="3">
        <f>F59-F31</f>
        <v>0</v>
      </c>
      <c r="G61" s="3"/>
      <c r="H61" s="3">
        <f>H59-H31</f>
        <v>0</v>
      </c>
      <c r="J61" s="3">
        <f>J59-J31</f>
        <v>0</v>
      </c>
      <c r="L61" s="3">
        <f>L59-L31</f>
        <v>0</v>
      </c>
      <c r="N61" s="3">
        <f>N59-N31</f>
        <v>0</v>
      </c>
      <c r="P61" s="3">
        <f>P59-P31</f>
        <v>0</v>
      </c>
      <c r="R61" s="61">
        <f>'Consolidated Balance Sheet'!R141</f>
        <v>25594392.969999999</v>
      </c>
      <c r="T61" s="61">
        <f>'Consolidated Balance Sheet'!T141</f>
        <v>1160843.01</v>
      </c>
      <c r="V61" s="61">
        <f>'Consolidated Balance Sheet'!V141</f>
        <v>6781306.3200000003</v>
      </c>
      <c r="X61" s="61">
        <f>'Consolidated Balance Sheet'!X141</f>
        <v>1020338.58</v>
      </c>
      <c r="Z61" s="61">
        <f>'Consolidated Balance Sheet'!Z141</f>
        <v>2008127.51</v>
      </c>
      <c r="AB61" s="61">
        <f>'Consolidated Balance Sheet'!AB141</f>
        <v>5328041.0599999996</v>
      </c>
      <c r="AD61" s="61">
        <f>'Consolidated Balance Sheet'!AD141</f>
        <v>8180988.0000000009</v>
      </c>
    </row>
    <row r="62" spans="1:42" x14ac:dyDescent="0.2">
      <c r="R62" s="61">
        <f>R59-R61</f>
        <v>5881217.3699999973</v>
      </c>
      <c r="T62" s="61">
        <f t="shared" ref="T62:AD62" si="26">T59-T61</f>
        <v>473771.50999999978</v>
      </c>
      <c r="V62" s="61">
        <f t="shared" si="26"/>
        <v>565.38999999966472</v>
      </c>
      <c r="X62" s="61">
        <f t="shared" si="26"/>
        <v>-307614.30999999994</v>
      </c>
      <c r="Z62" s="61">
        <f t="shared" si="26"/>
        <v>-3692.0099999997765</v>
      </c>
      <c r="AB62" s="61">
        <f t="shared" si="26"/>
        <v>-3682.7999999998137</v>
      </c>
      <c r="AD62" s="61">
        <f t="shared" si="26"/>
        <v>-31438.05999999959</v>
      </c>
      <c r="AL62" s="38">
        <f>AL59-'Consolidated Balance Sheet'!AL141</f>
        <v>-6009127.090000011</v>
      </c>
    </row>
    <row r="63" spans="1:42" x14ac:dyDescent="0.2">
      <c r="B63" s="7">
        <f>B59-'Consolidated Balance Sheet'!B141</f>
        <v>0</v>
      </c>
      <c r="C63" s="7">
        <f>C59-'Consolidated Balance Sheet'!C141</f>
        <v>0</v>
      </c>
      <c r="D63" s="7">
        <f>D59-'Consolidated Balance Sheet'!D141</f>
        <v>0</v>
      </c>
      <c r="E63" s="7">
        <f>E59-'Consolidated Balance Sheet'!E141</f>
        <v>0</v>
      </c>
      <c r="F63" s="7">
        <f>F59-'Consolidated Balance Sheet'!F141</f>
        <v>0</v>
      </c>
      <c r="G63" s="7">
        <f>G59-'Consolidated Balance Sheet'!G141</f>
        <v>0</v>
      </c>
      <c r="H63" s="7">
        <f>H59-'Consolidated Balance Sheet'!H141</f>
        <v>0</v>
      </c>
      <c r="I63" s="7">
        <f>I59-'Consolidated Balance Sheet'!I141</f>
        <v>0</v>
      </c>
      <c r="J63" s="7">
        <f>J59-'Consolidated Balance Sheet'!J141</f>
        <v>0</v>
      </c>
      <c r="K63" s="7">
        <f>K59-'Consolidated Balance Sheet'!K141</f>
        <v>0</v>
      </c>
      <c r="L63" s="7">
        <f>L59-'Consolidated Balance Sheet'!L141</f>
        <v>0</v>
      </c>
      <c r="M63" s="7">
        <f>M59-'Consolidated Balance Sheet'!O141</f>
        <v>0</v>
      </c>
      <c r="N63" s="7">
        <f>N59-'Consolidated Balance Sheet'!N141</f>
        <v>0</v>
      </c>
      <c r="O63" s="7"/>
      <c r="P63" s="7">
        <f>P59-'Consolidated Balance Sheet'!P141</f>
        <v>0</v>
      </c>
      <c r="AF63" s="38">
        <f>AF59-'Consolidated Balance Sheet'!AF141</f>
        <v>6009127.0900000036</v>
      </c>
    </row>
    <row r="74" spans="1:1" x14ac:dyDescent="0.2">
      <c r="A74" s="2" t="s">
        <v>695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1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4" ht="12" customHeight="1" x14ac:dyDescent="0.2"/>
    <row r="3" spans="1:24" ht="12" customHeight="1" x14ac:dyDescent="0.2">
      <c r="A3" s="171" t="s">
        <v>699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4" ht="12" customHeight="1" x14ac:dyDescent="0.2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</row>
    <row r="5" spans="1:24" ht="12" customHeight="1" x14ac:dyDescent="0.2"/>
    <row r="6" spans="1:24" ht="12" customHeight="1" x14ac:dyDescent="0.2"/>
    <row r="7" spans="1:24" ht="12" customHeight="1" x14ac:dyDescent="0.2">
      <c r="A7" s="162" t="s">
        <v>2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8" spans="1:24" ht="12" customHeight="1" x14ac:dyDescent="0.2">
      <c r="B8" s="162" t="s">
        <v>3</v>
      </c>
      <c r="C8" s="162"/>
      <c r="D8" s="162"/>
      <c r="E8" s="162"/>
      <c r="F8" s="162"/>
      <c r="G8" s="162"/>
      <c r="H8" s="162"/>
      <c r="I8" s="162"/>
      <c r="J8" s="162"/>
      <c r="K8" s="162"/>
    </row>
    <row r="9" spans="1:24" ht="12" customHeight="1" x14ac:dyDescent="0.2">
      <c r="S9" s="75">
        <v>0</v>
      </c>
    </row>
    <row r="10" spans="1:24" ht="12" customHeight="1" x14ac:dyDescent="0.2">
      <c r="C10" s="164" t="s">
        <v>216</v>
      </c>
      <c r="D10" s="164"/>
      <c r="E10" s="164"/>
      <c r="F10" s="164"/>
      <c r="H10" s="164" t="s">
        <v>217</v>
      </c>
      <c r="I10" s="164"/>
      <c r="J10" s="164"/>
      <c r="K10" s="164"/>
      <c r="L10" s="164"/>
      <c r="M10" s="164"/>
      <c r="N10" s="164"/>
      <c r="O10" s="164"/>
      <c r="P10" s="164"/>
      <c r="Q10" s="164"/>
      <c r="S10" s="129">
        <v>0</v>
      </c>
    </row>
    <row r="11" spans="1:24" ht="12" customHeight="1" x14ac:dyDescent="0.2">
      <c r="C11" s="164" t="s">
        <v>4</v>
      </c>
      <c r="D11" s="164"/>
      <c r="E11" s="164"/>
      <c r="F11" s="164"/>
      <c r="H11" s="164" t="s">
        <v>5</v>
      </c>
      <c r="I11" s="164"/>
      <c r="J11" s="164"/>
      <c r="K11" s="164"/>
      <c r="L11" s="164"/>
      <c r="M11" s="164"/>
      <c r="N11" s="164"/>
      <c r="O11" s="164"/>
      <c r="P11" s="164"/>
      <c r="Q11" s="164"/>
      <c r="S11" s="129">
        <v>490</v>
      </c>
    </row>
    <row r="12" spans="1:24" ht="12" customHeight="1" x14ac:dyDescent="0.2">
      <c r="C12" s="164" t="s">
        <v>6</v>
      </c>
      <c r="D12" s="164"/>
      <c r="E12" s="164"/>
      <c r="F12" s="164"/>
      <c r="H12" s="164" t="s">
        <v>7</v>
      </c>
      <c r="I12" s="164"/>
      <c r="J12" s="164"/>
      <c r="K12" s="164"/>
      <c r="L12" s="164"/>
      <c r="M12" s="164"/>
      <c r="N12" s="164"/>
      <c r="O12" s="164"/>
      <c r="P12" s="164"/>
      <c r="Q12" s="164"/>
      <c r="S12" s="129">
        <v>0</v>
      </c>
    </row>
    <row r="13" spans="1:24" ht="12" customHeight="1" x14ac:dyDescent="0.2">
      <c r="C13" s="164" t="s">
        <v>8</v>
      </c>
      <c r="D13" s="164"/>
      <c r="E13" s="164"/>
      <c r="F13" s="164"/>
      <c r="H13" s="164" t="s">
        <v>9</v>
      </c>
      <c r="I13" s="164"/>
      <c r="J13" s="164"/>
      <c r="K13" s="164"/>
      <c r="L13" s="164"/>
      <c r="M13" s="164"/>
      <c r="N13" s="164"/>
      <c r="O13" s="164"/>
      <c r="P13" s="164"/>
      <c r="Q13" s="164"/>
      <c r="S13" s="129">
        <v>0</v>
      </c>
    </row>
    <row r="14" spans="1:24" ht="12" customHeight="1" x14ac:dyDescent="0.2">
      <c r="C14" s="164">
        <v>1151</v>
      </c>
      <c r="D14" s="164"/>
      <c r="E14" s="164"/>
      <c r="F14" s="164"/>
      <c r="H14" s="164" t="s">
        <v>604</v>
      </c>
      <c r="I14" s="164"/>
      <c r="J14" s="164"/>
      <c r="K14" s="164"/>
      <c r="L14" s="164"/>
      <c r="M14" s="164"/>
      <c r="N14" s="164"/>
      <c r="O14" s="164"/>
      <c r="P14" s="164"/>
      <c r="Q14" s="164"/>
      <c r="S14" s="129">
        <v>0</v>
      </c>
    </row>
    <row r="15" spans="1:24" ht="12" customHeight="1" x14ac:dyDescent="0.2">
      <c r="C15" s="164" t="s">
        <v>12</v>
      </c>
      <c r="D15" s="164"/>
      <c r="E15" s="164"/>
      <c r="F15" s="164"/>
      <c r="H15" s="164" t="s">
        <v>13</v>
      </c>
      <c r="I15" s="164"/>
      <c r="J15" s="164"/>
      <c r="K15" s="164"/>
      <c r="L15" s="164"/>
      <c r="M15" s="164"/>
      <c r="N15" s="164"/>
      <c r="O15" s="164"/>
      <c r="P15" s="164"/>
      <c r="Q15" s="164"/>
      <c r="S15" s="129">
        <v>0</v>
      </c>
    </row>
    <row r="16" spans="1:24" ht="12" customHeight="1" x14ac:dyDescent="0.2">
      <c r="C16" s="164" t="s">
        <v>14</v>
      </c>
      <c r="D16" s="164"/>
      <c r="E16" s="164"/>
      <c r="F16" s="164"/>
      <c r="H16" s="164" t="s">
        <v>15</v>
      </c>
      <c r="I16" s="164"/>
      <c r="J16" s="164"/>
      <c r="K16" s="164"/>
      <c r="L16" s="164"/>
      <c r="M16" s="164"/>
      <c r="N16" s="164"/>
      <c r="O16" s="164"/>
      <c r="P16" s="164"/>
      <c r="Q16" s="164"/>
      <c r="S16" s="129">
        <v>0</v>
      </c>
    </row>
    <row r="17" spans="3:19" ht="12" customHeight="1" x14ac:dyDescent="0.2">
      <c r="C17" s="164" t="s">
        <v>16</v>
      </c>
      <c r="D17" s="164"/>
      <c r="E17" s="164"/>
      <c r="F17" s="164"/>
      <c r="H17" s="164" t="s">
        <v>17</v>
      </c>
      <c r="I17" s="164"/>
      <c r="J17" s="164"/>
      <c r="K17" s="164"/>
      <c r="L17" s="164"/>
      <c r="M17" s="164"/>
      <c r="N17" s="164"/>
      <c r="O17" s="164"/>
      <c r="P17" s="164"/>
      <c r="Q17" s="164"/>
      <c r="S17" s="129">
        <v>7824787.9000000004</v>
      </c>
    </row>
    <row r="18" spans="3:19" ht="12" customHeight="1" x14ac:dyDescent="0.2">
      <c r="C18" s="164">
        <v>1220</v>
      </c>
      <c r="D18" s="164"/>
      <c r="E18" s="164"/>
      <c r="F18" s="164"/>
      <c r="H18" s="164" t="s">
        <v>689</v>
      </c>
      <c r="I18" s="164"/>
      <c r="J18" s="164"/>
      <c r="K18" s="164"/>
      <c r="L18" s="164"/>
      <c r="M18" s="164"/>
      <c r="N18" s="164"/>
      <c r="O18" s="164"/>
      <c r="P18" s="164"/>
      <c r="Q18" s="164"/>
      <c r="S18" s="129">
        <v>9331.48</v>
      </c>
    </row>
    <row r="19" spans="3:19" ht="12" customHeight="1" x14ac:dyDescent="0.2">
      <c r="C19" s="164" t="s">
        <v>18</v>
      </c>
      <c r="D19" s="164"/>
      <c r="E19" s="164"/>
      <c r="F19" s="164"/>
      <c r="H19" s="164" t="s">
        <v>19</v>
      </c>
      <c r="I19" s="164"/>
      <c r="J19" s="164"/>
      <c r="K19" s="164"/>
      <c r="L19" s="164"/>
      <c r="M19" s="164"/>
      <c r="N19" s="164"/>
      <c r="O19" s="164"/>
      <c r="P19" s="164"/>
      <c r="Q19" s="164"/>
      <c r="S19" s="129">
        <v>116167762.94</v>
      </c>
    </row>
    <row r="20" spans="3:19" ht="12" customHeight="1" x14ac:dyDescent="0.2">
      <c r="C20" s="164" t="s">
        <v>20</v>
      </c>
      <c r="D20" s="164"/>
      <c r="E20" s="164"/>
      <c r="F20" s="164"/>
      <c r="H20" s="164" t="s">
        <v>21</v>
      </c>
      <c r="I20" s="164"/>
      <c r="J20" s="164"/>
      <c r="K20" s="164"/>
      <c r="L20" s="164"/>
      <c r="M20" s="164"/>
      <c r="N20" s="164"/>
      <c r="O20" s="164"/>
      <c r="P20" s="164"/>
      <c r="Q20" s="164"/>
      <c r="S20" s="129">
        <v>81224590.909999996</v>
      </c>
    </row>
    <row r="21" spans="3:19" ht="12" customHeight="1" x14ac:dyDescent="0.2">
      <c r="C21" s="164" t="s">
        <v>22</v>
      </c>
      <c r="D21" s="164"/>
      <c r="E21" s="164"/>
      <c r="F21" s="164"/>
      <c r="H21" s="164" t="s">
        <v>23</v>
      </c>
      <c r="I21" s="164"/>
      <c r="J21" s="164"/>
      <c r="K21" s="164"/>
      <c r="L21" s="164"/>
      <c r="M21" s="164"/>
      <c r="N21" s="164"/>
      <c r="O21" s="164"/>
      <c r="P21" s="164"/>
      <c r="Q21" s="164"/>
      <c r="S21" s="129">
        <v>2613633.71</v>
      </c>
    </row>
    <row r="22" spans="3:19" ht="12" customHeight="1" x14ac:dyDescent="0.2">
      <c r="C22" s="164" t="s">
        <v>24</v>
      </c>
      <c r="D22" s="164"/>
      <c r="E22" s="164"/>
      <c r="F22" s="164"/>
      <c r="H22" s="164" t="s">
        <v>25</v>
      </c>
      <c r="I22" s="164"/>
      <c r="J22" s="164"/>
      <c r="K22" s="164"/>
      <c r="L22" s="164"/>
      <c r="M22" s="164"/>
      <c r="N22" s="164"/>
      <c r="O22" s="164"/>
      <c r="P22" s="164"/>
      <c r="Q22" s="164"/>
      <c r="S22" s="129">
        <v>776186.54</v>
      </c>
    </row>
    <row r="23" spans="3:19" ht="12" customHeight="1" x14ac:dyDescent="0.2">
      <c r="C23" s="164" t="s">
        <v>26</v>
      </c>
      <c r="D23" s="164"/>
      <c r="E23" s="164"/>
      <c r="F23" s="164"/>
      <c r="H23" s="164" t="s">
        <v>27</v>
      </c>
      <c r="I23" s="164"/>
      <c r="J23" s="164"/>
      <c r="K23" s="164"/>
      <c r="L23" s="164"/>
      <c r="M23" s="164"/>
      <c r="N23" s="164"/>
      <c r="O23" s="164"/>
      <c r="P23" s="164"/>
      <c r="Q23" s="164"/>
      <c r="S23" s="129">
        <v>0</v>
      </c>
    </row>
    <row r="24" spans="3:19" ht="12" customHeight="1" x14ac:dyDescent="0.2">
      <c r="C24" s="164" t="s">
        <v>28</v>
      </c>
      <c r="D24" s="164"/>
      <c r="E24" s="164"/>
      <c r="F24" s="164"/>
      <c r="H24" s="164" t="s">
        <v>29</v>
      </c>
      <c r="I24" s="164"/>
      <c r="J24" s="164"/>
      <c r="K24" s="164"/>
      <c r="L24" s="164"/>
      <c r="M24" s="164"/>
      <c r="N24" s="164"/>
      <c r="O24" s="164"/>
      <c r="P24" s="164"/>
      <c r="Q24" s="164"/>
      <c r="S24" s="129">
        <v>1212848.83</v>
      </c>
    </row>
    <row r="25" spans="3:19" ht="12" customHeight="1" x14ac:dyDescent="0.2">
      <c r="C25" s="164" t="s">
        <v>30</v>
      </c>
      <c r="D25" s="164"/>
      <c r="E25" s="164"/>
      <c r="F25" s="164"/>
      <c r="H25" s="164" t="s">
        <v>31</v>
      </c>
      <c r="I25" s="164"/>
      <c r="J25" s="164"/>
      <c r="K25" s="164"/>
      <c r="L25" s="164"/>
      <c r="M25" s="164"/>
      <c r="N25" s="164"/>
      <c r="O25" s="164"/>
      <c r="P25" s="164"/>
      <c r="Q25" s="164"/>
      <c r="S25" s="129">
        <v>20215.73</v>
      </c>
    </row>
    <row r="26" spans="3:19" ht="12" customHeight="1" x14ac:dyDescent="0.2">
      <c r="C26" s="164" t="s">
        <v>32</v>
      </c>
      <c r="D26" s="164"/>
      <c r="E26" s="164"/>
      <c r="F26" s="164"/>
      <c r="H26" s="164" t="s">
        <v>33</v>
      </c>
      <c r="I26" s="164"/>
      <c r="J26" s="164"/>
      <c r="K26" s="164"/>
      <c r="L26" s="164"/>
      <c r="M26" s="164"/>
      <c r="N26" s="164"/>
      <c r="O26" s="164"/>
      <c r="P26" s="164"/>
      <c r="Q26" s="164"/>
      <c r="S26" s="129">
        <v>-8979896.3800000008</v>
      </c>
    </row>
    <row r="27" spans="3:19" ht="12" customHeight="1" x14ac:dyDescent="0.2">
      <c r="C27" s="164" t="s">
        <v>34</v>
      </c>
      <c r="D27" s="164"/>
      <c r="E27" s="164"/>
      <c r="F27" s="164"/>
      <c r="H27" s="164" t="s">
        <v>35</v>
      </c>
      <c r="I27" s="164"/>
      <c r="J27" s="164"/>
      <c r="K27" s="164"/>
      <c r="L27" s="164"/>
      <c r="M27" s="164"/>
      <c r="N27" s="164"/>
      <c r="O27" s="164"/>
      <c r="P27" s="164"/>
      <c r="Q27" s="164"/>
      <c r="S27" s="129">
        <v>-131760167.68000001</v>
      </c>
    </row>
    <row r="28" spans="3:19" ht="12" customHeight="1" x14ac:dyDescent="0.2">
      <c r="C28" s="164" t="s">
        <v>36</v>
      </c>
      <c r="D28" s="164"/>
      <c r="E28" s="164"/>
      <c r="F28" s="164"/>
      <c r="H28" s="164" t="s">
        <v>37</v>
      </c>
      <c r="I28" s="164"/>
      <c r="J28" s="164"/>
      <c r="K28" s="164"/>
      <c r="L28" s="164"/>
      <c r="M28" s="164"/>
      <c r="N28" s="164"/>
      <c r="O28" s="164"/>
      <c r="P28" s="164"/>
      <c r="Q28" s="164"/>
      <c r="S28" s="129">
        <v>-20471810.41</v>
      </c>
    </row>
    <row r="29" spans="3:19" ht="12" customHeight="1" x14ac:dyDescent="0.2">
      <c r="C29" s="164">
        <v>1232</v>
      </c>
      <c r="D29" s="164"/>
      <c r="E29" s="164"/>
      <c r="F29" s="164"/>
      <c r="H29" s="164" t="s">
        <v>39</v>
      </c>
      <c r="I29" s="164"/>
      <c r="J29" s="164"/>
      <c r="K29" s="164"/>
      <c r="L29" s="164"/>
      <c r="M29" s="164"/>
      <c r="N29" s="164"/>
      <c r="O29" s="164"/>
      <c r="P29" s="164"/>
      <c r="Q29" s="164"/>
      <c r="S29" s="129">
        <v>-64228.68</v>
      </c>
    </row>
    <row r="30" spans="3:19" ht="12" customHeight="1" x14ac:dyDescent="0.2">
      <c r="C30" s="164" t="s">
        <v>40</v>
      </c>
      <c r="D30" s="164"/>
      <c r="E30" s="164"/>
      <c r="F30" s="164"/>
      <c r="H30" s="164" t="s">
        <v>41</v>
      </c>
      <c r="I30" s="164"/>
      <c r="J30" s="164"/>
      <c r="K30" s="164"/>
      <c r="L30" s="164"/>
      <c r="M30" s="164"/>
      <c r="N30" s="164"/>
      <c r="O30" s="164"/>
      <c r="P30" s="164"/>
      <c r="Q30" s="164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525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64" t="s">
        <v>42</v>
      </c>
      <c r="D32" s="164"/>
      <c r="E32" s="164"/>
      <c r="F32" s="164"/>
      <c r="H32" s="164" t="s">
        <v>43</v>
      </c>
      <c r="I32" s="164"/>
      <c r="J32" s="164"/>
      <c r="K32" s="164"/>
      <c r="L32" s="164"/>
      <c r="M32" s="164"/>
      <c r="N32" s="164"/>
      <c r="O32" s="164"/>
      <c r="P32" s="164"/>
      <c r="Q32" s="164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64" t="s">
        <v>586</v>
      </c>
      <c r="I33" s="164"/>
      <c r="J33" s="164"/>
      <c r="K33" s="164"/>
      <c r="L33" s="164"/>
      <c r="M33" s="164"/>
      <c r="N33" s="164"/>
      <c r="O33" s="164"/>
      <c r="P33" s="164"/>
      <c r="Q33" s="164"/>
      <c r="S33" s="129">
        <v>0</v>
      </c>
    </row>
    <row r="34" spans="3:19" ht="12" customHeight="1" x14ac:dyDescent="0.2">
      <c r="C34" s="164" t="s">
        <v>46</v>
      </c>
      <c r="D34" s="164"/>
      <c r="E34" s="164"/>
      <c r="F34" s="164"/>
      <c r="H34" s="164" t="s">
        <v>47</v>
      </c>
      <c r="I34" s="164"/>
      <c r="J34" s="164"/>
      <c r="K34" s="164"/>
      <c r="L34" s="164"/>
      <c r="M34" s="164"/>
      <c r="N34" s="164"/>
      <c r="O34" s="164"/>
      <c r="P34" s="164"/>
      <c r="Q34" s="164"/>
      <c r="S34" s="129">
        <v>0</v>
      </c>
    </row>
    <row r="35" spans="3:19" ht="12" customHeight="1" x14ac:dyDescent="0.2">
      <c r="C35" s="164" t="s">
        <v>48</v>
      </c>
      <c r="D35" s="164"/>
      <c r="E35" s="164"/>
      <c r="F35" s="164"/>
      <c r="H35" s="164" t="s">
        <v>49</v>
      </c>
      <c r="I35" s="164"/>
      <c r="J35" s="164"/>
      <c r="K35" s="164"/>
      <c r="L35" s="164"/>
      <c r="M35" s="164"/>
      <c r="N35" s="164"/>
      <c r="O35" s="164"/>
      <c r="P35" s="164"/>
      <c r="Q35" s="164"/>
      <c r="S35" s="129">
        <v>154663.69</v>
      </c>
    </row>
    <row r="36" spans="3:19" ht="12" customHeight="1" x14ac:dyDescent="0.2">
      <c r="C36" s="164" t="s">
        <v>50</v>
      </c>
      <c r="D36" s="164"/>
      <c r="E36" s="164"/>
      <c r="F36" s="164"/>
      <c r="H36" s="164" t="s">
        <v>51</v>
      </c>
      <c r="I36" s="164"/>
      <c r="J36" s="164"/>
      <c r="K36" s="164"/>
      <c r="L36" s="164"/>
      <c r="M36" s="164"/>
      <c r="N36" s="164"/>
      <c r="O36" s="164"/>
      <c r="P36" s="164"/>
      <c r="Q36" s="164"/>
      <c r="S36" s="129">
        <v>386346.92</v>
      </c>
    </row>
    <row r="37" spans="3:19" ht="12" customHeight="1" x14ac:dyDescent="0.2">
      <c r="C37" s="164" t="s">
        <v>52</v>
      </c>
      <c r="D37" s="164"/>
      <c r="E37" s="164"/>
      <c r="F37" s="164"/>
      <c r="H37" s="164" t="s">
        <v>53</v>
      </c>
      <c r="I37" s="164"/>
      <c r="J37" s="164"/>
      <c r="K37" s="164"/>
      <c r="L37" s="164"/>
      <c r="M37" s="164"/>
      <c r="N37" s="164"/>
      <c r="O37" s="164"/>
      <c r="P37" s="164"/>
      <c r="Q37" s="164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64" t="s">
        <v>56</v>
      </c>
      <c r="D39" s="164"/>
      <c r="E39" s="164"/>
      <c r="F39" s="164"/>
      <c r="H39" s="164" t="s">
        <v>57</v>
      </c>
      <c r="I39" s="164"/>
      <c r="J39" s="164"/>
      <c r="K39" s="164"/>
      <c r="L39" s="164"/>
      <c r="M39" s="164"/>
      <c r="N39" s="164"/>
      <c r="O39" s="164"/>
      <c r="P39" s="164"/>
      <c r="Q39" s="164"/>
      <c r="S39" s="129">
        <v>0</v>
      </c>
    </row>
    <row r="40" spans="3:19" ht="12" customHeight="1" x14ac:dyDescent="0.2">
      <c r="C40" s="164">
        <v>1248</v>
      </c>
      <c r="D40" s="164"/>
      <c r="E40" s="164"/>
      <c r="F40" s="164"/>
      <c r="H40" s="164" t="s">
        <v>603</v>
      </c>
      <c r="I40" s="164"/>
      <c r="J40" s="164"/>
      <c r="K40" s="164"/>
      <c r="L40" s="164"/>
      <c r="M40" s="164"/>
      <c r="N40" s="164"/>
      <c r="O40" s="164"/>
      <c r="P40" s="164"/>
      <c r="Q40" s="164"/>
      <c r="S40" s="129">
        <v>0</v>
      </c>
    </row>
    <row r="41" spans="3:19" ht="12" customHeight="1" x14ac:dyDescent="0.2">
      <c r="C41" s="164" t="s">
        <v>58</v>
      </c>
      <c r="D41" s="164"/>
      <c r="E41" s="164"/>
      <c r="F41" s="164"/>
      <c r="H41" s="164" t="s">
        <v>59</v>
      </c>
      <c r="I41" s="164"/>
      <c r="J41" s="164"/>
      <c r="K41" s="164"/>
      <c r="L41" s="164"/>
      <c r="M41" s="164"/>
      <c r="N41" s="164"/>
      <c r="O41" s="164"/>
      <c r="P41" s="164"/>
      <c r="Q41" s="164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64" t="s">
        <v>589</v>
      </c>
      <c r="I42" s="164"/>
      <c r="J42" s="164"/>
      <c r="K42" s="164"/>
      <c r="L42" s="164"/>
      <c r="M42" s="164"/>
      <c r="N42" s="164"/>
      <c r="O42" s="164"/>
      <c r="P42" s="164"/>
      <c r="Q42" s="164"/>
      <c r="S42" s="129">
        <v>0</v>
      </c>
    </row>
    <row r="43" spans="3:19" ht="12" customHeight="1" x14ac:dyDescent="0.2">
      <c r="C43" s="164">
        <v>1255</v>
      </c>
      <c r="D43" s="164"/>
      <c r="E43" s="164"/>
      <c r="F43" s="164"/>
      <c r="H43" s="164" t="s">
        <v>554</v>
      </c>
      <c r="I43" s="164"/>
      <c r="J43" s="164"/>
      <c r="K43" s="164"/>
      <c r="L43" s="164"/>
      <c r="M43" s="164"/>
      <c r="N43" s="164"/>
      <c r="O43" s="164"/>
      <c r="P43" s="164"/>
      <c r="Q43" s="164"/>
      <c r="S43" s="129">
        <v>277917.67</v>
      </c>
    </row>
    <row r="44" spans="3:19" ht="12" customHeight="1" x14ac:dyDescent="0.2">
      <c r="C44" s="164" t="s">
        <v>60</v>
      </c>
      <c r="D44" s="164"/>
      <c r="E44" s="164"/>
      <c r="F44" s="164"/>
      <c r="H44" s="164" t="s">
        <v>61</v>
      </c>
      <c r="I44" s="164"/>
      <c r="J44" s="164"/>
      <c r="K44" s="164"/>
      <c r="L44" s="164"/>
      <c r="M44" s="164"/>
      <c r="N44" s="164"/>
      <c r="O44" s="164"/>
      <c r="P44" s="164"/>
      <c r="Q44" s="164"/>
      <c r="S44" s="129">
        <v>6963.83</v>
      </c>
    </row>
    <row r="45" spans="3:19" ht="12" customHeight="1" x14ac:dyDescent="0.2">
      <c r="C45" s="164" t="s">
        <v>62</v>
      </c>
      <c r="D45" s="164"/>
      <c r="E45" s="164"/>
      <c r="F45" s="164"/>
      <c r="H45" s="164" t="s">
        <v>63</v>
      </c>
      <c r="I45" s="164"/>
      <c r="J45" s="164"/>
      <c r="K45" s="164"/>
      <c r="L45" s="164"/>
      <c r="M45" s="164"/>
      <c r="N45" s="164"/>
      <c r="O45" s="164"/>
      <c r="P45" s="164"/>
      <c r="Q45" s="164"/>
      <c r="S45" s="129">
        <v>162892.82</v>
      </c>
    </row>
    <row r="46" spans="3:19" ht="12" customHeight="1" x14ac:dyDescent="0.2">
      <c r="C46" s="164" t="s">
        <v>64</v>
      </c>
      <c r="D46" s="164"/>
      <c r="E46" s="164"/>
      <c r="F46" s="164"/>
      <c r="H46" s="164" t="s">
        <v>65</v>
      </c>
      <c r="I46" s="164"/>
      <c r="J46" s="164"/>
      <c r="K46" s="164"/>
      <c r="L46" s="164"/>
      <c r="M46" s="164"/>
      <c r="N46" s="164"/>
      <c r="O46" s="164"/>
      <c r="P46" s="164"/>
      <c r="Q46" s="164"/>
      <c r="S46" s="129">
        <v>3146485</v>
      </c>
    </row>
    <row r="47" spans="3:19" ht="12" customHeight="1" x14ac:dyDescent="0.2">
      <c r="C47" s="164">
        <v>1263</v>
      </c>
      <c r="D47" s="164"/>
      <c r="E47" s="164"/>
      <c r="F47" s="164"/>
      <c r="H47" s="192" t="s">
        <v>67</v>
      </c>
      <c r="I47" s="192"/>
      <c r="J47" s="192"/>
      <c r="K47" s="192"/>
      <c r="L47" s="192"/>
      <c r="M47" s="192"/>
      <c r="N47" s="192"/>
      <c r="O47" s="192"/>
      <c r="P47" s="192"/>
      <c r="Q47" s="192"/>
      <c r="S47" s="129">
        <v>40983.120000000003</v>
      </c>
    </row>
    <row r="48" spans="3:19" ht="12" customHeight="1" x14ac:dyDescent="0.2">
      <c r="C48" s="164" t="s">
        <v>68</v>
      </c>
      <c r="D48" s="164"/>
      <c r="E48" s="164"/>
      <c r="F48" s="164"/>
      <c r="H48" s="164" t="s">
        <v>69</v>
      </c>
      <c r="I48" s="164"/>
      <c r="J48" s="164"/>
      <c r="K48" s="164"/>
      <c r="L48" s="164"/>
      <c r="M48" s="164"/>
      <c r="N48" s="164"/>
      <c r="O48" s="164"/>
      <c r="P48" s="164"/>
      <c r="Q48" s="164"/>
      <c r="S48" s="129">
        <v>1239344.6000000001</v>
      </c>
    </row>
    <row r="49" spans="2:25" ht="12" customHeight="1" x14ac:dyDescent="0.2">
      <c r="C49" s="164">
        <v>1420</v>
      </c>
      <c r="D49" s="164"/>
      <c r="E49" s="164"/>
      <c r="F49" s="164"/>
      <c r="H49" s="164" t="s">
        <v>605</v>
      </c>
      <c r="I49" s="164"/>
      <c r="J49" s="164"/>
      <c r="K49" s="164"/>
      <c r="L49" s="164"/>
      <c r="M49" s="164"/>
      <c r="N49" s="164"/>
      <c r="O49" s="164"/>
      <c r="P49" s="164"/>
      <c r="Q49" s="164"/>
      <c r="S49" s="129">
        <v>107630.15</v>
      </c>
    </row>
    <row r="50" spans="2:25" ht="12" customHeight="1" x14ac:dyDescent="0.2">
      <c r="C50" s="164" t="s">
        <v>71</v>
      </c>
      <c r="D50" s="164"/>
      <c r="E50" s="164"/>
      <c r="F50" s="164"/>
      <c r="H50" s="164" t="s">
        <v>606</v>
      </c>
      <c r="I50" s="164"/>
      <c r="J50" s="164"/>
      <c r="K50" s="164"/>
      <c r="L50" s="164"/>
      <c r="M50" s="164"/>
      <c r="N50" s="164"/>
      <c r="O50" s="164"/>
      <c r="P50" s="164"/>
      <c r="Q50" s="164"/>
      <c r="S50" s="129">
        <v>147184.95999999999</v>
      </c>
    </row>
    <row r="51" spans="2:25" ht="12" customHeight="1" x14ac:dyDescent="0.2">
      <c r="C51" s="164" t="s">
        <v>674</v>
      </c>
      <c r="D51" s="164"/>
      <c r="E51" s="164"/>
      <c r="F51" s="164"/>
      <c r="H51" s="164" t="s">
        <v>675</v>
      </c>
      <c r="I51" s="164"/>
      <c r="J51" s="164"/>
      <c r="K51" s="164"/>
      <c r="L51" s="164"/>
      <c r="M51" s="164"/>
      <c r="N51" s="164"/>
      <c r="O51" s="164"/>
      <c r="P51" s="164"/>
      <c r="Q51" s="164"/>
      <c r="S51" s="129">
        <v>0</v>
      </c>
    </row>
    <row r="52" spans="2:25" ht="12" customHeight="1" x14ac:dyDescent="0.2">
      <c r="C52" s="164" t="s">
        <v>72</v>
      </c>
      <c r="D52" s="164"/>
      <c r="E52" s="164"/>
      <c r="F52" s="164"/>
      <c r="H52" s="164" t="s">
        <v>607</v>
      </c>
      <c r="I52" s="164"/>
      <c r="J52" s="164"/>
      <c r="K52" s="164"/>
      <c r="L52" s="164"/>
      <c r="M52" s="164"/>
      <c r="N52" s="164"/>
      <c r="O52" s="164"/>
      <c r="P52" s="164"/>
      <c r="Q52" s="164"/>
      <c r="S52" s="129">
        <v>41887.629999999997</v>
      </c>
    </row>
    <row r="53" spans="2:25" ht="12" customHeight="1" x14ac:dyDescent="0.2">
      <c r="C53" s="164" t="s">
        <v>619</v>
      </c>
      <c r="D53" s="164"/>
      <c r="E53" s="164"/>
      <c r="F53" s="164"/>
      <c r="H53" s="164" t="s">
        <v>629</v>
      </c>
      <c r="I53" s="164"/>
      <c r="J53" s="164"/>
      <c r="K53" s="164"/>
      <c r="L53" s="164"/>
      <c r="M53" s="164"/>
      <c r="N53" s="164"/>
      <c r="O53" s="164"/>
      <c r="P53" s="164"/>
      <c r="Q53" s="164"/>
      <c r="S53" s="129">
        <v>0</v>
      </c>
    </row>
    <row r="54" spans="2:25" ht="12" customHeight="1" x14ac:dyDescent="0.2">
      <c r="C54" s="164" t="s">
        <v>628</v>
      </c>
      <c r="D54" s="164"/>
      <c r="E54" s="164"/>
      <c r="F54" s="164"/>
      <c r="H54" s="164" t="s">
        <v>630</v>
      </c>
      <c r="I54" s="164"/>
      <c r="J54" s="164"/>
      <c r="K54" s="164"/>
      <c r="L54" s="164"/>
      <c r="M54" s="164"/>
      <c r="N54" s="164"/>
      <c r="O54" s="164"/>
      <c r="P54" s="164"/>
      <c r="Q54" s="164"/>
      <c r="S54" s="132">
        <v>0</v>
      </c>
    </row>
    <row r="55" spans="2:25" ht="12" customHeight="1" x14ac:dyDescent="0.2">
      <c r="C55" s="164" t="s">
        <v>618</v>
      </c>
      <c r="D55" s="164"/>
      <c r="E55" s="164"/>
      <c r="F55" s="164"/>
      <c r="H55" s="164" t="s">
        <v>676</v>
      </c>
      <c r="I55" s="164"/>
      <c r="J55" s="164"/>
      <c r="K55" s="164"/>
      <c r="L55" s="164"/>
      <c r="M55" s="164"/>
      <c r="N55" s="164"/>
      <c r="O55" s="164"/>
      <c r="P55" s="164"/>
      <c r="Q55" s="164"/>
      <c r="S55" s="78">
        <v>0</v>
      </c>
    </row>
    <row r="56" spans="2:25" ht="12" customHeight="1" x14ac:dyDescent="0.2">
      <c r="C56" s="164" t="s">
        <v>552</v>
      </c>
      <c r="D56" s="164"/>
      <c r="E56" s="164"/>
      <c r="F56" s="164"/>
      <c r="H56" s="134"/>
      <c r="I56" s="164" t="s">
        <v>677</v>
      </c>
      <c r="J56" s="164"/>
      <c r="K56" s="164"/>
      <c r="L56" s="164"/>
      <c r="M56" s="164"/>
      <c r="N56" s="164"/>
      <c r="O56" s="164"/>
      <c r="P56" s="164"/>
      <c r="Q56" s="164"/>
      <c r="R56" s="164"/>
      <c r="S56" s="78">
        <v>115.46</v>
      </c>
    </row>
    <row r="57" spans="2:25" ht="12" customHeight="1" x14ac:dyDescent="0.2">
      <c r="C57" s="164" t="s">
        <v>401</v>
      </c>
      <c r="D57" s="164"/>
      <c r="E57" s="164"/>
      <c r="F57" s="164"/>
      <c r="H57" s="164" t="s">
        <v>654</v>
      </c>
      <c r="I57" s="164"/>
      <c r="J57" s="164"/>
      <c r="K57" s="164"/>
      <c r="L57" s="164"/>
      <c r="M57" s="164"/>
      <c r="N57" s="164"/>
      <c r="O57" s="164"/>
      <c r="P57" s="164"/>
      <c r="Q57" s="164"/>
      <c r="S57" s="78">
        <v>12982.66</v>
      </c>
    </row>
    <row r="58" spans="2:25" ht="12" customHeight="1" x14ac:dyDescent="0.2">
      <c r="H58" s="162" t="s">
        <v>73</v>
      </c>
      <c r="I58" s="162"/>
      <c r="J58" s="162"/>
      <c r="K58" s="162"/>
      <c r="L58" s="162"/>
      <c r="M58" s="162"/>
      <c r="N58" s="162"/>
      <c r="O58" s="162"/>
      <c r="P58" s="162"/>
      <c r="U58" s="163">
        <f>SUM(S10:S57)</f>
        <v>54636950.919999994</v>
      </c>
      <c r="V58" s="163"/>
      <c r="W58" s="163"/>
      <c r="Y58" s="77"/>
    </row>
    <row r="59" spans="2:25" ht="12" customHeight="1" x14ac:dyDescent="0.2"/>
    <row r="60" spans="2:25" ht="12" customHeight="1" x14ac:dyDescent="0.2">
      <c r="B60" s="162" t="s">
        <v>74</v>
      </c>
      <c r="C60" s="162"/>
      <c r="D60" s="162"/>
      <c r="E60" s="162"/>
      <c r="F60" s="162"/>
      <c r="G60" s="162"/>
      <c r="H60" s="162"/>
      <c r="I60" s="162"/>
      <c r="J60" s="162"/>
      <c r="K60" s="162"/>
    </row>
    <row r="61" spans="2:25" ht="12" customHeight="1" x14ac:dyDescent="0.2">
      <c r="C61" s="164" t="s">
        <v>75</v>
      </c>
      <c r="D61" s="164"/>
      <c r="E61" s="164"/>
      <c r="F61" s="164"/>
      <c r="H61" s="164" t="s">
        <v>76</v>
      </c>
      <c r="I61" s="164"/>
      <c r="J61" s="164"/>
      <c r="K61" s="164"/>
      <c r="L61" s="164"/>
      <c r="M61" s="164"/>
      <c r="N61" s="164"/>
      <c r="O61" s="164"/>
      <c r="P61" s="164"/>
      <c r="Q61" s="164"/>
      <c r="S61" s="129">
        <v>1112375.6499999999</v>
      </c>
    </row>
    <row r="62" spans="2:25" ht="12" customHeight="1" x14ac:dyDescent="0.2">
      <c r="C62" s="164" t="s">
        <v>77</v>
      </c>
      <c r="D62" s="164"/>
      <c r="E62" s="164"/>
      <c r="F62" s="164"/>
      <c r="H62" s="164" t="s">
        <v>78</v>
      </c>
      <c r="I62" s="164"/>
      <c r="J62" s="164"/>
      <c r="K62" s="164"/>
      <c r="L62" s="164"/>
      <c r="M62" s="164"/>
      <c r="N62" s="164"/>
      <c r="O62" s="164"/>
      <c r="P62" s="164"/>
      <c r="Q62" s="164"/>
      <c r="S62" s="129">
        <v>45071.88</v>
      </c>
    </row>
    <row r="63" spans="2:25" ht="12" customHeight="1" x14ac:dyDescent="0.2">
      <c r="C63" s="164" t="s">
        <v>79</v>
      </c>
      <c r="D63" s="164"/>
      <c r="E63" s="164"/>
      <c r="F63" s="164"/>
      <c r="H63" s="164" t="s">
        <v>80</v>
      </c>
      <c r="I63" s="164"/>
      <c r="J63" s="164"/>
      <c r="K63" s="164"/>
      <c r="L63" s="164"/>
      <c r="M63" s="164"/>
      <c r="N63" s="164"/>
      <c r="O63" s="164"/>
      <c r="P63" s="164"/>
      <c r="Q63" s="164"/>
      <c r="S63" s="129">
        <v>715632.48</v>
      </c>
    </row>
    <row r="64" spans="2:25" ht="12" customHeight="1" x14ac:dyDescent="0.2">
      <c r="C64" s="164" t="s">
        <v>81</v>
      </c>
      <c r="D64" s="164"/>
      <c r="E64" s="164"/>
      <c r="F64" s="164"/>
      <c r="H64" s="164" t="s">
        <v>82</v>
      </c>
      <c r="I64" s="164"/>
      <c r="J64" s="164"/>
      <c r="K64" s="164"/>
      <c r="L64" s="164"/>
      <c r="M64" s="164"/>
      <c r="N64" s="164"/>
      <c r="O64" s="164"/>
      <c r="P64" s="164"/>
      <c r="Q64" s="164"/>
      <c r="S64" s="129">
        <v>4682170.93</v>
      </c>
    </row>
    <row r="65" spans="2:23" ht="12" customHeight="1" x14ac:dyDescent="0.2">
      <c r="C65" s="164" t="s">
        <v>83</v>
      </c>
      <c r="D65" s="164"/>
      <c r="E65" s="164"/>
      <c r="F65" s="164"/>
      <c r="H65" s="164" t="s">
        <v>84</v>
      </c>
      <c r="I65" s="164"/>
      <c r="J65" s="164"/>
      <c r="K65" s="164"/>
      <c r="L65" s="164"/>
      <c r="M65" s="164"/>
      <c r="N65" s="164"/>
      <c r="O65" s="164"/>
      <c r="P65" s="164"/>
      <c r="Q65" s="164"/>
      <c r="S65" s="129">
        <v>460539.38</v>
      </c>
    </row>
    <row r="66" spans="2:23" ht="12" customHeight="1" x14ac:dyDescent="0.2">
      <c r="C66" s="164" t="s">
        <v>85</v>
      </c>
      <c r="D66" s="164"/>
      <c r="E66" s="164"/>
      <c r="F66" s="164"/>
      <c r="H66" s="164" t="s">
        <v>86</v>
      </c>
      <c r="I66" s="164"/>
      <c r="J66" s="164"/>
      <c r="K66" s="164"/>
      <c r="L66" s="164"/>
      <c r="M66" s="164"/>
      <c r="N66" s="164"/>
      <c r="O66" s="164"/>
      <c r="P66" s="164"/>
      <c r="Q66" s="164"/>
      <c r="S66" s="129">
        <v>60000</v>
      </c>
    </row>
    <row r="67" spans="2:23" ht="12" customHeight="1" x14ac:dyDescent="0.2">
      <c r="C67" s="164" t="s">
        <v>87</v>
      </c>
      <c r="D67" s="164"/>
      <c r="E67" s="164"/>
      <c r="F67" s="164"/>
      <c r="H67" s="164" t="s">
        <v>88</v>
      </c>
      <c r="I67" s="164"/>
      <c r="J67" s="164"/>
      <c r="K67" s="164"/>
      <c r="L67" s="164"/>
      <c r="M67" s="164"/>
      <c r="N67" s="164"/>
      <c r="O67" s="164"/>
      <c r="P67" s="164"/>
      <c r="Q67" s="164"/>
      <c r="S67" s="129">
        <v>3119443.63</v>
      </c>
    </row>
    <row r="68" spans="2:23" ht="12" customHeight="1" x14ac:dyDescent="0.2">
      <c r="C68" s="164" t="s">
        <v>89</v>
      </c>
      <c r="D68" s="164"/>
      <c r="E68" s="164"/>
      <c r="F68" s="164"/>
      <c r="H68" s="164" t="s">
        <v>90</v>
      </c>
      <c r="I68" s="164"/>
      <c r="J68" s="164"/>
      <c r="K68" s="164"/>
      <c r="L68" s="164"/>
      <c r="M68" s="164"/>
      <c r="N68" s="164"/>
      <c r="O68" s="164"/>
      <c r="P68" s="164"/>
      <c r="Q68" s="164"/>
      <c r="S68" s="129">
        <v>11428.88</v>
      </c>
    </row>
    <row r="69" spans="2:23" ht="12" customHeight="1" x14ac:dyDescent="0.2">
      <c r="C69" s="164" t="s">
        <v>91</v>
      </c>
      <c r="D69" s="164"/>
      <c r="E69" s="164"/>
      <c r="F69" s="164"/>
      <c r="H69" s="164" t="s">
        <v>92</v>
      </c>
      <c r="I69" s="164"/>
      <c r="J69" s="164"/>
      <c r="K69" s="164"/>
      <c r="L69" s="164"/>
      <c r="M69" s="164"/>
      <c r="N69" s="164"/>
      <c r="O69" s="164"/>
      <c r="P69" s="164"/>
      <c r="Q69" s="164"/>
      <c r="S69" s="129">
        <v>205633.94</v>
      </c>
    </row>
    <row r="70" spans="2:23" ht="12" customHeight="1" x14ac:dyDescent="0.2">
      <c r="C70" s="164" t="s">
        <v>93</v>
      </c>
      <c r="D70" s="164"/>
      <c r="E70" s="164"/>
      <c r="F70" s="164"/>
      <c r="H70" s="164" t="s">
        <v>94</v>
      </c>
      <c r="I70" s="164"/>
      <c r="J70" s="164"/>
      <c r="K70" s="164"/>
      <c r="L70" s="164"/>
      <c r="M70" s="164"/>
      <c r="N70" s="164"/>
      <c r="O70" s="164"/>
      <c r="P70" s="164"/>
      <c r="Q70" s="164"/>
      <c r="S70" s="129">
        <v>2023589.41</v>
      </c>
    </row>
    <row r="71" spans="2:23" ht="12" customHeight="1" x14ac:dyDescent="0.2">
      <c r="C71" s="164" t="s">
        <v>95</v>
      </c>
      <c r="D71" s="164"/>
      <c r="E71" s="164"/>
      <c r="F71" s="164"/>
      <c r="H71" s="164" t="s">
        <v>96</v>
      </c>
      <c r="I71" s="164"/>
      <c r="J71" s="164"/>
      <c r="K71" s="164"/>
      <c r="L71" s="164"/>
      <c r="M71" s="164"/>
      <c r="N71" s="164"/>
      <c r="O71" s="164"/>
      <c r="P71" s="164"/>
      <c r="Q71" s="164"/>
      <c r="S71" s="129">
        <v>4956767.88</v>
      </c>
    </row>
    <row r="72" spans="2:23" ht="12" customHeight="1" x14ac:dyDescent="0.2">
      <c r="C72" s="164" t="s">
        <v>97</v>
      </c>
      <c r="D72" s="164"/>
      <c r="E72" s="164"/>
      <c r="F72" s="164"/>
      <c r="H72" s="164" t="s">
        <v>98</v>
      </c>
      <c r="I72" s="164"/>
      <c r="J72" s="164"/>
      <c r="K72" s="164"/>
      <c r="L72" s="164"/>
      <c r="M72" s="164"/>
      <c r="N72" s="164"/>
      <c r="O72" s="164"/>
      <c r="P72" s="164"/>
      <c r="Q72" s="164"/>
      <c r="S72" s="129">
        <v>70738.81</v>
      </c>
    </row>
    <row r="73" spans="2:23" ht="12" customHeight="1" x14ac:dyDescent="0.2">
      <c r="C73" s="164" t="s">
        <v>99</v>
      </c>
      <c r="D73" s="164"/>
      <c r="E73" s="164"/>
      <c r="F73" s="164"/>
      <c r="H73" s="164" t="s">
        <v>100</v>
      </c>
      <c r="I73" s="164"/>
      <c r="J73" s="164"/>
      <c r="K73" s="164"/>
      <c r="L73" s="164"/>
      <c r="M73" s="164"/>
      <c r="N73" s="164"/>
      <c r="O73" s="164"/>
      <c r="P73" s="164"/>
      <c r="Q73" s="164"/>
      <c r="S73" s="129">
        <v>-7763994.8200000003</v>
      </c>
    </row>
    <row r="74" spans="2:23" ht="12" customHeight="1" x14ac:dyDescent="0.2">
      <c r="C74" s="164" t="s">
        <v>101</v>
      </c>
      <c r="D74" s="164"/>
      <c r="E74" s="164"/>
      <c r="F74" s="164"/>
      <c r="H74" s="164" t="s">
        <v>102</v>
      </c>
      <c r="I74" s="164"/>
      <c r="J74" s="164"/>
      <c r="K74" s="164"/>
      <c r="L74" s="164"/>
      <c r="M74" s="164"/>
      <c r="N74" s="164"/>
      <c r="O74" s="164"/>
      <c r="P74" s="164"/>
      <c r="Q74" s="164"/>
      <c r="S74" s="131">
        <v>-58000.1</v>
      </c>
    </row>
    <row r="75" spans="2:23" ht="12" customHeight="1" x14ac:dyDescent="0.2">
      <c r="H75" s="162" t="s">
        <v>103</v>
      </c>
      <c r="I75" s="162"/>
      <c r="J75" s="162"/>
      <c r="K75" s="162"/>
      <c r="L75" s="162"/>
      <c r="M75" s="162"/>
      <c r="N75" s="162"/>
      <c r="O75" s="162"/>
      <c r="P75" s="162"/>
      <c r="U75" s="163">
        <f>SUM(S61:S74)</f>
        <v>9641397.9499999974</v>
      </c>
      <c r="V75" s="163"/>
      <c r="W75" s="163"/>
    </row>
    <row r="76" spans="2:23" ht="12" customHeight="1" x14ac:dyDescent="0.2">
      <c r="B76" s="162" t="s">
        <v>218</v>
      </c>
      <c r="C76" s="162"/>
      <c r="D76" s="162"/>
      <c r="E76" s="162"/>
      <c r="F76" s="162"/>
      <c r="G76" s="162"/>
      <c r="H76" s="162"/>
      <c r="I76" s="162"/>
      <c r="J76" s="162"/>
      <c r="K76" s="162"/>
    </row>
    <row r="77" spans="2:23" ht="12" customHeight="1" x14ac:dyDescent="0.2">
      <c r="C77" s="164" t="s">
        <v>219</v>
      </c>
      <c r="D77" s="164"/>
      <c r="E77" s="164"/>
      <c r="F77" s="164"/>
      <c r="H77" s="164" t="s">
        <v>220</v>
      </c>
      <c r="I77" s="164"/>
      <c r="J77" s="164"/>
      <c r="K77" s="164"/>
      <c r="L77" s="164"/>
      <c r="M77" s="164"/>
      <c r="N77" s="164"/>
      <c r="O77" s="164"/>
      <c r="P77" s="164"/>
      <c r="Q77" s="164"/>
      <c r="S77" s="131">
        <v>0</v>
      </c>
    </row>
    <row r="78" spans="2:23" ht="12" customHeight="1" x14ac:dyDescent="0.2">
      <c r="H78" s="162" t="s">
        <v>221</v>
      </c>
      <c r="I78" s="162"/>
      <c r="J78" s="162"/>
      <c r="K78" s="162"/>
      <c r="L78" s="162"/>
      <c r="M78" s="162"/>
      <c r="N78" s="162"/>
      <c r="O78" s="162"/>
      <c r="P78" s="162"/>
      <c r="U78" s="166">
        <f>S77</f>
        <v>0</v>
      </c>
      <c r="V78" s="166"/>
      <c r="W78" s="166"/>
    </row>
    <row r="79" spans="2:23" ht="12" customHeight="1" x14ac:dyDescent="0.2"/>
    <row r="80" spans="2:23" ht="12" customHeight="1" thickBot="1" x14ac:dyDescent="0.25">
      <c r="I80" s="162" t="s">
        <v>104</v>
      </c>
      <c r="J80" s="162"/>
      <c r="K80" s="162"/>
      <c r="L80" s="162"/>
      <c r="M80" s="162"/>
      <c r="N80" s="162"/>
      <c r="O80" s="162"/>
      <c r="P80" s="162"/>
      <c r="U80" s="169">
        <f>U58+U75+U78</f>
        <v>64278348.86999999</v>
      </c>
      <c r="V80" s="169"/>
      <c r="W80" s="169"/>
    </row>
    <row r="81" spans="1:19" ht="12" customHeight="1" thickTop="1" x14ac:dyDescent="0.2"/>
    <row r="82" spans="1:19" ht="12" customHeight="1" x14ac:dyDescent="0.2">
      <c r="A82" s="162" t="s">
        <v>105</v>
      </c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</row>
    <row r="83" spans="1:19" ht="12" customHeight="1" x14ac:dyDescent="0.2"/>
    <row r="84" spans="1:19" ht="12" customHeight="1" x14ac:dyDescent="0.2">
      <c r="B84" s="162" t="s">
        <v>106</v>
      </c>
      <c r="C84" s="162"/>
      <c r="D84" s="162"/>
      <c r="E84" s="162"/>
      <c r="F84" s="162"/>
      <c r="G84" s="162"/>
      <c r="H84" s="162"/>
      <c r="I84" s="162"/>
      <c r="J84" s="162"/>
      <c r="K84" s="162"/>
      <c r="N84" s="191" t="s">
        <v>222</v>
      </c>
      <c r="O84" s="191"/>
    </row>
    <row r="85" spans="1:19" ht="12" customHeight="1" x14ac:dyDescent="0.2">
      <c r="B85" s="135"/>
      <c r="C85" s="164">
        <v>2105</v>
      </c>
      <c r="D85" s="164"/>
      <c r="E85" s="164"/>
      <c r="F85" s="164"/>
      <c r="G85" s="135"/>
      <c r="H85" s="164" t="s">
        <v>698</v>
      </c>
      <c r="I85" s="164"/>
      <c r="J85" s="164"/>
      <c r="K85" s="164"/>
      <c r="L85" s="164"/>
      <c r="M85" s="164"/>
      <c r="N85" s="164"/>
      <c r="O85" s="164"/>
      <c r="P85" s="164"/>
      <c r="Q85" s="164"/>
      <c r="S85" s="121">
        <v>1773880.21</v>
      </c>
    </row>
    <row r="86" spans="1:19" ht="12" customHeight="1" x14ac:dyDescent="0.2">
      <c r="C86" s="164">
        <v>2110</v>
      </c>
      <c r="D86" s="164"/>
      <c r="E86" s="164"/>
      <c r="F86" s="164"/>
      <c r="H86" s="164" t="s">
        <v>108</v>
      </c>
      <c r="I86" s="164"/>
      <c r="J86" s="164"/>
      <c r="K86" s="164"/>
      <c r="L86" s="164"/>
      <c r="M86" s="164"/>
      <c r="N86" s="164"/>
      <c r="O86" s="164"/>
      <c r="P86" s="164"/>
      <c r="Q86" s="164"/>
      <c r="S86" s="129">
        <v>38816490</v>
      </c>
    </row>
    <row r="87" spans="1:19" ht="12" customHeight="1" x14ac:dyDescent="0.2">
      <c r="C87" s="164" t="s">
        <v>109</v>
      </c>
      <c r="D87" s="164"/>
      <c r="E87" s="164"/>
      <c r="F87" s="164"/>
      <c r="H87" s="164" t="s">
        <v>110</v>
      </c>
      <c r="I87" s="164"/>
      <c r="J87" s="164"/>
      <c r="K87" s="164"/>
      <c r="L87" s="164"/>
      <c r="M87" s="164"/>
      <c r="N87" s="164"/>
      <c r="O87" s="164"/>
      <c r="P87" s="164"/>
      <c r="Q87" s="164"/>
      <c r="S87" s="129">
        <v>1058597.3</v>
      </c>
    </row>
    <row r="88" spans="1:19" ht="12" customHeight="1" x14ac:dyDescent="0.2">
      <c r="C88" s="164" t="s">
        <v>223</v>
      </c>
      <c r="D88" s="164"/>
      <c r="E88" s="164"/>
      <c r="F88" s="164"/>
      <c r="H88" s="164" t="s">
        <v>224</v>
      </c>
      <c r="I88" s="164"/>
      <c r="J88" s="164"/>
      <c r="K88" s="164"/>
      <c r="L88" s="164"/>
      <c r="M88" s="164"/>
      <c r="N88" s="164"/>
      <c r="O88" s="164"/>
      <c r="P88" s="164"/>
      <c r="Q88" s="164"/>
      <c r="S88" s="129">
        <v>0</v>
      </c>
    </row>
    <row r="89" spans="1:19" ht="12" customHeight="1" x14ac:dyDescent="0.2">
      <c r="C89" s="164" t="s">
        <v>111</v>
      </c>
      <c r="D89" s="164"/>
      <c r="E89" s="164"/>
      <c r="F89" s="164"/>
      <c r="H89" s="164" t="s">
        <v>112</v>
      </c>
      <c r="I89" s="164"/>
      <c r="J89" s="164"/>
      <c r="K89" s="164"/>
      <c r="L89" s="164"/>
      <c r="M89" s="164"/>
      <c r="N89" s="164"/>
      <c r="O89" s="164"/>
      <c r="P89" s="164"/>
      <c r="Q89" s="164"/>
      <c r="S89" s="129">
        <v>416.41</v>
      </c>
    </row>
    <row r="90" spans="1:19" ht="12" customHeight="1" x14ac:dyDescent="0.2">
      <c r="C90" s="164" t="s">
        <v>225</v>
      </c>
      <c r="D90" s="164"/>
      <c r="E90" s="164"/>
      <c r="F90" s="164"/>
      <c r="H90" s="164" t="s">
        <v>226</v>
      </c>
      <c r="I90" s="164"/>
      <c r="J90" s="164"/>
      <c r="K90" s="164"/>
      <c r="L90" s="164"/>
      <c r="M90" s="164"/>
      <c r="N90" s="164"/>
      <c r="O90" s="164"/>
      <c r="P90" s="164"/>
      <c r="Q90" s="164"/>
      <c r="S90" s="129">
        <v>0</v>
      </c>
    </row>
    <row r="91" spans="1:19" ht="12" customHeight="1" x14ac:dyDescent="0.2">
      <c r="C91" s="164" t="s">
        <v>113</v>
      </c>
      <c r="D91" s="164"/>
      <c r="E91" s="164"/>
      <c r="F91" s="164"/>
      <c r="H91" s="164" t="s">
        <v>114</v>
      </c>
      <c r="I91" s="164"/>
      <c r="J91" s="164"/>
      <c r="K91" s="164"/>
      <c r="L91" s="164"/>
      <c r="M91" s="164"/>
      <c r="N91" s="164"/>
      <c r="O91" s="164"/>
      <c r="P91" s="164"/>
      <c r="Q91" s="164"/>
      <c r="S91" s="129">
        <v>1188.81</v>
      </c>
    </row>
    <row r="92" spans="1:19" ht="12" customHeight="1" x14ac:dyDescent="0.2">
      <c r="C92" s="164">
        <v>2140</v>
      </c>
      <c r="D92" s="164"/>
      <c r="E92" s="164"/>
      <c r="F92" s="164"/>
      <c r="H92" s="164" t="s">
        <v>116</v>
      </c>
      <c r="I92" s="164"/>
      <c r="J92" s="164"/>
      <c r="K92" s="164"/>
      <c r="L92" s="164"/>
      <c r="M92" s="164"/>
      <c r="N92" s="164"/>
      <c r="O92" s="164"/>
      <c r="P92" s="164"/>
      <c r="Q92" s="164"/>
      <c r="S92" s="129">
        <v>0</v>
      </c>
    </row>
    <row r="93" spans="1:19" ht="12" customHeight="1" x14ac:dyDescent="0.2">
      <c r="C93" s="164">
        <v>2162</v>
      </c>
      <c r="D93" s="164"/>
      <c r="E93" s="164"/>
      <c r="F93" s="164"/>
      <c r="H93" s="164" t="s">
        <v>690</v>
      </c>
      <c r="I93" s="164"/>
      <c r="J93" s="164"/>
      <c r="K93" s="164"/>
      <c r="L93" s="164"/>
      <c r="M93" s="164"/>
      <c r="N93" s="164"/>
      <c r="O93" s="164"/>
      <c r="P93" s="164"/>
      <c r="Q93" s="164"/>
      <c r="S93" s="129">
        <v>0</v>
      </c>
    </row>
    <row r="94" spans="1:19" ht="12" customHeight="1" x14ac:dyDescent="0.2">
      <c r="C94" s="164">
        <v>2150</v>
      </c>
      <c r="D94" s="164"/>
      <c r="E94" s="164"/>
      <c r="F94" s="164"/>
      <c r="H94" s="164" t="s">
        <v>189</v>
      </c>
      <c r="I94" s="164"/>
      <c r="J94" s="164"/>
      <c r="K94" s="164"/>
      <c r="L94" s="164"/>
      <c r="M94" s="164"/>
      <c r="N94" s="164"/>
      <c r="O94" s="164"/>
      <c r="P94" s="164"/>
      <c r="Q94" s="164"/>
      <c r="S94" s="121">
        <v>181.28</v>
      </c>
    </row>
    <row r="95" spans="1:19" ht="12" customHeight="1" x14ac:dyDescent="0.2">
      <c r="C95" s="164" t="s">
        <v>117</v>
      </c>
      <c r="D95" s="164"/>
      <c r="E95" s="164"/>
      <c r="F95" s="164"/>
      <c r="H95" s="164" t="s">
        <v>118</v>
      </c>
      <c r="I95" s="164"/>
      <c r="J95" s="164"/>
      <c r="K95" s="164"/>
      <c r="L95" s="164"/>
      <c r="M95" s="164"/>
      <c r="N95" s="164"/>
      <c r="O95" s="164"/>
      <c r="P95" s="164"/>
      <c r="Q95" s="164"/>
      <c r="S95" s="129">
        <v>3225347.21</v>
      </c>
    </row>
    <row r="96" spans="1:19" ht="12" customHeight="1" x14ac:dyDescent="0.2">
      <c r="C96" s="164" t="s">
        <v>119</v>
      </c>
      <c r="D96" s="164"/>
      <c r="E96" s="164"/>
      <c r="F96" s="164"/>
      <c r="H96" s="164" t="s">
        <v>120</v>
      </c>
      <c r="I96" s="164"/>
      <c r="J96" s="164"/>
      <c r="K96" s="164"/>
      <c r="L96" s="164"/>
      <c r="M96" s="164"/>
      <c r="N96" s="164"/>
      <c r="O96" s="164"/>
      <c r="P96" s="164"/>
      <c r="Q96" s="164"/>
      <c r="S96" s="129">
        <v>16762.55</v>
      </c>
    </row>
    <row r="97" spans="3:19" ht="12" customHeight="1" x14ac:dyDescent="0.2">
      <c r="C97" s="164" t="s">
        <v>121</v>
      </c>
      <c r="D97" s="164"/>
      <c r="E97" s="164"/>
      <c r="F97" s="164"/>
      <c r="H97" s="164" t="s">
        <v>122</v>
      </c>
      <c r="I97" s="164"/>
      <c r="J97" s="164"/>
      <c r="K97" s="164"/>
      <c r="L97" s="164"/>
      <c r="M97" s="164"/>
      <c r="N97" s="164"/>
      <c r="O97" s="164"/>
      <c r="P97" s="164"/>
      <c r="Q97" s="164"/>
      <c r="S97" s="129">
        <v>238535.76</v>
      </c>
    </row>
    <row r="98" spans="3:19" ht="12" customHeight="1" x14ac:dyDescent="0.2">
      <c r="C98" s="164" t="s">
        <v>123</v>
      </c>
      <c r="D98" s="164"/>
      <c r="E98" s="164"/>
      <c r="F98" s="164"/>
      <c r="H98" s="164" t="s">
        <v>124</v>
      </c>
      <c r="I98" s="164"/>
      <c r="J98" s="164"/>
      <c r="K98" s="164"/>
      <c r="L98" s="164"/>
      <c r="M98" s="164"/>
      <c r="N98" s="164"/>
      <c r="O98" s="164"/>
      <c r="P98" s="164"/>
      <c r="Q98" s="164"/>
      <c r="S98" s="129">
        <v>10844.05</v>
      </c>
    </row>
    <row r="99" spans="3:19" ht="12" customHeight="1" x14ac:dyDescent="0.2">
      <c r="C99" s="164" t="s">
        <v>125</v>
      </c>
      <c r="D99" s="164"/>
      <c r="E99" s="164"/>
      <c r="F99" s="164"/>
      <c r="H99" s="164" t="s">
        <v>126</v>
      </c>
      <c r="I99" s="164"/>
      <c r="J99" s="164"/>
      <c r="K99" s="164"/>
      <c r="L99" s="164"/>
      <c r="M99" s="164"/>
      <c r="N99" s="164"/>
      <c r="O99" s="164"/>
      <c r="P99" s="164"/>
      <c r="Q99" s="164"/>
      <c r="S99" s="129">
        <v>123853.72</v>
      </c>
    </row>
    <row r="100" spans="3:19" ht="12" customHeight="1" x14ac:dyDescent="0.2">
      <c r="C100" s="164" t="s">
        <v>127</v>
      </c>
      <c r="D100" s="164"/>
      <c r="E100" s="164"/>
      <c r="F100" s="164"/>
      <c r="H100" s="164" t="s">
        <v>128</v>
      </c>
      <c r="I100" s="164"/>
      <c r="J100" s="164"/>
      <c r="K100" s="164"/>
      <c r="L100" s="164"/>
      <c r="M100" s="164"/>
      <c r="N100" s="164"/>
      <c r="O100" s="164"/>
      <c r="P100" s="164"/>
      <c r="Q100" s="164"/>
      <c r="S100" s="129">
        <v>133600.62</v>
      </c>
    </row>
    <row r="101" spans="3:19" ht="12" customHeight="1" x14ac:dyDescent="0.2">
      <c r="C101" s="164" t="s">
        <v>129</v>
      </c>
      <c r="D101" s="164"/>
      <c r="E101" s="164"/>
      <c r="F101" s="164"/>
      <c r="H101" s="164" t="s">
        <v>130</v>
      </c>
      <c r="I101" s="164"/>
      <c r="J101" s="164"/>
      <c r="K101" s="164"/>
      <c r="L101" s="164"/>
      <c r="M101" s="164"/>
      <c r="N101" s="164"/>
      <c r="O101" s="164"/>
      <c r="P101" s="164"/>
      <c r="Q101" s="164"/>
      <c r="S101" s="129">
        <v>95823.6</v>
      </c>
    </row>
    <row r="102" spans="3:19" ht="12" customHeight="1" x14ac:dyDescent="0.2">
      <c r="C102" s="164">
        <v>2242</v>
      </c>
      <c r="D102" s="164"/>
      <c r="E102" s="164"/>
      <c r="F102" s="164"/>
      <c r="H102" s="164" t="s">
        <v>643</v>
      </c>
      <c r="I102" s="164"/>
      <c r="J102" s="164"/>
      <c r="K102" s="164"/>
      <c r="L102" s="164"/>
      <c r="M102" s="164"/>
      <c r="N102" s="164"/>
      <c r="O102" s="164"/>
      <c r="P102" s="164"/>
      <c r="Q102" s="164"/>
      <c r="S102" s="129">
        <v>0</v>
      </c>
    </row>
    <row r="103" spans="3:19" ht="12" customHeight="1" x14ac:dyDescent="0.2">
      <c r="C103" s="164">
        <v>2244</v>
      </c>
      <c r="D103" s="164"/>
      <c r="E103" s="164"/>
      <c r="F103" s="164"/>
      <c r="H103" s="164" t="s">
        <v>608</v>
      </c>
      <c r="I103" s="164"/>
      <c r="J103" s="164"/>
      <c r="K103" s="164"/>
      <c r="L103" s="164"/>
      <c r="M103" s="164"/>
      <c r="N103" s="164"/>
      <c r="O103" s="164"/>
      <c r="P103" s="164"/>
      <c r="Q103" s="164"/>
      <c r="S103" s="129">
        <v>0</v>
      </c>
    </row>
    <row r="104" spans="3:19" ht="12" customHeight="1" x14ac:dyDescent="0.2">
      <c r="C104" s="164" t="s">
        <v>227</v>
      </c>
      <c r="D104" s="164"/>
      <c r="E104" s="164"/>
      <c r="F104" s="164"/>
      <c r="H104" s="164" t="s">
        <v>228</v>
      </c>
      <c r="I104" s="164"/>
      <c r="J104" s="164"/>
      <c r="K104" s="164"/>
      <c r="L104" s="164"/>
      <c r="M104" s="164"/>
      <c r="N104" s="164"/>
      <c r="O104" s="164"/>
      <c r="P104" s="164"/>
      <c r="Q104" s="164"/>
      <c r="S104" s="129">
        <v>22639</v>
      </c>
    </row>
    <row r="105" spans="3:19" ht="12" customHeight="1" x14ac:dyDescent="0.2">
      <c r="C105" s="164">
        <v>2246</v>
      </c>
      <c r="D105" s="164"/>
      <c r="E105" s="164"/>
      <c r="F105" s="164"/>
      <c r="H105" s="164" t="s">
        <v>135</v>
      </c>
      <c r="I105" s="164"/>
      <c r="J105" s="164"/>
      <c r="K105" s="164"/>
      <c r="L105" s="164"/>
      <c r="M105" s="164"/>
      <c r="N105" s="164"/>
      <c r="O105" s="164"/>
      <c r="P105" s="164"/>
      <c r="Q105" s="164"/>
      <c r="S105" s="129">
        <v>0</v>
      </c>
    </row>
    <row r="106" spans="3:19" ht="12" customHeight="1" x14ac:dyDescent="0.2">
      <c r="C106" s="164">
        <v>2247</v>
      </c>
      <c r="D106" s="164"/>
      <c r="E106" s="164"/>
      <c r="F106" s="164"/>
      <c r="H106" s="164" t="s">
        <v>609</v>
      </c>
      <c r="I106" s="164"/>
      <c r="J106" s="164"/>
      <c r="K106" s="164"/>
      <c r="L106" s="164"/>
      <c r="M106" s="164"/>
      <c r="N106" s="164"/>
      <c r="O106" s="164"/>
      <c r="P106" s="164"/>
      <c r="Q106" s="164"/>
      <c r="S106" s="129">
        <v>0</v>
      </c>
    </row>
    <row r="107" spans="3:19" ht="12" customHeight="1" x14ac:dyDescent="0.2">
      <c r="C107" s="164">
        <v>2248</v>
      </c>
      <c r="D107" s="164"/>
      <c r="E107" s="164"/>
      <c r="F107" s="164"/>
      <c r="H107" s="164" t="s">
        <v>610</v>
      </c>
      <c r="I107" s="164"/>
      <c r="J107" s="164"/>
      <c r="K107" s="164"/>
      <c r="L107" s="164"/>
      <c r="M107" s="164"/>
      <c r="N107" s="164"/>
      <c r="O107" s="164"/>
      <c r="P107" s="164"/>
      <c r="Q107" s="164"/>
      <c r="S107" s="129">
        <v>0</v>
      </c>
    </row>
    <row r="108" spans="3:19" ht="12" customHeight="1" x14ac:dyDescent="0.2">
      <c r="C108" s="164">
        <v>2249</v>
      </c>
      <c r="D108" s="164"/>
      <c r="E108" s="164"/>
      <c r="F108" s="164"/>
      <c r="H108" s="164" t="s">
        <v>141</v>
      </c>
      <c r="I108" s="164"/>
      <c r="J108" s="164"/>
      <c r="K108" s="164"/>
      <c r="L108" s="164"/>
      <c r="M108" s="164"/>
      <c r="N108" s="164"/>
      <c r="O108" s="164"/>
      <c r="P108" s="164"/>
      <c r="Q108" s="164"/>
      <c r="S108" s="129">
        <v>0</v>
      </c>
    </row>
    <row r="109" spans="3:19" ht="12" customHeight="1" x14ac:dyDescent="0.2">
      <c r="C109" s="164" t="s">
        <v>142</v>
      </c>
      <c r="D109" s="164"/>
      <c r="E109" s="164"/>
      <c r="F109" s="164"/>
      <c r="H109" s="164" t="s">
        <v>143</v>
      </c>
      <c r="I109" s="164"/>
      <c r="J109" s="164"/>
      <c r="K109" s="164"/>
      <c r="L109" s="164"/>
      <c r="M109" s="164"/>
      <c r="N109" s="164"/>
      <c r="O109" s="164"/>
      <c r="P109" s="164"/>
      <c r="Q109" s="164"/>
      <c r="S109" s="129">
        <v>620977.18999999994</v>
      </c>
    </row>
    <row r="110" spans="3:19" ht="12" customHeight="1" x14ac:dyDescent="0.2">
      <c r="C110" s="164" t="s">
        <v>144</v>
      </c>
      <c r="D110" s="164"/>
      <c r="E110" s="164"/>
      <c r="F110" s="164"/>
      <c r="H110" s="164" t="s">
        <v>145</v>
      </c>
      <c r="I110" s="164"/>
      <c r="J110" s="164"/>
      <c r="K110" s="164"/>
      <c r="L110" s="164"/>
      <c r="M110" s="164"/>
      <c r="N110" s="164"/>
      <c r="O110" s="164"/>
      <c r="P110" s="164"/>
      <c r="Q110" s="164"/>
      <c r="S110" s="129">
        <v>4600000</v>
      </c>
    </row>
    <row r="111" spans="3:19" ht="12" customHeight="1" x14ac:dyDescent="0.2">
      <c r="C111" s="164">
        <v>2301</v>
      </c>
      <c r="D111" s="164"/>
      <c r="E111" s="164"/>
      <c r="F111" s="164"/>
      <c r="H111" s="164" t="s">
        <v>655</v>
      </c>
      <c r="I111" s="164"/>
      <c r="J111" s="164"/>
      <c r="K111" s="164"/>
      <c r="L111" s="164"/>
      <c r="M111" s="164"/>
      <c r="N111" s="164"/>
      <c r="O111" s="164"/>
      <c r="P111" s="164"/>
      <c r="Q111" s="164"/>
      <c r="S111" s="129">
        <v>2100000</v>
      </c>
    </row>
    <row r="112" spans="3:19" ht="12" customHeight="1" x14ac:dyDescent="0.2">
      <c r="C112" s="164">
        <v>2305</v>
      </c>
      <c r="D112" s="164"/>
      <c r="E112" s="164"/>
      <c r="F112" s="164"/>
      <c r="H112" s="164" t="s">
        <v>574</v>
      </c>
      <c r="I112" s="164"/>
      <c r="J112" s="164"/>
      <c r="K112" s="164"/>
      <c r="L112" s="164"/>
      <c r="M112" s="164"/>
      <c r="N112" s="164"/>
      <c r="O112" s="164"/>
      <c r="P112" s="164"/>
      <c r="Q112" s="164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64" t="s">
        <v>665</v>
      </c>
      <c r="I113" s="164"/>
      <c r="J113" s="164"/>
      <c r="K113" s="164"/>
      <c r="L113" s="164"/>
      <c r="M113" s="164"/>
      <c r="N113" s="164"/>
      <c r="O113" s="164"/>
      <c r="P113" s="164"/>
      <c r="Q113" s="164"/>
      <c r="S113" s="129">
        <v>0</v>
      </c>
    </row>
    <row r="114" spans="2:23" ht="12" customHeight="1" x14ac:dyDescent="0.2">
      <c r="C114" s="164" t="s">
        <v>146</v>
      </c>
      <c r="D114" s="164"/>
      <c r="E114" s="164"/>
      <c r="F114" s="164"/>
      <c r="H114" s="164" t="s">
        <v>644</v>
      </c>
      <c r="I114" s="164"/>
      <c r="J114" s="164"/>
      <c r="K114" s="164"/>
      <c r="L114" s="164"/>
      <c r="M114" s="164"/>
      <c r="N114" s="164"/>
      <c r="O114" s="164"/>
      <c r="P114" s="164"/>
      <c r="Q114" s="164"/>
      <c r="S114" s="129">
        <v>0</v>
      </c>
    </row>
    <row r="115" spans="2:23" ht="12" customHeight="1" x14ac:dyDescent="0.2">
      <c r="C115" s="164" t="s">
        <v>147</v>
      </c>
      <c r="D115" s="164"/>
      <c r="E115" s="164"/>
      <c r="F115" s="164"/>
      <c r="H115" s="164" t="s">
        <v>696</v>
      </c>
      <c r="I115" s="164"/>
      <c r="J115" s="164"/>
      <c r="K115" s="164"/>
      <c r="L115" s="164"/>
      <c r="M115" s="164"/>
      <c r="N115" s="164"/>
      <c r="O115" s="164"/>
      <c r="P115" s="164"/>
      <c r="Q115" s="164"/>
      <c r="S115" s="129">
        <v>0</v>
      </c>
    </row>
    <row r="116" spans="2:23" ht="12" customHeight="1" x14ac:dyDescent="0.2">
      <c r="C116" s="164" t="s">
        <v>587</v>
      </c>
      <c r="D116" s="164"/>
      <c r="E116" s="164"/>
      <c r="F116" s="164"/>
      <c r="H116" s="164" t="s">
        <v>691</v>
      </c>
      <c r="I116" s="164"/>
      <c r="J116" s="164"/>
      <c r="K116" s="164"/>
      <c r="L116" s="164"/>
      <c r="M116" s="164"/>
      <c r="N116" s="164"/>
      <c r="O116" s="164"/>
      <c r="P116" s="164"/>
      <c r="Q116" s="164"/>
      <c r="S116" s="132">
        <v>0</v>
      </c>
    </row>
    <row r="117" spans="2:23" ht="12" customHeight="1" x14ac:dyDescent="0.2">
      <c r="H117" s="162" t="s">
        <v>148</v>
      </c>
      <c r="I117" s="162"/>
      <c r="J117" s="162"/>
      <c r="K117" s="162"/>
      <c r="L117" s="162"/>
      <c r="M117" s="162"/>
      <c r="N117" s="162"/>
      <c r="O117" s="162"/>
      <c r="P117" s="162"/>
      <c r="U117" s="163">
        <f>SUM(S85:S116)</f>
        <v>52932604.209999986</v>
      </c>
      <c r="V117" s="163"/>
      <c r="W117" s="163"/>
    </row>
    <row r="118" spans="2:23" ht="12" customHeight="1" x14ac:dyDescent="0.2"/>
    <row r="119" spans="2:23" ht="12" customHeight="1" x14ac:dyDescent="0.2">
      <c r="B119" s="162" t="s">
        <v>149</v>
      </c>
      <c r="C119" s="162"/>
      <c r="D119" s="162"/>
      <c r="E119" s="162"/>
      <c r="F119" s="162"/>
      <c r="G119" s="162"/>
      <c r="H119" s="162"/>
      <c r="I119" s="162"/>
      <c r="J119" s="162"/>
      <c r="K119" s="162"/>
    </row>
    <row r="120" spans="2:23" ht="12" customHeight="1" x14ac:dyDescent="0.2"/>
    <row r="121" spans="2:23" ht="12" customHeight="1" x14ac:dyDescent="0.2">
      <c r="C121" s="164" t="s">
        <v>229</v>
      </c>
      <c r="D121" s="164"/>
      <c r="E121" s="164"/>
      <c r="F121" s="164"/>
      <c r="H121" s="164" t="s">
        <v>230</v>
      </c>
      <c r="I121" s="164"/>
      <c r="J121" s="164"/>
      <c r="K121" s="164"/>
      <c r="L121" s="164"/>
      <c r="M121" s="164"/>
      <c r="N121" s="164"/>
      <c r="O121" s="164"/>
      <c r="P121" s="164"/>
      <c r="Q121" s="164"/>
      <c r="S121" s="129">
        <v>0</v>
      </c>
    </row>
    <row r="122" spans="2:23" ht="12" customHeight="1" x14ac:dyDescent="0.2">
      <c r="C122" s="164" t="s">
        <v>150</v>
      </c>
      <c r="D122" s="164"/>
      <c r="E122" s="164"/>
      <c r="F122" s="164"/>
      <c r="H122" s="164" t="s">
        <v>151</v>
      </c>
      <c r="I122" s="164"/>
      <c r="J122" s="164"/>
      <c r="K122" s="164"/>
      <c r="L122" s="164"/>
      <c r="M122" s="164"/>
      <c r="N122" s="164"/>
      <c r="O122" s="164"/>
      <c r="P122" s="164"/>
      <c r="Q122" s="164"/>
      <c r="S122" s="129">
        <v>0</v>
      </c>
    </row>
    <row r="123" spans="2:23" ht="12" customHeight="1" x14ac:dyDescent="0.2">
      <c r="C123" s="164" t="s">
        <v>152</v>
      </c>
      <c r="D123" s="164"/>
      <c r="E123" s="164"/>
      <c r="F123" s="164"/>
      <c r="H123" s="164" t="s">
        <v>153</v>
      </c>
      <c r="I123" s="164"/>
      <c r="J123" s="164"/>
      <c r="K123" s="164"/>
      <c r="L123" s="164"/>
      <c r="M123" s="164"/>
      <c r="N123" s="164"/>
      <c r="O123" s="164"/>
      <c r="P123" s="164"/>
      <c r="Q123" s="164"/>
      <c r="S123" s="129">
        <v>16195.44</v>
      </c>
    </row>
    <row r="124" spans="2:23" ht="12" customHeight="1" x14ac:dyDescent="0.2">
      <c r="C124" s="164" t="s">
        <v>154</v>
      </c>
      <c r="D124" s="164"/>
      <c r="E124" s="164"/>
      <c r="F124" s="164"/>
      <c r="H124" s="164" t="s">
        <v>155</v>
      </c>
      <c r="I124" s="164"/>
      <c r="J124" s="164"/>
      <c r="K124" s="164"/>
      <c r="L124" s="164"/>
      <c r="M124" s="164"/>
      <c r="N124" s="164"/>
      <c r="O124" s="164"/>
      <c r="P124" s="164"/>
      <c r="Q124" s="164"/>
      <c r="S124" s="129">
        <v>4200.3599999999997</v>
      </c>
    </row>
    <row r="125" spans="2:23" ht="12" customHeight="1" x14ac:dyDescent="0.2">
      <c r="C125" s="164" t="s">
        <v>156</v>
      </c>
      <c r="D125" s="164"/>
      <c r="E125" s="164"/>
      <c r="F125" s="164"/>
      <c r="H125" s="164" t="s">
        <v>157</v>
      </c>
      <c r="I125" s="164"/>
      <c r="J125" s="164"/>
      <c r="K125" s="164"/>
      <c r="L125" s="164"/>
      <c r="M125" s="164"/>
      <c r="N125" s="164"/>
      <c r="O125" s="164"/>
      <c r="P125" s="164"/>
      <c r="Q125" s="164"/>
      <c r="S125" s="132">
        <v>19160.82</v>
      </c>
    </row>
    <row r="126" spans="2:23" ht="12" customHeight="1" x14ac:dyDescent="0.2">
      <c r="C126" s="164">
        <v>2431</v>
      </c>
      <c r="D126" s="164"/>
      <c r="E126" s="164"/>
      <c r="F126" s="164"/>
      <c r="H126" s="164" t="s">
        <v>545</v>
      </c>
      <c r="I126" s="164"/>
      <c r="J126" s="164"/>
      <c r="K126" s="164"/>
      <c r="L126" s="164"/>
      <c r="M126" s="164"/>
      <c r="N126" s="164"/>
      <c r="O126" s="164"/>
      <c r="P126" s="164"/>
      <c r="Q126" s="164"/>
      <c r="S126" s="78">
        <v>0</v>
      </c>
    </row>
    <row r="127" spans="2:23" ht="12" customHeight="1" x14ac:dyDescent="0.2">
      <c r="C127" s="164">
        <v>2432</v>
      </c>
      <c r="D127" s="164"/>
      <c r="E127" s="164"/>
      <c r="F127" s="164"/>
      <c r="H127" s="164" t="s">
        <v>667</v>
      </c>
      <c r="I127" s="164"/>
      <c r="J127" s="164"/>
      <c r="K127" s="164"/>
      <c r="L127" s="164"/>
      <c r="M127" s="164"/>
      <c r="N127" s="164"/>
      <c r="O127" s="164"/>
      <c r="P127" s="164"/>
      <c r="Q127" s="164"/>
      <c r="S127" s="78">
        <v>0</v>
      </c>
    </row>
    <row r="128" spans="2:23" ht="12" customHeight="1" x14ac:dyDescent="0.2">
      <c r="C128" s="164">
        <v>2433</v>
      </c>
      <c r="D128" s="164"/>
      <c r="E128" s="164"/>
      <c r="F128" s="164"/>
      <c r="H128" s="164" t="s">
        <v>544</v>
      </c>
      <c r="I128" s="164"/>
      <c r="J128" s="164"/>
      <c r="K128" s="164"/>
      <c r="L128" s="164"/>
      <c r="M128" s="164"/>
      <c r="N128" s="164"/>
      <c r="O128" s="164"/>
      <c r="P128" s="164"/>
      <c r="Q128" s="164"/>
      <c r="S128" s="78">
        <v>0</v>
      </c>
    </row>
    <row r="129" spans="1:23" ht="12" customHeight="1" x14ac:dyDescent="0.2">
      <c r="H129" s="162" t="s">
        <v>158</v>
      </c>
      <c r="I129" s="162"/>
      <c r="J129" s="162"/>
      <c r="K129" s="162"/>
      <c r="L129" s="162"/>
      <c r="M129" s="162"/>
      <c r="N129" s="162"/>
      <c r="O129" s="162"/>
      <c r="P129" s="162"/>
      <c r="U129" s="166">
        <f>SUM(S121:S128)</f>
        <v>39556.619999999995</v>
      </c>
      <c r="V129" s="166"/>
      <c r="W129" s="166"/>
    </row>
    <row r="130" spans="1:23" ht="12" customHeight="1" x14ac:dyDescent="0.2"/>
    <row r="131" spans="1:23" ht="12" customHeight="1" x14ac:dyDescent="0.2">
      <c r="I131" s="162" t="s">
        <v>159</v>
      </c>
      <c r="J131" s="162"/>
      <c r="K131" s="162"/>
      <c r="L131" s="162"/>
      <c r="M131" s="162"/>
      <c r="N131" s="162"/>
      <c r="O131" s="162"/>
      <c r="P131" s="162"/>
      <c r="U131" s="163">
        <f>U117+U129</f>
        <v>52972160.829999983</v>
      </c>
      <c r="V131" s="163"/>
      <c r="W131" s="163"/>
    </row>
    <row r="132" spans="1:23" ht="12" customHeight="1" x14ac:dyDescent="0.2"/>
    <row r="133" spans="1:23" ht="12" customHeight="1" x14ac:dyDescent="0.2">
      <c r="A133" s="162" t="s">
        <v>160</v>
      </c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</row>
    <row r="134" spans="1:23" ht="12" customHeight="1" x14ac:dyDescent="0.2">
      <c r="C134" s="164" t="s">
        <v>161</v>
      </c>
      <c r="D134" s="164"/>
      <c r="E134" s="164"/>
      <c r="F134" s="164"/>
      <c r="H134" s="164" t="s">
        <v>162</v>
      </c>
      <c r="I134" s="164"/>
      <c r="J134" s="164"/>
      <c r="K134" s="164"/>
      <c r="L134" s="164"/>
      <c r="M134" s="164"/>
      <c r="N134" s="164"/>
      <c r="O134" s="164"/>
      <c r="P134" s="164"/>
      <c r="Q134" s="164"/>
      <c r="S134" s="129">
        <v>152325</v>
      </c>
    </row>
    <row r="135" spans="1:23" ht="12" customHeight="1" x14ac:dyDescent="0.2">
      <c r="C135" s="164" t="s">
        <v>163</v>
      </c>
      <c r="D135" s="164"/>
      <c r="E135" s="164"/>
      <c r="F135" s="164"/>
      <c r="H135" s="164" t="s">
        <v>164</v>
      </c>
      <c r="I135" s="164"/>
      <c r="J135" s="164"/>
      <c r="K135" s="164"/>
      <c r="L135" s="164"/>
      <c r="M135" s="164"/>
      <c r="N135" s="164"/>
      <c r="O135" s="164"/>
      <c r="P135" s="164"/>
      <c r="Q135" s="164"/>
      <c r="S135" s="129">
        <v>1709758</v>
      </c>
    </row>
    <row r="136" spans="1:23" ht="12" customHeight="1" x14ac:dyDescent="0.2">
      <c r="C136" s="164" t="s">
        <v>165</v>
      </c>
      <c r="D136" s="164"/>
      <c r="E136" s="164"/>
      <c r="F136" s="164"/>
      <c r="H136" s="164" t="s">
        <v>166</v>
      </c>
      <c r="I136" s="164"/>
      <c r="J136" s="164"/>
      <c r="K136" s="164"/>
      <c r="L136" s="164"/>
      <c r="M136" s="164"/>
      <c r="N136" s="164"/>
      <c r="O136" s="164"/>
      <c r="P136" s="164"/>
      <c r="Q136" s="164"/>
      <c r="S136" s="129">
        <v>-1681410.83</v>
      </c>
    </row>
    <row r="137" spans="1:23" ht="12" customHeight="1" x14ac:dyDescent="0.2">
      <c r="C137" s="130" t="s">
        <v>165</v>
      </c>
      <c r="D137" s="130"/>
      <c r="E137" s="130"/>
      <c r="F137" s="134"/>
      <c r="H137" s="164" t="s">
        <v>167</v>
      </c>
      <c r="I137" s="164"/>
      <c r="J137" s="164"/>
      <c r="K137" s="164"/>
      <c r="L137" s="164"/>
      <c r="M137" s="164"/>
      <c r="N137" s="164"/>
      <c r="O137" s="164"/>
      <c r="P137" s="164"/>
      <c r="Q137" s="164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64" t="s">
        <v>547</v>
      </c>
      <c r="I138" s="164"/>
      <c r="J138" s="164"/>
      <c r="K138" s="164"/>
      <c r="L138" s="164"/>
      <c r="M138" s="164"/>
      <c r="N138" s="164"/>
      <c r="O138" s="164"/>
      <c r="P138" s="164"/>
      <c r="Q138" s="164"/>
      <c r="S138" s="129">
        <v>21195.55</v>
      </c>
    </row>
    <row r="139" spans="1:23" ht="12" customHeight="1" x14ac:dyDescent="0.2">
      <c r="C139" s="164" t="s">
        <v>168</v>
      </c>
      <c r="D139" s="164"/>
      <c r="E139" s="164"/>
      <c r="F139" s="164"/>
      <c r="H139" s="164" t="s">
        <v>169</v>
      </c>
      <c r="I139" s="164"/>
      <c r="J139" s="164"/>
      <c r="K139" s="164"/>
      <c r="L139" s="164"/>
      <c r="M139" s="164"/>
      <c r="N139" s="164"/>
      <c r="O139" s="164"/>
      <c r="P139" s="164"/>
      <c r="Q139" s="164"/>
      <c r="S139" s="129">
        <v>-1983.47</v>
      </c>
    </row>
    <row r="140" spans="1:23" ht="12" customHeight="1" x14ac:dyDescent="0.2">
      <c r="C140" s="164" t="s">
        <v>170</v>
      </c>
      <c r="D140" s="164"/>
      <c r="E140" s="164"/>
      <c r="F140" s="164"/>
      <c r="H140" s="164" t="s">
        <v>171</v>
      </c>
      <c r="I140" s="164"/>
      <c r="J140" s="164"/>
      <c r="K140" s="164"/>
      <c r="L140" s="164"/>
      <c r="M140" s="164"/>
      <c r="N140" s="164"/>
      <c r="O140" s="164"/>
      <c r="P140" s="164"/>
      <c r="Q140" s="164"/>
      <c r="S140" s="129">
        <v>-6000</v>
      </c>
    </row>
    <row r="141" spans="1:23" ht="12" customHeight="1" x14ac:dyDescent="0.2">
      <c r="C141" s="164" t="s">
        <v>172</v>
      </c>
      <c r="D141" s="164"/>
      <c r="E141" s="164"/>
      <c r="F141" s="164"/>
      <c r="H141" s="164" t="s">
        <v>173</v>
      </c>
      <c r="I141" s="164"/>
      <c r="J141" s="164"/>
      <c r="K141" s="164"/>
      <c r="L141" s="164"/>
      <c r="M141" s="164"/>
      <c r="N141" s="164"/>
      <c r="O141" s="164"/>
      <c r="P141" s="164"/>
      <c r="Q141" s="164"/>
      <c r="S141" s="129">
        <v>-6000</v>
      </c>
    </row>
    <row r="142" spans="1:23" ht="12" customHeight="1" x14ac:dyDescent="0.2">
      <c r="C142" s="164" t="s">
        <v>174</v>
      </c>
      <c r="D142" s="164"/>
      <c r="E142" s="164"/>
      <c r="F142" s="164"/>
      <c r="H142" s="164" t="s">
        <v>175</v>
      </c>
      <c r="I142" s="164"/>
      <c r="J142" s="164"/>
      <c r="K142" s="164"/>
      <c r="L142" s="164"/>
      <c r="M142" s="164"/>
      <c r="N142" s="164"/>
      <c r="O142" s="164"/>
      <c r="P142" s="164"/>
      <c r="Q142" s="164"/>
      <c r="S142" s="129">
        <v>-6000</v>
      </c>
    </row>
    <row r="143" spans="1:23" ht="12" customHeight="1" x14ac:dyDescent="0.2">
      <c r="C143" s="164" t="s">
        <v>231</v>
      </c>
      <c r="D143" s="164"/>
      <c r="E143" s="164"/>
      <c r="F143" s="164"/>
      <c r="H143" s="164" t="s">
        <v>232</v>
      </c>
      <c r="I143" s="164"/>
      <c r="J143" s="164"/>
      <c r="K143" s="164"/>
      <c r="L143" s="164"/>
      <c r="M143" s="164"/>
      <c r="N143" s="164"/>
      <c r="O143" s="164"/>
      <c r="P143" s="164"/>
      <c r="Q143" s="164"/>
      <c r="S143" s="132">
        <v>-11008.26</v>
      </c>
    </row>
    <row r="144" spans="1:23" ht="12" customHeight="1" x14ac:dyDescent="0.2">
      <c r="I144" s="162" t="s">
        <v>176</v>
      </c>
      <c r="J144" s="162"/>
      <c r="K144" s="162"/>
      <c r="L144" s="162"/>
      <c r="M144" s="162"/>
      <c r="N144" s="162"/>
      <c r="O144" s="162"/>
      <c r="P144" s="162"/>
      <c r="U144" s="174">
        <f>SUM(S134:S143)</f>
        <v>11306188.040000001</v>
      </c>
      <c r="V144" s="174"/>
      <c r="W144" s="174"/>
    </row>
    <row r="145" spans="9:23" ht="12" customHeight="1" x14ac:dyDescent="0.2"/>
    <row r="146" spans="9:23" ht="12" customHeight="1" x14ac:dyDescent="0.2">
      <c r="I146" s="162" t="s">
        <v>177</v>
      </c>
      <c r="J146" s="162"/>
      <c r="K146" s="162"/>
      <c r="L146" s="162"/>
      <c r="M146" s="162"/>
      <c r="N146" s="162"/>
      <c r="O146" s="162"/>
      <c r="P146" s="162"/>
    </row>
    <row r="147" spans="9:23" ht="12" customHeight="1" thickBot="1" x14ac:dyDescent="0.25">
      <c r="I147" s="162"/>
      <c r="J147" s="162"/>
      <c r="K147" s="162"/>
      <c r="L147" s="162"/>
      <c r="M147" s="162"/>
      <c r="N147" s="162"/>
      <c r="O147" s="162"/>
      <c r="P147" s="162"/>
      <c r="U147" s="190">
        <f>U131+U144</f>
        <v>64278348.869999982</v>
      </c>
      <c r="V147" s="190"/>
      <c r="W147" s="190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</row>
    <row r="2" spans="1:24" ht="12" customHeight="1" x14ac:dyDescent="0.2">
      <c r="A2" s="203" t="s">
        <v>702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ht="12" customHeight="1" x14ac:dyDescent="0.2"/>
    <row r="4" spans="1:24" ht="12" customHeight="1" x14ac:dyDescent="0.2">
      <c r="A4" s="199" t="s">
        <v>2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</row>
    <row r="5" spans="1:24" ht="12" customHeight="1" x14ac:dyDescent="0.2"/>
    <row r="6" spans="1:24" ht="12" customHeight="1" x14ac:dyDescent="0.2">
      <c r="B6" s="199" t="s">
        <v>3</v>
      </c>
      <c r="C6" s="199"/>
      <c r="D6" s="199"/>
      <c r="E6" s="199"/>
      <c r="F6" s="199"/>
      <c r="G6" s="199"/>
      <c r="H6" s="199"/>
      <c r="I6" s="199"/>
      <c r="J6" s="199"/>
      <c r="K6" s="199"/>
    </row>
    <row r="7" spans="1:24" ht="12" customHeight="1" x14ac:dyDescent="0.2">
      <c r="C7" s="193" t="s">
        <v>8</v>
      </c>
      <c r="D7" s="193"/>
      <c r="E7" s="193"/>
      <c r="F7" s="193"/>
      <c r="H7" s="193" t="s">
        <v>179</v>
      </c>
      <c r="I7" s="193"/>
      <c r="J7" s="193"/>
      <c r="K7" s="193"/>
      <c r="L7" s="193"/>
      <c r="M7" s="193"/>
      <c r="N7" s="193"/>
      <c r="O7" s="193"/>
      <c r="P7" s="193"/>
      <c r="Q7" s="193"/>
      <c r="S7" s="5">
        <v>90785.4</v>
      </c>
    </row>
    <row r="8" spans="1:24" ht="12" customHeight="1" x14ac:dyDescent="0.2">
      <c r="C8" s="193" t="s">
        <v>16</v>
      </c>
      <c r="D8" s="193"/>
      <c r="E8" s="193"/>
      <c r="F8" s="193"/>
      <c r="H8" s="193" t="s">
        <v>17</v>
      </c>
      <c r="I8" s="193"/>
      <c r="J8" s="193"/>
      <c r="K8" s="193"/>
      <c r="L8" s="193"/>
      <c r="M8" s="193"/>
      <c r="N8" s="193"/>
      <c r="O8" s="193"/>
      <c r="P8" s="193"/>
      <c r="Q8" s="193"/>
      <c r="S8" s="5">
        <v>969431.54</v>
      </c>
    </row>
    <row r="9" spans="1:24" ht="12" customHeight="1" x14ac:dyDescent="0.2">
      <c r="C9" s="193" t="s">
        <v>180</v>
      </c>
      <c r="D9" s="193"/>
      <c r="E9" s="193"/>
      <c r="F9" s="193"/>
      <c r="H9" s="193" t="s">
        <v>181</v>
      </c>
      <c r="I9" s="193"/>
      <c r="J9" s="193"/>
      <c r="K9" s="193"/>
      <c r="L9" s="193"/>
      <c r="M9" s="193"/>
      <c r="N9" s="193"/>
      <c r="O9" s="193"/>
      <c r="P9" s="193"/>
      <c r="Q9" s="193"/>
      <c r="S9" s="5">
        <v>0</v>
      </c>
    </row>
    <row r="10" spans="1:24" ht="12" customHeight="1" x14ac:dyDescent="0.2">
      <c r="C10" s="193" t="s">
        <v>18</v>
      </c>
      <c r="D10" s="193"/>
      <c r="E10" s="193"/>
      <c r="F10" s="193"/>
      <c r="H10" s="193" t="s">
        <v>19</v>
      </c>
      <c r="I10" s="193"/>
      <c r="J10" s="193"/>
      <c r="K10" s="193"/>
      <c r="L10" s="193"/>
      <c r="M10" s="193"/>
      <c r="N10" s="193"/>
      <c r="O10" s="193"/>
      <c r="P10" s="193"/>
      <c r="Q10" s="193"/>
      <c r="S10" s="5">
        <v>6479.4</v>
      </c>
    </row>
    <row r="11" spans="1:24" ht="12" customHeight="1" x14ac:dyDescent="0.2">
      <c r="C11" s="193" t="s">
        <v>20</v>
      </c>
      <c r="D11" s="193"/>
      <c r="E11" s="193"/>
      <c r="F11" s="193"/>
      <c r="H11" s="193" t="s">
        <v>21</v>
      </c>
      <c r="I11" s="193"/>
      <c r="J11" s="193"/>
      <c r="K11" s="193"/>
      <c r="L11" s="193"/>
      <c r="M11" s="193"/>
      <c r="N11" s="193"/>
      <c r="O11" s="193"/>
      <c r="P11" s="193"/>
      <c r="Q11" s="193"/>
      <c r="S11" s="5">
        <v>0</v>
      </c>
    </row>
    <row r="12" spans="1:24" ht="12" customHeight="1" x14ac:dyDescent="0.2">
      <c r="C12" s="193" t="s">
        <v>22</v>
      </c>
      <c r="D12" s="193"/>
      <c r="E12" s="193"/>
      <c r="F12" s="193"/>
      <c r="H12" s="193" t="s">
        <v>23</v>
      </c>
      <c r="I12" s="193"/>
      <c r="J12" s="193"/>
      <c r="K12" s="193"/>
      <c r="L12" s="193"/>
      <c r="M12" s="193"/>
      <c r="N12" s="193"/>
      <c r="O12" s="193"/>
      <c r="P12" s="193"/>
      <c r="Q12" s="193"/>
      <c r="S12" s="5">
        <v>0</v>
      </c>
    </row>
    <row r="13" spans="1:24" ht="12" customHeight="1" x14ac:dyDescent="0.2">
      <c r="C13" s="193">
        <v>1224</v>
      </c>
      <c r="D13" s="193"/>
      <c r="E13" s="193"/>
      <c r="F13" s="193"/>
      <c r="H13" s="193" t="s">
        <v>25</v>
      </c>
      <c r="I13" s="193"/>
      <c r="J13" s="193"/>
      <c r="K13" s="193"/>
      <c r="L13" s="193"/>
      <c r="M13" s="193"/>
      <c r="N13" s="193"/>
      <c r="O13" s="193"/>
      <c r="P13" s="193"/>
      <c r="Q13" s="193"/>
      <c r="S13" s="5">
        <v>0</v>
      </c>
    </row>
    <row r="14" spans="1:24" ht="12" customHeight="1" x14ac:dyDescent="0.2">
      <c r="C14" s="193" t="s">
        <v>26</v>
      </c>
      <c r="D14" s="193"/>
      <c r="E14" s="193"/>
      <c r="F14" s="193"/>
      <c r="H14" s="193" t="s">
        <v>233</v>
      </c>
      <c r="I14" s="193"/>
      <c r="J14" s="193"/>
      <c r="K14" s="193"/>
      <c r="L14" s="193"/>
      <c r="M14" s="193"/>
      <c r="N14" s="193"/>
      <c r="O14" s="193"/>
      <c r="P14" s="193"/>
      <c r="Q14" s="193"/>
      <c r="S14" s="5">
        <v>0</v>
      </c>
    </row>
    <row r="15" spans="1:24" ht="12" customHeight="1" x14ac:dyDescent="0.2">
      <c r="C15" s="193" t="s">
        <v>28</v>
      </c>
      <c r="D15" s="193"/>
      <c r="E15" s="193"/>
      <c r="F15" s="193"/>
      <c r="H15" s="193" t="s">
        <v>234</v>
      </c>
      <c r="I15" s="193"/>
      <c r="J15" s="193"/>
      <c r="K15" s="193"/>
      <c r="L15" s="193"/>
      <c r="M15" s="193"/>
      <c r="N15" s="193"/>
      <c r="O15" s="193"/>
      <c r="P15" s="193"/>
      <c r="Q15" s="193"/>
      <c r="S15" s="5">
        <v>0</v>
      </c>
    </row>
    <row r="16" spans="1:24" ht="12" customHeight="1" x14ac:dyDescent="0.2">
      <c r="C16" s="193" t="s">
        <v>30</v>
      </c>
      <c r="D16" s="193"/>
      <c r="E16" s="193"/>
      <c r="F16" s="193"/>
      <c r="H16" s="193" t="s">
        <v>31</v>
      </c>
      <c r="I16" s="193"/>
      <c r="J16" s="193"/>
      <c r="K16" s="193"/>
      <c r="L16" s="193"/>
      <c r="M16" s="193"/>
      <c r="N16" s="193"/>
      <c r="O16" s="193"/>
      <c r="P16" s="193"/>
      <c r="Q16" s="193"/>
      <c r="S16" s="5">
        <v>0</v>
      </c>
    </row>
    <row r="17" spans="1:23" ht="12" customHeight="1" x14ac:dyDescent="0.2">
      <c r="C17" s="193" t="s">
        <v>46</v>
      </c>
      <c r="D17" s="193"/>
      <c r="E17" s="193"/>
      <c r="F17" s="193"/>
      <c r="H17" s="193" t="s">
        <v>196</v>
      </c>
      <c r="I17" s="193"/>
      <c r="J17" s="193"/>
      <c r="K17" s="193"/>
      <c r="L17" s="193"/>
      <c r="M17" s="193"/>
      <c r="N17" s="193"/>
      <c r="O17" s="193"/>
      <c r="P17" s="193"/>
      <c r="Q17" s="193"/>
      <c r="S17" s="5">
        <v>0</v>
      </c>
    </row>
    <row r="18" spans="1:23" ht="12" customHeight="1" x14ac:dyDescent="0.2">
      <c r="C18" s="193" t="s">
        <v>56</v>
      </c>
      <c r="D18" s="193"/>
      <c r="E18" s="193"/>
      <c r="F18" s="193"/>
      <c r="H18" s="193" t="s">
        <v>185</v>
      </c>
      <c r="I18" s="193"/>
      <c r="J18" s="193"/>
      <c r="K18" s="193"/>
      <c r="L18" s="193"/>
      <c r="M18" s="193"/>
      <c r="N18" s="193"/>
      <c r="O18" s="193"/>
      <c r="P18" s="193"/>
      <c r="Q18" s="193"/>
      <c r="S18" s="5">
        <v>8248.91</v>
      </c>
    </row>
    <row r="19" spans="1:23" ht="12" customHeight="1" x14ac:dyDescent="0.2">
      <c r="C19" s="193">
        <v>1250</v>
      </c>
      <c r="D19" s="193"/>
      <c r="E19" s="193"/>
      <c r="F19" s="193"/>
      <c r="H19" s="193" t="s">
        <v>183</v>
      </c>
      <c r="I19" s="193"/>
      <c r="J19" s="193"/>
      <c r="K19" s="193"/>
      <c r="L19" s="193"/>
      <c r="M19" s="193"/>
      <c r="N19" s="193"/>
      <c r="O19" s="193"/>
      <c r="P19" s="193"/>
      <c r="Q19" s="193"/>
      <c r="S19" s="6">
        <v>2100000</v>
      </c>
    </row>
    <row r="20" spans="1:23" ht="12" customHeight="1" x14ac:dyDescent="0.2">
      <c r="H20" s="199" t="s">
        <v>73</v>
      </c>
      <c r="I20" s="199"/>
      <c r="J20" s="199"/>
      <c r="K20" s="199"/>
      <c r="L20" s="199"/>
      <c r="M20" s="199"/>
      <c r="N20" s="199"/>
      <c r="O20" s="199"/>
      <c r="P20" s="199"/>
      <c r="U20" s="194">
        <f>SUM(S7:S19)</f>
        <v>3174945.25</v>
      </c>
      <c r="V20" s="194"/>
      <c r="W20" s="194"/>
    </row>
    <row r="21" spans="1:23" ht="12" customHeight="1" x14ac:dyDescent="0.2"/>
    <row r="22" spans="1:23" ht="12" customHeight="1" x14ac:dyDescent="0.2">
      <c r="B22" s="199" t="s">
        <v>74</v>
      </c>
      <c r="C22" s="199"/>
      <c r="D22" s="199"/>
      <c r="E22" s="199"/>
      <c r="F22" s="199"/>
      <c r="G22" s="199"/>
      <c r="H22" s="199"/>
      <c r="I22" s="199"/>
      <c r="J22" s="199"/>
      <c r="K22" s="199"/>
    </row>
    <row r="23" spans="1:23" ht="12" customHeight="1" x14ac:dyDescent="0.2">
      <c r="C23" s="193" t="s">
        <v>75</v>
      </c>
      <c r="D23" s="193"/>
      <c r="E23" s="193"/>
      <c r="F23" s="193"/>
      <c r="H23" s="193" t="s">
        <v>186</v>
      </c>
      <c r="I23" s="193"/>
      <c r="J23" s="193"/>
      <c r="K23" s="193"/>
      <c r="L23" s="193"/>
      <c r="M23" s="193"/>
      <c r="N23" s="193"/>
      <c r="O23" s="193"/>
      <c r="P23" s="193"/>
      <c r="Q23" s="193"/>
      <c r="S23" s="5">
        <v>8577.17</v>
      </c>
    </row>
    <row r="24" spans="1:23" ht="12" customHeight="1" x14ac:dyDescent="0.2">
      <c r="C24" s="193" t="s">
        <v>87</v>
      </c>
      <c r="D24" s="193"/>
      <c r="E24" s="193"/>
      <c r="F24" s="193"/>
      <c r="H24" s="193" t="s">
        <v>88</v>
      </c>
      <c r="I24" s="193"/>
      <c r="J24" s="193"/>
      <c r="K24" s="193"/>
      <c r="L24" s="193"/>
      <c r="M24" s="193"/>
      <c r="N24" s="193"/>
      <c r="O24" s="193"/>
      <c r="P24" s="193"/>
      <c r="Q24" s="193"/>
      <c r="S24" s="5">
        <v>20237.79</v>
      </c>
    </row>
    <row r="25" spans="1:23" ht="12" customHeight="1" x14ac:dyDescent="0.2">
      <c r="C25" s="193" t="s">
        <v>99</v>
      </c>
      <c r="D25" s="193"/>
      <c r="E25" s="193"/>
      <c r="F25" s="193"/>
      <c r="H25" s="193" t="s">
        <v>187</v>
      </c>
      <c r="I25" s="193"/>
      <c r="J25" s="193"/>
      <c r="K25" s="193"/>
      <c r="L25" s="193"/>
      <c r="M25" s="193"/>
      <c r="N25" s="193"/>
      <c r="O25" s="193"/>
      <c r="P25" s="193"/>
      <c r="Q25" s="193"/>
      <c r="S25" s="6">
        <v>-12743.61</v>
      </c>
    </row>
    <row r="26" spans="1:23" ht="12" customHeight="1" x14ac:dyDescent="0.2">
      <c r="H26" s="199" t="s">
        <v>103</v>
      </c>
      <c r="I26" s="199"/>
      <c r="J26" s="199"/>
      <c r="K26" s="199"/>
      <c r="L26" s="199"/>
      <c r="M26" s="199"/>
      <c r="N26" s="199"/>
      <c r="O26" s="199"/>
      <c r="P26" s="199"/>
      <c r="U26" s="201">
        <f>SUM(S23:S25)</f>
        <v>16071.349999999999</v>
      </c>
      <c r="V26" s="201"/>
      <c r="W26" s="201"/>
    </row>
    <row r="27" spans="1:23" ht="12" customHeight="1" thickBot="1" x14ac:dyDescent="0.25">
      <c r="I27" s="199" t="s">
        <v>104</v>
      </c>
      <c r="J27" s="199"/>
      <c r="K27" s="199"/>
      <c r="L27" s="199"/>
      <c r="M27" s="199"/>
      <c r="N27" s="199"/>
      <c r="O27" s="199"/>
      <c r="P27" s="199"/>
      <c r="U27" s="202">
        <f>U20+U26</f>
        <v>3191016.6</v>
      </c>
      <c r="V27" s="202"/>
      <c r="W27" s="202"/>
    </row>
    <row r="28" spans="1:23" ht="12" customHeight="1" thickTop="1" x14ac:dyDescent="0.2"/>
    <row r="29" spans="1:23" ht="12" customHeight="1" x14ac:dyDescent="0.2">
      <c r="A29" s="199" t="s">
        <v>105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</row>
    <row r="30" spans="1:23" ht="12" customHeight="1" x14ac:dyDescent="0.2"/>
    <row r="31" spans="1:23" ht="12" customHeight="1" x14ac:dyDescent="0.2">
      <c r="B31" s="199" t="s">
        <v>106</v>
      </c>
      <c r="C31" s="199"/>
      <c r="D31" s="199"/>
      <c r="E31" s="199"/>
      <c r="F31" s="199"/>
      <c r="G31" s="199"/>
      <c r="H31" s="199"/>
      <c r="I31" s="199"/>
      <c r="J31" s="199"/>
      <c r="K31" s="199"/>
    </row>
    <row r="32" spans="1:23" ht="12" customHeight="1" x14ac:dyDescent="0.2">
      <c r="C32" s="193" t="s">
        <v>109</v>
      </c>
      <c r="D32" s="193"/>
      <c r="E32" s="193"/>
      <c r="F32" s="193"/>
      <c r="H32" s="193" t="s">
        <v>110</v>
      </c>
      <c r="I32" s="193"/>
      <c r="J32" s="193"/>
      <c r="K32" s="193"/>
      <c r="L32" s="193"/>
      <c r="M32" s="193"/>
      <c r="N32" s="193"/>
      <c r="O32" s="193"/>
      <c r="P32" s="193"/>
      <c r="Q32" s="193"/>
      <c r="S32" s="5">
        <v>639982.09</v>
      </c>
    </row>
    <row r="33" spans="1:23" ht="12" customHeight="1" x14ac:dyDescent="0.2">
      <c r="C33" s="193" t="s">
        <v>188</v>
      </c>
      <c r="D33" s="193"/>
      <c r="E33" s="193"/>
      <c r="F33" s="193"/>
      <c r="H33" s="193" t="s">
        <v>189</v>
      </c>
      <c r="I33" s="193"/>
      <c r="J33" s="193"/>
      <c r="K33" s="193"/>
      <c r="L33" s="193"/>
      <c r="M33" s="193"/>
      <c r="N33" s="193"/>
      <c r="O33" s="193"/>
      <c r="P33" s="193"/>
      <c r="Q33" s="193"/>
      <c r="S33" s="5">
        <v>149.47999999999999</v>
      </c>
    </row>
    <row r="34" spans="1:23" ht="12" customHeight="1" x14ac:dyDescent="0.2">
      <c r="C34" s="193">
        <v>2175</v>
      </c>
      <c r="D34" s="193"/>
      <c r="E34" s="193"/>
      <c r="F34" s="193"/>
      <c r="H34" s="193" t="s">
        <v>118</v>
      </c>
      <c r="I34" s="193"/>
      <c r="J34" s="193"/>
      <c r="K34" s="193"/>
      <c r="L34" s="193"/>
      <c r="M34" s="193"/>
      <c r="N34" s="193"/>
      <c r="O34" s="193"/>
      <c r="P34" s="193"/>
      <c r="Q34" s="193"/>
      <c r="S34" s="121">
        <v>6493</v>
      </c>
    </row>
    <row r="35" spans="1:23" ht="12" customHeight="1" x14ac:dyDescent="0.2">
      <c r="C35" s="193" t="s">
        <v>121</v>
      </c>
      <c r="D35" s="193"/>
      <c r="E35" s="193"/>
      <c r="F35" s="193"/>
      <c r="H35" s="193" t="s">
        <v>190</v>
      </c>
      <c r="I35" s="193"/>
      <c r="J35" s="193"/>
      <c r="K35" s="193"/>
      <c r="L35" s="193"/>
      <c r="M35" s="193"/>
      <c r="N35" s="193"/>
      <c r="O35" s="193"/>
      <c r="P35" s="193"/>
      <c r="Q35" s="193"/>
      <c r="S35" s="5">
        <v>3825</v>
      </c>
    </row>
    <row r="36" spans="1:23" ht="12" customHeight="1" x14ac:dyDescent="0.2">
      <c r="C36" s="193">
        <v>2230</v>
      </c>
      <c r="D36" s="193"/>
      <c r="E36" s="193"/>
      <c r="F36" s="193"/>
      <c r="H36" s="193" t="s">
        <v>597</v>
      </c>
      <c r="I36" s="193"/>
      <c r="J36" s="193"/>
      <c r="K36" s="193"/>
      <c r="L36" s="193"/>
      <c r="M36" s="193"/>
      <c r="N36" s="193"/>
      <c r="O36" s="193"/>
      <c r="P36" s="193"/>
      <c r="Q36" s="193"/>
      <c r="S36" s="136">
        <v>32247.19</v>
      </c>
    </row>
    <row r="37" spans="1:23" ht="12" customHeight="1" x14ac:dyDescent="0.2">
      <c r="C37" s="193" t="s">
        <v>129</v>
      </c>
      <c r="D37" s="193"/>
      <c r="E37" s="193"/>
      <c r="F37" s="193"/>
      <c r="H37" s="193" t="s">
        <v>191</v>
      </c>
      <c r="I37" s="193"/>
      <c r="J37" s="193"/>
      <c r="K37" s="193"/>
      <c r="L37" s="193"/>
      <c r="M37" s="193"/>
      <c r="N37" s="193"/>
      <c r="O37" s="193"/>
      <c r="P37" s="193"/>
      <c r="Q37" s="193"/>
      <c r="S37" s="5">
        <v>16838.03</v>
      </c>
    </row>
    <row r="38" spans="1:23" ht="12" customHeight="1" x14ac:dyDescent="0.2">
      <c r="C38" s="193">
        <v>2241</v>
      </c>
      <c r="D38" s="193"/>
      <c r="E38" s="193"/>
      <c r="F38" s="193"/>
      <c r="H38" s="193" t="s">
        <v>692</v>
      </c>
      <c r="I38" s="193"/>
      <c r="J38" s="193"/>
      <c r="K38" s="193"/>
      <c r="L38" s="193"/>
      <c r="M38" s="193"/>
      <c r="N38" s="193"/>
      <c r="O38" s="193"/>
      <c r="P38" s="193"/>
      <c r="Q38" s="193"/>
      <c r="S38" s="136">
        <v>36126.82</v>
      </c>
    </row>
    <row r="39" spans="1:23" ht="12" customHeight="1" x14ac:dyDescent="0.2">
      <c r="C39" s="193" t="s">
        <v>131</v>
      </c>
      <c r="D39" s="193"/>
      <c r="E39" s="193"/>
      <c r="F39" s="193"/>
      <c r="H39" s="193" t="s">
        <v>192</v>
      </c>
      <c r="I39" s="193"/>
      <c r="J39" s="193"/>
      <c r="K39" s="193"/>
      <c r="L39" s="193"/>
      <c r="M39" s="193"/>
      <c r="N39" s="193"/>
      <c r="O39" s="193"/>
      <c r="P39" s="193"/>
      <c r="Q39" s="193"/>
      <c r="S39" s="5">
        <v>2494</v>
      </c>
    </row>
    <row r="40" spans="1:23" ht="12" customHeight="1" x14ac:dyDescent="0.2">
      <c r="C40" s="193" t="s">
        <v>227</v>
      </c>
      <c r="D40" s="193"/>
      <c r="E40" s="193"/>
      <c r="F40" s="193"/>
      <c r="H40" s="193" t="s">
        <v>235</v>
      </c>
      <c r="I40" s="193"/>
      <c r="J40" s="193"/>
      <c r="K40" s="193"/>
      <c r="L40" s="193"/>
      <c r="M40" s="193"/>
      <c r="N40" s="193"/>
      <c r="O40" s="193"/>
      <c r="P40" s="193"/>
      <c r="Q40" s="193"/>
      <c r="S40" s="5">
        <v>4651</v>
      </c>
    </row>
    <row r="41" spans="1:23" ht="12" customHeight="1" x14ac:dyDescent="0.2">
      <c r="C41" s="193" t="s">
        <v>236</v>
      </c>
      <c r="D41" s="193"/>
      <c r="E41" s="193"/>
      <c r="F41" s="193"/>
      <c r="H41" s="193" t="s">
        <v>205</v>
      </c>
      <c r="I41" s="193"/>
      <c r="J41" s="193"/>
      <c r="K41" s="193"/>
      <c r="L41" s="193"/>
      <c r="M41" s="193"/>
      <c r="N41" s="193"/>
      <c r="O41" s="193"/>
      <c r="P41" s="193"/>
      <c r="Q41" s="193"/>
      <c r="S41" s="5">
        <v>162892.82</v>
      </c>
    </row>
    <row r="42" spans="1:23" ht="12" customHeight="1" x14ac:dyDescent="0.2">
      <c r="C42" s="193">
        <v>2401</v>
      </c>
      <c r="D42" s="193"/>
      <c r="E42" s="193"/>
      <c r="F42" s="193"/>
      <c r="H42" s="193" t="s">
        <v>665</v>
      </c>
      <c r="I42" s="193"/>
      <c r="J42" s="193"/>
      <c r="K42" s="193"/>
      <c r="L42" s="193"/>
      <c r="M42" s="193"/>
      <c r="N42" s="193"/>
      <c r="O42" s="193"/>
      <c r="P42" s="193"/>
      <c r="Q42" s="193"/>
      <c r="S42" s="123">
        <v>0</v>
      </c>
    </row>
    <row r="43" spans="1:23" ht="12" customHeight="1" x14ac:dyDescent="0.2">
      <c r="H43" s="199" t="s">
        <v>148</v>
      </c>
      <c r="I43" s="199"/>
      <c r="J43" s="199"/>
      <c r="K43" s="199"/>
      <c r="L43" s="199"/>
      <c r="M43" s="199"/>
      <c r="N43" s="199"/>
      <c r="O43" s="199"/>
      <c r="P43" s="199"/>
      <c r="S43" s="5"/>
      <c r="U43" s="194">
        <f>SUM(S32:S42)</f>
        <v>905699.42999999993</v>
      </c>
      <c r="V43" s="194"/>
      <c r="W43" s="194"/>
    </row>
    <row r="44" spans="1:23" ht="12" customHeight="1" x14ac:dyDescent="0.2">
      <c r="I44" s="199" t="s">
        <v>159</v>
      </c>
      <c r="J44" s="199"/>
      <c r="K44" s="199"/>
      <c r="L44" s="199"/>
      <c r="M44" s="199"/>
      <c r="N44" s="199"/>
      <c r="O44" s="199"/>
      <c r="P44" s="199"/>
      <c r="S44" s="5"/>
      <c r="U44" s="198">
        <f>U43</f>
        <v>905699.42999999993</v>
      </c>
      <c r="V44" s="198"/>
      <c r="W44" s="198"/>
    </row>
    <row r="45" spans="1:23" ht="12" customHeight="1" x14ac:dyDescent="0.2">
      <c r="S45" s="5"/>
      <c r="U45" s="194"/>
      <c r="V45" s="194"/>
      <c r="W45" s="194"/>
    </row>
    <row r="46" spans="1:23" ht="12" customHeight="1" x14ac:dyDescent="0.2">
      <c r="A46" s="199" t="s">
        <v>160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S46" s="5"/>
      <c r="U46" s="194"/>
      <c r="V46" s="194"/>
      <c r="W46" s="194"/>
    </row>
    <row r="47" spans="1:23" ht="12" customHeight="1" x14ac:dyDescent="0.2">
      <c r="S47" s="5"/>
      <c r="U47" s="194"/>
      <c r="V47" s="194"/>
      <c r="W47" s="194"/>
    </row>
    <row r="48" spans="1:23" ht="12" customHeight="1" x14ac:dyDescent="0.2">
      <c r="C48" s="193" t="s">
        <v>165</v>
      </c>
      <c r="D48" s="193"/>
      <c r="E48" s="193"/>
      <c r="F48" s="193"/>
      <c r="H48" s="193" t="s">
        <v>166</v>
      </c>
      <c r="I48" s="193"/>
      <c r="J48" s="193"/>
      <c r="K48" s="193"/>
      <c r="L48" s="193"/>
      <c r="M48" s="193"/>
      <c r="N48" s="193"/>
      <c r="O48" s="193"/>
      <c r="P48" s="193"/>
      <c r="Q48" s="193"/>
      <c r="S48" s="5">
        <v>206815.9</v>
      </c>
      <c r="U48" s="194"/>
      <c r="V48" s="194"/>
      <c r="W48" s="194"/>
    </row>
    <row r="49" spans="1:23" ht="12" customHeight="1" x14ac:dyDescent="0.2">
      <c r="C49" s="193" t="s">
        <v>165</v>
      </c>
      <c r="D49" s="193"/>
      <c r="E49" s="193"/>
      <c r="F49" s="193"/>
      <c r="H49" s="193" t="s">
        <v>193</v>
      </c>
      <c r="I49" s="193"/>
      <c r="J49" s="193"/>
      <c r="K49" s="193"/>
      <c r="L49" s="193"/>
      <c r="M49" s="193"/>
      <c r="N49" s="193"/>
      <c r="O49" s="193"/>
      <c r="P49" s="193"/>
      <c r="Q49" s="193"/>
      <c r="S49" s="5">
        <v>2078501.27</v>
      </c>
      <c r="U49" s="194"/>
      <c r="V49" s="194"/>
      <c r="W49" s="194"/>
    </row>
    <row r="50" spans="1:23" ht="12" customHeight="1" x14ac:dyDescent="0.2">
      <c r="U50" s="194"/>
      <c r="V50" s="194"/>
      <c r="W50" s="194"/>
    </row>
    <row r="51" spans="1:23" ht="12" customHeight="1" x14ac:dyDescent="0.2">
      <c r="I51" s="199" t="s">
        <v>176</v>
      </c>
      <c r="J51" s="199"/>
      <c r="K51" s="199"/>
      <c r="L51" s="199"/>
      <c r="M51" s="199"/>
      <c r="N51" s="199"/>
      <c r="O51" s="199"/>
      <c r="P51" s="199"/>
      <c r="U51" s="198">
        <f>SUM(S48:S49)</f>
        <v>2285317.17</v>
      </c>
      <c r="V51" s="198"/>
      <c r="W51" s="198"/>
    </row>
    <row r="52" spans="1:23" ht="12" customHeight="1" x14ac:dyDescent="0.2">
      <c r="U52" s="194"/>
      <c r="V52" s="194"/>
      <c r="W52" s="194"/>
    </row>
    <row r="53" spans="1:23" ht="12" customHeight="1" x14ac:dyDescent="0.2">
      <c r="I53" s="199" t="s">
        <v>177</v>
      </c>
      <c r="J53" s="199"/>
      <c r="K53" s="199"/>
      <c r="L53" s="199"/>
      <c r="M53" s="199"/>
      <c r="N53" s="199"/>
      <c r="O53" s="199"/>
      <c r="P53" s="199"/>
      <c r="U53" s="194"/>
      <c r="V53" s="194"/>
      <c r="W53" s="194"/>
    </row>
    <row r="54" spans="1:23" ht="12" customHeight="1" thickBot="1" x14ac:dyDescent="0.25">
      <c r="I54" s="199"/>
      <c r="J54" s="199"/>
      <c r="K54" s="199"/>
      <c r="L54" s="199"/>
      <c r="M54" s="199"/>
      <c r="N54" s="199"/>
      <c r="O54" s="199"/>
      <c r="P54" s="199"/>
      <c r="U54" s="197">
        <f>U44+U51</f>
        <v>3191016.5999999996</v>
      </c>
      <c r="V54" s="197"/>
      <c r="W54" s="197"/>
    </row>
    <row r="55" spans="1:23" ht="12" customHeight="1" thickTop="1" x14ac:dyDescent="0.2">
      <c r="U55" s="194"/>
      <c r="V55" s="194"/>
      <c r="W55" s="194"/>
    </row>
    <row r="56" spans="1:23" ht="12" customHeight="1" x14ac:dyDescent="0.2">
      <c r="S56" t="s">
        <v>394</v>
      </c>
      <c r="V56" s="72">
        <f>U27-U54</f>
        <v>0</v>
      </c>
    </row>
    <row r="57" spans="1:23" ht="12" customHeight="1" x14ac:dyDescent="0.2"/>
    <row r="58" spans="1:23" ht="12" customHeight="1" x14ac:dyDescent="0.2">
      <c r="A58" s="195"/>
      <c r="B58" s="195"/>
      <c r="C58" s="195"/>
      <c r="D58" s="195"/>
      <c r="F58" s="196"/>
      <c r="G58" s="196"/>
      <c r="H58" s="196"/>
      <c r="I58" s="196"/>
      <c r="J58" s="196"/>
      <c r="V58" s="73"/>
      <c r="W58" s="1"/>
    </row>
    <row r="59" spans="1:23" ht="12" customHeight="1" x14ac:dyDescent="0.2">
      <c r="A59" s="195"/>
      <c r="B59" s="195"/>
      <c r="C59" s="195"/>
      <c r="D59" s="195"/>
      <c r="F59" s="200"/>
      <c r="G59" s="200"/>
      <c r="H59" s="200"/>
      <c r="I59" s="200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4:F14"/>
    <mergeCell ref="H14:Q14"/>
    <mergeCell ref="C13:F13"/>
    <mergeCell ref="H13:Q13"/>
    <mergeCell ref="C15:F15"/>
    <mergeCell ref="H15:Q15"/>
    <mergeCell ref="C16:F16"/>
    <mergeCell ref="H16:Q16"/>
    <mergeCell ref="C17:F17"/>
    <mergeCell ref="H17:Q17"/>
    <mergeCell ref="C19:F19"/>
    <mergeCell ref="H19:Q19"/>
    <mergeCell ref="H20:P20"/>
    <mergeCell ref="U20:W20"/>
    <mergeCell ref="B22:K22"/>
    <mergeCell ref="C23:F23"/>
    <mergeCell ref="H23:Q23"/>
    <mergeCell ref="C24:F24"/>
    <mergeCell ref="H24:Q24"/>
    <mergeCell ref="C25:F25"/>
    <mergeCell ref="H25:Q25"/>
    <mergeCell ref="H26:P26"/>
    <mergeCell ref="U26:W26"/>
    <mergeCell ref="I27:P27"/>
    <mergeCell ref="U27:W27"/>
    <mergeCell ref="A29:M29"/>
    <mergeCell ref="B31:K31"/>
    <mergeCell ref="C32:F32"/>
    <mergeCell ref="H32:Q32"/>
    <mergeCell ref="C33:F33"/>
    <mergeCell ref="H33:Q33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C40:F40"/>
    <mergeCell ref="H40:Q40"/>
    <mergeCell ref="C41:F41"/>
    <mergeCell ref="H41:Q41"/>
    <mergeCell ref="H43:P43"/>
    <mergeCell ref="C42:F42"/>
    <mergeCell ref="H42:Q42"/>
    <mergeCell ref="C48:F48"/>
    <mergeCell ref="H48:Q48"/>
    <mergeCell ref="U45:W45"/>
    <mergeCell ref="U46:W46"/>
    <mergeCell ref="U47:W47"/>
    <mergeCell ref="A59:D59"/>
    <mergeCell ref="F59:I59"/>
    <mergeCell ref="C49:F49"/>
    <mergeCell ref="H49:Q49"/>
    <mergeCell ref="I51:P51"/>
    <mergeCell ref="I53:P54"/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AB1" s="95" t="s">
        <v>0</v>
      </c>
    </row>
    <row r="2" spans="1:28" ht="12" customHeight="1" x14ac:dyDescent="0.2">
      <c r="A2" s="171" t="s">
        <v>701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8" ht="12" customHeight="1" x14ac:dyDescent="0.2">
      <c r="A3" s="172" t="s">
        <v>194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AB3" s="95" t="s">
        <v>509</v>
      </c>
    </row>
    <row r="4" spans="1:28" ht="12" customHeight="1" x14ac:dyDescent="0.2">
      <c r="A4" s="162" t="s">
        <v>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AB4" s="96" t="s">
        <v>194</v>
      </c>
    </row>
    <row r="5" spans="1:28" ht="12" customHeight="1" x14ac:dyDescent="0.2">
      <c r="B5" s="162" t="s">
        <v>3</v>
      </c>
      <c r="C5" s="162"/>
      <c r="D5" s="162"/>
      <c r="E5" s="162"/>
      <c r="F5" s="162"/>
      <c r="G5" s="162"/>
      <c r="H5" s="162"/>
      <c r="I5" s="162"/>
      <c r="J5" s="162"/>
      <c r="K5" s="162"/>
      <c r="S5" s="97">
        <v>43465</v>
      </c>
    </row>
    <row r="6" spans="1:28" ht="12" customHeight="1" x14ac:dyDescent="0.2"/>
    <row r="7" spans="1:28" ht="12" customHeight="1" x14ac:dyDescent="0.2">
      <c r="C7" s="164" t="s">
        <v>6</v>
      </c>
      <c r="D7" s="164"/>
      <c r="E7" s="164"/>
      <c r="F7" s="164"/>
      <c r="H7" s="164" t="s">
        <v>195</v>
      </c>
      <c r="I7" s="164"/>
      <c r="J7" s="164"/>
      <c r="K7" s="164"/>
      <c r="L7" s="164"/>
      <c r="M7" s="164"/>
      <c r="N7" s="164"/>
      <c r="O7" s="164"/>
      <c r="P7" s="164"/>
      <c r="Q7" s="164"/>
      <c r="S7" s="129">
        <v>48775.17</v>
      </c>
      <c r="AB7" s="98" t="s">
        <v>2</v>
      </c>
    </row>
    <row r="8" spans="1:28" ht="12" customHeight="1" x14ac:dyDescent="0.2">
      <c r="C8" s="164" t="s">
        <v>16</v>
      </c>
      <c r="D8" s="164"/>
      <c r="E8" s="164"/>
      <c r="F8" s="164"/>
      <c r="H8" s="164" t="s">
        <v>17</v>
      </c>
      <c r="I8" s="164"/>
      <c r="J8" s="164"/>
      <c r="K8" s="164"/>
      <c r="L8" s="164"/>
      <c r="M8" s="164"/>
      <c r="N8" s="164"/>
      <c r="O8" s="164"/>
      <c r="P8" s="164"/>
      <c r="Q8" s="164"/>
      <c r="S8" s="129">
        <v>89821.27</v>
      </c>
    </row>
    <row r="9" spans="1:28" ht="12" customHeight="1" x14ac:dyDescent="0.2">
      <c r="C9" s="164" t="s">
        <v>40</v>
      </c>
      <c r="D9" s="164"/>
      <c r="E9" s="164"/>
      <c r="F9" s="164"/>
      <c r="H9" s="164" t="s">
        <v>61</v>
      </c>
      <c r="I9" s="164"/>
      <c r="J9" s="164"/>
      <c r="K9" s="164"/>
      <c r="L9" s="164"/>
      <c r="M9" s="164"/>
      <c r="N9" s="164"/>
      <c r="O9" s="164"/>
      <c r="P9" s="164"/>
      <c r="Q9" s="164"/>
      <c r="S9" s="129">
        <v>0</v>
      </c>
    </row>
    <row r="10" spans="1:28" ht="12" customHeight="1" x14ac:dyDescent="0.2">
      <c r="C10" s="164" t="s">
        <v>182</v>
      </c>
      <c r="D10" s="164"/>
      <c r="E10" s="164"/>
      <c r="F10" s="164"/>
      <c r="H10" s="164" t="s">
        <v>183</v>
      </c>
      <c r="I10" s="164"/>
      <c r="J10" s="164"/>
      <c r="K10" s="164"/>
      <c r="L10" s="164"/>
      <c r="M10" s="164"/>
      <c r="N10" s="164"/>
      <c r="O10" s="164"/>
      <c r="P10" s="164"/>
      <c r="Q10" s="164"/>
      <c r="S10" s="129">
        <v>4600000</v>
      </c>
    </row>
    <row r="11" spans="1:28" ht="12" customHeight="1" x14ac:dyDescent="0.2">
      <c r="C11" s="164">
        <v>1239</v>
      </c>
      <c r="D11" s="164"/>
      <c r="E11" s="164"/>
      <c r="F11" s="164"/>
      <c r="H11" s="164" t="s">
        <v>693</v>
      </c>
      <c r="I11" s="164"/>
      <c r="J11" s="164"/>
      <c r="K11" s="164"/>
      <c r="L11" s="164"/>
      <c r="M11" s="164"/>
      <c r="N11" s="164"/>
      <c r="O11" s="164"/>
      <c r="P11" s="164"/>
      <c r="Q11" s="164"/>
      <c r="S11" s="129">
        <v>2650</v>
      </c>
    </row>
    <row r="12" spans="1:28" ht="12" customHeight="1" x14ac:dyDescent="0.2">
      <c r="C12" s="164" t="s">
        <v>46</v>
      </c>
      <c r="D12" s="164"/>
      <c r="E12" s="164"/>
      <c r="F12" s="164"/>
      <c r="H12" s="164" t="s">
        <v>196</v>
      </c>
      <c r="I12" s="164"/>
      <c r="J12" s="164"/>
      <c r="K12" s="164"/>
      <c r="L12" s="164"/>
      <c r="M12" s="164"/>
      <c r="N12" s="164"/>
      <c r="O12" s="164"/>
      <c r="P12" s="164"/>
      <c r="Q12" s="164"/>
      <c r="S12" s="129">
        <v>0</v>
      </c>
    </row>
    <row r="13" spans="1:28" ht="12" customHeight="1" x14ac:dyDescent="0.2">
      <c r="C13" s="164" t="s">
        <v>48</v>
      </c>
      <c r="D13" s="164"/>
      <c r="E13" s="164"/>
      <c r="F13" s="164"/>
      <c r="H13" s="164" t="s">
        <v>49</v>
      </c>
      <c r="I13" s="164"/>
      <c r="J13" s="164"/>
      <c r="K13" s="164"/>
      <c r="L13" s="164"/>
      <c r="M13" s="164"/>
      <c r="N13" s="164"/>
      <c r="O13" s="164"/>
      <c r="P13" s="164"/>
      <c r="Q13" s="164"/>
      <c r="S13" s="129">
        <v>102045.52</v>
      </c>
    </row>
    <row r="14" spans="1:28" ht="12" customHeight="1" x14ac:dyDescent="0.2">
      <c r="C14" s="164">
        <v>1243</v>
      </c>
      <c r="D14" s="164"/>
      <c r="E14" s="164"/>
      <c r="F14" s="164"/>
      <c r="H14" s="164" t="s">
        <v>682</v>
      </c>
      <c r="I14" s="164"/>
      <c r="J14" s="164"/>
      <c r="K14" s="164"/>
      <c r="L14" s="164"/>
      <c r="M14" s="164"/>
      <c r="N14" s="164"/>
      <c r="O14" s="164"/>
      <c r="P14" s="164"/>
      <c r="Q14" s="164"/>
      <c r="S14" s="129">
        <v>0</v>
      </c>
    </row>
    <row r="15" spans="1:28" ht="12" customHeight="1" x14ac:dyDescent="0.2">
      <c r="C15" s="164" t="s">
        <v>56</v>
      </c>
      <c r="D15" s="164"/>
      <c r="E15" s="164"/>
      <c r="F15" s="164"/>
      <c r="H15" s="164" t="s">
        <v>59</v>
      </c>
      <c r="I15" s="164"/>
      <c r="J15" s="164"/>
      <c r="K15" s="164"/>
      <c r="L15" s="164"/>
      <c r="M15" s="164"/>
      <c r="N15" s="164"/>
      <c r="O15" s="164"/>
      <c r="P15" s="164"/>
      <c r="Q15" s="164"/>
      <c r="S15" s="129">
        <v>0</v>
      </c>
    </row>
    <row r="16" spans="1:28" ht="12" customHeight="1" x14ac:dyDescent="0.2">
      <c r="C16" s="164" t="s">
        <v>197</v>
      </c>
      <c r="D16" s="164"/>
      <c r="E16" s="164"/>
      <c r="F16" s="164"/>
      <c r="H16" s="164" t="s">
        <v>198</v>
      </c>
      <c r="I16" s="164"/>
      <c r="J16" s="164"/>
      <c r="K16" s="164"/>
      <c r="L16" s="164"/>
      <c r="M16" s="164"/>
      <c r="N16" s="164"/>
      <c r="O16" s="164"/>
      <c r="P16" s="164"/>
      <c r="Q16" s="164"/>
      <c r="S16" s="129">
        <v>15362.97</v>
      </c>
    </row>
    <row r="17" spans="1:23" ht="12" customHeight="1" x14ac:dyDescent="0.2">
      <c r="C17" s="164" t="s">
        <v>58</v>
      </c>
      <c r="D17" s="164"/>
      <c r="E17" s="164"/>
      <c r="F17" s="164"/>
      <c r="H17" s="164" t="s">
        <v>59</v>
      </c>
      <c r="I17" s="164"/>
      <c r="J17" s="164"/>
      <c r="K17" s="164"/>
      <c r="L17" s="164"/>
      <c r="M17" s="164"/>
      <c r="N17" s="164"/>
      <c r="O17" s="164"/>
      <c r="P17" s="164"/>
      <c r="Q17" s="164"/>
      <c r="S17" s="129">
        <v>0</v>
      </c>
    </row>
    <row r="18" spans="1:23" ht="12" customHeight="1" x14ac:dyDescent="0.2">
      <c r="C18" s="164" t="s">
        <v>199</v>
      </c>
      <c r="D18" s="164"/>
      <c r="E18" s="164"/>
      <c r="F18" s="164"/>
      <c r="H18" s="164" t="s">
        <v>200</v>
      </c>
      <c r="I18" s="164"/>
      <c r="J18" s="164"/>
      <c r="K18" s="164"/>
      <c r="L18" s="164"/>
      <c r="M18" s="164"/>
      <c r="N18" s="164"/>
      <c r="O18" s="164"/>
      <c r="P18" s="164"/>
      <c r="Q18" s="164"/>
      <c r="S18" s="131">
        <f>104563.66+8000+74554.69</f>
        <v>187118.35</v>
      </c>
    </row>
    <row r="19" spans="1:23" ht="12" customHeight="1" x14ac:dyDescent="0.2">
      <c r="H19" s="162" t="s">
        <v>73</v>
      </c>
      <c r="I19" s="162"/>
      <c r="J19" s="162"/>
      <c r="K19" s="162"/>
      <c r="L19" s="162"/>
      <c r="M19" s="162"/>
      <c r="N19" s="162"/>
      <c r="O19" s="162"/>
      <c r="P19" s="162"/>
      <c r="U19" s="163">
        <f>SUM(S7:S18)</f>
        <v>5045773.2799999993</v>
      </c>
      <c r="V19" s="163"/>
      <c r="W19" s="163"/>
    </row>
    <row r="20" spans="1:23" ht="12" customHeight="1" x14ac:dyDescent="0.2"/>
    <row r="21" spans="1:23" ht="12" customHeight="1" x14ac:dyDescent="0.2">
      <c r="B21" s="162" t="s">
        <v>74</v>
      </c>
      <c r="C21" s="162"/>
      <c r="D21" s="162"/>
      <c r="E21" s="162"/>
      <c r="F21" s="162"/>
      <c r="G21" s="162"/>
      <c r="H21" s="162"/>
      <c r="I21" s="162"/>
      <c r="J21" s="162"/>
      <c r="K21" s="162"/>
    </row>
    <row r="22" spans="1:23" ht="12" customHeight="1" x14ac:dyDescent="0.2">
      <c r="C22" s="164" t="s">
        <v>75</v>
      </c>
      <c r="D22" s="164"/>
      <c r="E22" s="164"/>
      <c r="F22" s="164"/>
      <c r="H22" s="164" t="s">
        <v>186</v>
      </c>
      <c r="I22" s="164"/>
      <c r="J22" s="164"/>
      <c r="K22" s="164"/>
      <c r="L22" s="164"/>
      <c r="M22" s="164"/>
      <c r="N22" s="164"/>
      <c r="O22" s="164"/>
      <c r="P22" s="164"/>
      <c r="Q22" s="164"/>
      <c r="S22" s="129">
        <v>138413.75</v>
      </c>
    </row>
    <row r="23" spans="1:23" ht="12" customHeight="1" x14ac:dyDescent="0.2">
      <c r="C23" s="164" t="s">
        <v>81</v>
      </c>
      <c r="D23" s="164"/>
      <c r="E23" s="164"/>
      <c r="F23" s="164"/>
      <c r="H23" s="164" t="s">
        <v>201</v>
      </c>
      <c r="I23" s="164"/>
      <c r="J23" s="164"/>
      <c r="K23" s="164"/>
      <c r="L23" s="164"/>
      <c r="M23" s="164"/>
      <c r="N23" s="164"/>
      <c r="O23" s="164"/>
      <c r="P23" s="164"/>
      <c r="Q23" s="164"/>
      <c r="S23" s="129">
        <v>193555.25</v>
      </c>
    </row>
    <row r="24" spans="1:23" ht="12" customHeight="1" x14ac:dyDescent="0.2">
      <c r="C24" s="164" t="s">
        <v>87</v>
      </c>
      <c r="D24" s="164"/>
      <c r="E24" s="164"/>
      <c r="F24" s="164"/>
      <c r="H24" s="164" t="s">
        <v>88</v>
      </c>
      <c r="I24" s="164"/>
      <c r="J24" s="164"/>
      <c r="K24" s="164"/>
      <c r="L24" s="164"/>
      <c r="M24" s="164"/>
      <c r="N24" s="164"/>
      <c r="O24" s="164"/>
      <c r="P24" s="164"/>
      <c r="Q24" s="164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64" t="s">
        <v>94</v>
      </c>
      <c r="I25" s="164"/>
      <c r="J25" s="164"/>
      <c r="K25" s="164"/>
      <c r="L25" s="164"/>
      <c r="M25" s="164"/>
      <c r="N25" s="164"/>
      <c r="O25" s="164"/>
      <c r="P25" s="164"/>
      <c r="Q25" s="164"/>
      <c r="S25" s="129">
        <v>0</v>
      </c>
    </row>
    <row r="26" spans="1:23" ht="12" customHeight="1" x14ac:dyDescent="0.2">
      <c r="C26" s="164" t="s">
        <v>99</v>
      </c>
      <c r="D26" s="164"/>
      <c r="E26" s="164"/>
      <c r="F26" s="164"/>
      <c r="H26" s="164" t="s">
        <v>187</v>
      </c>
      <c r="I26" s="164"/>
      <c r="J26" s="164"/>
      <c r="K26" s="164"/>
      <c r="L26" s="164"/>
      <c r="M26" s="164"/>
      <c r="N26" s="164"/>
      <c r="O26" s="164"/>
      <c r="P26" s="164"/>
      <c r="Q26" s="164"/>
      <c r="S26" s="131">
        <v>-604223.72</v>
      </c>
    </row>
    <row r="27" spans="1:23" ht="12" customHeight="1" x14ac:dyDescent="0.2">
      <c r="H27" s="162" t="s">
        <v>103</v>
      </c>
      <c r="I27" s="162"/>
      <c r="J27" s="162"/>
      <c r="K27" s="162"/>
      <c r="L27" s="162"/>
      <c r="M27" s="162"/>
      <c r="N27" s="162"/>
      <c r="O27" s="162"/>
      <c r="P27" s="162"/>
      <c r="U27" s="166">
        <f>SUM(S22:S26)</f>
        <v>443777.42000000004</v>
      </c>
      <c r="V27" s="166"/>
      <c r="W27" s="166"/>
    </row>
    <row r="28" spans="1:23" ht="12" customHeight="1" thickBot="1" x14ac:dyDescent="0.25">
      <c r="I28" s="162" t="s">
        <v>104</v>
      </c>
      <c r="J28" s="162"/>
      <c r="K28" s="162"/>
      <c r="L28" s="162"/>
      <c r="M28" s="162"/>
      <c r="N28" s="162"/>
      <c r="O28" s="162"/>
      <c r="P28" s="162"/>
      <c r="U28" s="169">
        <f>U27+U19</f>
        <v>5489550.6999999993</v>
      </c>
      <c r="V28" s="169"/>
      <c r="W28" s="169"/>
    </row>
    <row r="29" spans="1:23" ht="12" customHeight="1" thickTop="1" x14ac:dyDescent="0.2"/>
    <row r="30" spans="1:23" ht="12" customHeight="1" x14ac:dyDescent="0.2">
      <c r="A30" s="162" t="s">
        <v>105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</row>
    <row r="31" spans="1:23" ht="12" customHeight="1" x14ac:dyDescent="0.2">
      <c r="B31" s="162" t="s">
        <v>106</v>
      </c>
      <c r="C31" s="162"/>
      <c r="D31" s="162"/>
      <c r="E31" s="162"/>
      <c r="F31" s="162"/>
      <c r="G31" s="162"/>
      <c r="H31" s="162"/>
      <c r="I31" s="162"/>
      <c r="J31" s="162"/>
      <c r="K31" s="162"/>
    </row>
    <row r="32" spans="1:23" ht="12" customHeight="1" x14ac:dyDescent="0.2">
      <c r="C32" s="164" t="s">
        <v>109</v>
      </c>
      <c r="D32" s="164"/>
      <c r="E32" s="164"/>
      <c r="F32" s="164"/>
      <c r="H32" s="164" t="s">
        <v>110</v>
      </c>
      <c r="I32" s="164"/>
      <c r="J32" s="164"/>
      <c r="K32" s="164"/>
      <c r="L32" s="164"/>
      <c r="M32" s="164"/>
      <c r="N32" s="164"/>
      <c r="O32" s="164"/>
      <c r="P32" s="164"/>
      <c r="Q32" s="164"/>
      <c r="S32" s="129">
        <v>3161.36</v>
      </c>
    </row>
    <row r="33" spans="1:23" ht="12.75" customHeight="1" x14ac:dyDescent="0.2">
      <c r="C33" s="164" t="s">
        <v>111</v>
      </c>
      <c r="D33" s="164"/>
      <c r="E33" s="164"/>
      <c r="F33" s="164"/>
      <c r="H33" s="164" t="s">
        <v>237</v>
      </c>
      <c r="I33" s="164"/>
      <c r="J33" s="164"/>
      <c r="K33" s="164"/>
      <c r="L33" s="164"/>
      <c r="M33" s="164"/>
      <c r="N33" s="164"/>
      <c r="O33" s="164"/>
      <c r="P33" s="164"/>
      <c r="Q33" s="164"/>
      <c r="S33" s="129">
        <v>0</v>
      </c>
    </row>
    <row r="34" spans="1:23" ht="12" customHeight="1" x14ac:dyDescent="0.2">
      <c r="C34" s="164" t="s">
        <v>225</v>
      </c>
      <c r="D34" s="164"/>
      <c r="E34" s="164"/>
      <c r="F34" s="164"/>
      <c r="H34" s="164" t="s">
        <v>238</v>
      </c>
      <c r="I34" s="164"/>
      <c r="J34" s="164"/>
      <c r="K34" s="164"/>
      <c r="L34" s="164"/>
      <c r="M34" s="164"/>
      <c r="N34" s="164"/>
      <c r="O34" s="164"/>
      <c r="P34" s="164"/>
      <c r="Q34" s="164"/>
      <c r="S34" s="129">
        <v>0</v>
      </c>
    </row>
    <row r="35" spans="1:23" ht="12" customHeight="1" x14ac:dyDescent="0.2">
      <c r="C35" s="164" t="s">
        <v>113</v>
      </c>
      <c r="D35" s="164"/>
      <c r="E35" s="164"/>
      <c r="F35" s="164"/>
      <c r="H35" s="164" t="s">
        <v>239</v>
      </c>
      <c r="I35" s="164"/>
      <c r="J35" s="164"/>
      <c r="K35" s="164"/>
      <c r="L35" s="164"/>
      <c r="M35" s="164"/>
      <c r="N35" s="164"/>
      <c r="O35" s="164"/>
      <c r="P35" s="164"/>
      <c r="Q35" s="164"/>
      <c r="S35" s="129">
        <v>0</v>
      </c>
    </row>
    <row r="36" spans="1:23" ht="12" customHeight="1" x14ac:dyDescent="0.2">
      <c r="C36" s="164">
        <v>2150</v>
      </c>
      <c r="D36" s="164"/>
      <c r="E36" s="164"/>
      <c r="F36" s="164"/>
      <c r="H36" s="164" t="s">
        <v>189</v>
      </c>
      <c r="I36" s="164"/>
      <c r="J36" s="164"/>
      <c r="K36" s="164"/>
      <c r="L36" s="164"/>
      <c r="M36" s="164"/>
      <c r="N36" s="164"/>
      <c r="O36" s="164"/>
      <c r="P36" s="164"/>
      <c r="Q36" s="164"/>
      <c r="S36" s="121">
        <v>37.479999999999997</v>
      </c>
    </row>
    <row r="37" spans="1:23" ht="12" customHeight="1" x14ac:dyDescent="0.2">
      <c r="C37" s="164" t="s">
        <v>117</v>
      </c>
      <c r="D37" s="164"/>
      <c r="E37" s="164"/>
      <c r="F37" s="164"/>
      <c r="H37" s="164" t="s">
        <v>118</v>
      </c>
      <c r="I37" s="164"/>
      <c r="J37" s="164"/>
      <c r="K37" s="164"/>
      <c r="L37" s="164"/>
      <c r="M37" s="164"/>
      <c r="N37" s="164"/>
      <c r="O37" s="164"/>
      <c r="P37" s="164"/>
      <c r="Q37" s="164"/>
      <c r="S37" s="129">
        <v>181998.74</v>
      </c>
    </row>
    <row r="38" spans="1:23" ht="12" customHeight="1" x14ac:dyDescent="0.2">
      <c r="C38" s="164" t="s">
        <v>119</v>
      </c>
      <c r="D38" s="164"/>
      <c r="E38" s="164"/>
      <c r="F38" s="164"/>
      <c r="H38" s="164" t="s">
        <v>190</v>
      </c>
      <c r="I38" s="164"/>
      <c r="J38" s="164"/>
      <c r="K38" s="164"/>
      <c r="L38" s="164"/>
      <c r="M38" s="164"/>
      <c r="N38" s="164"/>
      <c r="O38" s="164"/>
      <c r="P38" s="164"/>
      <c r="Q38" s="164"/>
      <c r="S38" s="129">
        <v>39066.29</v>
      </c>
    </row>
    <row r="39" spans="1:23" ht="12" customHeight="1" x14ac:dyDescent="0.2">
      <c r="C39" s="164">
        <v>2215</v>
      </c>
      <c r="D39" s="164"/>
      <c r="E39" s="164"/>
      <c r="F39" s="164"/>
      <c r="H39" s="164" t="s">
        <v>637</v>
      </c>
      <c r="I39" s="164"/>
      <c r="J39" s="164"/>
      <c r="K39" s="164"/>
      <c r="L39" s="164"/>
      <c r="M39" s="164"/>
      <c r="N39" s="164"/>
      <c r="O39" s="164"/>
      <c r="P39" s="164"/>
      <c r="Q39" s="164"/>
      <c r="S39" s="121">
        <v>13898</v>
      </c>
    </row>
    <row r="40" spans="1:23" ht="12.75" customHeight="1" x14ac:dyDescent="0.2">
      <c r="C40" s="164" t="s">
        <v>125</v>
      </c>
      <c r="D40" s="164"/>
      <c r="E40" s="164"/>
      <c r="F40" s="164"/>
      <c r="H40" s="164" t="s">
        <v>202</v>
      </c>
      <c r="I40" s="164"/>
      <c r="J40" s="164"/>
      <c r="K40" s="164"/>
      <c r="L40" s="164"/>
      <c r="M40" s="164"/>
      <c r="N40" s="164"/>
      <c r="O40" s="164"/>
      <c r="P40" s="164"/>
      <c r="Q40" s="164"/>
      <c r="S40" s="129">
        <v>0</v>
      </c>
    </row>
    <row r="41" spans="1:23" ht="12" customHeight="1" x14ac:dyDescent="0.2">
      <c r="C41" s="164" t="s">
        <v>127</v>
      </c>
      <c r="D41" s="164"/>
      <c r="E41" s="164"/>
      <c r="F41" s="164"/>
      <c r="H41" s="164" t="s">
        <v>203</v>
      </c>
      <c r="I41" s="164"/>
      <c r="J41" s="164"/>
      <c r="K41" s="164"/>
      <c r="L41" s="164"/>
      <c r="M41" s="164"/>
      <c r="N41" s="164"/>
      <c r="O41" s="164"/>
      <c r="P41" s="164"/>
      <c r="Q41" s="164"/>
      <c r="S41" s="129">
        <v>36815.99</v>
      </c>
    </row>
    <row r="42" spans="1:23" ht="12" customHeight="1" x14ac:dyDescent="0.2">
      <c r="C42" s="164" t="s">
        <v>129</v>
      </c>
      <c r="D42" s="164"/>
      <c r="E42" s="164"/>
      <c r="F42" s="164"/>
      <c r="H42" s="164" t="s">
        <v>191</v>
      </c>
      <c r="I42" s="164"/>
      <c r="J42" s="164"/>
      <c r="K42" s="164"/>
      <c r="L42" s="164"/>
      <c r="M42" s="164"/>
      <c r="N42" s="164"/>
      <c r="O42" s="164"/>
      <c r="P42" s="164"/>
      <c r="Q42" s="164"/>
      <c r="S42" s="129">
        <v>2849.45</v>
      </c>
    </row>
    <row r="43" spans="1:23" ht="12" customHeight="1" x14ac:dyDescent="0.2">
      <c r="C43" s="164">
        <v>2401</v>
      </c>
      <c r="D43" s="164"/>
      <c r="E43" s="164"/>
      <c r="F43" s="164"/>
      <c r="H43" s="164" t="s">
        <v>205</v>
      </c>
      <c r="I43" s="164"/>
      <c r="J43" s="164"/>
      <c r="K43" s="164"/>
      <c r="L43" s="164"/>
      <c r="M43" s="164"/>
      <c r="N43" s="164"/>
      <c r="O43" s="164"/>
      <c r="P43" s="164"/>
      <c r="Q43" s="164"/>
      <c r="S43" s="78">
        <v>213898.98</v>
      </c>
    </row>
    <row r="44" spans="1:23" ht="12" customHeight="1" x14ac:dyDescent="0.2">
      <c r="C44" s="164">
        <v>2402</v>
      </c>
      <c r="D44" s="164"/>
      <c r="E44" s="164"/>
      <c r="F44" s="164"/>
      <c r="H44" s="164" t="s">
        <v>678</v>
      </c>
      <c r="I44" s="164"/>
      <c r="J44" s="164"/>
      <c r="K44" s="164"/>
      <c r="L44" s="164"/>
      <c r="M44" s="164"/>
      <c r="N44" s="164"/>
      <c r="O44" s="164"/>
      <c r="P44" s="164"/>
      <c r="Q44" s="164"/>
      <c r="S44" s="78">
        <v>0</v>
      </c>
    </row>
    <row r="45" spans="1:23" ht="12" customHeight="1" x14ac:dyDescent="0.2">
      <c r="H45" s="162" t="s">
        <v>148</v>
      </c>
      <c r="I45" s="162"/>
      <c r="J45" s="162"/>
      <c r="K45" s="162"/>
      <c r="L45" s="162"/>
      <c r="M45" s="162"/>
      <c r="N45" s="162"/>
      <c r="O45" s="162"/>
      <c r="P45" s="162"/>
      <c r="U45" s="166">
        <f>SUM(S32:S44)</f>
        <v>491726.29000000004</v>
      </c>
      <c r="V45" s="166"/>
      <c r="W45" s="166"/>
    </row>
    <row r="46" spans="1:23" ht="12" customHeight="1" x14ac:dyDescent="0.2">
      <c r="I46" s="162" t="s">
        <v>159</v>
      </c>
      <c r="J46" s="162"/>
      <c r="K46" s="162"/>
      <c r="L46" s="162"/>
      <c r="M46" s="162"/>
      <c r="N46" s="162"/>
      <c r="O46" s="162"/>
      <c r="P46" s="162"/>
      <c r="U46" s="166">
        <f>U45</f>
        <v>491726.29000000004</v>
      </c>
      <c r="V46" s="166"/>
      <c r="W46" s="166"/>
    </row>
    <row r="47" spans="1:23" ht="12" customHeight="1" x14ac:dyDescent="0.2">
      <c r="A47" s="162" t="s">
        <v>160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S47" s="129"/>
    </row>
    <row r="48" spans="1:23" ht="12" customHeight="1" x14ac:dyDescent="0.2">
      <c r="C48" s="164" t="s">
        <v>161</v>
      </c>
      <c r="D48" s="164"/>
      <c r="E48" s="164"/>
      <c r="F48" s="164"/>
      <c r="H48" s="164" t="s">
        <v>162</v>
      </c>
      <c r="I48" s="164"/>
      <c r="J48" s="164"/>
      <c r="K48" s="164"/>
      <c r="L48" s="164"/>
      <c r="M48" s="164"/>
      <c r="N48" s="164"/>
      <c r="O48" s="164"/>
      <c r="P48" s="164"/>
      <c r="Q48" s="164"/>
      <c r="S48" s="129">
        <v>1000</v>
      </c>
    </row>
    <row r="49" spans="3:28" ht="12" customHeight="1" x14ac:dyDescent="0.2">
      <c r="C49" s="164" t="s">
        <v>165</v>
      </c>
      <c r="D49" s="164"/>
      <c r="E49" s="164"/>
      <c r="F49" s="164"/>
      <c r="H49" s="164" t="s">
        <v>567</v>
      </c>
      <c r="I49" s="164"/>
      <c r="J49" s="164"/>
      <c r="K49" s="164"/>
      <c r="L49" s="164"/>
      <c r="M49" s="164"/>
      <c r="N49" s="164"/>
      <c r="O49" s="164"/>
      <c r="P49" s="164"/>
      <c r="Q49" s="164"/>
      <c r="S49" s="129">
        <v>0</v>
      </c>
    </row>
    <row r="50" spans="3:28" ht="12" customHeight="1" x14ac:dyDescent="0.2">
      <c r="C50" s="164" t="s">
        <v>165</v>
      </c>
      <c r="D50" s="164"/>
      <c r="E50" s="164"/>
      <c r="F50" s="164"/>
      <c r="H50" s="164" t="s">
        <v>166</v>
      </c>
      <c r="I50" s="164"/>
      <c r="J50" s="164"/>
      <c r="K50" s="164"/>
      <c r="L50" s="164"/>
      <c r="M50" s="164"/>
      <c r="N50" s="164"/>
      <c r="O50" s="164"/>
      <c r="P50" s="164"/>
      <c r="Q50" s="164"/>
      <c r="S50" s="136">
        <v>829796.72</v>
      </c>
    </row>
    <row r="51" spans="3:28" ht="12" customHeight="1" x14ac:dyDescent="0.2">
      <c r="C51" s="164" t="s">
        <v>206</v>
      </c>
      <c r="D51" s="164"/>
      <c r="E51" s="164"/>
      <c r="F51" s="164"/>
      <c r="H51" s="164" t="s">
        <v>207</v>
      </c>
      <c r="I51" s="164"/>
      <c r="J51" s="164"/>
      <c r="K51" s="164"/>
      <c r="L51" s="164"/>
      <c r="M51" s="164"/>
      <c r="N51" s="164"/>
      <c r="O51" s="164"/>
      <c r="P51" s="164"/>
      <c r="Q51" s="164"/>
      <c r="S51" s="129">
        <v>20835.169999999998</v>
      </c>
    </row>
    <row r="52" spans="3:28" ht="12" customHeight="1" x14ac:dyDescent="0.2">
      <c r="C52" s="164" t="s">
        <v>208</v>
      </c>
      <c r="D52" s="164"/>
      <c r="E52" s="164"/>
      <c r="F52" s="164"/>
      <c r="H52" s="164" t="s">
        <v>209</v>
      </c>
      <c r="I52" s="164"/>
      <c r="J52" s="164"/>
      <c r="K52" s="164"/>
      <c r="L52" s="164"/>
      <c r="M52" s="164"/>
      <c r="N52" s="164"/>
      <c r="O52" s="164"/>
      <c r="P52" s="164"/>
      <c r="Q52" s="164"/>
      <c r="S52" s="129">
        <v>1375119.12</v>
      </c>
    </row>
    <row r="53" spans="3:28" ht="12" customHeight="1" x14ac:dyDescent="0.2">
      <c r="C53" s="164" t="s">
        <v>210</v>
      </c>
      <c r="D53" s="164"/>
      <c r="E53" s="164"/>
      <c r="F53" s="164"/>
      <c r="H53" s="164" t="s">
        <v>211</v>
      </c>
      <c r="I53" s="164"/>
      <c r="J53" s="164"/>
      <c r="K53" s="164"/>
      <c r="L53" s="164"/>
      <c r="M53" s="164"/>
      <c r="N53" s="164"/>
      <c r="O53" s="164"/>
      <c r="P53" s="164"/>
      <c r="Q53" s="164"/>
      <c r="S53" s="129">
        <v>1375119.12</v>
      </c>
    </row>
    <row r="54" spans="3:28" ht="12" customHeight="1" x14ac:dyDescent="0.2">
      <c r="C54" s="164" t="s">
        <v>212</v>
      </c>
      <c r="D54" s="164"/>
      <c r="E54" s="164"/>
      <c r="F54" s="164"/>
      <c r="H54" s="164" t="s">
        <v>213</v>
      </c>
      <c r="I54" s="164"/>
      <c r="J54" s="164"/>
      <c r="K54" s="164"/>
      <c r="L54" s="164"/>
      <c r="M54" s="164"/>
      <c r="N54" s="164"/>
      <c r="O54" s="164"/>
      <c r="P54" s="164"/>
      <c r="Q54" s="164"/>
      <c r="S54" s="136">
        <v>1375119.12</v>
      </c>
      <c r="AB54" s="98" t="s">
        <v>105</v>
      </c>
    </row>
    <row r="55" spans="3:28" ht="12" customHeight="1" x14ac:dyDescent="0.2">
      <c r="C55" s="164" t="s">
        <v>214</v>
      </c>
      <c r="D55" s="164"/>
      <c r="E55" s="164"/>
      <c r="F55" s="164"/>
      <c r="H55" s="164" t="s">
        <v>215</v>
      </c>
      <c r="I55" s="164"/>
      <c r="J55" s="164"/>
      <c r="K55" s="164"/>
      <c r="L55" s="164"/>
      <c r="M55" s="164"/>
      <c r="N55" s="164"/>
      <c r="O55" s="164"/>
      <c r="P55" s="164"/>
      <c r="Q55" s="164"/>
      <c r="S55" s="129">
        <v>20835.16</v>
      </c>
    </row>
    <row r="56" spans="3:28" ht="12" customHeight="1" x14ac:dyDescent="0.2">
      <c r="I56" s="162" t="s">
        <v>176</v>
      </c>
      <c r="J56" s="162"/>
      <c r="K56" s="162"/>
      <c r="L56" s="162"/>
      <c r="M56" s="162"/>
      <c r="N56" s="162"/>
      <c r="O56" s="162"/>
      <c r="P56" s="162"/>
      <c r="U56" s="166">
        <f>SUM(S48:S55)</f>
        <v>4997824.41</v>
      </c>
      <c r="V56" s="166"/>
      <c r="W56" s="166"/>
    </row>
    <row r="57" spans="3:28" ht="12" customHeight="1" x14ac:dyDescent="0.2">
      <c r="I57" s="162" t="s">
        <v>177</v>
      </c>
      <c r="J57" s="162"/>
      <c r="K57" s="162"/>
      <c r="L57" s="162"/>
      <c r="M57" s="162"/>
      <c r="N57" s="162"/>
      <c r="O57" s="162"/>
      <c r="P57" s="162"/>
    </row>
    <row r="58" spans="3:28" ht="13.5" customHeight="1" thickBot="1" x14ac:dyDescent="0.25">
      <c r="I58" s="162"/>
      <c r="J58" s="162"/>
      <c r="K58" s="162"/>
      <c r="L58" s="162"/>
      <c r="M58" s="162"/>
      <c r="N58" s="162"/>
      <c r="O58" s="162"/>
      <c r="P58" s="162"/>
      <c r="U58" s="204">
        <f>U56+U46</f>
        <v>5489550.7000000002</v>
      </c>
      <c r="V58" s="204"/>
      <c r="W58" s="204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160</v>
      </c>
    </row>
    <row r="99" spans="28:28" ht="12.75" customHeight="1" x14ac:dyDescent="0.2">
      <c r="AB99" s="99" t="s">
        <v>523</v>
      </c>
    </row>
    <row r="100" spans="28:28" ht="12.75" customHeight="1" x14ac:dyDescent="0.2">
      <c r="AB100" s="99" t="s">
        <v>524</v>
      </c>
    </row>
  </sheetData>
  <mergeCells count="98"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  <mergeCell ref="H12:Q12"/>
    <mergeCell ref="C13:F13"/>
    <mergeCell ref="H13:Q13"/>
    <mergeCell ref="C11:F11"/>
    <mergeCell ref="H11:Q11"/>
    <mergeCell ref="C15:F15"/>
    <mergeCell ref="H15:Q15"/>
    <mergeCell ref="C14:F14"/>
    <mergeCell ref="H14:Q14"/>
    <mergeCell ref="C16:F16"/>
    <mergeCell ref="H16:Q16"/>
    <mergeCell ref="C17:F17"/>
    <mergeCell ref="H17:Q17"/>
    <mergeCell ref="C18:F18"/>
    <mergeCell ref="H18:Q18"/>
    <mergeCell ref="H19:P19"/>
    <mergeCell ref="U19:W19"/>
    <mergeCell ref="B21:K21"/>
    <mergeCell ref="C22:F22"/>
    <mergeCell ref="H22:Q22"/>
    <mergeCell ref="C23:F23"/>
    <mergeCell ref="H23:Q23"/>
    <mergeCell ref="C24:F24"/>
    <mergeCell ref="H24:Q24"/>
    <mergeCell ref="C26:F26"/>
    <mergeCell ref="H26:Q26"/>
    <mergeCell ref="H25:Q25"/>
    <mergeCell ref="H27:P27"/>
    <mergeCell ref="U27:W27"/>
    <mergeCell ref="I28:P28"/>
    <mergeCell ref="U28:W28"/>
    <mergeCell ref="A30:M30"/>
    <mergeCell ref="B31:K31"/>
    <mergeCell ref="C32:F32"/>
    <mergeCell ref="H32:Q32"/>
    <mergeCell ref="C33:F33"/>
    <mergeCell ref="H33:Q33"/>
    <mergeCell ref="C34:F34"/>
    <mergeCell ref="H34:Q34"/>
    <mergeCell ref="C35:F35"/>
    <mergeCell ref="H35:Q35"/>
    <mergeCell ref="C37:F37"/>
    <mergeCell ref="H37:Q37"/>
    <mergeCell ref="C36:F36"/>
    <mergeCell ref="H36:Q36"/>
    <mergeCell ref="C38:F38"/>
    <mergeCell ref="H38:Q38"/>
    <mergeCell ref="C40:F40"/>
    <mergeCell ref="H40:Q40"/>
    <mergeCell ref="C41:F41"/>
    <mergeCell ref="H41:Q41"/>
    <mergeCell ref="C39:F39"/>
    <mergeCell ref="H39:Q39"/>
    <mergeCell ref="C43:F43"/>
    <mergeCell ref="H43:Q43"/>
    <mergeCell ref="H45:P45"/>
    <mergeCell ref="U45:W45"/>
    <mergeCell ref="I46:P46"/>
    <mergeCell ref="U46:W46"/>
    <mergeCell ref="C44:F44"/>
    <mergeCell ref="H44:Q44"/>
    <mergeCell ref="A47:M47"/>
    <mergeCell ref="C48:F48"/>
    <mergeCell ref="H48:Q48"/>
    <mergeCell ref="C49:F49"/>
    <mergeCell ref="H49:Q49"/>
    <mergeCell ref="C50:F50"/>
    <mergeCell ref="H50:Q50"/>
    <mergeCell ref="C51:F51"/>
    <mergeCell ref="H51:Q51"/>
    <mergeCell ref="C52:F52"/>
    <mergeCell ref="H52:Q52"/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703</v>
      </c>
    </row>
    <row r="2" spans="1:6" ht="13.5" thickTop="1" x14ac:dyDescent="0.2">
      <c r="A2" s="81" t="s">
        <v>335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336</v>
      </c>
      <c r="D4" s="81"/>
      <c r="E4" s="81"/>
      <c r="F4" s="103"/>
    </row>
    <row r="5" spans="1:6" x14ac:dyDescent="0.2">
      <c r="A5" s="81"/>
      <c r="B5" s="81"/>
      <c r="C5" s="81"/>
      <c r="D5" s="81" t="s">
        <v>391</v>
      </c>
      <c r="E5" s="81"/>
      <c r="F5" s="103"/>
    </row>
    <row r="6" spans="1:6" x14ac:dyDescent="0.2">
      <c r="A6" s="81"/>
      <c r="B6" s="81"/>
      <c r="C6" s="81"/>
      <c r="D6" s="81" t="s">
        <v>393</v>
      </c>
      <c r="E6" s="81"/>
      <c r="F6" s="103">
        <v>235</v>
      </c>
    </row>
    <row r="7" spans="1:6" x14ac:dyDescent="0.2">
      <c r="A7" s="81"/>
      <c r="B7" s="81"/>
      <c r="C7" s="81"/>
      <c r="D7" s="81" t="s">
        <v>338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339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340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275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341</v>
      </c>
      <c r="C12" s="81"/>
      <c r="D12" s="81"/>
      <c r="E12" s="81"/>
      <c r="F12" s="103"/>
    </row>
    <row r="13" spans="1:6" x14ac:dyDescent="0.2">
      <c r="A13" s="81"/>
      <c r="B13" s="81"/>
      <c r="C13" s="81" t="s">
        <v>342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343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344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345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346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347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348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349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350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351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352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353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354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355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356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357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358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359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360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361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362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364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577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365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521</v>
      </c>
      <c r="D37" s="138"/>
      <c r="E37" s="138"/>
      <c r="F37" s="137">
        <v>0</v>
      </c>
    </row>
    <row r="38" spans="1:6" x14ac:dyDescent="0.2">
      <c r="A38" s="81"/>
      <c r="B38" s="81" t="s">
        <v>366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218</v>
      </c>
      <c r="C40" s="81"/>
      <c r="D40" s="81"/>
      <c r="E40" s="81"/>
      <c r="F40" s="103"/>
    </row>
    <row r="41" spans="1:6" x14ac:dyDescent="0.2">
      <c r="A41" s="81"/>
      <c r="B41" s="81"/>
      <c r="C41" s="81" t="s">
        <v>367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656</v>
      </c>
      <c r="D42" s="81"/>
      <c r="E42" s="81"/>
      <c r="F42" s="137">
        <v>0</v>
      </c>
    </row>
    <row r="43" spans="1:6" ht="13.5" thickBot="1" x14ac:dyDescent="0.25">
      <c r="A43" s="81"/>
      <c r="B43" s="81" t="s">
        <v>368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369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370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371</v>
      </c>
      <c r="E48" s="81"/>
      <c r="F48" s="103"/>
    </row>
    <row r="49" spans="1:6" x14ac:dyDescent="0.2">
      <c r="A49" s="81"/>
      <c r="B49" s="81"/>
      <c r="C49" s="81"/>
      <c r="D49" s="81"/>
      <c r="E49" s="81" t="s">
        <v>372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373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374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592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375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376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377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631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378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379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380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381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382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149</v>
      </c>
      <c r="D62" s="81"/>
      <c r="E62" s="81"/>
      <c r="F62" s="103"/>
    </row>
    <row r="63" spans="1:6" x14ac:dyDescent="0.2">
      <c r="A63" s="81"/>
      <c r="B63" s="81"/>
      <c r="C63" s="81"/>
      <c r="D63" s="81" t="s">
        <v>383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384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319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320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160</v>
      </c>
      <c r="C67" s="81"/>
      <c r="D67" s="81"/>
      <c r="E67" s="81"/>
      <c r="F67" s="103"/>
    </row>
    <row r="68" spans="1:6" x14ac:dyDescent="0.2">
      <c r="A68" s="81"/>
      <c r="B68" s="81"/>
      <c r="C68" s="81" t="s">
        <v>385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386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387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331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388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392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9" t="s">
        <v>407</v>
      </c>
      <c r="C2" s="189"/>
      <c r="D2" s="189"/>
      <c r="E2" s="189"/>
      <c r="F2" s="189"/>
    </row>
    <row r="3" spans="1:19" x14ac:dyDescent="0.2">
      <c r="A3" s="100"/>
      <c r="B3" s="189"/>
      <c r="C3" s="189"/>
      <c r="D3" s="189"/>
      <c r="E3" s="189"/>
      <c r="F3" s="189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704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645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410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411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683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688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412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413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275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341</v>
      </c>
      <c r="C20" s="83"/>
      <c r="D20" s="83"/>
      <c r="E20" s="83"/>
      <c r="F20" s="103"/>
    </row>
    <row r="21" spans="1:6" x14ac:dyDescent="0.2">
      <c r="A21" s="83"/>
      <c r="B21" s="83"/>
      <c r="C21" s="83" t="s">
        <v>414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415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416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417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418</v>
      </c>
      <c r="D25" s="83"/>
      <c r="E25" s="83"/>
      <c r="F25" s="103">
        <v>0</v>
      </c>
    </row>
    <row r="26" spans="1:6" x14ac:dyDescent="0.2">
      <c r="A26" s="83"/>
      <c r="B26" s="83"/>
      <c r="C26" s="83" t="s">
        <v>419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420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421</v>
      </c>
      <c r="D28" s="83"/>
      <c r="E28" s="83"/>
      <c r="F28" s="109">
        <v>0</v>
      </c>
    </row>
    <row r="29" spans="1:6" x14ac:dyDescent="0.2">
      <c r="A29" s="83"/>
      <c r="B29" s="83" t="s">
        <v>366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218</v>
      </c>
      <c r="C30" s="83"/>
      <c r="D30" s="83"/>
      <c r="E30" s="83"/>
      <c r="F30" s="103"/>
    </row>
    <row r="31" spans="1:6" x14ac:dyDescent="0.2">
      <c r="A31" s="83"/>
      <c r="B31" s="83"/>
      <c r="C31" s="83" t="s">
        <v>422</v>
      </c>
      <c r="D31" s="83"/>
      <c r="E31" s="83"/>
      <c r="F31" s="103"/>
    </row>
    <row r="32" spans="1:6" x14ac:dyDescent="0.2">
      <c r="A32" s="83"/>
      <c r="B32" s="83"/>
      <c r="C32" s="83"/>
      <c r="D32" s="83" t="s">
        <v>423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424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425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426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427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428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429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430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431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432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433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434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435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436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437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438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439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440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441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442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443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444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445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446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447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448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368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369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370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449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450</v>
      </c>
      <c r="F64" s="109">
        <v>0</v>
      </c>
    </row>
    <row r="65" spans="1:6" x14ac:dyDescent="0.2">
      <c r="A65" s="83"/>
      <c r="B65" s="83"/>
      <c r="C65" s="83"/>
      <c r="D65" s="83" t="s">
        <v>451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371</v>
      </c>
      <c r="E66" s="83"/>
      <c r="F66" s="103"/>
    </row>
    <row r="67" spans="1:6" x14ac:dyDescent="0.2">
      <c r="A67" s="83"/>
      <c r="B67" s="83"/>
      <c r="C67" s="83"/>
      <c r="D67" s="83"/>
      <c r="E67" s="83" t="s">
        <v>452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472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453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614</v>
      </c>
      <c r="F70" s="103">
        <v>0</v>
      </c>
    </row>
    <row r="71" spans="1:6" ht="13.5" thickBot="1" x14ac:dyDescent="0.25">
      <c r="A71" s="83"/>
      <c r="B71" s="83"/>
      <c r="C71" s="83"/>
      <c r="D71" s="83" t="s">
        <v>381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382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149</v>
      </c>
      <c r="D73" s="83"/>
      <c r="E73" s="83"/>
      <c r="F73" s="103"/>
    </row>
    <row r="74" spans="1:6" x14ac:dyDescent="0.2">
      <c r="A74" s="83"/>
      <c r="B74" s="83"/>
      <c r="C74" s="83"/>
      <c r="D74" s="83" t="s">
        <v>454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455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319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320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160</v>
      </c>
      <c r="C78" s="83"/>
      <c r="D78" s="83"/>
      <c r="E78" s="83"/>
      <c r="F78" s="103"/>
    </row>
    <row r="79" spans="1:6" x14ac:dyDescent="0.2">
      <c r="A79" s="83"/>
      <c r="B79" s="83"/>
      <c r="C79" s="83" t="s">
        <v>456</v>
      </c>
      <c r="D79" s="83"/>
      <c r="E79" s="83"/>
      <c r="F79" s="103"/>
    </row>
    <row r="80" spans="1:6" x14ac:dyDescent="0.2">
      <c r="A80" s="83"/>
      <c r="B80" s="83"/>
      <c r="C80" s="83"/>
      <c r="D80" s="83" t="s">
        <v>457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458</v>
      </c>
      <c r="E81" s="83"/>
      <c r="F81" s="103">
        <v>0</v>
      </c>
    </row>
    <row r="82" spans="1:6" x14ac:dyDescent="0.2">
      <c r="A82" s="83"/>
      <c r="B82" s="83"/>
      <c r="C82" s="83"/>
      <c r="D82" s="83" t="s">
        <v>459</v>
      </c>
      <c r="E82" s="83"/>
      <c r="F82" s="103">
        <v>0</v>
      </c>
    </row>
    <row r="83" spans="1:6" x14ac:dyDescent="0.2">
      <c r="A83" s="83"/>
      <c r="B83" s="83"/>
      <c r="C83" s="83"/>
      <c r="D83" s="83" t="s">
        <v>460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461</v>
      </c>
      <c r="E84" s="83"/>
      <c r="F84" s="103">
        <v>0</v>
      </c>
    </row>
    <row r="85" spans="1:6" x14ac:dyDescent="0.2">
      <c r="A85" s="83"/>
      <c r="B85" s="83"/>
      <c r="C85" s="83" t="s">
        <v>462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463</v>
      </c>
      <c r="D86" s="83"/>
      <c r="E86" s="83"/>
      <c r="F86" s="103"/>
    </row>
    <row r="87" spans="1:6" x14ac:dyDescent="0.2">
      <c r="A87" s="83"/>
      <c r="B87" s="83"/>
      <c r="C87" s="83"/>
      <c r="D87" s="83" t="s">
        <v>464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465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466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467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468</v>
      </c>
      <c r="E91" s="83"/>
      <c r="F91" s="109">
        <v>15909.29</v>
      </c>
    </row>
    <row r="92" spans="1:6" x14ac:dyDescent="0.2">
      <c r="A92" s="83"/>
      <c r="B92" s="83"/>
      <c r="C92" s="83" t="s">
        <v>469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470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694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471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387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331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388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704</v>
      </c>
      <c r="G1" s="111"/>
    </row>
    <row r="2" spans="1:7" ht="12.75" customHeight="1" thickTop="1" x14ac:dyDescent="0.2">
      <c r="A2" s="83" t="s">
        <v>335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336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481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340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409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679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687</v>
      </c>
      <c r="E9" s="83"/>
      <c r="F9" s="120">
        <v>81656.72</v>
      </c>
      <c r="G9" s="107"/>
    </row>
    <row r="10" spans="1:7" x14ac:dyDescent="0.2">
      <c r="A10" s="83"/>
      <c r="B10" s="83" t="s">
        <v>275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341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482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483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484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485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486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504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487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488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489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593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490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578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366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369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370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449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449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451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371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491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579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492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707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381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382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149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493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494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495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496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319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320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160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505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497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498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499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500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501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387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331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388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205" t="s">
        <v>705</v>
      </c>
      <c r="B2" s="206"/>
      <c r="C2" s="206"/>
      <c r="D2" s="206"/>
      <c r="E2" s="206"/>
      <c r="F2" s="207"/>
    </row>
    <row r="3" spans="1:19" x14ac:dyDescent="0.2">
      <c r="A3" s="208"/>
      <c r="B3" s="209"/>
      <c r="C3" s="209"/>
      <c r="D3" s="209"/>
      <c r="E3" s="209"/>
      <c r="F3" s="210"/>
    </row>
    <row r="4" spans="1:19" x14ac:dyDescent="0.2">
      <c r="A4" s="208"/>
      <c r="B4" s="209"/>
      <c r="C4" s="209"/>
      <c r="D4" s="209"/>
      <c r="E4" s="209"/>
      <c r="F4" s="210"/>
    </row>
    <row r="5" spans="1:19" x14ac:dyDescent="0.2">
      <c r="A5" s="211"/>
      <c r="B5" s="212"/>
      <c r="C5" s="212"/>
      <c r="D5" s="212"/>
      <c r="E5" s="212"/>
      <c r="F5" s="213"/>
    </row>
    <row r="8" spans="1:19" ht="13.5" thickBot="1" x14ac:dyDescent="0.25">
      <c r="A8" s="46"/>
      <c r="B8" s="46"/>
      <c r="C8" s="46"/>
      <c r="D8" s="87"/>
      <c r="E8" s="87"/>
      <c r="F8" s="47" t="s">
        <v>706</v>
      </c>
    </row>
    <row r="9" spans="1:19" ht="13.5" thickTop="1" x14ac:dyDescent="0.2">
      <c r="A9" s="40" t="s">
        <v>335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336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510</v>
      </c>
      <c r="E12" s="80"/>
      <c r="F12" s="42">
        <v>250</v>
      </c>
    </row>
    <row r="13" spans="1:19" x14ac:dyDescent="0.2">
      <c r="A13" s="40"/>
      <c r="B13" s="40"/>
      <c r="C13" s="40" t="s">
        <v>340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511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512</v>
      </c>
      <c r="E15" s="80"/>
      <c r="F15" s="42">
        <v>694083.7</v>
      </c>
    </row>
    <row r="16" spans="1:19" x14ac:dyDescent="0.2">
      <c r="A16" s="40"/>
      <c r="B16" s="40"/>
      <c r="C16" s="40" t="s">
        <v>513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409</v>
      </c>
      <c r="D17" s="80"/>
      <c r="E17" s="80"/>
      <c r="F17" s="41"/>
    </row>
    <row r="18" spans="1:6" x14ac:dyDescent="0.2">
      <c r="A18" s="40"/>
      <c r="B18" s="40"/>
      <c r="C18" s="40"/>
      <c r="D18" s="80" t="s">
        <v>514</v>
      </c>
      <c r="E18" s="80"/>
      <c r="F18" s="41">
        <v>0</v>
      </c>
    </row>
    <row r="19" spans="1:6" x14ac:dyDescent="0.2">
      <c r="A19" s="40"/>
      <c r="B19" s="40"/>
      <c r="C19" s="40"/>
      <c r="D19" s="80" t="s">
        <v>515</v>
      </c>
      <c r="E19" s="80"/>
      <c r="F19" s="41">
        <v>0</v>
      </c>
    </row>
    <row r="20" spans="1:6" x14ac:dyDescent="0.2">
      <c r="A20" s="40"/>
      <c r="B20" s="40"/>
      <c r="C20" s="40"/>
      <c r="D20" s="80" t="s">
        <v>632</v>
      </c>
      <c r="E20" s="80"/>
      <c r="F20" s="41">
        <v>0</v>
      </c>
    </row>
    <row r="21" spans="1:6" x14ac:dyDescent="0.2">
      <c r="A21" s="40"/>
      <c r="B21" s="40"/>
      <c r="C21" s="40"/>
      <c r="D21" s="80" t="s">
        <v>657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668</v>
      </c>
      <c r="E22" s="80"/>
      <c r="F22" s="41">
        <v>0</v>
      </c>
    </row>
    <row r="23" spans="1:6" ht="13.5" thickBot="1" x14ac:dyDescent="0.25">
      <c r="A23" s="40"/>
      <c r="B23" s="40"/>
      <c r="C23" s="40" t="s">
        <v>413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275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369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370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449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516</v>
      </c>
      <c r="F30" s="42">
        <v>2970.42</v>
      </c>
    </row>
    <row r="31" spans="1:6" x14ac:dyDescent="0.2">
      <c r="A31" s="40"/>
      <c r="B31" s="40"/>
      <c r="C31" s="40"/>
      <c r="D31" s="80" t="s">
        <v>451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371</v>
      </c>
      <c r="E32" s="80"/>
      <c r="F32" s="41"/>
    </row>
    <row r="33" spans="1:8" x14ac:dyDescent="0.2">
      <c r="A33" s="40"/>
      <c r="B33" s="40"/>
      <c r="C33" s="40"/>
      <c r="D33" s="80"/>
      <c r="E33" s="80" t="s">
        <v>517</v>
      </c>
      <c r="F33" s="41">
        <v>0</v>
      </c>
    </row>
    <row r="34" spans="1:8" x14ac:dyDescent="0.2">
      <c r="A34" s="40"/>
      <c r="B34" s="40"/>
      <c r="C34" s="40"/>
      <c r="D34" s="80"/>
      <c r="E34" s="80" t="s">
        <v>518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658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519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381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382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320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160</v>
      </c>
      <c r="C40" s="40"/>
      <c r="D40" s="80"/>
      <c r="E40" s="80"/>
      <c r="F40" s="41"/>
    </row>
    <row r="41" spans="1:8" x14ac:dyDescent="0.2">
      <c r="A41" s="40"/>
      <c r="B41" s="40"/>
      <c r="C41" s="40" t="s">
        <v>520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387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331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388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6"/>
  <sheetViews>
    <sheetView tabSelected="1" zoomScale="60" zoomScaleNormal="60" zoomScaleSheetLayoutView="75" workbookViewId="0">
      <pane ySplit="4" topLeftCell="A128" activePane="bottomLeft" state="frozen"/>
      <selection activeCell="D162" sqref="D162"/>
      <selection pane="bottomLeft" activeCell="I141" sqref="I141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1.42578125" style="2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1.42578125" style="2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2.855468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61" t="s">
        <v>252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 t="s">
        <v>252</v>
      </c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 t="s">
        <v>252</v>
      </c>
      <c r="AH1" s="161"/>
      <c r="AI1" s="161"/>
      <c r="AJ1" s="161"/>
      <c r="AK1" s="161"/>
      <c r="AL1" s="161"/>
      <c r="AM1" s="161"/>
      <c r="AN1" s="161"/>
      <c r="AO1" s="37"/>
      <c r="AP1" s="28"/>
    </row>
    <row r="2" spans="1:42" s="29" customFormat="1" ht="46.5" x14ac:dyDescent="0.2">
      <c r="A2" s="161" t="s">
        <v>750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 t="s">
        <v>748</v>
      </c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 t="s">
        <v>251</v>
      </c>
      <c r="AH2" s="161"/>
      <c r="AI2" s="161"/>
      <c r="AJ2" s="161"/>
      <c r="AK2" s="161"/>
      <c r="AL2" s="161"/>
      <c r="AM2" s="161"/>
      <c r="AN2" s="161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61" t="s">
        <v>749</v>
      </c>
      <c r="AH3" s="161"/>
      <c r="AI3" s="161"/>
      <c r="AJ3" s="161"/>
      <c r="AK3" s="161"/>
      <c r="AL3" s="161"/>
      <c r="AM3" s="161"/>
      <c r="AN3" s="161"/>
    </row>
    <row r="4" spans="1:42" s="31" customFormat="1" ht="105.75" thickBot="1" x14ac:dyDescent="0.25">
      <c r="A4" s="32"/>
      <c r="B4" s="33" t="s">
        <v>240</v>
      </c>
      <c r="C4" s="33"/>
      <c r="D4" s="33" t="s">
        <v>241</v>
      </c>
      <c r="E4" s="33"/>
      <c r="F4" s="33" t="s">
        <v>242</v>
      </c>
      <c r="G4" s="33"/>
      <c r="H4" s="33" t="s">
        <v>243</v>
      </c>
      <c r="I4" s="33"/>
      <c r="J4" s="33" t="s">
        <v>244</v>
      </c>
      <c r="K4" s="33"/>
      <c r="L4" s="33" t="s">
        <v>473</v>
      </c>
      <c r="M4" s="33"/>
      <c r="N4" s="36" t="s">
        <v>502</v>
      </c>
      <c r="O4" s="33"/>
      <c r="P4" s="34" t="s">
        <v>245</v>
      </c>
      <c r="Q4" s="35"/>
      <c r="R4" s="53" t="s">
        <v>240</v>
      </c>
      <c r="S4" s="33"/>
      <c r="T4" s="53" t="s">
        <v>241</v>
      </c>
      <c r="U4" s="33"/>
      <c r="V4" s="53" t="s">
        <v>242</v>
      </c>
      <c r="W4" s="33"/>
      <c r="X4" s="53" t="s">
        <v>243</v>
      </c>
      <c r="Y4" s="33"/>
      <c r="Z4" s="53" t="s">
        <v>244</v>
      </c>
      <c r="AA4" s="33"/>
      <c r="AB4" s="53" t="s">
        <v>473</v>
      </c>
      <c r="AC4" s="33"/>
      <c r="AD4" s="64" t="s">
        <v>502</v>
      </c>
      <c r="AE4" s="33"/>
      <c r="AF4" s="34" t="s">
        <v>245</v>
      </c>
      <c r="AG4" s="35"/>
      <c r="AH4" s="33">
        <v>2020</v>
      </c>
      <c r="AI4" s="33"/>
      <c r="AJ4" s="33">
        <v>2019</v>
      </c>
      <c r="AK4" s="33"/>
      <c r="AL4" s="36" t="s">
        <v>709</v>
      </c>
      <c r="AM4" s="36"/>
      <c r="AN4" s="36" t="s">
        <v>710</v>
      </c>
      <c r="AO4" s="36"/>
      <c r="AP4" s="36" t="s">
        <v>566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253</v>
      </c>
      <c r="P6" s="10"/>
      <c r="Q6" s="8" t="s">
        <v>253</v>
      </c>
      <c r="R6" s="65"/>
      <c r="T6" s="65"/>
      <c r="V6" s="65"/>
      <c r="X6" s="65"/>
      <c r="Z6" s="65"/>
      <c r="AB6" s="65"/>
      <c r="AD6" s="65"/>
      <c r="AG6" s="8" t="s">
        <v>253</v>
      </c>
    </row>
    <row r="7" spans="1:42" s="9" customFormat="1" ht="24.95" customHeight="1" x14ac:dyDescent="0.35">
      <c r="A7" s="11" t="s">
        <v>246</v>
      </c>
      <c r="B7" s="12">
        <f>SUM(CNT!S9:S16)</f>
        <v>7471049.5499999998</v>
      </c>
      <c r="C7" s="12"/>
      <c r="D7" s="12">
        <f>SUM(BPM!S11)</f>
        <v>52217.55</v>
      </c>
      <c r="E7" s="12"/>
      <c r="F7" s="12">
        <f>SUM(DEP!S7)</f>
        <v>1574194.3</v>
      </c>
      <c r="G7" s="12"/>
      <c r="H7" s="12">
        <f>Lending!F13</f>
        <v>6404.09</v>
      </c>
      <c r="J7" s="12">
        <f>BSC!F5+BSC!F6+BSC!F7</f>
        <v>165457.97</v>
      </c>
      <c r="L7" s="12">
        <f>'Oliari Co'!F10</f>
        <v>168251.57</v>
      </c>
      <c r="N7" s="12">
        <f>'722 Bedford St'!E10</f>
        <v>69782.84</v>
      </c>
      <c r="P7" s="12">
        <f>SUM(B7:N7)</f>
        <v>9507357.870000001</v>
      </c>
      <c r="Q7" s="11" t="s">
        <v>246</v>
      </c>
      <c r="R7" s="54">
        <v>7408926.5399999991</v>
      </c>
      <c r="S7" s="12"/>
      <c r="T7" s="54">
        <v>221087.8</v>
      </c>
      <c r="U7" s="12"/>
      <c r="V7" s="54">
        <v>1221222.23</v>
      </c>
      <c r="W7" s="12"/>
      <c r="X7" s="54">
        <v>3401.54</v>
      </c>
      <c r="Z7" s="54">
        <v>134966.75</v>
      </c>
      <c r="AB7" s="54">
        <v>312078.56</v>
      </c>
      <c r="AD7" s="54">
        <v>136545.47</v>
      </c>
      <c r="AF7" s="12">
        <f>SUM(R7:AD7)</f>
        <v>9438228.8899999987</v>
      </c>
      <c r="AG7" s="11" t="s">
        <v>246</v>
      </c>
      <c r="AH7" s="122">
        <f>P7</f>
        <v>9507357.870000001</v>
      </c>
      <c r="AI7" s="12"/>
      <c r="AJ7" s="12">
        <f>AF7</f>
        <v>9438228.8899999987</v>
      </c>
      <c r="AK7" s="12"/>
      <c r="AL7" s="12">
        <f t="shared" ref="AL7:AL15" si="0">AH7-AJ7</f>
        <v>69128.98000000231</v>
      </c>
      <c r="AM7" s="12"/>
      <c r="AN7" s="13">
        <f>AH7/AJ7</f>
        <v>1.0073243593481025</v>
      </c>
      <c r="AO7" s="13"/>
      <c r="AP7" s="14">
        <f t="shared" ref="AP7:AP15" si="1">AN7-1</f>
        <v>7.3243593481024938E-3</v>
      </c>
    </row>
    <row r="8" spans="1:42" s="9" customFormat="1" ht="24.95" customHeight="1" x14ac:dyDescent="0.2">
      <c r="A8" s="9" t="s">
        <v>247</v>
      </c>
      <c r="B8" s="12">
        <f>CNT!S17</f>
        <v>71737380.319999993</v>
      </c>
      <c r="C8" s="12"/>
      <c r="D8" s="12">
        <f>SUM(BPM!S12:S13)</f>
        <v>0</v>
      </c>
      <c r="E8" s="12"/>
      <c r="F8" s="12">
        <f>SUM(DEP!S8)</f>
        <v>6363.11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2" si="2">SUM(B8:N8)</f>
        <v>71743743.429999992</v>
      </c>
      <c r="Q8" s="9" t="s">
        <v>247</v>
      </c>
      <c r="R8" s="54">
        <v>10648565.92</v>
      </c>
      <c r="S8" s="12"/>
      <c r="T8" s="54">
        <v>334387.01</v>
      </c>
      <c r="U8" s="12"/>
      <c r="V8" s="54">
        <v>73147.44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2" si="3">SUM(R8:AD8)</f>
        <v>11056100.369999999</v>
      </c>
      <c r="AG8" s="9" t="s">
        <v>247</v>
      </c>
      <c r="AH8" s="122">
        <f t="shared" ref="AH8:AH32" si="4">P8</f>
        <v>71743743.429999992</v>
      </c>
      <c r="AI8" s="12"/>
      <c r="AJ8" s="12">
        <f t="shared" ref="AJ8:AJ32" si="5">AF8</f>
        <v>11056100.369999999</v>
      </c>
      <c r="AK8" s="12"/>
      <c r="AL8" s="12">
        <f t="shared" si="0"/>
        <v>60687643.059999995</v>
      </c>
      <c r="AM8" s="12"/>
      <c r="AN8" s="13">
        <f>AH8/AJ8</f>
        <v>6.4890640487193769</v>
      </c>
      <c r="AO8" s="13"/>
      <c r="AP8" s="14">
        <f t="shared" si="1"/>
        <v>5.4890640487193769</v>
      </c>
    </row>
    <row r="9" spans="1:42" s="9" customFormat="1" ht="24.95" customHeight="1" x14ac:dyDescent="0.2">
      <c r="A9" s="9" t="s">
        <v>254</v>
      </c>
      <c r="B9" s="12">
        <f>CNT!S53+CNT!S88</f>
        <v>157089.76999999999</v>
      </c>
      <c r="C9" s="12"/>
      <c r="D9" s="12">
        <v>0</v>
      </c>
      <c r="E9" s="12"/>
      <c r="F9" s="12">
        <f>DEP!S31</f>
        <v>2517.81</v>
      </c>
      <c r="G9" s="12"/>
      <c r="H9" s="12">
        <f>Lending!F16+Lending!F18</f>
        <v>923626.25</v>
      </c>
      <c r="J9" s="12">
        <v>0</v>
      </c>
      <c r="L9" s="12">
        <v>0</v>
      </c>
      <c r="N9" s="12">
        <f>'722 Bedford St'!E16</f>
        <v>0</v>
      </c>
      <c r="P9" s="12">
        <f t="shared" si="2"/>
        <v>1083233.83</v>
      </c>
      <c r="Q9" s="9" t="s">
        <v>254</v>
      </c>
      <c r="R9" s="54">
        <v>154021.82</v>
      </c>
      <c r="S9" s="12"/>
      <c r="T9" s="54">
        <v>0</v>
      </c>
      <c r="U9" s="12"/>
      <c r="V9" s="54">
        <v>0</v>
      </c>
      <c r="W9" s="12"/>
      <c r="X9" s="54">
        <v>1015085.5399999999</v>
      </c>
      <c r="Z9" s="54">
        <v>0</v>
      </c>
      <c r="AB9" s="54">
        <v>0</v>
      </c>
      <c r="AD9" s="54">
        <v>2182.39</v>
      </c>
      <c r="AF9" s="12">
        <f t="shared" si="3"/>
        <v>1171289.7499999998</v>
      </c>
      <c r="AG9" s="9" t="s">
        <v>254</v>
      </c>
      <c r="AH9" s="122">
        <f t="shared" si="4"/>
        <v>1083233.83</v>
      </c>
      <c r="AI9" s="12"/>
      <c r="AJ9" s="12">
        <f t="shared" si="5"/>
        <v>1171289.7499999998</v>
      </c>
      <c r="AK9" s="12"/>
      <c r="AL9" s="12">
        <f t="shared" si="0"/>
        <v>-88055.919999999693</v>
      </c>
      <c r="AM9" s="12"/>
      <c r="AN9" s="13">
        <f t="shared" ref="AN9:AN15" si="6">AH9/AJ9</f>
        <v>0.92482140307298022</v>
      </c>
      <c r="AO9" s="13"/>
      <c r="AP9" s="14">
        <f t="shared" si="1"/>
        <v>-7.5178596927019781E-2</v>
      </c>
    </row>
    <row r="10" spans="1:42" s="9" customFormat="1" ht="24.95" customHeight="1" x14ac:dyDescent="0.2">
      <c r="A10" s="9" t="s">
        <v>741</v>
      </c>
      <c r="B10" s="12">
        <f>CNT!S39</f>
        <v>1750431.36</v>
      </c>
      <c r="C10" s="12"/>
      <c r="D10" s="12">
        <v>0</v>
      </c>
      <c r="E10" s="12"/>
      <c r="F10" s="12">
        <v>0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1750431.36</v>
      </c>
      <c r="Q10" s="9" t="s">
        <v>741</v>
      </c>
      <c r="R10" s="54">
        <v>0</v>
      </c>
      <c r="S10" s="12"/>
      <c r="T10" s="54">
        <v>0</v>
      </c>
      <c r="U10" s="12"/>
      <c r="V10" s="54">
        <v>0</v>
      </c>
      <c r="W10" s="12"/>
      <c r="X10" s="54">
        <v>0</v>
      </c>
      <c r="Z10" s="54">
        <v>0</v>
      </c>
      <c r="AB10" s="54">
        <v>0</v>
      </c>
      <c r="AD10" s="54">
        <v>0</v>
      </c>
      <c r="AF10" s="12">
        <f t="shared" si="3"/>
        <v>0</v>
      </c>
      <c r="AG10" s="9" t="s">
        <v>741</v>
      </c>
      <c r="AH10" s="122">
        <f t="shared" si="4"/>
        <v>1750431.36</v>
      </c>
      <c r="AI10" s="12"/>
      <c r="AJ10" s="12">
        <f t="shared" si="5"/>
        <v>0</v>
      </c>
      <c r="AK10" s="12"/>
      <c r="AL10" s="12">
        <f t="shared" si="0"/>
        <v>1750431.36</v>
      </c>
      <c r="AM10" s="12"/>
      <c r="AN10" s="13" t="e">
        <f t="shared" si="6"/>
        <v>#DIV/0!</v>
      </c>
      <c r="AO10" s="13"/>
      <c r="AP10" s="14" t="e">
        <f t="shared" si="1"/>
        <v>#DIV/0!</v>
      </c>
    </row>
    <row r="11" spans="1:42" s="9" customFormat="1" ht="24.95" customHeight="1" x14ac:dyDescent="0.2">
      <c r="A11" s="9" t="s">
        <v>255</v>
      </c>
      <c r="B11" s="12">
        <f>CNT!S44</f>
        <v>0</v>
      </c>
      <c r="C11" s="12"/>
      <c r="D11" s="12">
        <v>0</v>
      </c>
      <c r="E11" s="12"/>
      <c r="F11" s="12">
        <f>DEP!S16+DEP!S17+DEP!S18</f>
        <v>229958.12</v>
      </c>
      <c r="G11" s="12"/>
      <c r="H11" s="12">
        <v>0</v>
      </c>
      <c r="J11" s="12">
        <v>0</v>
      </c>
      <c r="L11" s="12">
        <v>0</v>
      </c>
      <c r="N11" s="12">
        <v>0</v>
      </c>
      <c r="P11" s="12">
        <f t="shared" si="2"/>
        <v>229958.12</v>
      </c>
      <c r="Q11" s="9" t="s">
        <v>255</v>
      </c>
      <c r="R11" s="54">
        <v>0</v>
      </c>
      <c r="S11" s="12"/>
      <c r="T11" s="54">
        <v>0</v>
      </c>
      <c r="U11" s="12"/>
      <c r="V11" s="54">
        <v>169450.03000000003</v>
      </c>
      <c r="W11" s="12"/>
      <c r="X11" s="54">
        <v>0</v>
      </c>
      <c r="Z11" s="54">
        <v>0</v>
      </c>
      <c r="AB11" s="54">
        <v>0</v>
      </c>
      <c r="AD11" s="54">
        <v>0</v>
      </c>
      <c r="AF11" s="12">
        <f t="shared" si="3"/>
        <v>169450.03000000003</v>
      </c>
      <c r="AG11" s="9" t="s">
        <v>255</v>
      </c>
      <c r="AH11" s="122">
        <f t="shared" si="4"/>
        <v>229958.12</v>
      </c>
      <c r="AI11" s="12"/>
      <c r="AJ11" s="12">
        <f t="shared" si="5"/>
        <v>169450.03000000003</v>
      </c>
      <c r="AK11" s="12"/>
      <c r="AL11" s="12">
        <f t="shared" si="0"/>
        <v>60508.089999999967</v>
      </c>
      <c r="AM11" s="12"/>
      <c r="AN11" s="13">
        <f t="shared" si="6"/>
        <v>1.357085153658574</v>
      </c>
      <c r="AO11" s="13"/>
      <c r="AP11" s="14">
        <f t="shared" si="1"/>
        <v>0.35708515365857396</v>
      </c>
    </row>
    <row r="12" spans="1:42" s="9" customFormat="1" ht="24.95" customHeight="1" x14ac:dyDescent="0.2">
      <c r="A12" s="9" t="s">
        <v>256</v>
      </c>
      <c r="B12" s="12">
        <f>SUM(CNT!S30:S33,CNT!S45:S47,CNT!S48)</f>
        <v>605404.14</v>
      </c>
      <c r="C12" s="12"/>
      <c r="D12" s="12">
        <f>SUM(BPM!S18)</f>
        <v>300000</v>
      </c>
      <c r="E12" s="12"/>
      <c r="F12" s="12">
        <f>DEP!S10+DEP!S9+DEP!S11</f>
        <v>7090162.8399999999</v>
      </c>
      <c r="G12" s="12"/>
      <c r="H12" s="12">
        <v>0</v>
      </c>
      <c r="J12" s="12">
        <f>BSC!F13</f>
        <v>200000</v>
      </c>
      <c r="L12" s="12">
        <f>'Oliari Co'!F17</f>
        <v>2176288.06</v>
      </c>
      <c r="N12" s="12">
        <f>'722 Bedford St'!E13+'722 Bedford St'!E14</f>
        <v>32500</v>
      </c>
      <c r="P12" s="12">
        <f t="shared" si="2"/>
        <v>10404355.039999999</v>
      </c>
      <c r="Q12" s="9" t="s">
        <v>256</v>
      </c>
      <c r="R12" s="54">
        <v>884847.01</v>
      </c>
      <c r="S12" s="12"/>
      <c r="T12" s="54">
        <v>480000</v>
      </c>
      <c r="U12" s="12"/>
      <c r="V12" s="54">
        <v>4900000</v>
      </c>
      <c r="W12" s="12"/>
      <c r="X12" s="54">
        <v>0</v>
      </c>
      <c r="Z12" s="54">
        <v>250000</v>
      </c>
      <c r="AB12" s="54">
        <v>1734932.71</v>
      </c>
      <c r="AD12" s="54">
        <v>65000</v>
      </c>
      <c r="AF12" s="12">
        <f t="shared" si="3"/>
        <v>8314779.7199999997</v>
      </c>
      <c r="AG12" s="9" t="s">
        <v>256</v>
      </c>
      <c r="AH12" s="122">
        <f t="shared" si="4"/>
        <v>10404355.039999999</v>
      </c>
      <c r="AI12" s="12"/>
      <c r="AJ12" s="12">
        <f t="shared" si="5"/>
        <v>8314779.7199999997</v>
      </c>
      <c r="AK12" s="12"/>
      <c r="AL12" s="12">
        <f t="shared" si="0"/>
        <v>2089575.3199999994</v>
      </c>
      <c r="AM12" s="12"/>
      <c r="AN12" s="13">
        <f t="shared" si="6"/>
        <v>1.2513085602224467</v>
      </c>
      <c r="AO12" s="13"/>
      <c r="AP12" s="14">
        <f t="shared" si="1"/>
        <v>0.25130856022244674</v>
      </c>
    </row>
    <row r="13" spans="1:42" s="9" customFormat="1" ht="24.95" customHeight="1" x14ac:dyDescent="0.2">
      <c r="A13" s="9" t="s">
        <v>257</v>
      </c>
      <c r="B13" s="12">
        <f>SUM(CNT!S49:S52)</f>
        <v>26005668.719999999</v>
      </c>
      <c r="C13" s="12"/>
      <c r="D13" s="12">
        <v>0</v>
      </c>
      <c r="E13" s="12"/>
      <c r="F13" s="12">
        <v>0</v>
      </c>
      <c r="G13" s="12"/>
      <c r="H13" s="12">
        <v>0</v>
      </c>
      <c r="J13" s="12">
        <v>0</v>
      </c>
      <c r="L13" s="12">
        <v>0</v>
      </c>
      <c r="N13" s="12">
        <v>0</v>
      </c>
      <c r="P13" s="12">
        <f t="shared" si="2"/>
        <v>26005668.719999999</v>
      </c>
      <c r="Q13" s="9" t="s">
        <v>257</v>
      </c>
      <c r="R13" s="54">
        <v>15151636.720000001</v>
      </c>
      <c r="S13" s="12"/>
      <c r="T13" s="54">
        <v>0</v>
      </c>
      <c r="U13" s="12"/>
      <c r="V13" s="54">
        <v>0</v>
      </c>
      <c r="W13" s="12"/>
      <c r="X13" s="54">
        <v>0</v>
      </c>
      <c r="Z13" s="54">
        <v>0</v>
      </c>
      <c r="AB13" s="54">
        <v>0</v>
      </c>
      <c r="AD13" s="54">
        <v>0</v>
      </c>
      <c r="AF13" s="12">
        <f t="shared" si="3"/>
        <v>15151636.720000001</v>
      </c>
      <c r="AG13" s="9" t="s">
        <v>257</v>
      </c>
      <c r="AH13" s="122">
        <f t="shared" si="4"/>
        <v>26005668.719999999</v>
      </c>
      <c r="AI13" s="12"/>
      <c r="AJ13" s="12">
        <f t="shared" si="5"/>
        <v>15151636.720000001</v>
      </c>
      <c r="AK13" s="12"/>
      <c r="AL13" s="12">
        <f t="shared" si="0"/>
        <v>10854031.999999998</v>
      </c>
      <c r="AM13" s="12"/>
      <c r="AN13" s="13">
        <f t="shared" si="6"/>
        <v>1.7163603642682899</v>
      </c>
      <c r="AO13" s="13"/>
      <c r="AP13" s="14">
        <f t="shared" si="1"/>
        <v>0.71636036426828986</v>
      </c>
    </row>
    <row r="14" spans="1:42" s="9" customFormat="1" ht="24.95" customHeight="1" x14ac:dyDescent="0.2">
      <c r="A14" s="9" t="s">
        <v>736</v>
      </c>
      <c r="B14" s="12">
        <v>0</v>
      </c>
      <c r="C14" s="12"/>
      <c r="D14" s="12">
        <v>0</v>
      </c>
      <c r="E14" s="12"/>
      <c r="F14" s="12">
        <v>0</v>
      </c>
      <c r="G14" s="12"/>
      <c r="H14" s="12">
        <v>0</v>
      </c>
      <c r="J14" s="12">
        <v>0</v>
      </c>
      <c r="L14" s="12">
        <v>0</v>
      </c>
      <c r="N14" s="12">
        <v>0</v>
      </c>
      <c r="P14" s="12">
        <f t="shared" si="2"/>
        <v>0</v>
      </c>
      <c r="Q14" s="9" t="s">
        <v>737</v>
      </c>
      <c r="R14" s="54">
        <v>0</v>
      </c>
      <c r="S14" s="12"/>
      <c r="T14" s="54">
        <v>0</v>
      </c>
      <c r="U14" s="12"/>
      <c r="V14" s="54">
        <v>0</v>
      </c>
      <c r="W14" s="12"/>
      <c r="X14" s="54">
        <v>0</v>
      </c>
      <c r="Z14" s="54">
        <v>0</v>
      </c>
      <c r="AB14" s="54">
        <v>0</v>
      </c>
      <c r="AD14" s="54">
        <v>0</v>
      </c>
      <c r="AF14" s="12">
        <f t="shared" si="3"/>
        <v>0</v>
      </c>
      <c r="AG14" s="9" t="s">
        <v>737</v>
      </c>
      <c r="AH14" s="122">
        <f t="shared" si="4"/>
        <v>0</v>
      </c>
      <c r="AI14" s="12"/>
      <c r="AJ14" s="12">
        <f t="shared" si="5"/>
        <v>0</v>
      </c>
      <c r="AK14" s="12"/>
      <c r="AL14" s="12">
        <f t="shared" si="0"/>
        <v>0</v>
      </c>
      <c r="AM14" s="12"/>
      <c r="AN14" s="13" t="e">
        <f t="shared" si="6"/>
        <v>#DIV/0!</v>
      </c>
      <c r="AO14" s="13"/>
      <c r="AP14" s="14" t="e">
        <f t="shared" si="1"/>
        <v>#DIV/0!</v>
      </c>
    </row>
    <row r="15" spans="1:42" s="9" customFormat="1" ht="24.95" customHeight="1" x14ac:dyDescent="0.2">
      <c r="A15" s="15" t="s">
        <v>258</v>
      </c>
      <c r="B15" s="12">
        <f>CNT!S42</f>
        <v>8166056.25</v>
      </c>
      <c r="C15" s="12"/>
      <c r="D15" s="12">
        <f>BPM!S21</f>
        <v>0</v>
      </c>
      <c r="E15" s="12"/>
      <c r="F15" s="12">
        <v>0</v>
      </c>
      <c r="G15" s="12"/>
      <c r="H15" s="12">
        <v>0</v>
      </c>
      <c r="I15" s="12"/>
      <c r="J15" s="12">
        <f>BSC!F11</f>
        <v>0</v>
      </c>
      <c r="K15" s="12"/>
      <c r="L15" s="12">
        <v>0</v>
      </c>
      <c r="M15" s="12"/>
      <c r="N15" s="12">
        <v>0</v>
      </c>
      <c r="O15" s="12"/>
      <c r="P15" s="12">
        <f t="shared" si="2"/>
        <v>8166056.25</v>
      </c>
      <c r="Q15" s="15" t="s">
        <v>258</v>
      </c>
      <c r="R15" s="54">
        <v>360929.03</v>
      </c>
      <c r="S15" s="12"/>
      <c r="T15" s="54">
        <v>0</v>
      </c>
      <c r="U15" s="12"/>
      <c r="V15" s="54">
        <v>0</v>
      </c>
      <c r="W15" s="12"/>
      <c r="X15" s="54">
        <v>0</v>
      </c>
      <c r="Y15" s="12"/>
      <c r="Z15" s="54">
        <v>0</v>
      </c>
      <c r="AA15" s="12"/>
      <c r="AB15" s="54">
        <v>0</v>
      </c>
      <c r="AC15" s="12"/>
      <c r="AD15" s="54">
        <v>0</v>
      </c>
      <c r="AE15" s="12"/>
      <c r="AF15" s="12">
        <f t="shared" si="3"/>
        <v>360929.03</v>
      </c>
      <c r="AG15" s="15" t="s">
        <v>258</v>
      </c>
      <c r="AH15" s="122">
        <f t="shared" si="4"/>
        <v>8166056.25</v>
      </c>
      <c r="AI15" s="12"/>
      <c r="AJ15" s="12">
        <f t="shared" si="5"/>
        <v>360929.03</v>
      </c>
      <c r="AK15" s="12"/>
      <c r="AL15" s="12">
        <f t="shared" si="0"/>
        <v>7805127.2199999997</v>
      </c>
      <c r="AM15" s="12"/>
      <c r="AN15" s="13">
        <f t="shared" si="6"/>
        <v>22.625102364306908</v>
      </c>
      <c r="AO15" s="13"/>
      <c r="AP15" s="14">
        <f t="shared" si="1"/>
        <v>21.625102364306908</v>
      </c>
    </row>
    <row r="16" spans="1:42" s="9" customFormat="1" ht="24.95" customHeight="1" x14ac:dyDescent="0.2">
      <c r="A16" s="9" t="s">
        <v>248</v>
      </c>
      <c r="B16" s="12">
        <f>CNT!S19</f>
        <v>45241448.140000001</v>
      </c>
      <c r="C16" s="12"/>
      <c r="D16" s="12">
        <f>BPM!S14</f>
        <v>0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45241448.140000001</v>
      </c>
      <c r="Q16" s="9" t="s">
        <v>248</v>
      </c>
      <c r="R16" s="54">
        <v>58638391.68</v>
      </c>
      <c r="S16" s="12"/>
      <c r="T16" s="54">
        <v>89480.36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58727872.039999999</v>
      </c>
      <c r="AG16" s="9" t="s">
        <v>248</v>
      </c>
      <c r="AH16" s="122">
        <f t="shared" si="4"/>
        <v>45241448.140000001</v>
      </c>
      <c r="AI16" s="12"/>
      <c r="AJ16" s="12">
        <f t="shared" si="5"/>
        <v>58727872.039999999</v>
      </c>
      <c r="AK16" s="12"/>
      <c r="AL16" s="12">
        <f t="shared" ref="AL16:AL32" si="7">AH16-AJ16</f>
        <v>-13486423.899999999</v>
      </c>
      <c r="AM16" s="12"/>
      <c r="AN16" s="13">
        <f t="shared" ref="AN16:AN26" si="8">AH16/AJ16</f>
        <v>0.77035735449746434</v>
      </c>
      <c r="AO16" s="13"/>
      <c r="AP16" s="14">
        <f t="shared" ref="AP16:AP33" si="9">AN16-1</f>
        <v>-0.22964264550253566</v>
      </c>
    </row>
    <row r="17" spans="1:42" s="9" customFormat="1" ht="24.95" customHeight="1" x14ac:dyDescent="0.2">
      <c r="A17" s="9" t="s">
        <v>249</v>
      </c>
      <c r="B17" s="12">
        <f>CNT!S20</f>
        <v>160551998.97999999</v>
      </c>
      <c r="C17" s="12"/>
      <c r="D17" s="12">
        <f>BPM!S15</f>
        <v>0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160551998.97999999</v>
      </c>
      <c r="Q17" s="9" t="s">
        <v>249</v>
      </c>
      <c r="R17" s="54">
        <v>130451609.18000001</v>
      </c>
      <c r="S17" s="12"/>
      <c r="T17" s="54">
        <v>13958.2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130465567.38000001</v>
      </c>
      <c r="AG17" s="9" t="s">
        <v>249</v>
      </c>
      <c r="AH17" s="122">
        <f t="shared" si="4"/>
        <v>160551998.97999999</v>
      </c>
      <c r="AI17" s="12"/>
      <c r="AJ17" s="12">
        <f t="shared" si="5"/>
        <v>130465567.38000001</v>
      </c>
      <c r="AK17" s="12"/>
      <c r="AL17" s="12">
        <f t="shared" si="7"/>
        <v>30086431.599999979</v>
      </c>
      <c r="AM17" s="12"/>
      <c r="AN17" s="13">
        <f t="shared" si="8"/>
        <v>1.2306082149044648</v>
      </c>
      <c r="AO17" s="13"/>
      <c r="AP17" s="14">
        <f t="shared" si="9"/>
        <v>0.23060821490446481</v>
      </c>
    </row>
    <row r="18" spans="1:42" s="9" customFormat="1" ht="24.95" customHeight="1" x14ac:dyDescent="0.2">
      <c r="A18" s="9" t="s">
        <v>250</v>
      </c>
      <c r="B18" s="12">
        <f>CNT!S21</f>
        <v>-979051.94</v>
      </c>
      <c r="C18" s="12"/>
      <c r="D18" s="12">
        <f>BPM!S16</f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-979051.94</v>
      </c>
      <c r="Q18" s="9" t="s">
        <v>250</v>
      </c>
      <c r="R18" s="54">
        <v>892974.09</v>
      </c>
      <c r="S18" s="12"/>
      <c r="T18" s="54">
        <v>0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892974.09</v>
      </c>
      <c r="AG18" s="9" t="s">
        <v>250</v>
      </c>
      <c r="AH18" s="122">
        <f t="shared" si="4"/>
        <v>-979051.94</v>
      </c>
      <c r="AI18" s="12"/>
      <c r="AJ18" s="12">
        <f t="shared" si="5"/>
        <v>892974.09</v>
      </c>
      <c r="AK18" s="12"/>
      <c r="AL18" s="12">
        <f t="shared" si="7"/>
        <v>-1872026.0299999998</v>
      </c>
      <c r="AM18" s="12"/>
      <c r="AN18" s="13">
        <f t="shared" si="8"/>
        <v>-1.0963945661626084</v>
      </c>
      <c r="AO18" s="13"/>
      <c r="AP18" s="14">
        <f t="shared" si="9"/>
        <v>-2.0963945661626084</v>
      </c>
    </row>
    <row r="19" spans="1:42" s="9" customFormat="1" ht="24.95" customHeight="1" x14ac:dyDescent="0.2">
      <c r="A19" s="9" t="s">
        <v>259</v>
      </c>
      <c r="B19" s="12">
        <f>CNT!S22</f>
        <v>2022788.23</v>
      </c>
      <c r="C19" s="12"/>
      <c r="D19" s="12"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2022788.23</v>
      </c>
      <c r="Q19" s="9" t="s">
        <v>259</v>
      </c>
      <c r="R19" s="54">
        <v>1356538.4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1356538.4</v>
      </c>
      <c r="AG19" s="9" t="s">
        <v>259</v>
      </c>
      <c r="AH19" s="122">
        <f t="shared" si="4"/>
        <v>2022788.23</v>
      </c>
      <c r="AI19" s="12"/>
      <c r="AJ19" s="12">
        <f t="shared" si="5"/>
        <v>1356538.4</v>
      </c>
      <c r="AK19" s="12"/>
      <c r="AL19" s="12">
        <f t="shared" si="7"/>
        <v>666249.83000000007</v>
      </c>
      <c r="AM19" s="12"/>
      <c r="AN19" s="13">
        <f t="shared" si="8"/>
        <v>1.4911396758101356</v>
      </c>
      <c r="AO19" s="13"/>
      <c r="AP19" s="14">
        <f t="shared" si="9"/>
        <v>0.49113967581013562</v>
      </c>
    </row>
    <row r="20" spans="1:42" s="9" customFormat="1" ht="24.95" customHeight="1" x14ac:dyDescent="0.2">
      <c r="A20" s="9" t="s">
        <v>260</v>
      </c>
      <c r="B20" s="12">
        <f>CNT!S23</f>
        <v>32400.95</v>
      </c>
      <c r="C20" s="12"/>
      <c r="D20" s="12">
        <f>BPM!S17</f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32400.95</v>
      </c>
      <c r="Q20" s="9" t="s">
        <v>260</v>
      </c>
      <c r="R20" s="54">
        <v>0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0</v>
      </c>
      <c r="AG20" s="9" t="s">
        <v>260</v>
      </c>
      <c r="AH20" s="122">
        <f t="shared" si="4"/>
        <v>32400.95</v>
      </c>
      <c r="AI20" s="12"/>
      <c r="AJ20" s="12">
        <f t="shared" si="5"/>
        <v>0</v>
      </c>
      <c r="AK20" s="12"/>
      <c r="AL20" s="12">
        <f t="shared" si="7"/>
        <v>32400.95</v>
      </c>
      <c r="AM20" s="12"/>
      <c r="AN20" s="13" t="e">
        <f t="shared" si="8"/>
        <v>#DIV/0!</v>
      </c>
      <c r="AO20" s="13"/>
      <c r="AP20" s="14" t="e">
        <f t="shared" si="9"/>
        <v>#DIV/0!</v>
      </c>
    </row>
    <row r="21" spans="1:42" s="9" customFormat="1" ht="24.95" customHeight="1" x14ac:dyDescent="0.2">
      <c r="A21" s="9" t="s">
        <v>261</v>
      </c>
      <c r="B21" s="12">
        <f>CNT!S24</f>
        <v>2365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2365</v>
      </c>
      <c r="Q21" s="9" t="s">
        <v>261</v>
      </c>
      <c r="R21" s="54">
        <v>991413.54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991413.54</v>
      </c>
      <c r="AG21" s="9" t="s">
        <v>261</v>
      </c>
      <c r="AH21" s="122">
        <f t="shared" si="4"/>
        <v>2365</v>
      </c>
      <c r="AI21" s="12"/>
      <c r="AJ21" s="12">
        <f t="shared" si="5"/>
        <v>991413.54</v>
      </c>
      <c r="AK21" s="12"/>
      <c r="AL21" s="12">
        <f t="shared" si="7"/>
        <v>-989048.54</v>
      </c>
      <c r="AM21" s="12"/>
      <c r="AN21" s="13">
        <f t="shared" si="8"/>
        <v>2.385482853098819E-3</v>
      </c>
      <c r="AO21" s="13"/>
      <c r="AP21" s="14">
        <f t="shared" si="9"/>
        <v>-0.99761451714690119</v>
      </c>
    </row>
    <row r="22" spans="1:42" s="9" customFormat="1" ht="24.95" customHeight="1" x14ac:dyDescent="0.2">
      <c r="A22" s="9" t="s">
        <v>262</v>
      </c>
      <c r="B22" s="12">
        <f>CNT!S25</f>
        <v>127513.41</v>
      </c>
      <c r="C22" s="12"/>
      <c r="D22" s="12">
        <v>0</v>
      </c>
      <c r="E22" s="12"/>
      <c r="F22" s="12">
        <v>0</v>
      </c>
      <c r="G22" s="12"/>
      <c r="H22" s="12">
        <v>0</v>
      </c>
      <c r="J22" s="12">
        <v>0</v>
      </c>
      <c r="L22" s="12">
        <v>0</v>
      </c>
      <c r="N22" s="12">
        <v>0</v>
      </c>
      <c r="P22" s="12">
        <f t="shared" si="2"/>
        <v>127513.41</v>
      </c>
      <c r="Q22" s="9" t="s">
        <v>262</v>
      </c>
      <c r="R22" s="54">
        <v>1245382.04</v>
      </c>
      <c r="S22" s="12"/>
      <c r="T22" s="54">
        <v>0</v>
      </c>
      <c r="U22" s="12"/>
      <c r="V22" s="54">
        <v>0</v>
      </c>
      <c r="W22" s="12"/>
      <c r="X22" s="54">
        <v>0</v>
      </c>
      <c r="Z22" s="54">
        <v>0</v>
      </c>
      <c r="AB22" s="54">
        <v>0</v>
      </c>
      <c r="AD22" s="54">
        <v>0</v>
      </c>
      <c r="AF22" s="12">
        <f t="shared" si="3"/>
        <v>1245382.04</v>
      </c>
      <c r="AG22" s="9" t="s">
        <v>262</v>
      </c>
      <c r="AH22" s="122">
        <f t="shared" si="4"/>
        <v>127513.41</v>
      </c>
      <c r="AI22" s="12"/>
      <c r="AJ22" s="12">
        <f t="shared" si="5"/>
        <v>1245382.04</v>
      </c>
      <c r="AK22" s="12"/>
      <c r="AL22" s="12">
        <f t="shared" si="7"/>
        <v>-1117868.6300000001</v>
      </c>
      <c r="AM22" s="12"/>
      <c r="AN22" s="13">
        <f t="shared" si="8"/>
        <v>0.1023889906104636</v>
      </c>
      <c r="AO22" s="13"/>
      <c r="AP22" s="14">
        <f t="shared" si="9"/>
        <v>-0.89761100938953642</v>
      </c>
    </row>
    <row r="23" spans="1:42" s="9" customFormat="1" ht="24.95" customHeight="1" x14ac:dyDescent="0.2">
      <c r="A23" s="9" t="s">
        <v>559</v>
      </c>
      <c r="B23" s="12">
        <f>CNT!S26</f>
        <v>-92259902.569999993</v>
      </c>
      <c r="C23" s="12"/>
      <c r="D23" s="12">
        <v>0</v>
      </c>
      <c r="E23" s="12"/>
      <c r="F23" s="12">
        <v>0</v>
      </c>
      <c r="G23" s="12"/>
      <c r="H23" s="12">
        <v>0</v>
      </c>
      <c r="J23" s="12">
        <v>0</v>
      </c>
      <c r="L23" s="12">
        <v>0</v>
      </c>
      <c r="N23" s="12">
        <v>0</v>
      </c>
      <c r="P23" s="12">
        <f t="shared" si="2"/>
        <v>-92259902.569999993</v>
      </c>
      <c r="Q23" s="9" t="s">
        <v>559</v>
      </c>
      <c r="R23" s="54">
        <v>-42065711.039999999</v>
      </c>
      <c r="S23" s="12"/>
      <c r="T23" s="54">
        <v>0</v>
      </c>
      <c r="U23" s="12"/>
      <c r="V23" s="54">
        <v>0</v>
      </c>
      <c r="W23" s="12"/>
      <c r="X23" s="54">
        <v>0</v>
      </c>
      <c r="Z23" s="54">
        <v>0</v>
      </c>
      <c r="AB23" s="54">
        <v>0</v>
      </c>
      <c r="AD23" s="54">
        <v>0</v>
      </c>
      <c r="AF23" s="12">
        <f t="shared" si="3"/>
        <v>-42065711.039999999</v>
      </c>
      <c r="AG23" s="9" t="s">
        <v>559</v>
      </c>
      <c r="AH23" s="122">
        <f t="shared" si="4"/>
        <v>-92259902.569999993</v>
      </c>
      <c r="AI23" s="12"/>
      <c r="AJ23" s="12">
        <f t="shared" si="5"/>
        <v>-42065711.039999999</v>
      </c>
      <c r="AK23" s="12"/>
      <c r="AL23" s="12">
        <f t="shared" si="7"/>
        <v>-50194191.529999994</v>
      </c>
      <c r="AM23" s="12"/>
      <c r="AN23" s="13">
        <f t="shared" si="8"/>
        <v>2.1932329274612923</v>
      </c>
      <c r="AO23" s="13"/>
      <c r="AP23" s="14">
        <f t="shared" si="9"/>
        <v>1.1932329274612923</v>
      </c>
    </row>
    <row r="24" spans="1:42" s="9" customFormat="1" ht="24.95" customHeight="1" x14ac:dyDescent="0.2">
      <c r="A24" s="9" t="s">
        <v>560</v>
      </c>
      <c r="B24" s="12">
        <f>CNT!S18</f>
        <v>4728.26</v>
      </c>
      <c r="C24" s="12"/>
      <c r="D24" s="12">
        <v>0</v>
      </c>
      <c r="E24" s="12"/>
      <c r="F24" s="12">
        <v>0</v>
      </c>
      <c r="G24" s="12"/>
      <c r="H24" s="12">
        <v>0</v>
      </c>
      <c r="I24" s="12"/>
      <c r="J24" s="12">
        <v>0</v>
      </c>
      <c r="K24" s="12"/>
      <c r="L24" s="12">
        <v>0</v>
      </c>
      <c r="M24" s="12"/>
      <c r="N24" s="12">
        <v>0</v>
      </c>
      <c r="O24" s="12"/>
      <c r="P24" s="12">
        <f t="shared" si="2"/>
        <v>4728.26</v>
      </c>
      <c r="Q24" s="9" t="s">
        <v>560</v>
      </c>
      <c r="R24" s="54">
        <v>7517.55</v>
      </c>
      <c r="S24" s="12"/>
      <c r="T24" s="54">
        <v>0</v>
      </c>
      <c r="U24" s="12"/>
      <c r="V24" s="54">
        <v>0</v>
      </c>
      <c r="W24" s="12"/>
      <c r="X24" s="54">
        <v>0</v>
      </c>
      <c r="Y24" s="12"/>
      <c r="Z24" s="54">
        <v>0</v>
      </c>
      <c r="AA24" s="12"/>
      <c r="AB24" s="54">
        <v>0</v>
      </c>
      <c r="AC24" s="12"/>
      <c r="AD24" s="54">
        <v>0</v>
      </c>
      <c r="AE24" s="12"/>
      <c r="AF24" s="12">
        <f t="shared" si="3"/>
        <v>7517.55</v>
      </c>
      <c r="AG24" s="9" t="s">
        <v>560</v>
      </c>
      <c r="AH24" s="122">
        <f t="shared" si="4"/>
        <v>4728.26</v>
      </c>
      <c r="AI24" s="12"/>
      <c r="AJ24" s="12">
        <f t="shared" si="5"/>
        <v>7517.55</v>
      </c>
      <c r="AK24" s="12"/>
      <c r="AL24" s="12">
        <f t="shared" si="7"/>
        <v>-2789.29</v>
      </c>
      <c r="AM24" s="12"/>
      <c r="AN24" s="13">
        <f t="shared" si="8"/>
        <v>0.6289628934958863</v>
      </c>
      <c r="AO24" s="13"/>
      <c r="AP24" s="14">
        <f t="shared" si="9"/>
        <v>-0.3710371065041137</v>
      </c>
    </row>
    <row r="25" spans="1:42" s="9" customFormat="1" ht="24.95" customHeight="1" x14ac:dyDescent="0.2">
      <c r="A25" s="9" t="s">
        <v>263</v>
      </c>
      <c r="B25" s="12">
        <f>CNT!S27</f>
        <v>-135517603.24000001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-135517603.24000001</v>
      </c>
      <c r="Q25" s="9" t="s">
        <v>263</v>
      </c>
      <c r="R25" s="54">
        <v>-149994832.69999999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-149994832.69999999</v>
      </c>
      <c r="AG25" s="9" t="s">
        <v>263</v>
      </c>
      <c r="AH25" s="122">
        <f t="shared" si="4"/>
        <v>-135517603.24000001</v>
      </c>
      <c r="AI25" s="12"/>
      <c r="AJ25" s="12">
        <f t="shared" si="5"/>
        <v>-149994832.69999999</v>
      </c>
      <c r="AK25" s="12"/>
      <c r="AL25" s="12">
        <f t="shared" si="7"/>
        <v>14477229.459999979</v>
      </c>
      <c r="AM25" s="12"/>
      <c r="AN25" s="13">
        <f t="shared" si="8"/>
        <v>0.90348181201044819</v>
      </c>
      <c r="AO25" s="13"/>
      <c r="AP25" s="14">
        <f t="shared" si="9"/>
        <v>-9.6518187989551807E-2</v>
      </c>
    </row>
    <row r="26" spans="1:42" s="9" customFormat="1" ht="24.95" customHeight="1" x14ac:dyDescent="0.2">
      <c r="A26" s="9" t="s">
        <v>594</v>
      </c>
      <c r="B26" s="12">
        <f>CNT!S28</f>
        <v>-30081777.469999999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-30081777.469999999</v>
      </c>
      <c r="Q26" s="9" t="s">
        <v>594</v>
      </c>
      <c r="R26" s="54">
        <v>-20471810.41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-20471810.41</v>
      </c>
      <c r="AG26" s="9" t="s">
        <v>594</v>
      </c>
      <c r="AH26" s="122">
        <f t="shared" si="4"/>
        <v>-30081777.469999999</v>
      </c>
      <c r="AI26" s="12"/>
      <c r="AJ26" s="12">
        <f t="shared" si="5"/>
        <v>-20471810.41</v>
      </c>
      <c r="AK26" s="12"/>
      <c r="AL26" s="12">
        <f t="shared" si="7"/>
        <v>-9609967.0599999987</v>
      </c>
      <c r="AM26" s="12"/>
      <c r="AN26" s="13">
        <f t="shared" si="8"/>
        <v>1.4694243873666275</v>
      </c>
      <c r="AO26" s="13"/>
      <c r="AP26" s="14">
        <f t="shared" si="9"/>
        <v>0.4694243873666275</v>
      </c>
    </row>
    <row r="27" spans="1:42" s="9" customFormat="1" ht="24.95" customHeight="1" x14ac:dyDescent="0.2">
      <c r="A27" s="9" t="s">
        <v>264</v>
      </c>
      <c r="B27" s="12">
        <f>CNT!S29</f>
        <v>0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0</v>
      </c>
      <c r="Q27" s="9" t="s">
        <v>264</v>
      </c>
      <c r="R27" s="54">
        <v>-31204.79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-31204.79</v>
      </c>
      <c r="AG27" s="9" t="s">
        <v>264</v>
      </c>
      <c r="AH27" s="122">
        <f t="shared" si="4"/>
        <v>0</v>
      </c>
      <c r="AI27" s="12"/>
      <c r="AJ27" s="12">
        <f t="shared" si="5"/>
        <v>-31204.79</v>
      </c>
      <c r="AK27" s="12"/>
      <c r="AL27" s="12">
        <f t="shared" si="7"/>
        <v>31204.79</v>
      </c>
      <c r="AM27" s="12"/>
      <c r="AN27" s="13">
        <v>0</v>
      </c>
      <c r="AO27" s="13"/>
      <c r="AP27" s="14">
        <f>AN27-1</f>
        <v>-1</v>
      </c>
    </row>
    <row r="28" spans="1:42" s="9" customFormat="1" ht="24.95" customHeight="1" x14ac:dyDescent="0.2">
      <c r="A28" s="9" t="s">
        <v>265</v>
      </c>
      <c r="B28" s="12">
        <f>CNT!S54</f>
        <v>130314.76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130314.76</v>
      </c>
      <c r="Q28" s="9" t="s">
        <v>265</v>
      </c>
      <c r="R28" s="54">
        <v>132525.4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132525.4</v>
      </c>
      <c r="AG28" s="9" t="s">
        <v>265</v>
      </c>
      <c r="AH28" s="122">
        <f t="shared" si="4"/>
        <v>130314.76</v>
      </c>
      <c r="AI28" s="12"/>
      <c r="AJ28" s="12">
        <f t="shared" si="5"/>
        <v>132525.4</v>
      </c>
      <c r="AK28" s="12"/>
      <c r="AL28" s="12">
        <f t="shared" si="7"/>
        <v>-2210.6399999999994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624</v>
      </c>
      <c r="B29" s="12">
        <f>CNT!S58</f>
        <v>0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0</v>
      </c>
      <c r="Q29" s="9" t="s">
        <v>624</v>
      </c>
      <c r="R29" s="54">
        <v>2040.1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2040.1</v>
      </c>
      <c r="AG29" s="9" t="s">
        <v>624</v>
      </c>
      <c r="AH29" s="122">
        <f t="shared" si="4"/>
        <v>0</v>
      </c>
      <c r="AI29" s="12"/>
      <c r="AJ29" s="12">
        <f t="shared" si="5"/>
        <v>2040.1</v>
      </c>
      <c r="AK29" s="12"/>
      <c r="AL29" s="12">
        <f t="shared" si="7"/>
        <v>-2040.1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715</v>
      </c>
      <c r="B30" s="12">
        <f>CNT!S56+CNT!S57</f>
        <v>0</v>
      </c>
      <c r="C30" s="12"/>
      <c r="D30" s="12">
        <v>0</v>
      </c>
      <c r="E30" s="12"/>
      <c r="F30" s="12">
        <v>0</v>
      </c>
      <c r="G30" s="12"/>
      <c r="H30" s="12">
        <v>0</v>
      </c>
      <c r="J30" s="12">
        <v>0</v>
      </c>
      <c r="L30" s="12">
        <v>0</v>
      </c>
      <c r="N30" s="12">
        <v>0</v>
      </c>
      <c r="P30" s="12">
        <f t="shared" si="2"/>
        <v>0</v>
      </c>
      <c r="Q30" s="9" t="s">
        <v>625</v>
      </c>
      <c r="R30" s="54">
        <v>0</v>
      </c>
      <c r="S30" s="12"/>
      <c r="T30" s="54">
        <v>0</v>
      </c>
      <c r="U30" s="12"/>
      <c r="V30" s="54">
        <v>0</v>
      </c>
      <c r="W30" s="12"/>
      <c r="X30" s="54">
        <v>0</v>
      </c>
      <c r="Z30" s="54">
        <v>0</v>
      </c>
      <c r="AB30" s="54">
        <v>0</v>
      </c>
      <c r="AD30" s="54">
        <v>0</v>
      </c>
      <c r="AF30" s="12">
        <f t="shared" si="3"/>
        <v>0</v>
      </c>
      <c r="AG30" s="9" t="s">
        <v>625</v>
      </c>
      <c r="AH30" s="122">
        <f t="shared" si="4"/>
        <v>0</v>
      </c>
      <c r="AI30" s="12"/>
      <c r="AJ30" s="12">
        <f t="shared" si="5"/>
        <v>0</v>
      </c>
      <c r="AK30" s="12"/>
      <c r="AL30" s="12">
        <f t="shared" si="7"/>
        <v>0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9" t="s">
        <v>266</v>
      </c>
      <c r="B31" s="12">
        <f>CNT!S55+CNT!S59+CNT!S61+CNT!S60</f>
        <v>106909.43999999999</v>
      </c>
      <c r="C31" s="12"/>
      <c r="D31" s="12">
        <v>0</v>
      </c>
      <c r="E31" s="12"/>
      <c r="F31" s="12">
        <v>0</v>
      </c>
      <c r="G31" s="12"/>
      <c r="H31" s="12">
        <v>0</v>
      </c>
      <c r="J31" s="12">
        <v>0</v>
      </c>
      <c r="L31" s="12">
        <v>0</v>
      </c>
      <c r="N31" s="12">
        <v>0</v>
      </c>
      <c r="P31" s="12">
        <f t="shared" si="2"/>
        <v>106909.43999999999</v>
      </c>
      <c r="Q31" s="9" t="s">
        <v>266</v>
      </c>
      <c r="R31" s="54">
        <v>268729.25</v>
      </c>
      <c r="S31" s="12"/>
      <c r="T31" s="54">
        <v>0</v>
      </c>
      <c r="U31" s="12"/>
      <c r="V31" s="54">
        <v>0</v>
      </c>
      <c r="W31" s="12"/>
      <c r="X31" s="54">
        <v>0</v>
      </c>
      <c r="Z31" s="54">
        <v>0</v>
      </c>
      <c r="AB31" s="54">
        <v>0</v>
      </c>
      <c r="AD31" s="54">
        <v>0</v>
      </c>
      <c r="AF31" s="12">
        <f t="shared" si="3"/>
        <v>268729.25</v>
      </c>
      <c r="AG31" s="9" t="s">
        <v>266</v>
      </c>
      <c r="AH31" s="122">
        <f t="shared" si="4"/>
        <v>106909.43999999999</v>
      </c>
      <c r="AI31" s="12"/>
      <c r="AJ31" s="12">
        <f t="shared" si="5"/>
        <v>268729.25</v>
      </c>
      <c r="AK31" s="12"/>
      <c r="AL31" s="12">
        <f t="shared" si="7"/>
        <v>-161819.81</v>
      </c>
      <c r="AM31" s="12"/>
      <c r="AN31" s="13">
        <v>0</v>
      </c>
      <c r="AO31" s="13"/>
      <c r="AP31" s="14">
        <f t="shared" si="9"/>
        <v>-1</v>
      </c>
    </row>
    <row r="32" spans="1:42" s="9" customFormat="1" ht="24.95" customHeight="1" x14ac:dyDescent="0.2">
      <c r="A32" s="9" t="s">
        <v>557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  <c r="I32" s="17"/>
      <c r="J32" s="16">
        <v>0</v>
      </c>
      <c r="K32" s="17"/>
      <c r="L32" s="16">
        <v>0</v>
      </c>
      <c r="M32" s="17"/>
      <c r="N32" s="16">
        <v>0</v>
      </c>
      <c r="O32" s="17"/>
      <c r="P32" s="16">
        <f t="shared" si="2"/>
        <v>0</v>
      </c>
      <c r="Q32" s="9" t="s">
        <v>557</v>
      </c>
      <c r="R32" s="55">
        <v>0</v>
      </c>
      <c r="S32" s="16"/>
      <c r="T32" s="55">
        <v>0</v>
      </c>
      <c r="U32" s="16"/>
      <c r="V32" s="55">
        <v>0</v>
      </c>
      <c r="W32" s="16"/>
      <c r="X32" s="55">
        <v>0</v>
      </c>
      <c r="Y32" s="17"/>
      <c r="Z32" s="55">
        <v>0</v>
      </c>
      <c r="AA32" s="17"/>
      <c r="AB32" s="55">
        <v>0</v>
      </c>
      <c r="AC32" s="17"/>
      <c r="AD32" s="55">
        <v>0</v>
      </c>
      <c r="AE32" s="17"/>
      <c r="AF32" s="16">
        <f t="shared" si="3"/>
        <v>0</v>
      </c>
      <c r="AG32" s="9" t="s">
        <v>557</v>
      </c>
      <c r="AH32" s="16">
        <f t="shared" si="4"/>
        <v>0</v>
      </c>
      <c r="AI32" s="16"/>
      <c r="AJ32" s="16">
        <f t="shared" si="5"/>
        <v>0</v>
      </c>
      <c r="AK32" s="16"/>
      <c r="AL32" s="16">
        <f t="shared" si="7"/>
        <v>0</v>
      </c>
      <c r="AM32" s="12"/>
      <c r="AN32" s="13">
        <v>0</v>
      </c>
      <c r="AO32" s="13"/>
      <c r="AP32" s="14">
        <f t="shared" si="9"/>
        <v>-1</v>
      </c>
    </row>
    <row r="33" spans="1:43" s="9" customFormat="1" ht="24.95" customHeight="1" x14ac:dyDescent="0.2">
      <c r="A33" s="18" t="s">
        <v>267</v>
      </c>
      <c r="B33" s="12">
        <f>SUM(B16:B32)</f>
        <v>-50617868.050000019</v>
      </c>
      <c r="C33" s="12"/>
      <c r="D33" s="12">
        <f>SUM(D16:D31)</f>
        <v>0</v>
      </c>
      <c r="E33" s="12"/>
      <c r="F33" s="12">
        <f>SUM(F16:F31)</f>
        <v>0</v>
      </c>
      <c r="G33" s="12"/>
      <c r="H33" s="12">
        <f>SUM(H16:H31)</f>
        <v>0</v>
      </c>
      <c r="I33" s="12"/>
      <c r="J33" s="12">
        <f>SUM(J16:J31)</f>
        <v>0</v>
      </c>
      <c r="K33" s="12"/>
      <c r="L33" s="12">
        <f>SUM(L16:L31)</f>
        <v>0</v>
      </c>
      <c r="M33" s="12"/>
      <c r="N33" s="12">
        <f>SUM(N16:N31)</f>
        <v>0</v>
      </c>
      <c r="O33" s="12"/>
      <c r="P33" s="12">
        <f>SUM(P16:P32)</f>
        <v>-50617868.050000019</v>
      </c>
      <c r="Q33" s="18" t="s">
        <v>267</v>
      </c>
      <c r="R33" s="54">
        <f>SUM(R16:R32)</f>
        <v>-18576437.70999996</v>
      </c>
      <c r="S33" s="12"/>
      <c r="T33" s="54">
        <f>SUM(T16:T31)</f>
        <v>103438.56</v>
      </c>
      <c r="U33" s="12"/>
      <c r="V33" s="54">
        <f>SUM(V16:V32)</f>
        <v>0</v>
      </c>
      <c r="W33" s="12"/>
      <c r="X33" s="54">
        <f>SUM(X16:X31)</f>
        <v>0</v>
      </c>
      <c r="Y33" s="12"/>
      <c r="Z33" s="54">
        <f>SUM(Z16:Z31)</f>
        <v>0</v>
      </c>
      <c r="AA33" s="12"/>
      <c r="AB33" s="54">
        <f>SUM(AB16:AB31)</f>
        <v>0</v>
      </c>
      <c r="AC33" s="12"/>
      <c r="AD33" s="54">
        <f>SUM(AD16:AD31)</f>
        <v>0</v>
      </c>
      <c r="AE33" s="12"/>
      <c r="AF33" s="12">
        <f>SUM(AF16:AF32)</f>
        <v>-18472999.149999958</v>
      </c>
      <c r="AG33" s="18" t="s">
        <v>267</v>
      </c>
      <c r="AH33" s="12">
        <f>SUM(AH16:AH32)</f>
        <v>-50617868.050000019</v>
      </c>
      <c r="AI33" s="12"/>
      <c r="AJ33" s="12">
        <f>SUM(AJ16:AJ32)</f>
        <v>-18472999.149999958</v>
      </c>
      <c r="AK33" s="12"/>
      <c r="AL33" s="12">
        <f>SUM(AL16:AL32)</f>
        <v>-32144868.900000036</v>
      </c>
      <c r="AM33" s="12"/>
      <c r="AN33" s="13">
        <f>AH33/AJ33</f>
        <v>2.7401001666803051</v>
      </c>
      <c r="AO33" s="13"/>
      <c r="AP33" s="14">
        <f t="shared" si="9"/>
        <v>1.7401001666803051</v>
      </c>
    </row>
    <row r="34" spans="1:43" s="9" customFormat="1" ht="24.95" customHeight="1" x14ac:dyDescent="0.2">
      <c r="B34" s="12"/>
      <c r="C34" s="12"/>
      <c r="D34" s="12"/>
      <c r="E34" s="12"/>
      <c r="F34" s="12"/>
      <c r="G34" s="12"/>
      <c r="P34" s="10"/>
      <c r="R34" s="54"/>
      <c r="S34" s="12"/>
      <c r="T34" s="65"/>
      <c r="V34" s="65"/>
      <c r="X34" s="65"/>
      <c r="Z34" s="65"/>
      <c r="AB34" s="65"/>
      <c r="AD34" s="65"/>
      <c r="AF34" s="10"/>
      <c r="AN34" s="10"/>
      <c r="AO34" s="10"/>
      <c r="AP34" s="19"/>
    </row>
    <row r="35" spans="1:43" s="9" customFormat="1" ht="24.95" customHeight="1" x14ac:dyDescent="0.2">
      <c r="A35" s="9" t="s">
        <v>268</v>
      </c>
      <c r="B35" s="12">
        <f>CNT!S34</f>
        <v>0</v>
      </c>
      <c r="C35" s="12"/>
      <c r="D35" s="12">
        <v>0</v>
      </c>
      <c r="E35" s="12"/>
      <c r="F35" s="12">
        <v>0</v>
      </c>
      <c r="G35" s="12"/>
      <c r="H35" s="12">
        <v>0</v>
      </c>
      <c r="I35" s="12"/>
      <c r="J35" s="12">
        <v>0</v>
      </c>
      <c r="K35" s="12"/>
      <c r="L35" s="12">
        <v>0</v>
      </c>
      <c r="M35" s="12"/>
      <c r="N35" s="12">
        <v>0</v>
      </c>
      <c r="O35" s="12"/>
      <c r="P35" s="12">
        <f>SUM(B35:N35)</f>
        <v>0</v>
      </c>
      <c r="Q35" s="9" t="s">
        <v>268</v>
      </c>
      <c r="R35" s="54">
        <v>0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0</v>
      </c>
      <c r="AG35" s="9" t="s">
        <v>268</v>
      </c>
      <c r="AH35" s="122">
        <f t="shared" ref="AH35:AH42" si="10">P35</f>
        <v>0</v>
      </c>
      <c r="AI35" s="12"/>
      <c r="AJ35" s="12">
        <f>AF35</f>
        <v>0</v>
      </c>
      <c r="AK35" s="12"/>
      <c r="AL35" s="12">
        <f t="shared" ref="AL35:AL42" si="11">AH35-AJ35</f>
        <v>0</v>
      </c>
      <c r="AM35" s="12"/>
      <c r="AN35" s="13">
        <v>0</v>
      </c>
      <c r="AO35" s="13"/>
      <c r="AP35" s="14">
        <v>0</v>
      </c>
    </row>
    <row r="36" spans="1:43" s="9" customFormat="1" ht="24.95" customHeight="1" x14ac:dyDescent="0.2">
      <c r="A36" s="9" t="s">
        <v>269</v>
      </c>
      <c r="B36" s="12">
        <f>CNT!S35</f>
        <v>79955.56</v>
      </c>
      <c r="C36" s="12"/>
      <c r="D36" s="12">
        <v>0</v>
      </c>
      <c r="E36" s="12"/>
      <c r="F36" s="12">
        <f>DEP!S13</f>
        <v>25789.02</v>
      </c>
      <c r="G36" s="12"/>
      <c r="H36" s="12">
        <v>0</v>
      </c>
      <c r="I36" s="12"/>
      <c r="J36" s="12">
        <f>BSC!F47</f>
        <v>2887.59</v>
      </c>
      <c r="K36" s="12"/>
      <c r="L36" s="12">
        <v>0</v>
      </c>
      <c r="M36" s="12"/>
      <c r="N36" s="12">
        <v>0</v>
      </c>
      <c r="O36" s="12"/>
      <c r="P36" s="12">
        <f t="shared" ref="P36:P42" si="12">SUM(B36:N36)</f>
        <v>108632.17</v>
      </c>
      <c r="Q36" s="9" t="s">
        <v>269</v>
      </c>
      <c r="R36" s="54">
        <v>71954.19</v>
      </c>
      <c r="S36" s="12"/>
      <c r="T36" s="54">
        <v>0</v>
      </c>
      <c r="U36" s="12"/>
      <c r="V36" s="54">
        <v>25163.7</v>
      </c>
      <c r="W36" s="12"/>
      <c r="X36" s="54">
        <v>0</v>
      </c>
      <c r="Y36" s="12"/>
      <c r="Z36" s="54">
        <v>2512.64</v>
      </c>
      <c r="AA36" s="12"/>
      <c r="AB36" s="54">
        <v>0</v>
      </c>
      <c r="AC36" s="12"/>
      <c r="AD36" s="54">
        <v>0</v>
      </c>
      <c r="AE36" s="12"/>
      <c r="AF36" s="12">
        <f t="shared" ref="AF36:AF42" si="13">SUM(R36:AD36)</f>
        <v>99630.53</v>
      </c>
      <c r="AG36" s="9" t="s">
        <v>269</v>
      </c>
      <c r="AH36" s="122">
        <f t="shared" si="10"/>
        <v>108632.17</v>
      </c>
      <c r="AI36" s="12"/>
      <c r="AJ36" s="12">
        <f t="shared" ref="AJ36:AJ42" si="14">AF36</f>
        <v>99630.53</v>
      </c>
      <c r="AK36" s="12"/>
      <c r="AL36" s="12">
        <f t="shared" si="11"/>
        <v>9001.64</v>
      </c>
      <c r="AM36" s="12"/>
      <c r="AN36" s="13">
        <f t="shared" ref="AN36:AN43" si="15">AH36/AJ36</f>
        <v>1.0903502169465524</v>
      </c>
      <c r="AO36" s="13"/>
      <c r="AP36" s="14">
        <f t="shared" ref="AP36:AP43" si="16">AN36-1</f>
        <v>9.0350216946552431E-2</v>
      </c>
    </row>
    <row r="37" spans="1:43" s="9" customFormat="1" ht="24.95" customHeight="1" x14ac:dyDescent="0.2">
      <c r="A37" s="9" t="s">
        <v>270</v>
      </c>
      <c r="B37" s="12">
        <f>CNT!S36</f>
        <v>9391249.1899999995</v>
      </c>
      <c r="C37" s="12"/>
      <c r="D37" s="12">
        <v>0</v>
      </c>
      <c r="E37" s="12"/>
      <c r="F37" s="12">
        <v>0</v>
      </c>
      <c r="G37" s="12"/>
      <c r="H37" s="12">
        <v>0</v>
      </c>
      <c r="I37" s="12"/>
      <c r="J37" s="12">
        <v>0</v>
      </c>
      <c r="K37" s="12"/>
      <c r="L37" s="12">
        <v>0</v>
      </c>
      <c r="M37" s="12"/>
      <c r="N37" s="12">
        <v>0</v>
      </c>
      <c r="O37" s="12"/>
      <c r="P37" s="12">
        <f t="shared" si="12"/>
        <v>9391249.1899999995</v>
      </c>
      <c r="Q37" s="9" t="s">
        <v>270</v>
      </c>
      <c r="R37" s="54">
        <v>528347.9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3"/>
        <v>528347.9</v>
      </c>
      <c r="AG37" s="9" t="s">
        <v>270</v>
      </c>
      <c r="AH37" s="122">
        <f t="shared" si="10"/>
        <v>9391249.1899999995</v>
      </c>
      <c r="AI37" s="12"/>
      <c r="AJ37" s="12">
        <f t="shared" si="14"/>
        <v>528347.9</v>
      </c>
      <c r="AK37" s="12"/>
      <c r="AL37" s="12">
        <f t="shared" si="11"/>
        <v>8862901.2899999991</v>
      </c>
      <c r="AM37" s="12"/>
      <c r="AN37" s="13">
        <f t="shared" si="15"/>
        <v>17.774744992835213</v>
      </c>
      <c r="AO37" s="13"/>
      <c r="AP37" s="14">
        <f t="shared" si="16"/>
        <v>16.774744992835213</v>
      </c>
    </row>
    <row r="38" spans="1:43" s="9" customFormat="1" ht="24.95" customHeight="1" x14ac:dyDescent="0.2">
      <c r="A38" s="9" t="s">
        <v>271</v>
      </c>
      <c r="B38" s="12">
        <f>CNT!S37</f>
        <v>201745.91</v>
      </c>
      <c r="C38" s="12"/>
      <c r="D38" s="12">
        <v>0</v>
      </c>
      <c r="E38" s="12"/>
      <c r="F38" s="12">
        <v>0</v>
      </c>
      <c r="G38" s="12"/>
      <c r="H38" s="12">
        <v>0</v>
      </c>
      <c r="J38" s="12">
        <v>0</v>
      </c>
      <c r="L38" s="12">
        <v>0</v>
      </c>
      <c r="N38" s="12">
        <v>0</v>
      </c>
      <c r="P38" s="12">
        <f t="shared" si="12"/>
        <v>201745.91</v>
      </c>
      <c r="Q38" s="9" t="s">
        <v>271</v>
      </c>
      <c r="R38" s="54">
        <v>44305.71</v>
      </c>
      <c r="S38" s="12"/>
      <c r="T38" s="54">
        <v>0</v>
      </c>
      <c r="U38" s="12"/>
      <c r="V38" s="54">
        <v>0</v>
      </c>
      <c r="W38" s="12"/>
      <c r="X38" s="54">
        <v>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3"/>
        <v>44305.71</v>
      </c>
      <c r="AG38" s="9" t="s">
        <v>271</v>
      </c>
      <c r="AH38" s="122">
        <f t="shared" si="10"/>
        <v>201745.91</v>
      </c>
      <c r="AI38" s="12"/>
      <c r="AJ38" s="12">
        <f t="shared" si="14"/>
        <v>44305.71</v>
      </c>
      <c r="AK38" s="12"/>
      <c r="AL38" s="12">
        <f t="shared" si="11"/>
        <v>157440.20000000001</v>
      </c>
      <c r="AM38" s="12"/>
      <c r="AN38" s="13">
        <f t="shared" si="15"/>
        <v>4.5534968291897364</v>
      </c>
      <c r="AO38" s="13"/>
      <c r="AP38" s="14">
        <f t="shared" si="16"/>
        <v>3.5534968291897364</v>
      </c>
    </row>
    <row r="39" spans="1:43" s="9" customFormat="1" ht="24.95" customHeight="1" x14ac:dyDescent="0.2">
      <c r="A39" s="9" t="s">
        <v>272</v>
      </c>
      <c r="B39" s="12">
        <f>CNT!S38</f>
        <v>167699</v>
      </c>
      <c r="C39" s="12"/>
      <c r="D39" s="12">
        <f>BPM!S19</f>
        <v>3669</v>
      </c>
      <c r="E39" s="12"/>
      <c r="F39" s="12">
        <f>DEP!S12</f>
        <v>1638</v>
      </c>
      <c r="G39" s="12"/>
      <c r="H39" s="12">
        <f>Lending!F19</f>
        <v>1228</v>
      </c>
      <c r="J39" s="12">
        <v>0</v>
      </c>
      <c r="L39" s="12">
        <v>0</v>
      </c>
      <c r="N39" s="12">
        <v>0</v>
      </c>
      <c r="P39" s="12">
        <f t="shared" si="12"/>
        <v>174234</v>
      </c>
      <c r="Q39" s="9" t="s">
        <v>272</v>
      </c>
      <c r="R39" s="54">
        <v>85742</v>
      </c>
      <c r="S39" s="12"/>
      <c r="T39" s="54">
        <v>4163</v>
      </c>
      <c r="U39" s="12"/>
      <c r="V39" s="54">
        <v>23127</v>
      </c>
      <c r="W39" s="12"/>
      <c r="X39" s="54">
        <v>1070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3"/>
        <v>114102</v>
      </c>
      <c r="AG39" s="9" t="s">
        <v>272</v>
      </c>
      <c r="AH39" s="122">
        <f t="shared" si="10"/>
        <v>174234</v>
      </c>
      <c r="AI39" s="12"/>
      <c r="AJ39" s="12">
        <f t="shared" si="14"/>
        <v>114102</v>
      </c>
      <c r="AK39" s="12"/>
      <c r="AL39" s="12">
        <f t="shared" si="11"/>
        <v>60132</v>
      </c>
      <c r="AM39" s="12"/>
      <c r="AN39" s="13">
        <f t="shared" si="15"/>
        <v>1.527002155965715</v>
      </c>
      <c r="AO39" s="13"/>
      <c r="AP39" s="14">
        <f t="shared" si="16"/>
        <v>0.52700215596571498</v>
      </c>
    </row>
    <row r="40" spans="1:43" s="9" customFormat="1" ht="24.95" customHeight="1" x14ac:dyDescent="0.2">
      <c r="A40" s="9" t="s">
        <v>273</v>
      </c>
      <c r="B40" s="12">
        <v>0</v>
      </c>
      <c r="C40" s="12"/>
      <c r="D40" s="12">
        <v>0</v>
      </c>
      <c r="E40" s="12"/>
      <c r="F40" s="12">
        <v>0</v>
      </c>
      <c r="G40" s="12"/>
      <c r="H40" s="12">
        <v>0</v>
      </c>
      <c r="J40" s="12">
        <f>BSC!F46</f>
        <v>0</v>
      </c>
      <c r="L40" s="12">
        <v>0</v>
      </c>
      <c r="N40" s="12">
        <v>0</v>
      </c>
      <c r="P40" s="12">
        <f t="shared" si="12"/>
        <v>0</v>
      </c>
      <c r="Q40" s="9" t="s">
        <v>273</v>
      </c>
      <c r="R40" s="54">
        <v>0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3"/>
        <v>0</v>
      </c>
      <c r="AG40" s="9" t="s">
        <v>273</v>
      </c>
      <c r="AH40" s="122">
        <f t="shared" si="10"/>
        <v>0</v>
      </c>
      <c r="AI40" s="12"/>
      <c r="AJ40" s="12">
        <f t="shared" si="14"/>
        <v>0</v>
      </c>
      <c r="AK40" s="12"/>
      <c r="AL40" s="12">
        <f t="shared" si="11"/>
        <v>0</v>
      </c>
      <c r="AM40" s="12"/>
      <c r="AN40" s="13" t="e">
        <f t="shared" si="15"/>
        <v>#DIV/0!</v>
      </c>
      <c r="AO40" s="13"/>
      <c r="AP40" s="14" t="e">
        <f t="shared" si="16"/>
        <v>#DIV/0!</v>
      </c>
    </row>
    <row r="41" spans="1:43" s="9" customFormat="1" ht="24.95" customHeight="1" x14ac:dyDescent="0.2">
      <c r="A41" s="9" t="s">
        <v>590</v>
      </c>
      <c r="B41" s="12">
        <f>CNT!S43</f>
        <v>1120.29</v>
      </c>
      <c r="C41" s="12"/>
      <c r="D41" s="12">
        <v>0</v>
      </c>
      <c r="E41" s="12"/>
      <c r="F41" s="12">
        <v>0</v>
      </c>
      <c r="G41" s="12"/>
      <c r="H41" s="12">
        <v>0</v>
      </c>
      <c r="J41" s="12">
        <v>0</v>
      </c>
      <c r="L41" s="12">
        <v>0</v>
      </c>
      <c r="N41" s="12">
        <v>0</v>
      </c>
      <c r="P41" s="12">
        <f t="shared" si="12"/>
        <v>1120.29</v>
      </c>
      <c r="Q41" s="9" t="s">
        <v>590</v>
      </c>
      <c r="R41" s="54">
        <v>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0</v>
      </c>
      <c r="AA41" s="12"/>
      <c r="AB41" s="54">
        <v>0</v>
      </c>
      <c r="AC41" s="12"/>
      <c r="AD41" s="54">
        <v>0</v>
      </c>
      <c r="AE41" s="12"/>
      <c r="AF41" s="12">
        <f t="shared" si="13"/>
        <v>0</v>
      </c>
      <c r="AG41" s="9" t="s">
        <v>590</v>
      </c>
      <c r="AH41" s="122">
        <f t="shared" si="10"/>
        <v>1120.29</v>
      </c>
      <c r="AI41" s="12"/>
      <c r="AJ41" s="12">
        <f t="shared" si="14"/>
        <v>0</v>
      </c>
      <c r="AK41" s="12"/>
      <c r="AL41" s="12">
        <f t="shared" si="11"/>
        <v>1120.29</v>
      </c>
      <c r="AM41" s="12"/>
      <c r="AN41" s="13">
        <v>0</v>
      </c>
      <c r="AO41" s="13"/>
      <c r="AP41" s="14">
        <f t="shared" si="16"/>
        <v>-1</v>
      </c>
    </row>
    <row r="42" spans="1:43" s="9" customFormat="1" ht="24.95" customHeight="1" x14ac:dyDescent="0.2">
      <c r="A42" s="9" t="s">
        <v>274</v>
      </c>
      <c r="B42" s="16">
        <f>CNT!S41+CNT!S40</f>
        <v>2429.9299999999998</v>
      </c>
      <c r="C42" s="16"/>
      <c r="D42" s="16">
        <f>BPM!S20</f>
        <v>0</v>
      </c>
      <c r="E42" s="16"/>
      <c r="F42" s="16">
        <f>DEP!S15+DEP!S14</f>
        <v>23802.33</v>
      </c>
      <c r="G42" s="16"/>
      <c r="H42" s="16">
        <f>Lending!F21+Lending!F20</f>
        <v>712.5</v>
      </c>
      <c r="I42" s="17"/>
      <c r="J42" s="16">
        <f>BSC!F12</f>
        <v>0</v>
      </c>
      <c r="K42" s="17"/>
      <c r="L42" s="16">
        <v>0</v>
      </c>
      <c r="M42" s="17"/>
      <c r="N42" s="16">
        <f>'722 Bedford St'!E15</f>
        <v>387.51</v>
      </c>
      <c r="O42" s="17"/>
      <c r="P42" s="16">
        <f t="shared" si="12"/>
        <v>27332.27</v>
      </c>
      <c r="Q42" s="9" t="s">
        <v>274</v>
      </c>
      <c r="R42" s="55">
        <v>7585</v>
      </c>
      <c r="S42" s="12"/>
      <c r="T42" s="55">
        <v>5459.9</v>
      </c>
      <c r="U42" s="16"/>
      <c r="V42" s="55">
        <v>14159.77</v>
      </c>
      <c r="W42" s="16"/>
      <c r="X42" s="55">
        <v>781.5</v>
      </c>
      <c r="Y42" s="16"/>
      <c r="Z42" s="55">
        <v>0</v>
      </c>
      <c r="AA42" s="16"/>
      <c r="AB42" s="55">
        <v>0</v>
      </c>
      <c r="AC42" s="16"/>
      <c r="AD42" s="55">
        <v>1125</v>
      </c>
      <c r="AE42" s="16"/>
      <c r="AF42" s="16">
        <f t="shared" si="13"/>
        <v>29111.17</v>
      </c>
      <c r="AG42" s="9" t="s">
        <v>274</v>
      </c>
      <c r="AH42" s="16">
        <f t="shared" si="10"/>
        <v>27332.27</v>
      </c>
      <c r="AI42" s="16"/>
      <c r="AJ42" s="16">
        <f t="shared" si="14"/>
        <v>29111.17</v>
      </c>
      <c r="AK42" s="16"/>
      <c r="AL42" s="16">
        <f t="shared" si="11"/>
        <v>-1778.8999999999978</v>
      </c>
      <c r="AM42" s="12"/>
      <c r="AN42" s="13">
        <f t="shared" si="15"/>
        <v>0.93889287170525959</v>
      </c>
      <c r="AO42" s="13"/>
      <c r="AP42" s="14">
        <f t="shared" si="16"/>
        <v>-6.1107128294740409E-2</v>
      </c>
    </row>
    <row r="43" spans="1:43" s="9" customFormat="1" ht="24.95" customHeight="1" x14ac:dyDescent="0.2">
      <c r="A43" s="18" t="s">
        <v>277</v>
      </c>
      <c r="B43" s="12">
        <f>SUM(B35:B42)</f>
        <v>9844199.879999999</v>
      </c>
      <c r="C43" s="12"/>
      <c r="D43" s="12">
        <f>SUM(D35:D42)</f>
        <v>3669</v>
      </c>
      <c r="E43" s="12"/>
      <c r="F43" s="12">
        <f>SUM(F35:F42)</f>
        <v>51229.350000000006</v>
      </c>
      <c r="G43" s="12"/>
      <c r="H43" s="12">
        <f>SUM(H35:H42)</f>
        <v>1940.5</v>
      </c>
      <c r="I43" s="12"/>
      <c r="J43" s="12">
        <f>SUM(J35:J42)</f>
        <v>2887.59</v>
      </c>
      <c r="K43" s="12"/>
      <c r="L43" s="12">
        <f>SUM(L35:L42)</f>
        <v>0</v>
      </c>
      <c r="M43" s="12"/>
      <c r="N43" s="12">
        <f>SUM(N35:N42)</f>
        <v>387.51</v>
      </c>
      <c r="O43" s="12"/>
      <c r="P43" s="12">
        <f>SUM(P35:P42)</f>
        <v>9904313.8299999982</v>
      </c>
      <c r="Q43" s="18" t="s">
        <v>277</v>
      </c>
      <c r="R43" s="54">
        <f>SUM(R35:R42)</f>
        <v>737934.8</v>
      </c>
      <c r="S43" s="12"/>
      <c r="T43" s="54">
        <f>SUM(T35:T42)</f>
        <v>9622.9</v>
      </c>
      <c r="U43" s="12"/>
      <c r="V43" s="54">
        <f>SUM(V35:V42)</f>
        <v>62450.47</v>
      </c>
      <c r="W43" s="12"/>
      <c r="X43" s="54">
        <f>SUM(X35:X42)</f>
        <v>1851.5</v>
      </c>
      <c r="Y43" s="12"/>
      <c r="Z43" s="54">
        <f>SUM(Z35:Z42)</f>
        <v>2512.64</v>
      </c>
      <c r="AA43" s="12"/>
      <c r="AB43" s="54">
        <f>SUM(AB35:AB42)</f>
        <v>0</v>
      </c>
      <c r="AC43" s="12"/>
      <c r="AD43" s="54">
        <f>SUM(AD35:AD42)</f>
        <v>1125</v>
      </c>
      <c r="AE43" s="12"/>
      <c r="AF43" s="12">
        <f>SUM(AF35:AF42)</f>
        <v>815497.31</v>
      </c>
      <c r="AG43" s="18" t="s">
        <v>277</v>
      </c>
      <c r="AH43" s="12">
        <f>SUM(AH35:AH42)</f>
        <v>9904313.8299999982</v>
      </c>
      <c r="AI43" s="12"/>
      <c r="AJ43" s="12">
        <f>SUM(AJ35:AJ42)</f>
        <v>815497.31</v>
      </c>
      <c r="AK43" s="12"/>
      <c r="AL43" s="12">
        <f>SUM(AL35:AL42)</f>
        <v>9088816.5199999977</v>
      </c>
      <c r="AM43" s="12"/>
      <c r="AN43" s="13">
        <f t="shared" si="15"/>
        <v>12.145121398377142</v>
      </c>
      <c r="AO43" s="13"/>
      <c r="AP43" s="14">
        <f t="shared" si="16"/>
        <v>11.145121398377142</v>
      </c>
    </row>
    <row r="44" spans="1:43" s="9" customFormat="1" ht="24.95" customHeight="1" x14ac:dyDescent="0.2">
      <c r="A44" s="1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0"/>
      <c r="Q44" s="18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0"/>
      <c r="AG44" s="18"/>
      <c r="AN44" s="10"/>
      <c r="AO44" s="10"/>
      <c r="AP44" s="14"/>
    </row>
    <row r="45" spans="1:43" s="9" customFormat="1" ht="24.95" customHeight="1" x14ac:dyDescent="0.2">
      <c r="A45" s="20" t="s">
        <v>275</v>
      </c>
      <c r="B45" s="21">
        <f>SUM(B43,B33,B13,B12,B11,B9,B8,B7,B15,B10)</f>
        <v>75119411.939999968</v>
      </c>
      <c r="C45" s="21"/>
      <c r="D45" s="21">
        <f>SUM(D43,D33,D13,D12,D11,D9,D8,D7,D15)</f>
        <v>355886.55</v>
      </c>
      <c r="E45" s="21"/>
      <c r="F45" s="21">
        <f>SUM(F43,F33,F13,F12,F11,F9,F8,F7,F15)</f>
        <v>8954425.5299999993</v>
      </c>
      <c r="G45" s="21"/>
      <c r="H45" s="21">
        <f>SUM(H43,H33,H13,H12,H11,H9,H8,H7,H15)</f>
        <v>931970.84</v>
      </c>
      <c r="I45" s="21"/>
      <c r="J45" s="21">
        <f>SUM(J43,J33,J13,J12,J11,J9,J8,J7,J15)</f>
        <v>368345.56</v>
      </c>
      <c r="K45" s="21"/>
      <c r="L45" s="21">
        <f>SUM(L43,L33,L13,L12,L11,L9,L8,L7,L15)</f>
        <v>2344539.63</v>
      </c>
      <c r="M45" s="21"/>
      <c r="N45" s="21">
        <f>SUM(N43,N33,N13,N12,N11,N9,N8,N7,N15)</f>
        <v>102670.35</v>
      </c>
      <c r="O45" s="21"/>
      <c r="P45" s="21">
        <f>SUM(P43,P33,P13,P12,P11,P9,P8,P7,P15,P10)</f>
        <v>88177250.399999976</v>
      </c>
      <c r="Q45" s="20" t="s">
        <v>275</v>
      </c>
      <c r="R45" s="56">
        <f>SUM(R43,R33,R13,R12,R11,R9,R8,R7,R15,R14)</f>
        <v>16770424.13000004</v>
      </c>
      <c r="S45" s="12"/>
      <c r="T45" s="56">
        <f>SUM(T43,T33,T13,T12,T11,T9,T8,T7,T15)</f>
        <v>1148536.27</v>
      </c>
      <c r="U45" s="12"/>
      <c r="V45" s="56">
        <f>SUM(V43,V33,V13,V12,V11,V9,V8,V7,V15)</f>
        <v>6426270.1699999999</v>
      </c>
      <c r="W45" s="12"/>
      <c r="X45" s="56">
        <f>SUM(X43,X33,X13,X12,X11,X9,X8,X7,X15)</f>
        <v>1020338.58</v>
      </c>
      <c r="Y45" s="12"/>
      <c r="Z45" s="56">
        <f>SUM(Z43,Z33,Z13,Z12,Z11,Z9,Z8,Z7,Z15)</f>
        <v>387479.39</v>
      </c>
      <c r="AA45" s="12"/>
      <c r="AB45" s="56">
        <f>SUM(AB43,AB33,AB13,AB12,AB11,AB9,AB8,AB7,AB15)</f>
        <v>2047011.27</v>
      </c>
      <c r="AC45" s="12"/>
      <c r="AD45" s="56">
        <f>SUM(AD43,AD33,AD13,AD12,AD11,AD9,AD8,AD7,AD15)</f>
        <v>204852.86</v>
      </c>
      <c r="AE45" s="21"/>
      <c r="AF45" s="143">
        <f>SUM(AF43,AF33,AF13,AF12,AF11,AF9,AF8,AF7,AF15,AF14)</f>
        <v>28004912.670000039</v>
      </c>
      <c r="AG45" s="20" t="s">
        <v>275</v>
      </c>
      <c r="AH45" s="21">
        <f>AH33+AH43+AH7+AH8+AH9+AH11+AH12+AH13+AH15</f>
        <v>86426819.039999962</v>
      </c>
      <c r="AI45" s="21"/>
      <c r="AJ45" s="21">
        <f>AJ33+AJ43+AJ7+AJ8+AJ9+AJ11+AJ12+AJ13+AJ15</f>
        <v>28004912.670000039</v>
      </c>
      <c r="AK45" s="21"/>
      <c r="AL45" s="21">
        <f>AL33+AL43+AL7+AL8+AL9+AL11+AL12+AL13+AL15</f>
        <v>58421906.36999996</v>
      </c>
      <c r="AM45" s="12"/>
      <c r="AN45" s="13">
        <f>AH45/AJ45</f>
        <v>3.0861306392354426</v>
      </c>
      <c r="AO45" s="13"/>
      <c r="AP45" s="14">
        <f>AN45-1</f>
        <v>2.0861306392354426</v>
      </c>
      <c r="AQ45" s="22">
        <f>AH45-P45</f>
        <v>-1750431.3600000143</v>
      </c>
    </row>
    <row r="46" spans="1:43" s="9" customFormat="1" ht="24.95" customHeight="1" x14ac:dyDescent="0.2">
      <c r="B46" s="12">
        <f>B45-CNT!U63</f>
        <v>52.549999922513962</v>
      </c>
      <c r="C46" s="12"/>
      <c r="D46" s="12"/>
      <c r="E46" s="12"/>
      <c r="F46" s="12"/>
      <c r="G46" s="12"/>
      <c r="P46" s="10"/>
      <c r="R46" s="65"/>
      <c r="S46" s="12"/>
      <c r="T46" s="65"/>
      <c r="V46" s="65"/>
      <c r="X46" s="65"/>
      <c r="Z46" s="65"/>
      <c r="AB46" s="65"/>
      <c r="AD46" s="65"/>
      <c r="AF46" s="10"/>
      <c r="AN46" s="10"/>
      <c r="AO46" s="10"/>
      <c r="AP46" s="19"/>
    </row>
    <row r="47" spans="1:43" s="9" customFormat="1" ht="24.95" customHeight="1" x14ac:dyDescent="0.2">
      <c r="A47" s="8" t="s">
        <v>276</v>
      </c>
      <c r="B47" s="12"/>
      <c r="C47" s="12"/>
      <c r="D47" s="12"/>
      <c r="E47" s="12"/>
      <c r="F47" s="12"/>
      <c r="G47" s="12"/>
      <c r="P47" s="10"/>
      <c r="Q47" s="8" t="s">
        <v>276</v>
      </c>
      <c r="R47" s="67"/>
      <c r="S47" s="12"/>
      <c r="T47" s="65"/>
      <c r="V47" s="65"/>
      <c r="X47" s="65"/>
      <c r="Z47" s="65"/>
      <c r="AB47" s="65"/>
      <c r="AD47" s="65"/>
      <c r="AF47" s="10"/>
      <c r="AG47" s="8" t="s">
        <v>276</v>
      </c>
      <c r="AN47" s="10"/>
      <c r="AO47" s="10"/>
      <c r="AP47" s="19"/>
    </row>
    <row r="48" spans="1:43" s="9" customFormat="1" ht="24.95" customHeight="1" x14ac:dyDescent="0.2">
      <c r="A48" s="9" t="s">
        <v>286</v>
      </c>
      <c r="B48" s="12">
        <f>CNT!S67</f>
        <v>576362.16</v>
      </c>
      <c r="C48" s="12"/>
      <c r="D48" s="12">
        <f>BPM!S27</f>
        <v>8577.17</v>
      </c>
      <c r="E48" s="12"/>
      <c r="F48" s="12">
        <f>DEP!S22</f>
        <v>138413.75</v>
      </c>
      <c r="G48" s="12"/>
      <c r="H48" s="12">
        <v>0</v>
      </c>
      <c r="J48" s="12">
        <v>0</v>
      </c>
      <c r="L48" s="12">
        <v>0</v>
      </c>
      <c r="N48" s="12">
        <f>'722 Bedford St'!E28</f>
        <v>9394.19</v>
      </c>
      <c r="P48" s="12">
        <f>SUM(B48:N48)</f>
        <v>732747.27</v>
      </c>
      <c r="Q48" s="9" t="s">
        <v>286</v>
      </c>
      <c r="R48" s="54">
        <v>1112375.6499999999</v>
      </c>
      <c r="S48" s="12"/>
      <c r="T48" s="54">
        <v>8577.17</v>
      </c>
      <c r="U48" s="12"/>
      <c r="V48" s="54">
        <v>138413.75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9394.19</v>
      </c>
      <c r="AE48" s="12"/>
      <c r="AF48" s="122">
        <f>SUM(R48:AD48)</f>
        <v>1268760.7599999998</v>
      </c>
      <c r="AG48" s="9" t="s">
        <v>286</v>
      </c>
      <c r="AH48" s="12">
        <f t="shared" ref="AH48:AH64" si="17">P48</f>
        <v>732747.27</v>
      </c>
      <c r="AI48" s="12"/>
      <c r="AJ48" s="12">
        <f>AF48</f>
        <v>1268760.7599999998</v>
      </c>
      <c r="AK48" s="12"/>
      <c r="AL48" s="12">
        <f t="shared" ref="AL48:AL64" si="18">AH48-AJ48</f>
        <v>-536013.48999999976</v>
      </c>
      <c r="AM48" s="12"/>
      <c r="AN48" s="13">
        <f t="shared" ref="AN48:AN69" si="19">AH48/AJ48</f>
        <v>0.57752989617995454</v>
      </c>
      <c r="AO48" s="13"/>
      <c r="AP48" s="14">
        <f t="shared" ref="AP48:AP69" si="20">AN48-1</f>
        <v>-0.42247010382004546</v>
      </c>
    </row>
    <row r="49" spans="1:42" s="9" customFormat="1" ht="24.95" customHeight="1" x14ac:dyDescent="0.2">
      <c r="A49" s="9" t="s">
        <v>278</v>
      </c>
      <c r="B49" s="12">
        <f>CNT!S68</f>
        <v>45071.88</v>
      </c>
      <c r="C49" s="12"/>
      <c r="D49" s="12">
        <v>0</v>
      </c>
      <c r="E49" s="12"/>
      <c r="F49" s="12">
        <v>0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ref="P49:P63" si="21">SUM(B49:N49)</f>
        <v>45071.88</v>
      </c>
      <c r="Q49" s="9" t="s">
        <v>278</v>
      </c>
      <c r="R49" s="54">
        <v>45071.88</v>
      </c>
      <c r="S49" s="12"/>
      <c r="T49" s="54">
        <v>0</v>
      </c>
      <c r="U49" s="12"/>
      <c r="V49" s="54">
        <v>0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ref="AF49:AF64" si="22">SUM(R49:AD49)</f>
        <v>45071.88</v>
      </c>
      <c r="AG49" s="9" t="s">
        <v>278</v>
      </c>
      <c r="AH49" s="12">
        <f t="shared" si="17"/>
        <v>45071.88</v>
      </c>
      <c r="AI49" s="12"/>
      <c r="AJ49" s="12">
        <f t="shared" ref="AJ49:AJ64" si="23">AF49</f>
        <v>45071.88</v>
      </c>
      <c r="AK49" s="12"/>
      <c r="AL49" s="12">
        <f t="shared" si="18"/>
        <v>0</v>
      </c>
      <c r="AM49" s="12"/>
      <c r="AN49" s="13">
        <f t="shared" si="19"/>
        <v>1</v>
      </c>
      <c r="AO49" s="13"/>
      <c r="AP49" s="14">
        <f t="shared" si="20"/>
        <v>0</v>
      </c>
    </row>
    <row r="50" spans="1:42" s="9" customFormat="1" ht="24.95" customHeight="1" x14ac:dyDescent="0.2">
      <c r="A50" s="9" t="s">
        <v>288</v>
      </c>
      <c r="B50" s="12">
        <f>CNT!S69</f>
        <v>503235.29</v>
      </c>
      <c r="C50" s="12"/>
      <c r="D50" s="12">
        <v>0</v>
      </c>
      <c r="E50" s="12"/>
      <c r="F50" s="12">
        <v>0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1"/>
        <v>503235.29</v>
      </c>
      <c r="Q50" s="9" t="s">
        <v>288</v>
      </c>
      <c r="R50" s="54">
        <v>715632.48</v>
      </c>
      <c r="S50" s="12"/>
      <c r="T50" s="54">
        <v>0</v>
      </c>
      <c r="U50" s="12"/>
      <c r="V50" s="54">
        <v>0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2"/>
        <v>715632.48</v>
      </c>
      <c r="AG50" s="9" t="s">
        <v>288</v>
      </c>
      <c r="AH50" s="12">
        <f t="shared" si="17"/>
        <v>503235.29</v>
      </c>
      <c r="AI50" s="12"/>
      <c r="AJ50" s="12">
        <f t="shared" si="23"/>
        <v>715632.48</v>
      </c>
      <c r="AK50" s="12"/>
      <c r="AL50" s="12">
        <f t="shared" si="18"/>
        <v>-212397.19</v>
      </c>
      <c r="AM50" s="12"/>
      <c r="AN50" s="13">
        <f t="shared" si="19"/>
        <v>0.70320353542365766</v>
      </c>
      <c r="AO50" s="13"/>
      <c r="AP50" s="14">
        <f t="shared" si="20"/>
        <v>-0.29679646457634234</v>
      </c>
    </row>
    <row r="51" spans="1:42" s="9" customFormat="1" ht="24.95" customHeight="1" x14ac:dyDescent="0.2">
      <c r="A51" s="9" t="s">
        <v>279</v>
      </c>
      <c r="B51" s="12">
        <f>CNT!S70</f>
        <v>4227135.5199999996</v>
      </c>
      <c r="C51" s="12"/>
      <c r="D51" s="12">
        <v>0</v>
      </c>
      <c r="E51" s="12"/>
      <c r="F51" s="12">
        <f>DEP!S23</f>
        <v>193555.25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1"/>
        <v>4420690.7699999996</v>
      </c>
      <c r="Q51" s="9" t="s">
        <v>279</v>
      </c>
      <c r="R51" s="54">
        <v>4704440.3200000003</v>
      </c>
      <c r="S51" s="12"/>
      <c r="T51" s="54">
        <v>0</v>
      </c>
      <c r="U51" s="12"/>
      <c r="V51" s="54">
        <v>193555.25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2"/>
        <v>4897995.57</v>
      </c>
      <c r="AG51" s="9" t="s">
        <v>279</v>
      </c>
      <c r="AH51" s="12">
        <f t="shared" si="17"/>
        <v>4420690.7699999996</v>
      </c>
      <c r="AI51" s="12"/>
      <c r="AJ51" s="12">
        <f t="shared" si="23"/>
        <v>4897995.57</v>
      </c>
      <c r="AK51" s="12"/>
      <c r="AL51" s="12">
        <f t="shared" si="18"/>
        <v>-477304.80000000075</v>
      </c>
      <c r="AM51" s="12"/>
      <c r="AN51" s="13">
        <f t="shared" si="19"/>
        <v>0.90255099393648475</v>
      </c>
      <c r="AO51" s="13"/>
      <c r="AP51" s="14">
        <f t="shared" si="20"/>
        <v>-9.7449006063515253E-2</v>
      </c>
    </row>
    <row r="52" spans="1:42" s="9" customFormat="1" ht="24.95" customHeight="1" x14ac:dyDescent="0.2">
      <c r="A52" s="9" t="s">
        <v>280</v>
      </c>
      <c r="B52" s="12">
        <f>CNT!S71</f>
        <v>201938.14</v>
      </c>
      <c r="C52" s="12"/>
      <c r="D52" s="12">
        <v>0</v>
      </c>
      <c r="E52" s="12"/>
      <c r="F52" s="12">
        <v>0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1"/>
        <v>201938.14</v>
      </c>
      <c r="Q52" s="9" t="s">
        <v>280</v>
      </c>
      <c r="R52" s="54">
        <v>460539.38</v>
      </c>
      <c r="S52" s="12"/>
      <c r="T52" s="54">
        <v>0</v>
      </c>
      <c r="U52" s="12"/>
      <c r="V52" s="54">
        <v>0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2"/>
        <v>460539.38</v>
      </c>
      <c r="AG52" s="9" t="s">
        <v>280</v>
      </c>
      <c r="AH52" s="12">
        <f t="shared" si="17"/>
        <v>201938.14</v>
      </c>
      <c r="AI52" s="12"/>
      <c r="AJ52" s="12">
        <f t="shared" si="23"/>
        <v>460539.38</v>
      </c>
      <c r="AK52" s="12"/>
      <c r="AL52" s="12">
        <f t="shared" si="18"/>
        <v>-258601.24</v>
      </c>
      <c r="AM52" s="12"/>
      <c r="AN52" s="13">
        <f t="shared" si="19"/>
        <v>0.43848180800521341</v>
      </c>
      <c r="AO52" s="13"/>
      <c r="AP52" s="14">
        <f t="shared" si="20"/>
        <v>-0.56151819199478659</v>
      </c>
    </row>
    <row r="53" spans="1:42" s="9" customFormat="1" ht="24.95" customHeight="1" x14ac:dyDescent="0.2">
      <c r="A53" s="9" t="s">
        <v>281</v>
      </c>
      <c r="B53" s="12">
        <f>CNT!S73</f>
        <v>2526450.4</v>
      </c>
      <c r="C53" s="12"/>
      <c r="D53" s="12">
        <f>BPM!S28</f>
        <v>20237.79</v>
      </c>
      <c r="E53" s="12"/>
      <c r="F53" s="12">
        <f>DEP!S24</f>
        <v>831251.1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1"/>
        <v>3377939.29</v>
      </c>
      <c r="Q53" s="9" t="s">
        <v>281</v>
      </c>
      <c r="R53" s="54">
        <v>3119443.63</v>
      </c>
      <c r="S53" s="12"/>
      <c r="T53" s="54">
        <v>20237.79</v>
      </c>
      <c r="U53" s="12"/>
      <c r="V53" s="54">
        <v>722636.64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2"/>
        <v>3862318.06</v>
      </c>
      <c r="AG53" s="9" t="s">
        <v>281</v>
      </c>
      <c r="AH53" s="12">
        <f t="shared" si="17"/>
        <v>3377939.29</v>
      </c>
      <c r="AI53" s="12"/>
      <c r="AJ53" s="12">
        <f t="shared" si="23"/>
        <v>3862318.06</v>
      </c>
      <c r="AK53" s="12"/>
      <c r="AL53" s="12">
        <f t="shared" si="18"/>
        <v>-484378.77</v>
      </c>
      <c r="AM53" s="12"/>
      <c r="AN53" s="13">
        <f t="shared" si="19"/>
        <v>0.87458858579865373</v>
      </c>
      <c r="AO53" s="13"/>
      <c r="AP53" s="14">
        <f t="shared" si="20"/>
        <v>-0.12541141420134627</v>
      </c>
    </row>
    <row r="54" spans="1:42" s="9" customFormat="1" ht="24.95" customHeight="1" x14ac:dyDescent="0.2">
      <c r="A54" s="9" t="s">
        <v>595</v>
      </c>
      <c r="B54" s="12">
        <f>CNT!S74</f>
        <v>11428.88</v>
      </c>
      <c r="C54" s="12"/>
      <c r="D54" s="12">
        <v>0</v>
      </c>
      <c r="E54" s="12"/>
      <c r="F54" s="12">
        <v>0</v>
      </c>
      <c r="G54" s="12"/>
      <c r="H54" s="12">
        <v>0</v>
      </c>
      <c r="J54" s="12">
        <v>0</v>
      </c>
      <c r="L54" s="12">
        <v>0</v>
      </c>
      <c r="N54" s="12">
        <v>0</v>
      </c>
      <c r="P54" s="12">
        <f t="shared" si="21"/>
        <v>11428.88</v>
      </c>
      <c r="Q54" s="9" t="s">
        <v>595</v>
      </c>
      <c r="R54" s="54">
        <v>11428.88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0</v>
      </c>
      <c r="AE54" s="12"/>
      <c r="AF54" s="122">
        <f t="shared" si="22"/>
        <v>11428.88</v>
      </c>
      <c r="AG54" s="9" t="s">
        <v>595</v>
      </c>
      <c r="AH54" s="12">
        <f t="shared" si="17"/>
        <v>11428.88</v>
      </c>
      <c r="AI54" s="12"/>
      <c r="AJ54" s="12">
        <f t="shared" si="23"/>
        <v>11428.88</v>
      </c>
      <c r="AK54" s="12"/>
      <c r="AL54" s="12">
        <f t="shared" si="18"/>
        <v>0</v>
      </c>
      <c r="AM54" s="12"/>
      <c r="AN54" s="13">
        <f t="shared" si="19"/>
        <v>1</v>
      </c>
      <c r="AO54" s="13"/>
      <c r="AP54" s="14">
        <f t="shared" si="20"/>
        <v>0</v>
      </c>
    </row>
    <row r="55" spans="1:42" s="9" customFormat="1" ht="24.95" customHeight="1" x14ac:dyDescent="0.2">
      <c r="A55" s="9" t="s">
        <v>282</v>
      </c>
      <c r="B55" s="12">
        <f>CNT!S75</f>
        <v>387263.86</v>
      </c>
      <c r="C55" s="12"/>
      <c r="D55" s="12">
        <v>0</v>
      </c>
      <c r="E55" s="12"/>
      <c r="F55" s="12">
        <v>0</v>
      </c>
      <c r="G55" s="12"/>
      <c r="H55" s="12">
        <v>0</v>
      </c>
      <c r="J55" s="12">
        <v>0</v>
      </c>
      <c r="L55" s="12">
        <v>0</v>
      </c>
      <c r="N55" s="12">
        <v>0</v>
      </c>
      <c r="P55" s="12">
        <f t="shared" si="21"/>
        <v>387263.86</v>
      </c>
      <c r="Q55" s="9" t="s">
        <v>282</v>
      </c>
      <c r="R55" s="54">
        <v>205633.94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0</v>
      </c>
      <c r="AE55" s="12"/>
      <c r="AF55" s="122">
        <f t="shared" si="22"/>
        <v>205633.94</v>
      </c>
      <c r="AG55" s="9" t="s">
        <v>282</v>
      </c>
      <c r="AH55" s="12">
        <f t="shared" si="17"/>
        <v>387263.86</v>
      </c>
      <c r="AI55" s="12"/>
      <c r="AJ55" s="12">
        <f t="shared" si="23"/>
        <v>205633.94</v>
      </c>
      <c r="AK55" s="12"/>
      <c r="AL55" s="12">
        <f t="shared" si="18"/>
        <v>181629.91999999998</v>
      </c>
      <c r="AM55" s="12"/>
      <c r="AN55" s="13">
        <f t="shared" si="19"/>
        <v>1.8832681997923104</v>
      </c>
      <c r="AO55" s="13"/>
      <c r="AP55" s="14">
        <f t="shared" si="20"/>
        <v>0.88326819979231042</v>
      </c>
    </row>
    <row r="56" spans="1:42" s="9" customFormat="1" ht="24.95" customHeight="1" x14ac:dyDescent="0.2">
      <c r="A56" s="9" t="s">
        <v>283</v>
      </c>
      <c r="B56" s="12">
        <f>CNT!S76</f>
        <v>2027573.66</v>
      </c>
      <c r="C56" s="12"/>
      <c r="D56" s="12">
        <v>0</v>
      </c>
      <c r="E56" s="12"/>
      <c r="F56" s="12">
        <f>DEP!S26</f>
        <v>557749</v>
      </c>
      <c r="G56" s="12"/>
      <c r="H56" s="12">
        <v>0</v>
      </c>
      <c r="J56" s="12">
        <v>0</v>
      </c>
      <c r="L56" s="12">
        <v>0</v>
      </c>
      <c r="N56" s="12">
        <f>'722 Bedford St'!E32</f>
        <v>0</v>
      </c>
      <c r="P56" s="12">
        <f t="shared" si="21"/>
        <v>2585322.66</v>
      </c>
      <c r="Q56" s="9" t="s">
        <v>283</v>
      </c>
      <c r="R56" s="54">
        <v>2023589.41</v>
      </c>
      <c r="S56" s="12"/>
      <c r="T56" s="54">
        <v>0</v>
      </c>
      <c r="U56" s="12"/>
      <c r="V56" s="54">
        <v>0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557749</v>
      </c>
      <c r="AE56" s="12"/>
      <c r="AF56" s="122">
        <f t="shared" si="22"/>
        <v>2581338.41</v>
      </c>
      <c r="AG56" s="9" t="s">
        <v>283</v>
      </c>
      <c r="AH56" s="12">
        <f t="shared" si="17"/>
        <v>2585322.66</v>
      </c>
      <c r="AI56" s="12"/>
      <c r="AJ56" s="12">
        <f t="shared" si="23"/>
        <v>2581338.41</v>
      </c>
      <c r="AK56" s="12"/>
      <c r="AL56" s="12">
        <f t="shared" si="18"/>
        <v>3984.25</v>
      </c>
      <c r="AM56" s="12"/>
      <c r="AN56" s="13">
        <f t="shared" si="19"/>
        <v>1.001543482243384</v>
      </c>
      <c r="AO56" s="13"/>
      <c r="AP56" s="14">
        <f t="shared" si="20"/>
        <v>1.5434822433839646E-3</v>
      </c>
    </row>
    <row r="57" spans="1:42" s="9" customFormat="1" ht="24.95" customHeight="1" x14ac:dyDescent="0.2">
      <c r="A57" s="9" t="s">
        <v>721</v>
      </c>
      <c r="B57" s="12">
        <f>CNT!S82</f>
        <v>67184.44</v>
      </c>
      <c r="C57" s="12"/>
      <c r="D57" s="12">
        <v>0</v>
      </c>
      <c r="E57" s="12"/>
      <c r="F57" s="12">
        <f>DEP!S25</f>
        <v>22262</v>
      </c>
      <c r="G57" s="12"/>
      <c r="H57" s="12">
        <v>0</v>
      </c>
      <c r="J57" s="12">
        <v>0</v>
      </c>
      <c r="L57" s="12">
        <v>0</v>
      </c>
      <c r="N57" s="12">
        <v>0</v>
      </c>
      <c r="P57" s="12">
        <f t="shared" si="21"/>
        <v>89446.44</v>
      </c>
      <c r="Q57" s="9" t="s">
        <v>721</v>
      </c>
      <c r="R57" s="54">
        <v>0</v>
      </c>
      <c r="S57" s="12"/>
      <c r="T57" s="54">
        <v>0</v>
      </c>
      <c r="U57" s="12"/>
      <c r="V57" s="54">
        <v>0</v>
      </c>
      <c r="W57" s="12"/>
      <c r="X57" s="54">
        <v>0</v>
      </c>
      <c r="Y57" s="12"/>
      <c r="Z57" s="54">
        <v>0</v>
      </c>
      <c r="AA57" s="12"/>
      <c r="AB57" s="54">
        <v>0</v>
      </c>
      <c r="AC57" s="12"/>
      <c r="AD57" s="54">
        <v>0</v>
      </c>
      <c r="AE57" s="12"/>
      <c r="AF57" s="122">
        <f t="shared" si="22"/>
        <v>0</v>
      </c>
      <c r="AG57" s="9" t="s">
        <v>721</v>
      </c>
      <c r="AH57" s="12">
        <f t="shared" si="17"/>
        <v>89446.44</v>
      </c>
      <c r="AI57" s="12"/>
      <c r="AJ57" s="12">
        <f t="shared" si="23"/>
        <v>0</v>
      </c>
      <c r="AK57" s="12"/>
      <c r="AL57" s="12">
        <f t="shared" si="18"/>
        <v>89446.44</v>
      </c>
      <c r="AM57" s="12"/>
      <c r="AN57" s="13" t="e">
        <f t="shared" si="19"/>
        <v>#DIV/0!</v>
      </c>
      <c r="AO57" s="13"/>
      <c r="AP57" s="14" t="e">
        <f t="shared" si="20"/>
        <v>#DIV/0!</v>
      </c>
    </row>
    <row r="58" spans="1:42" s="9" customFormat="1" ht="24.95" customHeight="1" x14ac:dyDescent="0.2">
      <c r="A58" s="9" t="s">
        <v>284</v>
      </c>
      <c r="B58" s="12">
        <f>CNT!S77</f>
        <v>5547135.6799999997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v>0</v>
      </c>
      <c r="L58" s="12">
        <v>0</v>
      </c>
      <c r="N58" s="12">
        <v>0</v>
      </c>
      <c r="P58" s="12">
        <f t="shared" si="21"/>
        <v>5547135.6799999997</v>
      </c>
      <c r="Q58" s="9" t="s">
        <v>284</v>
      </c>
      <c r="R58" s="54">
        <v>5071246.96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0</v>
      </c>
      <c r="AA58" s="12"/>
      <c r="AB58" s="54">
        <v>0</v>
      </c>
      <c r="AC58" s="12"/>
      <c r="AD58" s="54">
        <v>0</v>
      </c>
      <c r="AE58" s="12"/>
      <c r="AF58" s="122">
        <f t="shared" si="22"/>
        <v>5071246.96</v>
      </c>
      <c r="AG58" s="9" t="s">
        <v>284</v>
      </c>
      <c r="AH58" s="12">
        <f t="shared" si="17"/>
        <v>5547135.6799999997</v>
      </c>
      <c r="AI58" s="12"/>
      <c r="AJ58" s="12">
        <f t="shared" si="23"/>
        <v>5071246.96</v>
      </c>
      <c r="AK58" s="12"/>
      <c r="AL58" s="12">
        <f t="shared" si="18"/>
        <v>475888.71999999974</v>
      </c>
      <c r="AM58" s="12"/>
      <c r="AN58" s="13">
        <f t="shared" si="19"/>
        <v>1.0938405728913663</v>
      </c>
      <c r="AO58" s="13"/>
      <c r="AP58" s="14">
        <f t="shared" si="20"/>
        <v>9.384057289136627E-2</v>
      </c>
    </row>
    <row r="59" spans="1:42" s="9" customFormat="1" ht="24.95" customHeight="1" x14ac:dyDescent="0.2">
      <c r="A59" s="9" t="s">
        <v>666</v>
      </c>
      <c r="B59" s="12">
        <f>CNT!S78</f>
        <v>0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f>BSC!F37</f>
        <v>25212.82</v>
      </c>
      <c r="L59" s="12">
        <v>0</v>
      </c>
      <c r="N59" s="12">
        <v>0</v>
      </c>
      <c r="P59" s="12">
        <f t="shared" si="21"/>
        <v>25212.82</v>
      </c>
      <c r="Q59" s="9" t="s">
        <v>666</v>
      </c>
      <c r="R59" s="54">
        <v>9547.19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824</v>
      </c>
      <c r="AA59" s="12"/>
      <c r="AB59" s="54">
        <v>0</v>
      </c>
      <c r="AC59" s="12"/>
      <c r="AD59" s="54">
        <v>0</v>
      </c>
      <c r="AE59" s="12"/>
      <c r="AF59" s="122">
        <f t="shared" si="22"/>
        <v>10371.19</v>
      </c>
      <c r="AG59" s="9" t="s">
        <v>666</v>
      </c>
      <c r="AH59" s="12">
        <f t="shared" si="17"/>
        <v>25212.82</v>
      </c>
      <c r="AI59" s="12"/>
      <c r="AJ59" s="12">
        <f t="shared" si="23"/>
        <v>10371.19</v>
      </c>
      <c r="AK59" s="12"/>
      <c r="AL59" s="12">
        <f t="shared" si="18"/>
        <v>14841.63</v>
      </c>
      <c r="AM59" s="12"/>
      <c r="AN59" s="13">
        <f t="shared" si="19"/>
        <v>2.4310440749807878</v>
      </c>
      <c r="AO59" s="13"/>
      <c r="AP59" s="14">
        <f t="shared" si="20"/>
        <v>1.4310440749807878</v>
      </c>
    </row>
    <row r="60" spans="1:42" s="9" customFormat="1" ht="24.95" customHeight="1" x14ac:dyDescent="0.2">
      <c r="A60" s="9" t="s">
        <v>738</v>
      </c>
      <c r="B60" s="12">
        <v>0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v>0</v>
      </c>
      <c r="L60" s="12">
        <v>0</v>
      </c>
      <c r="N60" s="12">
        <v>0</v>
      </c>
      <c r="P60" s="12">
        <f t="shared" si="21"/>
        <v>0</v>
      </c>
      <c r="Q60" s="9" t="s">
        <v>738</v>
      </c>
      <c r="R60" s="54">
        <v>0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0</v>
      </c>
      <c r="AA60" s="12"/>
      <c r="AB60" s="54">
        <v>0</v>
      </c>
      <c r="AC60" s="12"/>
      <c r="AD60" s="54">
        <v>0</v>
      </c>
      <c r="AE60" s="12"/>
      <c r="AF60" s="122">
        <f t="shared" si="22"/>
        <v>0</v>
      </c>
      <c r="AG60" s="9" t="s">
        <v>738</v>
      </c>
      <c r="AH60" s="12">
        <f t="shared" si="17"/>
        <v>0</v>
      </c>
      <c r="AI60" s="12"/>
      <c r="AJ60" s="12">
        <f t="shared" si="23"/>
        <v>0</v>
      </c>
      <c r="AK60" s="12"/>
      <c r="AL60" s="12">
        <f t="shared" si="18"/>
        <v>0</v>
      </c>
      <c r="AM60" s="12"/>
      <c r="AN60" s="13" t="e">
        <f t="shared" si="19"/>
        <v>#DIV/0!</v>
      </c>
      <c r="AO60" s="13"/>
      <c r="AP60" s="14" t="e">
        <f t="shared" si="20"/>
        <v>#DIV/0!</v>
      </c>
    </row>
    <row r="61" spans="1:42" s="9" customFormat="1" ht="24.95" customHeight="1" x14ac:dyDescent="0.2">
      <c r="A61" s="9" t="s">
        <v>712</v>
      </c>
      <c r="B61" s="12">
        <v>0</v>
      </c>
      <c r="C61" s="12"/>
      <c r="D61" s="12">
        <v>0</v>
      </c>
      <c r="E61" s="12"/>
      <c r="F61" s="12">
        <v>0</v>
      </c>
      <c r="G61" s="12"/>
      <c r="H61" s="12">
        <v>0</v>
      </c>
      <c r="J61" s="12">
        <f>BSC!F42</f>
        <v>84090.93</v>
      </c>
      <c r="L61" s="12">
        <v>0</v>
      </c>
      <c r="N61" s="12">
        <f>'722 Bedford St'!E27</f>
        <v>1447911.12</v>
      </c>
      <c r="P61" s="12">
        <f t="shared" si="21"/>
        <v>1532002.05</v>
      </c>
      <c r="Q61" s="9" t="s">
        <v>712</v>
      </c>
      <c r="R61" s="54">
        <v>0</v>
      </c>
      <c r="S61" s="12"/>
      <c r="T61" s="54">
        <v>0</v>
      </c>
      <c r="U61" s="12"/>
      <c r="V61" s="54">
        <v>0</v>
      </c>
      <c r="W61" s="12"/>
      <c r="X61" s="54">
        <v>0</v>
      </c>
      <c r="Y61" s="12"/>
      <c r="Z61" s="54">
        <v>0</v>
      </c>
      <c r="AA61" s="12"/>
      <c r="AB61" s="54">
        <v>0</v>
      </c>
      <c r="AC61" s="12"/>
      <c r="AD61" s="54">
        <v>0</v>
      </c>
      <c r="AE61" s="12"/>
      <c r="AF61" s="122">
        <f t="shared" si="22"/>
        <v>0</v>
      </c>
      <c r="AG61" s="9" t="s">
        <v>712</v>
      </c>
      <c r="AH61" s="12">
        <f t="shared" si="17"/>
        <v>1532002.05</v>
      </c>
      <c r="AI61" s="12"/>
      <c r="AJ61" s="12">
        <v>0</v>
      </c>
      <c r="AK61" s="12"/>
      <c r="AL61" s="12">
        <f t="shared" si="18"/>
        <v>1532002.05</v>
      </c>
      <c r="AM61" s="12"/>
      <c r="AN61" s="13" t="e">
        <f t="shared" si="19"/>
        <v>#DIV/0!</v>
      </c>
      <c r="AO61" s="13"/>
      <c r="AP61" s="14" t="e">
        <f t="shared" si="20"/>
        <v>#DIV/0!</v>
      </c>
    </row>
    <row r="62" spans="1:42" s="9" customFormat="1" ht="24.95" customHeight="1" x14ac:dyDescent="0.2">
      <c r="A62" s="9" t="s">
        <v>731</v>
      </c>
      <c r="B62" s="12">
        <f>CNT!S81</f>
        <v>97562.54</v>
      </c>
      <c r="C62" s="12"/>
      <c r="D62" s="12">
        <v>0</v>
      </c>
      <c r="E62" s="12"/>
      <c r="F62" s="12">
        <v>0</v>
      </c>
      <c r="G62" s="12"/>
      <c r="H62" s="12">
        <v>0</v>
      </c>
      <c r="J62" s="12">
        <v>0</v>
      </c>
      <c r="L62" s="12">
        <v>0</v>
      </c>
      <c r="N62" s="12">
        <v>0</v>
      </c>
      <c r="P62" s="12">
        <f t="shared" si="21"/>
        <v>97562.54</v>
      </c>
      <c r="Q62" s="9" t="s">
        <v>731</v>
      </c>
      <c r="R62" s="54">
        <v>0</v>
      </c>
      <c r="S62" s="12"/>
      <c r="T62" s="54">
        <v>0</v>
      </c>
      <c r="U62" s="12"/>
      <c r="V62" s="54">
        <v>0</v>
      </c>
      <c r="W62" s="12"/>
      <c r="X62" s="54">
        <v>0</v>
      </c>
      <c r="Y62" s="12"/>
      <c r="Z62" s="54">
        <v>0</v>
      </c>
      <c r="AA62" s="12"/>
      <c r="AB62" s="54">
        <v>0</v>
      </c>
      <c r="AC62" s="12"/>
      <c r="AD62" s="54">
        <v>0</v>
      </c>
      <c r="AE62" s="12"/>
      <c r="AF62" s="122">
        <f t="shared" si="22"/>
        <v>0</v>
      </c>
      <c r="AG62" s="9" t="s">
        <v>731</v>
      </c>
      <c r="AH62" s="12">
        <f t="shared" si="17"/>
        <v>97562.54</v>
      </c>
      <c r="AI62" s="12"/>
      <c r="AJ62" s="12">
        <f t="shared" si="23"/>
        <v>0</v>
      </c>
      <c r="AK62" s="12"/>
      <c r="AL62" s="12">
        <f t="shared" si="18"/>
        <v>97562.54</v>
      </c>
      <c r="AM62" s="12"/>
      <c r="AN62" s="13" t="e">
        <f t="shared" si="19"/>
        <v>#DIV/0!</v>
      </c>
      <c r="AO62" s="13"/>
      <c r="AP62" s="14" t="e">
        <f t="shared" si="20"/>
        <v>#DIV/0!</v>
      </c>
    </row>
    <row r="63" spans="1:42" s="9" customFormat="1" ht="24.95" customHeight="1" x14ac:dyDescent="0.2">
      <c r="A63" s="9" t="s">
        <v>287</v>
      </c>
      <c r="B63" s="12">
        <f>CNT!S79</f>
        <v>76523.81</v>
      </c>
      <c r="C63" s="12"/>
      <c r="D63" s="12">
        <v>0</v>
      </c>
      <c r="E63" s="12"/>
      <c r="F63" s="12">
        <v>0</v>
      </c>
      <c r="G63" s="12"/>
      <c r="H63" s="12">
        <v>0</v>
      </c>
      <c r="J63" s="12">
        <f>BSC!F16+BSC!F17+BSC!F18+BSC!F19+BSC!F20+BSC!F21+BSC!F22+BSC!F23+BSC!F24+BSC!F25+BSC!F26+BSC!F27+BSC!F28+BSC!F29+BSC!F30+BSC!F31+BSC!F32+BSC!F33+BSC!F34+BSC!F35+BSC!F36+BSC!F38+BSC!F41+BSC!F39+BSC!F40</f>
        <v>4181604.8099999996</v>
      </c>
      <c r="L63" s="12">
        <f>'Oliari Co'!F26-'Oliari Co'!F23+'Oliari Co'!F54</f>
        <v>4810642.5599999996</v>
      </c>
      <c r="N63" s="12">
        <f>'722 Bedford St'!E26+'722 Bedford St'!E29+'722 Bedford St'!E30+'722 Bedford St'!E31</f>
        <v>8677537.25</v>
      </c>
      <c r="P63" s="12">
        <f t="shared" si="21"/>
        <v>17746308.43</v>
      </c>
      <c r="Q63" s="9" t="s">
        <v>503</v>
      </c>
      <c r="R63" s="54">
        <v>76523.81</v>
      </c>
      <c r="S63" s="12"/>
      <c r="T63" s="54">
        <v>0</v>
      </c>
      <c r="U63" s="12"/>
      <c r="V63" s="54">
        <v>0</v>
      </c>
      <c r="W63" s="12"/>
      <c r="X63" s="54">
        <v>0</v>
      </c>
      <c r="Y63" s="12"/>
      <c r="Z63" s="54">
        <v>4138351.0099999993</v>
      </c>
      <c r="AA63" s="12"/>
      <c r="AB63" s="54">
        <v>4810642.5599999996</v>
      </c>
      <c r="AC63" s="12"/>
      <c r="AD63" s="54">
        <v>8677537.25</v>
      </c>
      <c r="AE63" s="12"/>
      <c r="AF63" s="122">
        <f t="shared" si="22"/>
        <v>17703054.629999999</v>
      </c>
      <c r="AG63" s="9" t="s">
        <v>503</v>
      </c>
      <c r="AH63" s="12">
        <f t="shared" si="17"/>
        <v>17746308.43</v>
      </c>
      <c r="AI63" s="12"/>
      <c r="AJ63" s="12">
        <f t="shared" si="23"/>
        <v>17703054.629999999</v>
      </c>
      <c r="AK63" s="12"/>
      <c r="AL63" s="12">
        <f t="shared" si="18"/>
        <v>43253.800000000745</v>
      </c>
      <c r="AM63" s="12"/>
      <c r="AN63" s="13">
        <f t="shared" si="19"/>
        <v>1.0024432958550951</v>
      </c>
      <c r="AO63" s="13"/>
      <c r="AP63" s="14">
        <f t="shared" si="20"/>
        <v>2.4432958550950623E-3</v>
      </c>
    </row>
    <row r="64" spans="1:42" s="9" customFormat="1" ht="24.95" customHeight="1" x14ac:dyDescent="0.2">
      <c r="A64" s="9" t="s">
        <v>285</v>
      </c>
      <c r="B64" s="16">
        <f>CNT!S83</f>
        <v>-8116442.2300000004</v>
      </c>
      <c r="C64" s="16"/>
      <c r="D64" s="16">
        <f>BPM!S29</f>
        <v>-21527.7</v>
      </c>
      <c r="E64" s="16"/>
      <c r="F64" s="16">
        <f>DEP!S27</f>
        <v>-921881.05</v>
      </c>
      <c r="G64" s="16"/>
      <c r="H64" s="16">
        <v>0</v>
      </c>
      <c r="I64" s="17"/>
      <c r="J64" s="16">
        <f>BSC!F43</f>
        <v>-2621716.17</v>
      </c>
      <c r="K64" s="17"/>
      <c r="L64" s="16">
        <f>'Oliari Co'!F23</f>
        <v>-1640262.48</v>
      </c>
      <c r="M64" s="17"/>
      <c r="N64" s="16">
        <f>'722 Bedford St'!E21+'722 Bedford St'!E22+'722 Bedford St'!E23+'722 Bedford St'!E24+'722 Bedford St'!E25</f>
        <v>-1396839.15</v>
      </c>
      <c r="O64" s="17"/>
      <c r="P64" s="16">
        <f>SUM(B64:N64)</f>
        <v>-14718668.780000001</v>
      </c>
      <c r="Q64" s="9" t="s">
        <v>522</v>
      </c>
      <c r="R64" s="55">
        <v>-8731504.6899999995</v>
      </c>
      <c r="S64" s="16"/>
      <c r="T64" s="55">
        <v>-16508.22</v>
      </c>
      <c r="U64" s="16"/>
      <c r="V64" s="55">
        <v>-699569.49</v>
      </c>
      <c r="W64" s="16"/>
      <c r="X64" s="55">
        <v>0</v>
      </c>
      <c r="Y64" s="16"/>
      <c r="Z64" s="55">
        <v>-2518526.89</v>
      </c>
      <c r="AA64" s="16"/>
      <c r="AB64" s="55">
        <v>-1529612.77</v>
      </c>
      <c r="AC64" s="16"/>
      <c r="AD64" s="55">
        <v>-1268545.3</v>
      </c>
      <c r="AE64" s="16"/>
      <c r="AF64" s="16">
        <f t="shared" si="22"/>
        <v>-14764267.360000001</v>
      </c>
      <c r="AG64" s="9" t="s">
        <v>522</v>
      </c>
      <c r="AH64" s="16">
        <f t="shared" si="17"/>
        <v>-14718668.780000001</v>
      </c>
      <c r="AI64" s="16"/>
      <c r="AJ64" s="16">
        <f t="shared" si="23"/>
        <v>-14764267.360000001</v>
      </c>
      <c r="AK64" s="16"/>
      <c r="AL64" s="16">
        <f t="shared" si="18"/>
        <v>45598.580000000075</v>
      </c>
      <c r="AM64" s="12"/>
      <c r="AN64" s="13">
        <f t="shared" si="19"/>
        <v>0.99691155823122402</v>
      </c>
      <c r="AO64" s="13"/>
      <c r="AP64" s="14">
        <f t="shared" si="20"/>
        <v>-3.0884417687759846E-3</v>
      </c>
    </row>
    <row r="65" spans="1:43" s="9" customFormat="1" ht="24.95" customHeight="1" x14ac:dyDescent="0.2">
      <c r="A65" s="20" t="s">
        <v>334</v>
      </c>
      <c r="B65" s="12">
        <f>SUM(B48:B64)</f>
        <v>8178424.0299999975</v>
      </c>
      <c r="C65" s="12"/>
      <c r="D65" s="12">
        <f>SUM(D48:D64)</f>
        <v>7287.2599999999984</v>
      </c>
      <c r="E65" s="12"/>
      <c r="F65" s="12">
        <f>SUM(F48:F64)</f>
        <v>821350.05</v>
      </c>
      <c r="G65" s="12"/>
      <c r="H65" s="12">
        <f>SUM(H48:H64)</f>
        <v>0</v>
      </c>
      <c r="I65" s="12"/>
      <c r="J65" s="12">
        <f>SUM(J48:J64)</f>
        <v>1669192.3899999997</v>
      </c>
      <c r="K65" s="12"/>
      <c r="L65" s="12">
        <f>SUM(L48:L64)</f>
        <v>3170380.0799999996</v>
      </c>
      <c r="M65" s="12"/>
      <c r="N65" s="12">
        <f>SUM(N48:N64)</f>
        <v>8738003.4100000001</v>
      </c>
      <c r="O65" s="12"/>
      <c r="P65" s="12">
        <f>SUM(P48:P64)</f>
        <v>22584637.219999999</v>
      </c>
      <c r="Q65" s="20" t="s">
        <v>334</v>
      </c>
      <c r="R65" s="54">
        <f>SUM(R48:R64)</f>
        <v>8823968.8400000017</v>
      </c>
      <c r="S65" s="12"/>
      <c r="T65" s="54">
        <f>SUM(T48:T64)</f>
        <v>12306.739999999998</v>
      </c>
      <c r="U65" s="12"/>
      <c r="V65" s="54">
        <f>SUM(V48:V64)</f>
        <v>355036.15000000014</v>
      </c>
      <c r="W65" s="12"/>
      <c r="X65" s="54">
        <f>SUM(X48:X64)</f>
        <v>0</v>
      </c>
      <c r="Y65" s="12"/>
      <c r="Z65" s="54">
        <f>SUM(Z48:Z64)</f>
        <v>1620648.1199999992</v>
      </c>
      <c r="AA65" s="12"/>
      <c r="AB65" s="54">
        <f>SUM(AB48:AB64)</f>
        <v>3281029.7899999996</v>
      </c>
      <c r="AC65" s="12"/>
      <c r="AD65" s="54">
        <f>SUM(AD48:AD64)</f>
        <v>7976135.1399999997</v>
      </c>
      <c r="AE65" s="12"/>
      <c r="AF65" s="12">
        <f>SUM(AF48:AF64)</f>
        <v>22069124.780000001</v>
      </c>
      <c r="AG65" s="20" t="s">
        <v>334</v>
      </c>
      <c r="AH65" s="22">
        <f>SUM(AH48:AH64)</f>
        <v>22584637.219999999</v>
      </c>
      <c r="AI65" s="22"/>
      <c r="AJ65" s="22">
        <f>SUM(AJ48:AJ64)</f>
        <v>22069124.780000001</v>
      </c>
      <c r="AK65" s="22"/>
      <c r="AL65" s="22">
        <f>SUM(AL48:AL64)</f>
        <v>515512.43999999989</v>
      </c>
      <c r="AM65" s="22"/>
      <c r="AN65" s="13">
        <f t="shared" si="19"/>
        <v>1.0233589888651669</v>
      </c>
      <c r="AO65" s="13"/>
      <c r="AP65" s="14">
        <f t="shared" si="20"/>
        <v>2.3358988865166852E-2</v>
      </c>
    </row>
    <row r="66" spans="1:43" s="9" customFormat="1" ht="24.95" customHeight="1" x14ac:dyDescent="0.2">
      <c r="A66" s="2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0"/>
      <c r="R66" s="54"/>
      <c r="S66" s="12"/>
      <c r="T66" s="54"/>
      <c r="U66" s="12"/>
      <c r="V66" s="54"/>
      <c r="W66" s="12"/>
      <c r="X66" s="54"/>
      <c r="Y66" s="12"/>
      <c r="Z66" s="54"/>
      <c r="AA66" s="12"/>
      <c r="AB66" s="54"/>
      <c r="AC66" s="12"/>
      <c r="AD66" s="54"/>
      <c r="AE66" s="12"/>
      <c r="AF66" s="10"/>
      <c r="AG66" s="20"/>
      <c r="AH66" s="22"/>
      <c r="AI66" s="22"/>
      <c r="AJ66" s="22"/>
      <c r="AK66" s="22"/>
      <c r="AL66" s="22"/>
      <c r="AM66" s="22"/>
      <c r="AN66" s="13"/>
      <c r="AO66" s="10"/>
      <c r="AP66" s="14"/>
    </row>
    <row r="67" spans="1:43" s="9" customFormat="1" ht="24.95" customHeight="1" x14ac:dyDescent="0.2">
      <c r="A67" s="9" t="s">
        <v>406</v>
      </c>
      <c r="B67" s="12">
        <f>CNT!S87</f>
        <v>583.64</v>
      </c>
      <c r="C67" s="12"/>
      <c r="D67" s="12">
        <v>0</v>
      </c>
      <c r="E67" s="12"/>
      <c r="F67" s="12">
        <v>0</v>
      </c>
      <c r="G67" s="12"/>
      <c r="H67" s="12">
        <v>0</v>
      </c>
      <c r="I67" s="12"/>
      <c r="J67" s="12">
        <v>0</v>
      </c>
      <c r="K67" s="12"/>
      <c r="L67" s="12">
        <v>0</v>
      </c>
      <c r="M67" s="12"/>
      <c r="N67" s="12">
        <v>0</v>
      </c>
      <c r="O67" s="12"/>
      <c r="P67" s="12">
        <f>SUM(B67:N67)</f>
        <v>583.64</v>
      </c>
      <c r="Q67" s="9" t="s">
        <v>406</v>
      </c>
      <c r="R67" s="54">
        <v>0</v>
      </c>
      <c r="S67" s="12"/>
      <c r="T67" s="54">
        <v>0</v>
      </c>
      <c r="U67" s="12"/>
      <c r="V67" s="54">
        <v>0</v>
      </c>
      <c r="W67" s="12"/>
      <c r="X67" s="54">
        <v>0</v>
      </c>
      <c r="Y67" s="12"/>
      <c r="Z67" s="54">
        <v>0</v>
      </c>
      <c r="AA67" s="12"/>
      <c r="AB67" s="54">
        <v>0</v>
      </c>
      <c r="AC67" s="12"/>
      <c r="AD67" s="54">
        <v>0</v>
      </c>
      <c r="AE67" s="12"/>
      <c r="AF67" s="12">
        <f>SUM(R67:AD67)</f>
        <v>0</v>
      </c>
      <c r="AG67" s="9" t="s">
        <v>406</v>
      </c>
      <c r="AH67" s="22">
        <f>P67</f>
        <v>583.64</v>
      </c>
      <c r="AI67" s="12"/>
      <c r="AJ67" s="12">
        <f>AF67</f>
        <v>0</v>
      </c>
      <c r="AK67" s="12"/>
      <c r="AL67" s="22">
        <f>AH67-AJ67</f>
        <v>583.64</v>
      </c>
      <c r="AM67" s="12"/>
      <c r="AN67" s="13" t="e">
        <f t="shared" si="19"/>
        <v>#DIV/0!</v>
      </c>
      <c r="AO67" s="13"/>
      <c r="AP67" s="14" t="e">
        <f t="shared" si="20"/>
        <v>#DIV/0!</v>
      </c>
    </row>
    <row r="68" spans="1:43" s="9" customFormat="1" ht="24.95" customHeight="1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R68" s="54"/>
      <c r="S68" s="12"/>
      <c r="T68" s="54"/>
      <c r="U68" s="12"/>
      <c r="V68" s="54"/>
      <c r="W68" s="12"/>
      <c r="X68" s="54"/>
      <c r="Y68" s="12"/>
      <c r="Z68" s="54"/>
      <c r="AA68" s="12"/>
      <c r="AB68" s="54"/>
      <c r="AC68" s="12"/>
      <c r="AD68" s="54"/>
      <c r="AE68" s="12"/>
      <c r="AF68" s="12"/>
      <c r="AH68" s="22"/>
      <c r="AI68" s="12"/>
      <c r="AJ68" s="12"/>
      <c r="AK68" s="12"/>
      <c r="AL68" s="12"/>
      <c r="AM68" s="12"/>
      <c r="AN68" s="13"/>
      <c r="AO68" s="13"/>
      <c r="AP68" s="14"/>
    </row>
    <row r="69" spans="1:43" s="9" customFormat="1" ht="24.95" customHeight="1" thickBot="1" x14ac:dyDescent="0.25">
      <c r="A69" s="8" t="s">
        <v>289</v>
      </c>
      <c r="B69" s="23">
        <f>B67+B65+B45</f>
        <v>83298419.60999997</v>
      </c>
      <c r="C69" s="23"/>
      <c r="D69" s="23">
        <f>SUM(D65,D45,D67)</f>
        <v>363173.81</v>
      </c>
      <c r="E69" s="23"/>
      <c r="F69" s="23">
        <f>SUM(F65,F45,F67)</f>
        <v>9775775.5800000001</v>
      </c>
      <c r="G69" s="23"/>
      <c r="H69" s="23">
        <f>SUM(H65,H45,H67)</f>
        <v>931970.84</v>
      </c>
      <c r="I69" s="23"/>
      <c r="J69" s="23">
        <f>SUM(J65,J45,J67)</f>
        <v>2037537.9499999997</v>
      </c>
      <c r="K69" s="23"/>
      <c r="L69" s="23">
        <f>SUM(L65,L45,L67)</f>
        <v>5514919.709999999</v>
      </c>
      <c r="M69" s="23"/>
      <c r="N69" s="23">
        <f>SUM(N65,N45,N67)</f>
        <v>8840673.7599999998</v>
      </c>
      <c r="O69" s="23"/>
      <c r="P69" s="23">
        <f>SUM(P65,P45,P67)</f>
        <v>110762471.25999998</v>
      </c>
      <c r="Q69" s="8" t="s">
        <v>289</v>
      </c>
      <c r="R69" s="57">
        <f>SUM(R65,R45,R67)</f>
        <v>25594392.970000044</v>
      </c>
      <c r="S69" s="23"/>
      <c r="T69" s="57">
        <f>SUM(T65,T45,T67)</f>
        <v>1160843.01</v>
      </c>
      <c r="U69" s="23"/>
      <c r="V69" s="57">
        <f>SUM(V65,V45,V67)</f>
        <v>6781306.3200000003</v>
      </c>
      <c r="W69" s="23"/>
      <c r="X69" s="57">
        <f>SUM(X65,X45,X67)</f>
        <v>1020338.58</v>
      </c>
      <c r="Y69" s="23"/>
      <c r="Z69" s="57">
        <f>SUM(Z65,Z45,Z67)</f>
        <v>2008127.5099999993</v>
      </c>
      <c r="AA69" s="23"/>
      <c r="AB69" s="57">
        <f>SUM(AB65,AB45,AB67)</f>
        <v>5328041.0599999996</v>
      </c>
      <c r="AC69" s="23"/>
      <c r="AD69" s="57">
        <f>SUM(AD65,AD45,AD67)</f>
        <v>8180988</v>
      </c>
      <c r="AE69" s="23"/>
      <c r="AF69" s="23">
        <f>SUM(AF65,AF45,AF67)</f>
        <v>50074037.45000004</v>
      </c>
      <c r="AG69" s="8" t="s">
        <v>289</v>
      </c>
      <c r="AH69" s="23">
        <f>SUM(AH65,AH45,AH67)</f>
        <v>109012039.89999996</v>
      </c>
      <c r="AI69" s="23"/>
      <c r="AJ69" s="23">
        <f>SUM(AJ65,AJ45,AJ67)</f>
        <v>50074037.45000004</v>
      </c>
      <c r="AK69" s="23"/>
      <c r="AL69" s="23">
        <f>SUM(AL65,AL45,AL67)</f>
        <v>58938002.449999958</v>
      </c>
      <c r="AM69" s="25"/>
      <c r="AN69" s="13">
        <f t="shared" si="19"/>
        <v>2.1770171819847906</v>
      </c>
      <c r="AO69" s="13"/>
      <c r="AP69" s="14">
        <f t="shared" si="20"/>
        <v>1.1770171819847906</v>
      </c>
      <c r="AQ69" s="22"/>
    </row>
    <row r="70" spans="1:43" s="9" customFormat="1" ht="24.95" customHeight="1" thickTop="1" x14ac:dyDescent="0.2">
      <c r="B70" s="12"/>
      <c r="C70" s="12"/>
      <c r="D70" s="12"/>
      <c r="E70" s="12"/>
      <c r="F70" s="12"/>
      <c r="G70" s="12"/>
      <c r="P70" s="10"/>
      <c r="R70" s="65"/>
      <c r="T70" s="65"/>
      <c r="V70" s="65"/>
      <c r="X70" s="65"/>
      <c r="Z70" s="65"/>
      <c r="AB70" s="65"/>
      <c r="AD70" s="65"/>
      <c r="AP70" s="26"/>
    </row>
    <row r="71" spans="1:43" s="9" customFormat="1" ht="24.95" customHeight="1" x14ac:dyDescent="0.2">
      <c r="A71" s="8" t="s">
        <v>105</v>
      </c>
      <c r="B71" s="12"/>
      <c r="C71" s="12"/>
      <c r="D71" s="12"/>
      <c r="E71" s="12"/>
      <c r="F71" s="12"/>
      <c r="G71" s="12"/>
      <c r="P71" s="10"/>
      <c r="Q71" s="8" t="s">
        <v>105</v>
      </c>
      <c r="R71" s="65"/>
      <c r="T71" s="65"/>
      <c r="V71" s="65"/>
      <c r="X71" s="65"/>
      <c r="Z71" s="65"/>
      <c r="AB71" s="65"/>
      <c r="AD71" s="65"/>
      <c r="AG71" s="8" t="s">
        <v>105</v>
      </c>
      <c r="AP71" s="19"/>
    </row>
    <row r="72" spans="1:43" s="9" customFormat="1" ht="24.95" customHeight="1" x14ac:dyDescent="0.2">
      <c r="A72" s="8" t="s">
        <v>290</v>
      </c>
      <c r="B72" s="12"/>
      <c r="C72" s="12"/>
      <c r="D72" s="12"/>
      <c r="E72" s="12"/>
      <c r="F72" s="12"/>
      <c r="G72" s="12"/>
      <c r="P72" s="10"/>
      <c r="Q72" s="8" t="s">
        <v>290</v>
      </c>
      <c r="R72" s="65"/>
      <c r="T72" s="65"/>
      <c r="V72" s="65"/>
      <c r="X72" s="65"/>
      <c r="Z72" s="65"/>
      <c r="AB72" s="65"/>
      <c r="AD72" s="65"/>
      <c r="AG72" s="8" t="s">
        <v>290</v>
      </c>
      <c r="AP72" s="19"/>
    </row>
    <row r="73" spans="1:43" s="9" customFormat="1" ht="24.95" customHeight="1" x14ac:dyDescent="0.2">
      <c r="A73" s="9" t="s">
        <v>700</v>
      </c>
      <c r="B73" s="12">
        <v>0</v>
      </c>
      <c r="C73" s="12"/>
      <c r="D73" s="12">
        <v>0</v>
      </c>
      <c r="E73" s="12"/>
      <c r="F73" s="12">
        <v>0</v>
      </c>
      <c r="G73" s="12"/>
      <c r="H73" s="12">
        <v>0</v>
      </c>
      <c r="J73" s="12">
        <v>0</v>
      </c>
      <c r="L73" s="12">
        <v>0</v>
      </c>
      <c r="N73" s="12">
        <v>0</v>
      </c>
      <c r="P73" s="12">
        <f>SUM(B73:N73)</f>
        <v>0</v>
      </c>
      <c r="Q73" s="9" t="s">
        <v>700</v>
      </c>
      <c r="R73" s="54">
        <v>0</v>
      </c>
      <c r="T73" s="54">
        <v>0</v>
      </c>
      <c r="U73" s="12"/>
      <c r="V73" s="54">
        <v>0</v>
      </c>
      <c r="W73" s="12"/>
      <c r="X73" s="54">
        <v>0</v>
      </c>
      <c r="Y73" s="12"/>
      <c r="Z73" s="54">
        <v>0</v>
      </c>
      <c r="AA73" s="12"/>
      <c r="AB73" s="54">
        <v>0</v>
      </c>
      <c r="AC73" s="12"/>
      <c r="AD73" s="54">
        <v>0</v>
      </c>
      <c r="AF73" s="122">
        <f>SUM(R73:AD73)</f>
        <v>0</v>
      </c>
      <c r="AG73" s="9" t="s">
        <v>700</v>
      </c>
      <c r="AH73" s="12">
        <f t="shared" ref="AH73:AH112" si="24">P73</f>
        <v>0</v>
      </c>
      <c r="AJ73" s="12">
        <f>AF73</f>
        <v>0</v>
      </c>
      <c r="AL73" s="12">
        <f t="shared" ref="AL73:AL112" si="25">AH73-AJ73</f>
        <v>0</v>
      </c>
      <c r="AN73" s="13">
        <v>0</v>
      </c>
      <c r="AP73" s="14">
        <v>0</v>
      </c>
    </row>
    <row r="74" spans="1:43" s="9" customFormat="1" ht="24.95" customHeight="1" x14ac:dyDescent="0.2">
      <c r="A74" s="9" t="s">
        <v>291</v>
      </c>
      <c r="B74" s="12">
        <f>CNT!S94</f>
        <v>0</v>
      </c>
      <c r="C74" s="12"/>
      <c r="D74" s="12">
        <v>0</v>
      </c>
      <c r="E74" s="12"/>
      <c r="F74" s="12">
        <v>0</v>
      </c>
      <c r="G74" s="12"/>
      <c r="H74" s="12">
        <v>0</v>
      </c>
      <c r="I74" s="12"/>
      <c r="J74" s="12">
        <v>0</v>
      </c>
      <c r="K74" s="12"/>
      <c r="L74" s="12">
        <v>0</v>
      </c>
      <c r="M74" s="12"/>
      <c r="N74" s="12">
        <v>0</v>
      </c>
      <c r="O74" s="12"/>
      <c r="P74" s="12">
        <f>SUM(B74:N74)</f>
        <v>0</v>
      </c>
      <c r="Q74" s="9" t="s">
        <v>291</v>
      </c>
      <c r="R74" s="54">
        <v>0</v>
      </c>
      <c r="S74" s="12"/>
      <c r="T74" s="54">
        <v>0</v>
      </c>
      <c r="U74" s="12"/>
      <c r="V74" s="54">
        <v>0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>SUM(R74:AD74)</f>
        <v>0</v>
      </c>
      <c r="AG74" s="9" t="s">
        <v>291</v>
      </c>
      <c r="AH74" s="12">
        <f t="shared" si="24"/>
        <v>0</v>
      </c>
      <c r="AI74" s="12"/>
      <c r="AJ74" s="12">
        <f>AF74</f>
        <v>0</v>
      </c>
      <c r="AK74" s="12"/>
      <c r="AL74" s="12">
        <f t="shared" si="25"/>
        <v>0</v>
      </c>
      <c r="AM74" s="12"/>
      <c r="AN74" s="13">
        <v>0</v>
      </c>
      <c r="AO74" s="13"/>
      <c r="AP74" s="14">
        <v>0</v>
      </c>
    </row>
    <row r="75" spans="1:43" s="9" customFormat="1" ht="24.95" customHeight="1" x14ac:dyDescent="0.2">
      <c r="A75" s="9" t="s">
        <v>292</v>
      </c>
      <c r="B75" s="12">
        <f>CNT!S95</f>
        <v>20373690.010000002</v>
      </c>
      <c r="C75" s="12"/>
      <c r="D75" s="12">
        <f>BPM!S39</f>
        <v>0</v>
      </c>
      <c r="E75" s="12"/>
      <c r="F75" s="12">
        <f>DEP!S37</f>
        <v>22578.43</v>
      </c>
      <c r="G75" s="12"/>
      <c r="H75" s="12">
        <f>Lending!F29</f>
        <v>0</v>
      </c>
      <c r="J75" s="12">
        <f>BSC!F54</f>
        <v>0</v>
      </c>
      <c r="L75" s="12">
        <v>0</v>
      </c>
      <c r="N75" s="12">
        <v>0</v>
      </c>
      <c r="P75" s="12">
        <f t="shared" ref="P75:P112" si="26">SUM(B75:N75)</f>
        <v>20396268.440000001</v>
      </c>
      <c r="Q75" s="9" t="s">
        <v>292</v>
      </c>
      <c r="R75" s="54">
        <v>3347013.91</v>
      </c>
      <c r="S75" s="12"/>
      <c r="T75" s="54">
        <v>435880.83</v>
      </c>
      <c r="U75" s="12"/>
      <c r="V75" s="54">
        <v>133.96</v>
      </c>
      <c r="W75" s="12"/>
      <c r="X75" s="54">
        <v>0</v>
      </c>
      <c r="Y75" s="12"/>
      <c r="Z75" s="54">
        <v>0</v>
      </c>
      <c r="AA75" s="12"/>
      <c r="AB75" s="54">
        <v>0</v>
      </c>
      <c r="AC75" s="12"/>
      <c r="AD75" s="54">
        <v>0</v>
      </c>
      <c r="AE75" s="12"/>
      <c r="AF75" s="122">
        <f t="shared" ref="AF75:AF112" si="27">SUM(R75:AD75)</f>
        <v>3783028.7</v>
      </c>
      <c r="AG75" s="9" t="s">
        <v>292</v>
      </c>
      <c r="AH75" s="12">
        <f t="shared" si="24"/>
        <v>20396268.440000001</v>
      </c>
      <c r="AI75" s="12"/>
      <c r="AJ75" s="12">
        <f t="shared" ref="AJ75:AJ112" si="28">AF75</f>
        <v>3783028.7</v>
      </c>
      <c r="AK75" s="12"/>
      <c r="AL75" s="12">
        <f t="shared" si="25"/>
        <v>16613239.740000002</v>
      </c>
      <c r="AM75" s="12"/>
      <c r="AN75" s="13">
        <f t="shared" ref="AN75:AN82" si="29">AH75/AJ75</f>
        <v>5.3915182932659222</v>
      </c>
      <c r="AO75" s="13"/>
      <c r="AP75" s="14">
        <f t="shared" ref="AP75:AP113" si="30">AN75-1</f>
        <v>4.3915182932659222</v>
      </c>
    </row>
    <row r="76" spans="1:43" s="9" customFormat="1" ht="24.95" customHeight="1" x14ac:dyDescent="0.2">
      <c r="A76" s="9" t="s">
        <v>293</v>
      </c>
      <c r="B76" s="12">
        <f>CNT!S97</f>
        <v>0</v>
      </c>
      <c r="C76" s="12"/>
      <c r="D76" s="12">
        <v>0</v>
      </c>
      <c r="E76" s="12"/>
      <c r="F76" s="12">
        <f>DEP!S39</f>
        <v>0</v>
      </c>
      <c r="G76" s="12"/>
      <c r="H76" s="12">
        <v>0</v>
      </c>
      <c r="I76" s="12"/>
      <c r="J76" s="12">
        <f>BSC!F56+BSC!F57</f>
        <v>4500</v>
      </c>
      <c r="K76" s="12"/>
      <c r="L76" s="12">
        <v>0</v>
      </c>
      <c r="M76" s="12"/>
      <c r="N76" s="12">
        <v>0</v>
      </c>
      <c r="O76" s="12"/>
      <c r="P76" s="12">
        <f t="shared" si="26"/>
        <v>4500</v>
      </c>
      <c r="Q76" s="9" t="s">
        <v>293</v>
      </c>
      <c r="R76" s="54">
        <v>0</v>
      </c>
      <c r="S76" s="12"/>
      <c r="T76" s="54">
        <v>0</v>
      </c>
      <c r="U76" s="12"/>
      <c r="V76" s="54">
        <v>0.76</v>
      </c>
      <c r="W76" s="12"/>
      <c r="X76" s="54">
        <v>0</v>
      </c>
      <c r="Y76" s="12"/>
      <c r="Z76" s="54">
        <v>4500</v>
      </c>
      <c r="AA76" s="12"/>
      <c r="AB76" s="54">
        <v>0</v>
      </c>
      <c r="AC76" s="12"/>
      <c r="AD76" s="54">
        <v>0</v>
      </c>
      <c r="AE76" s="12"/>
      <c r="AF76" s="122">
        <f t="shared" si="27"/>
        <v>4500.76</v>
      </c>
      <c r="AG76" s="9" t="s">
        <v>293</v>
      </c>
      <c r="AH76" s="12">
        <f t="shared" si="24"/>
        <v>4500</v>
      </c>
      <c r="AI76" s="12"/>
      <c r="AJ76" s="12">
        <f t="shared" si="28"/>
        <v>4500.76</v>
      </c>
      <c r="AK76" s="12"/>
      <c r="AL76" s="12">
        <f t="shared" si="25"/>
        <v>-0.76000000000021828</v>
      </c>
      <c r="AM76" s="12"/>
      <c r="AN76" s="13">
        <f t="shared" si="29"/>
        <v>0.99983113962975134</v>
      </c>
      <c r="AO76" s="13"/>
      <c r="AP76" s="14">
        <f t="shared" si="30"/>
        <v>-1.6886037024865796E-4</v>
      </c>
    </row>
    <row r="77" spans="1:43" s="9" customFormat="1" ht="24.95" customHeight="1" x14ac:dyDescent="0.2">
      <c r="A77" s="9" t="s">
        <v>294</v>
      </c>
      <c r="B77" s="12">
        <f>CNT!S100</f>
        <v>16.88</v>
      </c>
      <c r="C77" s="12"/>
      <c r="D77" s="12">
        <f>BPM!S40</f>
        <v>0</v>
      </c>
      <c r="E77" s="12"/>
      <c r="F77" s="12">
        <f>DEP!S40</f>
        <v>122.11</v>
      </c>
      <c r="G77" s="12"/>
      <c r="H77" s="12">
        <v>0</v>
      </c>
      <c r="I77" s="12"/>
      <c r="J77" s="12">
        <v>0</v>
      </c>
      <c r="K77" s="12"/>
      <c r="L77" s="12">
        <v>0</v>
      </c>
      <c r="M77" s="12"/>
      <c r="N77" s="12">
        <v>0</v>
      </c>
      <c r="O77" s="12"/>
      <c r="P77" s="12">
        <f t="shared" si="26"/>
        <v>138.99</v>
      </c>
      <c r="Q77" s="9" t="s">
        <v>294</v>
      </c>
      <c r="R77" s="54">
        <v>178.62</v>
      </c>
      <c r="S77" s="12"/>
      <c r="T77" s="54">
        <v>110.44</v>
      </c>
      <c r="U77" s="12"/>
      <c r="V77" s="54">
        <v>0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7"/>
        <v>289.06</v>
      </c>
      <c r="AG77" s="9" t="s">
        <v>294</v>
      </c>
      <c r="AH77" s="12">
        <f t="shared" si="24"/>
        <v>138.99</v>
      </c>
      <c r="AI77" s="12"/>
      <c r="AJ77" s="12">
        <f t="shared" si="28"/>
        <v>289.06</v>
      </c>
      <c r="AK77" s="12"/>
      <c r="AL77" s="12">
        <f t="shared" si="25"/>
        <v>-150.07</v>
      </c>
      <c r="AM77" s="12"/>
      <c r="AN77" s="13">
        <f t="shared" si="29"/>
        <v>0.48083442883830352</v>
      </c>
      <c r="AO77" s="13"/>
      <c r="AP77" s="14">
        <f t="shared" si="30"/>
        <v>-0.51916557116169648</v>
      </c>
    </row>
    <row r="78" spans="1:43" s="9" customFormat="1" ht="24.95" customHeight="1" x14ac:dyDescent="0.2">
      <c r="A78" s="9" t="s">
        <v>295</v>
      </c>
      <c r="B78" s="12">
        <f>CNT!S96</f>
        <v>74.72</v>
      </c>
      <c r="C78" s="12"/>
      <c r="D78" s="12">
        <v>0</v>
      </c>
      <c r="E78" s="12"/>
      <c r="F78" s="12">
        <f>DEP!S38</f>
        <v>9</v>
      </c>
      <c r="G78" s="12"/>
      <c r="H78" s="12">
        <v>0</v>
      </c>
      <c r="J78" s="12">
        <v>0</v>
      </c>
      <c r="L78" s="12">
        <v>0</v>
      </c>
      <c r="N78" s="12">
        <v>0</v>
      </c>
      <c r="P78" s="12">
        <f t="shared" si="26"/>
        <v>83.72</v>
      </c>
      <c r="Q78" s="9" t="s">
        <v>295</v>
      </c>
      <c r="R78" s="54">
        <v>282.07</v>
      </c>
      <c r="S78" s="12"/>
      <c r="T78" s="54">
        <v>0</v>
      </c>
      <c r="U78" s="12"/>
      <c r="V78" s="54">
        <v>9</v>
      </c>
      <c r="W78" s="12"/>
      <c r="X78" s="54">
        <v>0</v>
      </c>
      <c r="Y78" s="12"/>
      <c r="Z78" s="54">
        <v>0</v>
      </c>
      <c r="AA78" s="12"/>
      <c r="AB78" s="54">
        <v>0</v>
      </c>
      <c r="AC78" s="12"/>
      <c r="AD78" s="54">
        <v>0</v>
      </c>
      <c r="AE78" s="12"/>
      <c r="AF78" s="122">
        <f t="shared" si="27"/>
        <v>291.07</v>
      </c>
      <c r="AG78" s="9" t="s">
        <v>295</v>
      </c>
      <c r="AH78" s="12">
        <f t="shared" si="24"/>
        <v>83.72</v>
      </c>
      <c r="AI78" s="12"/>
      <c r="AJ78" s="12">
        <f t="shared" si="28"/>
        <v>291.07</v>
      </c>
      <c r="AK78" s="12"/>
      <c r="AL78" s="12">
        <f t="shared" si="25"/>
        <v>-207.35</v>
      </c>
      <c r="AM78" s="12"/>
      <c r="AN78" s="13">
        <f t="shared" si="29"/>
        <v>0.28762840553818669</v>
      </c>
      <c r="AO78" s="13"/>
      <c r="AP78" s="14">
        <f t="shared" si="30"/>
        <v>-0.71237159446181331</v>
      </c>
    </row>
    <row r="79" spans="1:43" s="9" customFormat="1" ht="24.95" customHeight="1" x14ac:dyDescent="0.2">
      <c r="A79" s="9" t="s">
        <v>296</v>
      </c>
      <c r="B79" s="12">
        <f>CNT!S98</f>
        <v>6561.45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f>BSC!F59</f>
        <v>384.6</v>
      </c>
      <c r="L79" s="12">
        <v>0</v>
      </c>
      <c r="N79" s="12">
        <v>0</v>
      </c>
      <c r="P79" s="12">
        <f t="shared" si="26"/>
        <v>6946.05</v>
      </c>
      <c r="Q79" s="9" t="s">
        <v>296</v>
      </c>
      <c r="R79" s="54">
        <v>5421.35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288.45</v>
      </c>
      <c r="AA79" s="12"/>
      <c r="AB79" s="54">
        <v>0</v>
      </c>
      <c r="AC79" s="12"/>
      <c r="AD79" s="54">
        <v>0</v>
      </c>
      <c r="AE79" s="12"/>
      <c r="AF79" s="122">
        <f t="shared" si="27"/>
        <v>5709.8</v>
      </c>
      <c r="AG79" s="9" t="s">
        <v>296</v>
      </c>
      <c r="AH79" s="12">
        <f t="shared" si="24"/>
        <v>6946.05</v>
      </c>
      <c r="AI79" s="12"/>
      <c r="AJ79" s="12">
        <f t="shared" si="28"/>
        <v>5709.8</v>
      </c>
      <c r="AK79" s="12"/>
      <c r="AL79" s="12">
        <f t="shared" si="25"/>
        <v>1236.25</v>
      </c>
      <c r="AM79" s="12"/>
      <c r="AN79" s="13">
        <f t="shared" si="29"/>
        <v>1.2165137132649129</v>
      </c>
      <c r="AO79" s="13"/>
      <c r="AP79" s="14">
        <f t="shared" si="30"/>
        <v>0.21651371326491287</v>
      </c>
    </row>
    <row r="80" spans="1:43" s="9" customFormat="1" ht="24.95" customHeight="1" x14ac:dyDescent="0.2">
      <c r="A80" s="9" t="s">
        <v>711</v>
      </c>
      <c r="B80" s="12">
        <f>CNT!S99</f>
        <v>-13.18</v>
      </c>
      <c r="C80" s="12"/>
      <c r="D80" s="12">
        <v>0</v>
      </c>
      <c r="E80" s="12"/>
      <c r="F80" s="12">
        <v>0</v>
      </c>
      <c r="G80" s="12"/>
      <c r="H80" s="12">
        <v>0</v>
      </c>
      <c r="J80" s="12">
        <v>0</v>
      </c>
      <c r="L80" s="12">
        <v>0</v>
      </c>
      <c r="N80" s="12">
        <v>0</v>
      </c>
      <c r="P80" s="12">
        <f t="shared" si="26"/>
        <v>-13.18</v>
      </c>
      <c r="Q80" s="9" t="s">
        <v>711</v>
      </c>
      <c r="R80" s="54">
        <v>0</v>
      </c>
      <c r="S80" s="12"/>
      <c r="T80" s="54">
        <v>0</v>
      </c>
      <c r="U80" s="12"/>
      <c r="V80" s="54">
        <v>0</v>
      </c>
      <c r="W80" s="12"/>
      <c r="X80" s="54">
        <v>0</v>
      </c>
      <c r="Y80" s="12"/>
      <c r="Z80" s="54">
        <v>0</v>
      </c>
      <c r="AA80" s="12"/>
      <c r="AB80" s="54">
        <v>0</v>
      </c>
      <c r="AC80" s="12"/>
      <c r="AD80" s="54">
        <v>0</v>
      </c>
      <c r="AE80" s="12"/>
      <c r="AF80" s="122">
        <f t="shared" si="27"/>
        <v>0</v>
      </c>
      <c r="AG80" s="9" t="s">
        <v>711</v>
      </c>
      <c r="AH80" s="12">
        <f t="shared" si="24"/>
        <v>-13.18</v>
      </c>
      <c r="AI80" s="12"/>
      <c r="AJ80" s="12">
        <f t="shared" si="28"/>
        <v>0</v>
      </c>
      <c r="AK80" s="12"/>
      <c r="AL80" s="12">
        <f t="shared" si="25"/>
        <v>-13.18</v>
      </c>
      <c r="AM80" s="12"/>
      <c r="AN80" s="13" t="e">
        <f t="shared" si="29"/>
        <v>#DIV/0!</v>
      </c>
      <c r="AO80" s="13"/>
      <c r="AP80" s="14" t="e">
        <f t="shared" si="30"/>
        <v>#DIV/0!</v>
      </c>
    </row>
    <row r="81" spans="1:42" s="9" customFormat="1" ht="24.95" customHeight="1" x14ac:dyDescent="0.2">
      <c r="A81" s="9" t="s">
        <v>390</v>
      </c>
      <c r="B81" s="12">
        <f>CNT!S125+CNT!S126+CNT!S127+CNT!S102</f>
        <v>0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f>BSC!F64</f>
        <v>20938.05</v>
      </c>
      <c r="L81" s="12">
        <v>0</v>
      </c>
      <c r="N81" s="12">
        <v>0</v>
      </c>
      <c r="P81" s="12">
        <f t="shared" si="26"/>
        <v>20938.05</v>
      </c>
      <c r="Q81" s="9" t="s">
        <v>390</v>
      </c>
      <c r="R81" s="54">
        <v>0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20251.22</v>
      </c>
      <c r="AA81" s="12"/>
      <c r="AB81" s="54">
        <v>0</v>
      </c>
      <c r="AC81" s="12"/>
      <c r="AD81" s="54">
        <v>0</v>
      </c>
      <c r="AE81" s="12"/>
      <c r="AF81" s="122">
        <f t="shared" si="27"/>
        <v>20251.22</v>
      </c>
      <c r="AG81" s="9" t="s">
        <v>390</v>
      </c>
      <c r="AH81" s="12">
        <f t="shared" si="24"/>
        <v>20938.05</v>
      </c>
      <c r="AI81" s="12"/>
      <c r="AJ81" s="12">
        <f t="shared" si="28"/>
        <v>20251.22</v>
      </c>
      <c r="AK81" s="12"/>
      <c r="AL81" s="12">
        <f t="shared" si="25"/>
        <v>686.82999999999811</v>
      </c>
      <c r="AM81" s="12"/>
      <c r="AN81" s="13">
        <f t="shared" si="29"/>
        <v>1.0339154875607492</v>
      </c>
      <c r="AO81" s="13"/>
      <c r="AP81" s="14">
        <f t="shared" si="30"/>
        <v>3.3915487560749247E-2</v>
      </c>
    </row>
    <row r="82" spans="1:42" s="9" customFormat="1" ht="24.95" customHeight="1" x14ac:dyDescent="0.2">
      <c r="A82" s="9" t="s">
        <v>602</v>
      </c>
      <c r="B82" s="12">
        <f>CNT!S103</f>
        <v>0</v>
      </c>
      <c r="C82" s="12"/>
      <c r="D82" s="12">
        <v>0</v>
      </c>
      <c r="E82" s="12"/>
      <c r="F82" s="12">
        <v>0</v>
      </c>
      <c r="G82" s="12"/>
      <c r="H82" s="12">
        <v>0</v>
      </c>
      <c r="J82" s="12">
        <v>0</v>
      </c>
      <c r="L82" s="12">
        <v>0</v>
      </c>
      <c r="N82" s="12">
        <v>0</v>
      </c>
      <c r="P82" s="12">
        <f t="shared" si="26"/>
        <v>0</v>
      </c>
      <c r="Q82" s="9" t="s">
        <v>602</v>
      </c>
      <c r="R82" s="54">
        <v>0</v>
      </c>
      <c r="S82" s="12"/>
      <c r="T82" s="54">
        <v>0</v>
      </c>
      <c r="U82" s="12"/>
      <c r="V82" s="54">
        <v>0</v>
      </c>
      <c r="W82" s="12"/>
      <c r="X82" s="54">
        <v>0</v>
      </c>
      <c r="Y82" s="12"/>
      <c r="Z82" s="54">
        <v>0</v>
      </c>
      <c r="AA82" s="12"/>
      <c r="AB82" s="54">
        <v>0</v>
      </c>
      <c r="AC82" s="12"/>
      <c r="AD82" s="54">
        <v>0</v>
      </c>
      <c r="AE82" s="12"/>
      <c r="AF82" s="122">
        <f t="shared" si="27"/>
        <v>0</v>
      </c>
      <c r="AG82" s="9" t="s">
        <v>602</v>
      </c>
      <c r="AH82" s="12">
        <f t="shared" si="24"/>
        <v>0</v>
      </c>
      <c r="AI82" s="12"/>
      <c r="AJ82" s="12">
        <f t="shared" si="28"/>
        <v>0</v>
      </c>
      <c r="AK82" s="12"/>
      <c r="AL82" s="12">
        <f t="shared" si="25"/>
        <v>0</v>
      </c>
      <c r="AM82" s="12"/>
      <c r="AN82" s="13" t="e">
        <f t="shared" si="29"/>
        <v>#DIV/0!</v>
      </c>
      <c r="AO82" s="13"/>
      <c r="AP82" s="14" t="e">
        <f t="shared" si="30"/>
        <v>#DIV/0!</v>
      </c>
    </row>
    <row r="83" spans="1:42" s="9" customFormat="1" ht="24.95" customHeight="1" x14ac:dyDescent="0.2">
      <c r="A83" s="9" t="s">
        <v>297</v>
      </c>
      <c r="B83" s="12">
        <f>CNT!S104</f>
        <v>15772444.83</v>
      </c>
      <c r="C83" s="12"/>
      <c r="D83" s="12">
        <f>BPM!S41</f>
        <v>0</v>
      </c>
      <c r="E83" s="12"/>
      <c r="F83" s="12">
        <f>DEP!S41</f>
        <v>374769.08</v>
      </c>
      <c r="G83" s="12"/>
      <c r="H83" s="12">
        <f>Lending!F37</f>
        <v>12666.58</v>
      </c>
      <c r="J83" s="12">
        <f>BSC!F55</f>
        <v>0</v>
      </c>
      <c r="L83" s="12">
        <v>0</v>
      </c>
      <c r="N83" s="12">
        <v>0</v>
      </c>
      <c r="P83" s="12">
        <f t="shared" si="26"/>
        <v>16159880.49</v>
      </c>
      <c r="Q83" s="9" t="s">
        <v>297</v>
      </c>
      <c r="R83" s="54">
        <v>3555993.84</v>
      </c>
      <c r="S83" s="12"/>
      <c r="T83" s="54">
        <v>0</v>
      </c>
      <c r="U83" s="12"/>
      <c r="V83" s="54">
        <v>313551</v>
      </c>
      <c r="W83" s="12"/>
      <c r="X83" s="54">
        <v>11220.19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7"/>
        <v>3880765.03</v>
      </c>
      <c r="AG83" s="9" t="s">
        <v>297</v>
      </c>
      <c r="AH83" s="12">
        <f t="shared" si="24"/>
        <v>16159880.49</v>
      </c>
      <c r="AI83" s="12"/>
      <c r="AJ83" s="12">
        <f t="shared" si="28"/>
        <v>3880765.03</v>
      </c>
      <c r="AK83" s="12"/>
      <c r="AL83" s="12">
        <f t="shared" si="25"/>
        <v>12279115.460000001</v>
      </c>
      <c r="AM83" s="12"/>
      <c r="AN83" s="13">
        <f t="shared" ref="AN83:AN91" si="31">AH83/AJ83</f>
        <v>4.1640966059725599</v>
      </c>
      <c r="AO83" s="13"/>
      <c r="AP83" s="14">
        <f t="shared" si="30"/>
        <v>3.1640966059725599</v>
      </c>
    </row>
    <row r="84" spans="1:42" s="9" customFormat="1" ht="24.95" customHeight="1" x14ac:dyDescent="0.2">
      <c r="A84" s="9" t="s">
        <v>561</v>
      </c>
      <c r="B84" s="12">
        <f>CNT!S105</f>
        <v>17280.04</v>
      </c>
      <c r="C84" s="12"/>
      <c r="D84" s="12">
        <v>0</v>
      </c>
      <c r="E84" s="12"/>
      <c r="F84" s="12">
        <v>0</v>
      </c>
      <c r="G84" s="12"/>
      <c r="H84" s="12">
        <v>0</v>
      </c>
      <c r="J84" s="12">
        <v>0</v>
      </c>
      <c r="L84" s="12">
        <v>0</v>
      </c>
      <c r="N84" s="12">
        <v>0</v>
      </c>
      <c r="P84" s="12">
        <f t="shared" si="26"/>
        <v>17280.04</v>
      </c>
      <c r="Q84" s="9" t="s">
        <v>561</v>
      </c>
      <c r="R84" s="54">
        <v>18460.400000000001</v>
      </c>
      <c r="S84" s="12"/>
      <c r="T84" s="54">
        <v>0</v>
      </c>
      <c r="U84" s="12"/>
      <c r="V84" s="54">
        <v>0</v>
      </c>
      <c r="W84" s="12"/>
      <c r="X84" s="54">
        <v>0</v>
      </c>
      <c r="Y84" s="12"/>
      <c r="Z84" s="54">
        <v>0</v>
      </c>
      <c r="AA84" s="12"/>
      <c r="AB84" s="54">
        <v>0</v>
      </c>
      <c r="AC84" s="12"/>
      <c r="AD84" s="54">
        <v>0</v>
      </c>
      <c r="AE84" s="12"/>
      <c r="AF84" s="122">
        <f t="shared" si="27"/>
        <v>18460.400000000001</v>
      </c>
      <c r="AG84" s="9" t="s">
        <v>561</v>
      </c>
      <c r="AH84" s="12">
        <f t="shared" si="24"/>
        <v>17280.04</v>
      </c>
      <c r="AI84" s="12"/>
      <c r="AJ84" s="12">
        <f t="shared" si="28"/>
        <v>18460.400000000001</v>
      </c>
      <c r="AK84" s="12"/>
      <c r="AL84" s="12">
        <f t="shared" si="25"/>
        <v>-1180.3600000000006</v>
      </c>
      <c r="AM84" s="12"/>
      <c r="AN84" s="13">
        <f t="shared" si="31"/>
        <v>0.93605989035990556</v>
      </c>
      <c r="AO84" s="13"/>
      <c r="AP84" s="14">
        <f t="shared" si="30"/>
        <v>-6.3940109640094445E-2</v>
      </c>
    </row>
    <row r="85" spans="1:42" s="9" customFormat="1" ht="24.95" customHeight="1" x14ac:dyDescent="0.2">
      <c r="A85" s="9" t="s">
        <v>562</v>
      </c>
      <c r="B85" s="12">
        <f>CNT!S106</f>
        <v>190207.95</v>
      </c>
      <c r="C85" s="12"/>
      <c r="D85" s="12">
        <f>BPM!S42</f>
        <v>1932</v>
      </c>
      <c r="E85" s="12"/>
      <c r="F85" s="12">
        <v>0</v>
      </c>
      <c r="G85" s="12"/>
      <c r="H85" s="12">
        <f>Lending!F32</f>
        <v>0</v>
      </c>
      <c r="J85" s="12">
        <v>0</v>
      </c>
      <c r="L85" s="12">
        <f>'Oliari Co'!F62</f>
        <v>2175</v>
      </c>
      <c r="N85" s="12">
        <v>0</v>
      </c>
      <c r="P85" s="12">
        <f t="shared" si="26"/>
        <v>194314.95</v>
      </c>
      <c r="Q85" s="9" t="s">
        <v>562</v>
      </c>
      <c r="R85" s="54">
        <v>251487.35</v>
      </c>
      <c r="S85" s="12"/>
      <c r="T85" s="54">
        <v>1568.84</v>
      </c>
      <c r="U85" s="12"/>
      <c r="V85" s="54">
        <v>0</v>
      </c>
      <c r="W85" s="12"/>
      <c r="X85" s="54">
        <v>0</v>
      </c>
      <c r="Y85" s="12"/>
      <c r="Z85" s="54">
        <v>0</v>
      </c>
      <c r="AA85" s="12"/>
      <c r="AB85" s="54">
        <v>1775.01</v>
      </c>
      <c r="AC85" s="12"/>
      <c r="AD85" s="54">
        <v>0</v>
      </c>
      <c r="AE85" s="12"/>
      <c r="AF85" s="122">
        <f t="shared" si="27"/>
        <v>254831.2</v>
      </c>
      <c r="AG85" s="9" t="s">
        <v>562</v>
      </c>
      <c r="AH85" s="12">
        <f t="shared" si="24"/>
        <v>194314.95</v>
      </c>
      <c r="AI85" s="12"/>
      <c r="AJ85" s="12">
        <f t="shared" si="28"/>
        <v>254831.2</v>
      </c>
      <c r="AK85" s="12"/>
      <c r="AL85" s="12">
        <f t="shared" si="25"/>
        <v>-60516.25</v>
      </c>
      <c r="AM85" s="12"/>
      <c r="AN85" s="13">
        <f t="shared" si="31"/>
        <v>0.76252417286423324</v>
      </c>
      <c r="AO85" s="13"/>
      <c r="AP85" s="14">
        <f t="shared" si="30"/>
        <v>-0.23747582713576676</v>
      </c>
    </row>
    <row r="86" spans="1:42" s="9" customFormat="1" ht="24.95" customHeight="1" x14ac:dyDescent="0.2">
      <c r="A86" s="9" t="s">
        <v>563</v>
      </c>
      <c r="B86" s="12">
        <f>CNT!S107</f>
        <v>7004.07</v>
      </c>
      <c r="C86" s="12"/>
      <c r="D86" s="12">
        <v>0</v>
      </c>
      <c r="E86" s="12"/>
      <c r="F86" s="12">
        <v>0</v>
      </c>
      <c r="G86" s="12"/>
      <c r="H86" s="12">
        <v>0</v>
      </c>
      <c r="J86" s="12">
        <v>0</v>
      </c>
      <c r="L86" s="12">
        <v>0</v>
      </c>
      <c r="N86" s="12">
        <v>0</v>
      </c>
      <c r="P86" s="12">
        <f t="shared" si="26"/>
        <v>7004.07</v>
      </c>
      <c r="Q86" s="9" t="s">
        <v>563</v>
      </c>
      <c r="R86" s="54">
        <v>4206.0200000000004</v>
      </c>
      <c r="S86" s="12"/>
      <c r="T86" s="54">
        <v>0</v>
      </c>
      <c r="U86" s="12"/>
      <c r="V86" s="54">
        <v>0</v>
      </c>
      <c r="W86" s="12"/>
      <c r="X86" s="54">
        <v>0</v>
      </c>
      <c r="Y86" s="12"/>
      <c r="Z86" s="54">
        <v>0</v>
      </c>
      <c r="AA86" s="12"/>
      <c r="AB86" s="54">
        <v>0</v>
      </c>
      <c r="AC86" s="12"/>
      <c r="AD86" s="54">
        <v>0</v>
      </c>
      <c r="AE86" s="12"/>
      <c r="AF86" s="122">
        <f t="shared" si="27"/>
        <v>4206.0200000000004</v>
      </c>
      <c r="AG86" s="9" t="s">
        <v>563</v>
      </c>
      <c r="AH86" s="12">
        <f t="shared" si="24"/>
        <v>7004.07</v>
      </c>
      <c r="AI86" s="12"/>
      <c r="AJ86" s="12">
        <f t="shared" si="28"/>
        <v>4206.0200000000004</v>
      </c>
      <c r="AK86" s="12"/>
      <c r="AL86" s="12">
        <f t="shared" si="25"/>
        <v>2798.0499999999993</v>
      </c>
      <c r="AM86" s="12"/>
      <c r="AN86" s="13">
        <f t="shared" si="31"/>
        <v>1.6652488575898352</v>
      </c>
      <c r="AO86" s="13"/>
      <c r="AP86" s="14">
        <f t="shared" si="30"/>
        <v>0.66524885758983521</v>
      </c>
    </row>
    <row r="87" spans="1:42" s="9" customFormat="1" ht="24.95" customHeight="1" x14ac:dyDescent="0.2">
      <c r="A87" s="9" t="s">
        <v>298</v>
      </c>
      <c r="B87" s="12">
        <f>CNT!S108</f>
        <v>145919.73000000001</v>
      </c>
      <c r="C87" s="12"/>
      <c r="D87" s="12">
        <v>0</v>
      </c>
      <c r="E87" s="12"/>
      <c r="F87" s="12">
        <f>DEP!S44</f>
        <v>3123.61</v>
      </c>
      <c r="G87" s="12"/>
      <c r="H87" s="12">
        <v>0</v>
      </c>
      <c r="J87" s="12">
        <v>0</v>
      </c>
      <c r="L87" s="12">
        <v>0</v>
      </c>
      <c r="N87" s="12">
        <v>0</v>
      </c>
      <c r="P87" s="12">
        <f t="shared" si="26"/>
        <v>149043.34</v>
      </c>
      <c r="Q87" s="9" t="s">
        <v>298</v>
      </c>
      <c r="R87" s="54">
        <v>96564.68</v>
      </c>
      <c r="S87" s="12"/>
      <c r="T87" s="54">
        <v>0</v>
      </c>
      <c r="U87" s="12"/>
      <c r="V87" s="54">
        <v>2565.4299999999998</v>
      </c>
      <c r="W87" s="12"/>
      <c r="X87" s="54">
        <v>0</v>
      </c>
      <c r="Y87" s="12"/>
      <c r="Z87" s="54">
        <v>0</v>
      </c>
      <c r="AA87" s="12"/>
      <c r="AB87" s="54">
        <v>0</v>
      </c>
      <c r="AC87" s="12"/>
      <c r="AD87" s="54">
        <v>0</v>
      </c>
      <c r="AE87" s="12"/>
      <c r="AF87" s="122">
        <f t="shared" si="27"/>
        <v>99130.109999999986</v>
      </c>
      <c r="AG87" s="9" t="s">
        <v>298</v>
      </c>
      <c r="AH87" s="12">
        <f t="shared" si="24"/>
        <v>149043.34</v>
      </c>
      <c r="AI87" s="12"/>
      <c r="AJ87" s="12">
        <f t="shared" si="28"/>
        <v>99130.109999999986</v>
      </c>
      <c r="AK87" s="12"/>
      <c r="AL87" s="12">
        <f t="shared" si="25"/>
        <v>49913.23000000001</v>
      </c>
      <c r="AM87" s="12"/>
      <c r="AN87" s="13">
        <f t="shared" si="31"/>
        <v>1.5035123031740811</v>
      </c>
      <c r="AO87" s="13"/>
      <c r="AP87" s="14">
        <f t="shared" si="30"/>
        <v>0.50351230317408113</v>
      </c>
    </row>
    <row r="88" spans="1:42" s="9" customFormat="1" ht="24.95" customHeight="1" x14ac:dyDescent="0.2">
      <c r="A88" s="9" t="s">
        <v>616</v>
      </c>
      <c r="B88" s="12">
        <f>CNT!S110</f>
        <v>4338500.0199999996</v>
      </c>
      <c r="C88" s="12"/>
      <c r="D88" s="12">
        <v>0</v>
      </c>
      <c r="E88" s="12"/>
      <c r="F88" s="12">
        <v>0</v>
      </c>
      <c r="G88" s="12"/>
      <c r="H88" s="12">
        <v>0</v>
      </c>
      <c r="J88" s="12">
        <f>BSC!F58</f>
        <v>6750</v>
      </c>
      <c r="L88" s="12">
        <v>0</v>
      </c>
      <c r="N88" s="12">
        <v>0</v>
      </c>
      <c r="P88" s="12">
        <f t="shared" si="26"/>
        <v>4345250.0199999996</v>
      </c>
      <c r="Q88" s="9" t="s">
        <v>616</v>
      </c>
      <c r="R88" s="54">
        <v>248003.95</v>
      </c>
      <c r="S88" s="12"/>
      <c r="T88" s="54">
        <v>0</v>
      </c>
      <c r="U88" s="12"/>
      <c r="V88" s="54">
        <v>0</v>
      </c>
      <c r="W88" s="12"/>
      <c r="X88" s="54">
        <v>0</v>
      </c>
      <c r="Y88" s="12"/>
      <c r="Z88" s="54">
        <v>6750</v>
      </c>
      <c r="AA88" s="12"/>
      <c r="AB88" s="54">
        <v>0</v>
      </c>
      <c r="AC88" s="12"/>
      <c r="AD88" s="54">
        <v>0</v>
      </c>
      <c r="AE88" s="12"/>
      <c r="AF88" s="122">
        <f t="shared" si="27"/>
        <v>254753.95</v>
      </c>
      <c r="AG88" s="9" t="s">
        <v>616</v>
      </c>
      <c r="AH88" s="12">
        <f t="shared" si="24"/>
        <v>4345250.0199999996</v>
      </c>
      <c r="AI88" s="12"/>
      <c r="AJ88" s="12">
        <f t="shared" si="28"/>
        <v>254753.95</v>
      </c>
      <c r="AK88" s="12"/>
      <c r="AL88" s="12">
        <f t="shared" si="25"/>
        <v>4090496.0699999994</v>
      </c>
      <c r="AM88" s="12"/>
      <c r="AN88" s="13">
        <f t="shared" si="31"/>
        <v>17.056654155902194</v>
      </c>
      <c r="AO88" s="13"/>
      <c r="AP88" s="14">
        <f t="shared" si="30"/>
        <v>16.056654155902194</v>
      </c>
    </row>
    <row r="89" spans="1:42" s="9" customFormat="1" ht="24.95" customHeight="1" x14ac:dyDescent="0.2">
      <c r="A89" s="9" t="s">
        <v>299</v>
      </c>
      <c r="B89" s="12">
        <f>CNT!S109+CNT!S101</f>
        <v>121609.97</v>
      </c>
      <c r="C89" s="12"/>
      <c r="D89" s="12">
        <f>BPM!S43</f>
        <v>101.14</v>
      </c>
      <c r="E89" s="12"/>
      <c r="F89" s="12">
        <f>DEP!S45</f>
        <v>46322.86</v>
      </c>
      <c r="G89" s="12"/>
      <c r="H89" s="12">
        <v>0</v>
      </c>
      <c r="J89" s="12">
        <f>BSC!F61</f>
        <v>5498.64</v>
      </c>
      <c r="L89" s="12">
        <v>0</v>
      </c>
      <c r="N89" s="12">
        <v>0</v>
      </c>
      <c r="P89" s="12">
        <f t="shared" si="26"/>
        <v>173532.61000000002</v>
      </c>
      <c r="Q89" s="9" t="s">
        <v>299</v>
      </c>
      <c r="R89" s="54">
        <v>69006.14</v>
      </c>
      <c r="S89" s="12"/>
      <c r="T89" s="54">
        <v>15942.61</v>
      </c>
      <c r="U89" s="12"/>
      <c r="V89" s="54">
        <v>28454.11</v>
      </c>
      <c r="W89" s="12"/>
      <c r="X89" s="54">
        <v>0</v>
      </c>
      <c r="Y89" s="12"/>
      <c r="Z89" s="54">
        <v>4594.13</v>
      </c>
      <c r="AA89" s="12"/>
      <c r="AB89" s="54">
        <v>0</v>
      </c>
      <c r="AC89" s="12"/>
      <c r="AD89" s="54">
        <v>0</v>
      </c>
      <c r="AE89" s="12"/>
      <c r="AF89" s="122">
        <f t="shared" si="27"/>
        <v>117996.99</v>
      </c>
      <c r="AG89" s="9" t="s">
        <v>299</v>
      </c>
      <c r="AH89" s="12">
        <f t="shared" si="24"/>
        <v>173532.61000000002</v>
      </c>
      <c r="AI89" s="12"/>
      <c r="AJ89" s="12">
        <f t="shared" si="28"/>
        <v>117996.99</v>
      </c>
      <c r="AK89" s="12"/>
      <c r="AL89" s="12">
        <f t="shared" si="25"/>
        <v>55535.62000000001</v>
      </c>
      <c r="AM89" s="12"/>
      <c r="AN89" s="13">
        <f>AH89/AJ89</f>
        <v>1.4706528530939647</v>
      </c>
      <c r="AO89" s="13"/>
      <c r="AP89" s="14">
        <f t="shared" si="30"/>
        <v>0.47065285309396465</v>
      </c>
    </row>
    <row r="90" spans="1:42" s="9" customFormat="1" ht="24.95" customHeight="1" x14ac:dyDescent="0.2">
      <c r="A90" s="9" t="s">
        <v>564</v>
      </c>
      <c r="B90" s="12">
        <f>CNT!S115</f>
        <v>50000</v>
      </c>
      <c r="C90" s="12"/>
      <c r="D90" s="12">
        <v>0</v>
      </c>
      <c r="E90" s="12"/>
      <c r="F90" s="12">
        <f>DEP!S43</f>
        <v>0</v>
      </c>
      <c r="G90" s="12"/>
      <c r="H90" s="12">
        <v>0</v>
      </c>
      <c r="I90" s="12"/>
      <c r="J90" s="12">
        <v>0</v>
      </c>
      <c r="K90" s="12"/>
      <c r="L90" s="12">
        <v>0</v>
      </c>
      <c r="M90" s="12"/>
      <c r="N90" s="12">
        <v>0</v>
      </c>
      <c r="O90" s="12"/>
      <c r="P90" s="12">
        <f t="shared" si="26"/>
        <v>50000</v>
      </c>
      <c r="Q90" s="9" t="s">
        <v>564</v>
      </c>
      <c r="R90" s="54">
        <v>22639</v>
      </c>
      <c r="S90" s="12"/>
      <c r="T90" s="54">
        <v>0</v>
      </c>
      <c r="U90" s="12"/>
      <c r="V90" s="54">
        <v>13898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7"/>
        <v>36537</v>
      </c>
      <c r="AG90" s="9" t="s">
        <v>564</v>
      </c>
      <c r="AH90" s="12">
        <f t="shared" si="24"/>
        <v>50000</v>
      </c>
      <c r="AI90" s="12"/>
      <c r="AJ90" s="12">
        <f t="shared" si="28"/>
        <v>36537</v>
      </c>
      <c r="AK90" s="12"/>
      <c r="AL90" s="12">
        <f t="shared" si="25"/>
        <v>13463</v>
      </c>
      <c r="AM90" s="12"/>
      <c r="AN90" s="13">
        <f>AH90/AJ90</f>
        <v>1.3684757916632455</v>
      </c>
      <c r="AO90" s="13"/>
      <c r="AP90" s="14">
        <f t="shared" si="30"/>
        <v>0.36847579166324551</v>
      </c>
    </row>
    <row r="91" spans="1:42" s="9" customFormat="1" ht="24.95" customHeight="1" x14ac:dyDescent="0.2">
      <c r="A91" s="9" t="s">
        <v>300</v>
      </c>
      <c r="B91" s="12">
        <f>CNT!S111</f>
        <v>45046.559999999998</v>
      </c>
      <c r="C91" s="12"/>
      <c r="D91" s="12">
        <f>BPM!S44+BPM!S45</f>
        <v>0</v>
      </c>
      <c r="E91" s="12"/>
      <c r="F91" s="12">
        <f>DEP!S46</f>
        <v>2902.12</v>
      </c>
      <c r="G91" s="12"/>
      <c r="H91" s="12">
        <v>0</v>
      </c>
      <c r="J91" s="12">
        <f>BSC!F62</f>
        <v>0</v>
      </c>
      <c r="L91" s="12">
        <v>0</v>
      </c>
      <c r="N91" s="12">
        <v>0</v>
      </c>
      <c r="P91" s="12">
        <f t="shared" si="26"/>
        <v>47948.68</v>
      </c>
      <c r="Q91" s="9" t="s">
        <v>300</v>
      </c>
      <c r="R91" s="54">
        <v>155241.82</v>
      </c>
      <c r="S91" s="12"/>
      <c r="T91" s="54">
        <v>31722.79</v>
      </c>
      <c r="U91" s="12"/>
      <c r="V91" s="54">
        <v>11144.23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7"/>
        <v>198108.84000000003</v>
      </c>
      <c r="AG91" s="9" t="s">
        <v>300</v>
      </c>
      <c r="AH91" s="12">
        <f t="shared" si="24"/>
        <v>47948.68</v>
      </c>
      <c r="AI91" s="12"/>
      <c r="AJ91" s="12">
        <f t="shared" si="28"/>
        <v>198108.84000000003</v>
      </c>
      <c r="AK91" s="12"/>
      <c r="AL91" s="12">
        <f t="shared" si="25"/>
        <v>-150160.16000000003</v>
      </c>
      <c r="AM91" s="12"/>
      <c r="AN91" s="13">
        <f t="shared" si="31"/>
        <v>0.2420320062446481</v>
      </c>
      <c r="AO91" s="13"/>
      <c r="AP91" s="14">
        <f t="shared" si="30"/>
        <v>-0.75796799375535184</v>
      </c>
    </row>
    <row r="92" spans="1:42" s="9" customFormat="1" ht="24.95" customHeight="1" x14ac:dyDescent="0.2">
      <c r="A92" s="9" t="s">
        <v>717</v>
      </c>
      <c r="B92" s="12">
        <f>CNT!S113</f>
        <v>0</v>
      </c>
      <c r="C92" s="12"/>
      <c r="D92" s="12">
        <v>0</v>
      </c>
      <c r="E92" s="12"/>
      <c r="F92" s="12">
        <v>0</v>
      </c>
      <c r="G92" s="12"/>
      <c r="H92" s="12">
        <v>0</v>
      </c>
      <c r="J92" s="12">
        <v>0</v>
      </c>
      <c r="L92" s="12">
        <v>0</v>
      </c>
      <c r="N92" s="12">
        <v>0</v>
      </c>
      <c r="P92" s="12">
        <f t="shared" si="26"/>
        <v>0</v>
      </c>
      <c r="Q92" s="9" t="s">
        <v>301</v>
      </c>
      <c r="R92" s="54">
        <v>0</v>
      </c>
      <c r="S92" s="12"/>
      <c r="T92" s="54">
        <v>0</v>
      </c>
      <c r="U92" s="12"/>
      <c r="V92" s="54">
        <v>0</v>
      </c>
      <c r="W92" s="12"/>
      <c r="X92" s="54">
        <v>0</v>
      </c>
      <c r="Y92" s="12"/>
      <c r="Z92" s="54">
        <v>0</v>
      </c>
      <c r="AA92" s="12"/>
      <c r="AB92" s="54">
        <v>0</v>
      </c>
      <c r="AC92" s="12"/>
      <c r="AD92" s="54">
        <v>0</v>
      </c>
      <c r="AE92" s="12"/>
      <c r="AF92" s="122">
        <f t="shared" si="27"/>
        <v>0</v>
      </c>
      <c r="AG92" s="9" t="s">
        <v>301</v>
      </c>
      <c r="AH92" s="12">
        <f t="shared" si="24"/>
        <v>0</v>
      </c>
      <c r="AI92" s="12"/>
      <c r="AJ92" s="12">
        <f t="shared" si="28"/>
        <v>0</v>
      </c>
      <c r="AK92" s="12"/>
      <c r="AL92" s="12">
        <f t="shared" si="25"/>
        <v>0</v>
      </c>
      <c r="AM92" s="12"/>
      <c r="AN92" s="13" t="e">
        <f>AH92/AJ92</f>
        <v>#DIV/0!</v>
      </c>
      <c r="AO92" s="13"/>
      <c r="AP92" s="14" t="e">
        <f t="shared" si="30"/>
        <v>#DIV/0!</v>
      </c>
    </row>
    <row r="93" spans="1:42" s="9" customFormat="1" ht="24.95" customHeight="1" x14ac:dyDescent="0.2">
      <c r="A93" s="9" t="s">
        <v>302</v>
      </c>
      <c r="B93" s="12">
        <f>CNT!S114</f>
        <v>2190.6799999999998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v>0</v>
      </c>
      <c r="P93" s="12">
        <f t="shared" si="26"/>
        <v>2190.6799999999998</v>
      </c>
      <c r="Q93" s="9" t="s">
        <v>302</v>
      </c>
      <c r="R93" s="54">
        <v>459.36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0</v>
      </c>
      <c r="AE93" s="12"/>
      <c r="AF93" s="122">
        <f t="shared" si="27"/>
        <v>459.36</v>
      </c>
      <c r="AG93" s="9" t="s">
        <v>302</v>
      </c>
      <c r="AH93" s="12">
        <f t="shared" si="24"/>
        <v>2190.6799999999998</v>
      </c>
      <c r="AI93" s="12"/>
      <c r="AJ93" s="12">
        <f t="shared" si="28"/>
        <v>459.36</v>
      </c>
      <c r="AK93" s="12"/>
      <c r="AL93" s="12">
        <f t="shared" si="25"/>
        <v>1731.3199999999997</v>
      </c>
      <c r="AM93" s="12"/>
      <c r="AN93" s="13">
        <v>0</v>
      </c>
      <c r="AO93" s="13"/>
      <c r="AP93" s="14">
        <f t="shared" si="30"/>
        <v>-1</v>
      </c>
    </row>
    <row r="94" spans="1:42" s="9" customFormat="1" ht="24.95" customHeight="1" x14ac:dyDescent="0.2">
      <c r="A94" s="9" t="s">
        <v>303</v>
      </c>
      <c r="B94" s="12">
        <f>CNT!S116</f>
        <v>3089.46</v>
      </c>
      <c r="C94" s="12"/>
      <c r="D94" s="12">
        <v>0</v>
      </c>
      <c r="E94" s="12"/>
      <c r="F94" s="12">
        <v>0</v>
      </c>
      <c r="G94" s="12"/>
      <c r="H94" s="12">
        <v>0</v>
      </c>
      <c r="J94" s="12">
        <v>0</v>
      </c>
      <c r="L94" s="12">
        <v>0</v>
      </c>
      <c r="N94" s="12">
        <v>0</v>
      </c>
      <c r="P94" s="12">
        <f t="shared" si="26"/>
        <v>3089.46</v>
      </c>
      <c r="Q94" s="9" t="s">
        <v>303</v>
      </c>
      <c r="R94" s="54">
        <v>27.6</v>
      </c>
      <c r="S94" s="12"/>
      <c r="T94" s="54">
        <v>0</v>
      </c>
      <c r="U94" s="12"/>
      <c r="V94" s="54">
        <v>0</v>
      </c>
      <c r="W94" s="12"/>
      <c r="X94" s="54">
        <v>0</v>
      </c>
      <c r="Y94" s="12"/>
      <c r="Z94" s="54">
        <v>0</v>
      </c>
      <c r="AA94" s="12"/>
      <c r="AB94" s="54">
        <v>0</v>
      </c>
      <c r="AC94" s="12"/>
      <c r="AD94" s="54">
        <v>0</v>
      </c>
      <c r="AE94" s="12"/>
      <c r="AF94" s="122">
        <f t="shared" si="27"/>
        <v>27.6</v>
      </c>
      <c r="AG94" s="9" t="s">
        <v>303</v>
      </c>
      <c r="AH94" s="12">
        <f t="shared" si="24"/>
        <v>3089.46</v>
      </c>
      <c r="AI94" s="12"/>
      <c r="AJ94" s="12">
        <f t="shared" si="28"/>
        <v>27.6</v>
      </c>
      <c r="AK94" s="12"/>
      <c r="AL94" s="12">
        <f t="shared" si="25"/>
        <v>3061.86</v>
      </c>
      <c r="AM94" s="12"/>
      <c r="AN94" s="13">
        <v>0</v>
      </c>
      <c r="AO94" s="13"/>
      <c r="AP94" s="14">
        <f t="shared" si="30"/>
        <v>-1</v>
      </c>
    </row>
    <row r="95" spans="1:42" s="9" customFormat="1" ht="24.95" customHeight="1" x14ac:dyDescent="0.2">
      <c r="A95" s="9" t="s">
        <v>565</v>
      </c>
      <c r="B95" s="12">
        <v>0</v>
      </c>
      <c r="C95" s="12"/>
      <c r="D95" s="12">
        <v>0</v>
      </c>
      <c r="E95" s="12"/>
      <c r="F95" s="12">
        <f>DEP!S42</f>
        <v>32959.660000000003</v>
      </c>
      <c r="G95" s="12"/>
      <c r="H95" s="12">
        <v>0</v>
      </c>
      <c r="J95" s="12">
        <f>BSC!F60</f>
        <v>2150</v>
      </c>
      <c r="L95" s="12">
        <v>0</v>
      </c>
      <c r="N95" s="12">
        <f>'722 Bedford St'!E43</f>
        <v>0</v>
      </c>
      <c r="P95" s="12">
        <f t="shared" si="26"/>
        <v>35109.660000000003</v>
      </c>
      <c r="Q95" s="9" t="s">
        <v>565</v>
      </c>
      <c r="R95" s="54">
        <v>0</v>
      </c>
      <c r="S95" s="12"/>
      <c r="T95" s="54">
        <v>0</v>
      </c>
      <c r="U95" s="12"/>
      <c r="V95" s="54">
        <v>42054.67</v>
      </c>
      <c r="W95" s="12"/>
      <c r="X95" s="54">
        <v>0</v>
      </c>
      <c r="Y95" s="12"/>
      <c r="Z95" s="54">
        <v>1972.5</v>
      </c>
      <c r="AA95" s="12"/>
      <c r="AB95" s="54">
        <v>0</v>
      </c>
      <c r="AC95" s="12"/>
      <c r="AD95" s="54">
        <v>0</v>
      </c>
      <c r="AE95" s="12"/>
      <c r="AF95" s="122">
        <f t="shared" si="27"/>
        <v>44027.17</v>
      </c>
      <c r="AG95" s="9" t="s">
        <v>565</v>
      </c>
      <c r="AH95" s="12">
        <f t="shared" si="24"/>
        <v>35109.660000000003</v>
      </c>
      <c r="AI95" s="12"/>
      <c r="AJ95" s="12">
        <f t="shared" si="28"/>
        <v>44027.17</v>
      </c>
      <c r="AK95" s="12"/>
      <c r="AL95" s="12">
        <f t="shared" si="25"/>
        <v>-8917.5099999999948</v>
      </c>
      <c r="AM95" s="12"/>
      <c r="AN95" s="13">
        <f>AH95/AJ95</f>
        <v>0.79745439009593411</v>
      </c>
      <c r="AO95" s="13"/>
      <c r="AP95" s="14">
        <f t="shared" si="30"/>
        <v>-0.20254560990406589</v>
      </c>
    </row>
    <row r="96" spans="1:42" s="9" customFormat="1" ht="24.95" customHeight="1" x14ac:dyDescent="0.2">
      <c r="A96" s="9" t="s">
        <v>611</v>
      </c>
      <c r="B96" s="12">
        <v>0</v>
      </c>
      <c r="C96" s="12"/>
      <c r="D96" s="12">
        <v>0</v>
      </c>
      <c r="E96" s="12"/>
      <c r="F96" s="12">
        <v>0</v>
      </c>
      <c r="G96" s="12"/>
      <c r="H96" s="12">
        <v>0</v>
      </c>
      <c r="J96" s="12">
        <v>0</v>
      </c>
      <c r="L96" s="12">
        <v>0</v>
      </c>
      <c r="N96" s="12">
        <f>'722 Bedford St'!E39+'722 Bedford St'!E40+'722 Bedford St'!E41+'722 Bedford St'!E42</f>
        <v>0</v>
      </c>
      <c r="P96" s="12">
        <f t="shared" si="26"/>
        <v>0</v>
      </c>
      <c r="Q96" s="9" t="s">
        <v>611</v>
      </c>
      <c r="R96" s="54">
        <v>0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803641.29</v>
      </c>
      <c r="AE96" s="12"/>
      <c r="AF96" s="122">
        <f t="shared" si="27"/>
        <v>803641.29</v>
      </c>
      <c r="AG96" s="9" t="s">
        <v>611</v>
      </c>
      <c r="AH96" s="12">
        <f t="shared" si="24"/>
        <v>0</v>
      </c>
      <c r="AI96" s="12"/>
      <c r="AJ96" s="12">
        <f t="shared" si="28"/>
        <v>803641.29</v>
      </c>
      <c r="AK96" s="12"/>
      <c r="AL96" s="12">
        <f t="shared" si="25"/>
        <v>-803641.29</v>
      </c>
      <c r="AM96" s="12"/>
      <c r="AN96" s="13">
        <f>AH96/AJ96</f>
        <v>0</v>
      </c>
      <c r="AO96" s="13"/>
      <c r="AP96" s="14">
        <f t="shared" si="30"/>
        <v>-1</v>
      </c>
    </row>
    <row r="97" spans="1:42" s="9" customFormat="1" ht="24.95" customHeight="1" x14ac:dyDescent="0.2">
      <c r="A97" s="9" t="s">
        <v>685</v>
      </c>
      <c r="B97" s="12">
        <f>CNT!S112</f>
        <v>4160.25</v>
      </c>
      <c r="C97" s="12"/>
      <c r="D97" s="12">
        <v>0</v>
      </c>
      <c r="E97" s="12"/>
      <c r="F97" s="12">
        <f>DEP!S47</f>
        <v>3283</v>
      </c>
      <c r="G97" s="12"/>
      <c r="H97" s="12">
        <v>0</v>
      </c>
      <c r="J97" s="12">
        <v>0</v>
      </c>
      <c r="L97" s="12">
        <v>0</v>
      </c>
      <c r="N97" s="12">
        <v>0</v>
      </c>
      <c r="P97" s="12">
        <f t="shared" si="26"/>
        <v>7443.25</v>
      </c>
      <c r="Q97" s="9" t="s">
        <v>685</v>
      </c>
      <c r="R97" s="54">
        <v>-425</v>
      </c>
      <c r="S97" s="12"/>
      <c r="T97" s="54">
        <v>0</v>
      </c>
      <c r="U97" s="12"/>
      <c r="V97" s="54">
        <v>2850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7"/>
        <v>2425</v>
      </c>
      <c r="AG97" s="9" t="s">
        <v>685</v>
      </c>
      <c r="AH97" s="12">
        <f t="shared" si="24"/>
        <v>7443.25</v>
      </c>
      <c r="AI97" s="12"/>
      <c r="AJ97" s="12">
        <f t="shared" si="28"/>
        <v>2425</v>
      </c>
      <c r="AK97" s="12"/>
      <c r="AL97" s="12">
        <f t="shared" si="25"/>
        <v>5018.25</v>
      </c>
      <c r="AM97" s="12"/>
      <c r="AN97" s="13">
        <f>AH97/AJ97</f>
        <v>3.069381443298969</v>
      </c>
      <c r="AO97" s="13"/>
      <c r="AP97" s="14">
        <f t="shared" si="30"/>
        <v>2.069381443298969</v>
      </c>
    </row>
    <row r="98" spans="1:42" s="9" customFormat="1" ht="24.95" customHeight="1" x14ac:dyDescent="0.2">
      <c r="A98" s="9" t="s">
        <v>735</v>
      </c>
      <c r="B98" s="12">
        <v>0</v>
      </c>
      <c r="C98" s="12"/>
      <c r="D98" s="12">
        <v>0</v>
      </c>
      <c r="E98" s="12"/>
      <c r="F98" s="12">
        <v>0</v>
      </c>
      <c r="G98" s="12"/>
      <c r="H98" s="12">
        <f>Lending!F33</f>
        <v>1595.44</v>
      </c>
      <c r="J98" s="12">
        <v>0</v>
      </c>
      <c r="L98" s="12">
        <v>0</v>
      </c>
      <c r="N98" s="12">
        <v>0</v>
      </c>
      <c r="P98" s="12">
        <f t="shared" si="26"/>
        <v>1595.44</v>
      </c>
      <c r="Q98" s="9" t="s">
        <v>735</v>
      </c>
      <c r="R98" s="54">
        <v>0</v>
      </c>
      <c r="S98" s="12"/>
      <c r="T98" s="54">
        <v>0</v>
      </c>
      <c r="U98" s="12"/>
      <c r="V98" s="54">
        <v>0</v>
      </c>
      <c r="W98" s="12"/>
      <c r="X98" s="54">
        <v>0</v>
      </c>
      <c r="Y98" s="12"/>
      <c r="Z98" s="54">
        <v>0</v>
      </c>
      <c r="AA98" s="12"/>
      <c r="AB98" s="54">
        <v>0</v>
      </c>
      <c r="AC98" s="12"/>
      <c r="AD98" s="54">
        <v>0</v>
      </c>
      <c r="AE98" s="12"/>
      <c r="AF98" s="122">
        <f t="shared" si="27"/>
        <v>0</v>
      </c>
      <c r="AG98" s="9" t="s">
        <v>735</v>
      </c>
      <c r="AH98" s="12">
        <f t="shared" si="24"/>
        <v>1595.44</v>
      </c>
      <c r="AI98" s="12"/>
      <c r="AJ98" s="12">
        <f t="shared" si="28"/>
        <v>0</v>
      </c>
      <c r="AK98" s="12"/>
      <c r="AL98" s="12">
        <f t="shared" si="25"/>
        <v>1595.44</v>
      </c>
      <c r="AM98" s="12"/>
      <c r="AN98" s="13" t="e">
        <f>AH98/AJ98</f>
        <v>#DIV/0!</v>
      </c>
      <c r="AO98" s="13"/>
      <c r="AP98" s="14" t="e">
        <f t="shared" si="30"/>
        <v>#DIV/0!</v>
      </c>
    </row>
    <row r="99" spans="1:42" s="9" customFormat="1" ht="24.95" customHeight="1" x14ac:dyDescent="0.2">
      <c r="A99" s="9" t="s">
        <v>304</v>
      </c>
      <c r="B99" s="12">
        <f>CNT!S117</f>
        <v>0</v>
      </c>
      <c r="C99" s="12"/>
      <c r="D99" s="12"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6"/>
        <v>0</v>
      </c>
      <c r="Q99" s="9" t="s">
        <v>304</v>
      </c>
      <c r="R99" s="54">
        <v>3617.26</v>
      </c>
      <c r="S99" s="12"/>
      <c r="T99" s="54">
        <v>0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7"/>
        <v>3617.26</v>
      </c>
      <c r="AG99" s="9" t="s">
        <v>304</v>
      </c>
      <c r="AH99" s="12">
        <f t="shared" si="24"/>
        <v>0</v>
      </c>
      <c r="AI99" s="12"/>
      <c r="AJ99" s="12">
        <f t="shared" si="28"/>
        <v>3617.26</v>
      </c>
      <c r="AK99" s="12"/>
      <c r="AL99" s="12">
        <f t="shared" si="25"/>
        <v>-3617.26</v>
      </c>
      <c r="AM99" s="12"/>
      <c r="AN99" s="13">
        <v>0</v>
      </c>
      <c r="AO99" s="13"/>
      <c r="AP99" s="14">
        <f t="shared" si="30"/>
        <v>-1</v>
      </c>
    </row>
    <row r="100" spans="1:42" s="9" customFormat="1" ht="24.95" customHeight="1" x14ac:dyDescent="0.2">
      <c r="A100" s="9" t="s">
        <v>305</v>
      </c>
      <c r="B100" s="12">
        <f>CNT!S118</f>
        <v>0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v>0</v>
      </c>
      <c r="L100" s="12">
        <v>0</v>
      </c>
      <c r="N100" s="12">
        <v>0</v>
      </c>
      <c r="P100" s="12">
        <f t="shared" si="26"/>
        <v>0</v>
      </c>
      <c r="Q100" s="9" t="s">
        <v>305</v>
      </c>
      <c r="R100" s="54">
        <v>0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0</v>
      </c>
      <c r="AA100" s="12"/>
      <c r="AB100" s="54">
        <v>0</v>
      </c>
      <c r="AC100" s="12"/>
      <c r="AD100" s="54">
        <v>0</v>
      </c>
      <c r="AE100" s="12"/>
      <c r="AF100" s="122">
        <f t="shared" si="27"/>
        <v>0</v>
      </c>
      <c r="AG100" s="9" t="s">
        <v>305</v>
      </c>
      <c r="AH100" s="12">
        <f t="shared" si="24"/>
        <v>0</v>
      </c>
      <c r="AI100" s="12"/>
      <c r="AJ100" s="12">
        <f t="shared" si="28"/>
        <v>0</v>
      </c>
      <c r="AK100" s="12"/>
      <c r="AL100" s="12">
        <f t="shared" si="25"/>
        <v>0</v>
      </c>
      <c r="AM100" s="12"/>
      <c r="AN100" s="13">
        <v>0</v>
      </c>
      <c r="AO100" s="13"/>
      <c r="AP100" s="14">
        <f t="shared" si="30"/>
        <v>-1</v>
      </c>
    </row>
    <row r="101" spans="1:42" s="9" customFormat="1" ht="24.95" customHeight="1" x14ac:dyDescent="0.2">
      <c r="A101" s="9" t="s">
        <v>306</v>
      </c>
      <c r="B101" s="12">
        <f>CNT!S119</f>
        <v>0</v>
      </c>
      <c r="C101" s="12"/>
      <c r="D101" s="12">
        <v>0</v>
      </c>
      <c r="E101" s="12"/>
      <c r="F101" s="12">
        <v>0</v>
      </c>
      <c r="G101" s="12"/>
      <c r="H101" s="12">
        <v>0</v>
      </c>
      <c r="J101" s="12">
        <v>0</v>
      </c>
      <c r="L101" s="12">
        <v>0</v>
      </c>
      <c r="N101" s="12">
        <v>0</v>
      </c>
      <c r="P101" s="12">
        <f t="shared" si="26"/>
        <v>0</v>
      </c>
      <c r="Q101" s="9" t="s">
        <v>306</v>
      </c>
      <c r="R101" s="54">
        <v>0</v>
      </c>
      <c r="S101" s="12"/>
      <c r="T101" s="54">
        <v>0</v>
      </c>
      <c r="U101" s="12"/>
      <c r="V101" s="54">
        <v>0</v>
      </c>
      <c r="W101" s="12"/>
      <c r="X101" s="54">
        <v>0</v>
      </c>
      <c r="Y101" s="12"/>
      <c r="Z101" s="54">
        <v>0</v>
      </c>
      <c r="AA101" s="12"/>
      <c r="AB101" s="54">
        <v>0</v>
      </c>
      <c r="AC101" s="12"/>
      <c r="AD101" s="54">
        <v>0</v>
      </c>
      <c r="AE101" s="12"/>
      <c r="AF101" s="122">
        <f t="shared" si="27"/>
        <v>0</v>
      </c>
      <c r="AG101" s="9" t="s">
        <v>306</v>
      </c>
      <c r="AH101" s="12">
        <f t="shared" si="24"/>
        <v>0</v>
      </c>
      <c r="AI101" s="12"/>
      <c r="AJ101" s="12">
        <f t="shared" si="28"/>
        <v>0</v>
      </c>
      <c r="AK101" s="12"/>
      <c r="AL101" s="12">
        <f t="shared" si="25"/>
        <v>0</v>
      </c>
      <c r="AM101" s="12"/>
      <c r="AN101" s="13">
        <v>0</v>
      </c>
      <c r="AO101" s="13"/>
      <c r="AP101" s="14">
        <f t="shared" si="30"/>
        <v>-1</v>
      </c>
    </row>
    <row r="102" spans="1:42" s="9" customFormat="1" ht="24.95" customHeight="1" x14ac:dyDescent="0.2">
      <c r="A102" s="9" t="s">
        <v>307</v>
      </c>
      <c r="B102" s="12">
        <v>0</v>
      </c>
      <c r="C102" s="12"/>
      <c r="D102" s="12">
        <f>BPM!S47</f>
        <v>0</v>
      </c>
      <c r="E102" s="12"/>
      <c r="F102" s="12">
        <v>0</v>
      </c>
      <c r="G102" s="12"/>
      <c r="H102" s="12">
        <v>0</v>
      </c>
      <c r="J102" s="12">
        <v>0</v>
      </c>
      <c r="L102" s="12">
        <v>0</v>
      </c>
      <c r="N102" s="12">
        <v>0</v>
      </c>
      <c r="P102" s="12">
        <f t="shared" si="26"/>
        <v>0</v>
      </c>
      <c r="Q102" s="9" t="s">
        <v>307</v>
      </c>
      <c r="R102" s="54">
        <v>0</v>
      </c>
      <c r="S102" s="12"/>
      <c r="T102" s="54">
        <v>2472.5</v>
      </c>
      <c r="U102" s="12"/>
      <c r="V102" s="54">
        <v>0</v>
      </c>
      <c r="W102" s="12"/>
      <c r="X102" s="54">
        <v>0</v>
      </c>
      <c r="Y102" s="12"/>
      <c r="Z102" s="54">
        <v>0</v>
      </c>
      <c r="AA102" s="12"/>
      <c r="AB102" s="54">
        <v>0</v>
      </c>
      <c r="AC102" s="12"/>
      <c r="AD102" s="54">
        <v>0</v>
      </c>
      <c r="AE102" s="12"/>
      <c r="AF102" s="122">
        <f t="shared" si="27"/>
        <v>2472.5</v>
      </c>
      <c r="AG102" s="9" t="s">
        <v>307</v>
      </c>
      <c r="AH102" s="12">
        <f t="shared" si="24"/>
        <v>0</v>
      </c>
      <c r="AI102" s="12"/>
      <c r="AJ102" s="12">
        <f t="shared" si="28"/>
        <v>2472.5</v>
      </c>
      <c r="AK102" s="12"/>
      <c r="AL102" s="12">
        <f t="shared" si="25"/>
        <v>-2472.5</v>
      </c>
      <c r="AM102" s="12"/>
      <c r="AN102" s="13">
        <f>AH102/AJ102</f>
        <v>0</v>
      </c>
      <c r="AO102" s="13"/>
      <c r="AP102" s="14">
        <f t="shared" si="30"/>
        <v>-1</v>
      </c>
    </row>
    <row r="103" spans="1:42" s="9" customFormat="1" ht="24.95" customHeight="1" x14ac:dyDescent="0.2">
      <c r="A103" s="9" t="s">
        <v>308</v>
      </c>
      <c r="B103" s="12">
        <f>CNT!S120</f>
        <v>5132276.25</v>
      </c>
      <c r="C103" s="12"/>
      <c r="D103" s="12">
        <v>0</v>
      </c>
      <c r="E103" s="12"/>
      <c r="F103" s="12">
        <v>0</v>
      </c>
      <c r="G103" s="12"/>
      <c r="H103" s="12">
        <v>0</v>
      </c>
      <c r="J103" s="12">
        <v>0</v>
      </c>
      <c r="L103" s="12">
        <v>0</v>
      </c>
      <c r="N103" s="12">
        <v>0</v>
      </c>
      <c r="P103" s="12">
        <f t="shared" si="26"/>
        <v>5132276.25</v>
      </c>
      <c r="Q103" s="9" t="s">
        <v>308</v>
      </c>
      <c r="R103" s="54">
        <v>119284.99</v>
      </c>
      <c r="S103" s="12"/>
      <c r="T103" s="54">
        <v>0</v>
      </c>
      <c r="U103" s="12"/>
      <c r="V103" s="54">
        <v>0</v>
      </c>
      <c r="W103" s="12"/>
      <c r="X103" s="54">
        <v>0</v>
      </c>
      <c r="Y103" s="12"/>
      <c r="Z103" s="54">
        <v>0</v>
      </c>
      <c r="AA103" s="12"/>
      <c r="AB103" s="54">
        <v>0</v>
      </c>
      <c r="AC103" s="12"/>
      <c r="AD103" s="54">
        <v>0</v>
      </c>
      <c r="AE103" s="12"/>
      <c r="AF103" s="122">
        <f t="shared" si="27"/>
        <v>119284.99</v>
      </c>
      <c r="AG103" s="9" t="s">
        <v>308</v>
      </c>
      <c r="AH103" s="12">
        <f t="shared" si="24"/>
        <v>5132276.25</v>
      </c>
      <c r="AI103" s="12"/>
      <c r="AJ103" s="12">
        <f t="shared" si="28"/>
        <v>119284.99</v>
      </c>
      <c r="AK103" s="12"/>
      <c r="AL103" s="12">
        <f t="shared" si="25"/>
        <v>5012991.26</v>
      </c>
      <c r="AM103" s="12"/>
      <c r="AN103" s="13">
        <f>AH103/AJ103</f>
        <v>43.025331602911649</v>
      </c>
      <c r="AO103" s="13"/>
      <c r="AP103" s="14">
        <f t="shared" si="30"/>
        <v>42.025331602911649</v>
      </c>
    </row>
    <row r="104" spans="1:42" s="9" customFormat="1" ht="24.95" customHeight="1" x14ac:dyDescent="0.2">
      <c r="A104" s="9" t="s">
        <v>389</v>
      </c>
      <c r="B104" s="12">
        <v>0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f>BSC!F63</f>
        <v>1053998.3899999999</v>
      </c>
      <c r="L104" s="12">
        <f>'Oliari Co'!F63</f>
        <v>110199.03999999999</v>
      </c>
      <c r="N104" s="12">
        <v>0</v>
      </c>
      <c r="P104" s="12">
        <f t="shared" si="26"/>
        <v>1164197.43</v>
      </c>
      <c r="Q104" s="9" t="s">
        <v>389</v>
      </c>
      <c r="R104" s="54">
        <v>0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981293.87</v>
      </c>
      <c r="AA104" s="12"/>
      <c r="AB104" s="54">
        <v>99867.88</v>
      </c>
      <c r="AC104" s="12"/>
      <c r="AD104" s="54">
        <v>0</v>
      </c>
      <c r="AE104" s="12"/>
      <c r="AF104" s="122">
        <f t="shared" si="27"/>
        <v>1081161.75</v>
      </c>
      <c r="AG104" s="9" t="s">
        <v>389</v>
      </c>
      <c r="AH104" s="12">
        <f t="shared" si="24"/>
        <v>1164197.43</v>
      </c>
      <c r="AI104" s="12"/>
      <c r="AJ104" s="12">
        <f t="shared" si="28"/>
        <v>1081161.75</v>
      </c>
      <c r="AK104" s="12"/>
      <c r="AL104" s="12">
        <f t="shared" si="25"/>
        <v>83035.679999999935</v>
      </c>
      <c r="AM104" s="12"/>
      <c r="AN104" s="13">
        <f>AH104/AJ104</f>
        <v>1.0768022731103832</v>
      </c>
      <c r="AO104" s="13"/>
      <c r="AP104" s="14">
        <f t="shared" si="30"/>
        <v>7.6802273110383235E-2</v>
      </c>
    </row>
    <row r="105" spans="1:42" s="9" customFormat="1" ht="24.95" customHeight="1" x14ac:dyDescent="0.2">
      <c r="A105" s="9" t="s">
        <v>309</v>
      </c>
      <c r="B105" s="12">
        <f>CNT!S121+CNT!S122</f>
        <v>7000000</v>
      </c>
      <c r="C105" s="12"/>
      <c r="D105" s="12">
        <v>0</v>
      </c>
      <c r="E105" s="12"/>
      <c r="F105" s="12">
        <v>0</v>
      </c>
      <c r="G105" s="12"/>
      <c r="H105" s="12">
        <v>0</v>
      </c>
      <c r="J105" s="12">
        <v>0</v>
      </c>
      <c r="L105" s="12">
        <v>0</v>
      </c>
      <c r="N105" s="12">
        <v>250000</v>
      </c>
      <c r="P105" s="12">
        <f t="shared" si="26"/>
        <v>7250000</v>
      </c>
      <c r="Q105" s="9" t="s">
        <v>309</v>
      </c>
      <c r="R105" s="54">
        <v>5380000</v>
      </c>
      <c r="S105" s="12"/>
      <c r="T105" s="54">
        <v>0</v>
      </c>
      <c r="U105" s="12"/>
      <c r="V105" s="54">
        <v>0</v>
      </c>
      <c r="W105" s="12"/>
      <c r="X105" s="54">
        <v>0</v>
      </c>
      <c r="Y105" s="12"/>
      <c r="Z105" s="54">
        <v>0</v>
      </c>
      <c r="AA105" s="12"/>
      <c r="AB105" s="54">
        <v>0</v>
      </c>
      <c r="AC105" s="12"/>
      <c r="AD105" s="54">
        <v>250000</v>
      </c>
      <c r="AE105" s="12"/>
      <c r="AF105" s="122">
        <f t="shared" si="27"/>
        <v>5630000</v>
      </c>
      <c r="AG105" s="9" t="s">
        <v>309</v>
      </c>
      <c r="AH105" s="12">
        <f t="shared" si="24"/>
        <v>7250000</v>
      </c>
      <c r="AI105" s="12"/>
      <c r="AJ105" s="12">
        <f t="shared" si="28"/>
        <v>5630000</v>
      </c>
      <c r="AK105" s="12"/>
      <c r="AL105" s="12">
        <f t="shared" si="25"/>
        <v>1620000</v>
      </c>
      <c r="AM105" s="12"/>
      <c r="AN105" s="13">
        <f>AH105/AJ105</f>
        <v>1.2877442273534636</v>
      </c>
      <c r="AO105" s="13"/>
      <c r="AP105" s="14">
        <f t="shared" si="30"/>
        <v>0.28774422735346361</v>
      </c>
    </row>
    <row r="106" spans="1:42" s="9" customFormat="1" ht="24.95" customHeight="1" x14ac:dyDescent="0.2">
      <c r="A106" s="9" t="s">
        <v>310</v>
      </c>
      <c r="B106" s="12">
        <f>CNT!S124+CNT!S123+CNT!S137+CNT!S138</f>
        <v>1276825</v>
      </c>
      <c r="C106" s="12"/>
      <c r="D106" s="12">
        <f>BPM!S48+BPM!S49</f>
        <v>3939.49</v>
      </c>
      <c r="E106" s="12"/>
      <c r="F106" s="12">
        <f>DEP!S48+DEP!S54</f>
        <v>100536.04</v>
      </c>
      <c r="G106" s="12"/>
      <c r="H106" s="12">
        <f>Lending!F35+Lending!F36+Lending!F34</f>
        <v>458137.97</v>
      </c>
      <c r="J106" s="12">
        <f>BSC!F65+BSC!F72+BSC!F66+BSC!F67</f>
        <v>1153631.6399999999</v>
      </c>
      <c r="L106" s="12">
        <f>'Oliari Co'!F61</f>
        <v>0</v>
      </c>
      <c r="N106" s="12">
        <f>'722 Bedford St'!E44+'722 Bedford St'!E45+'722 Bedford St'!E46-250000</f>
        <v>140162.84000000003</v>
      </c>
      <c r="P106" s="12">
        <f t="shared" si="26"/>
        <v>3133232.9799999995</v>
      </c>
      <c r="Q106" s="9" t="s">
        <v>310</v>
      </c>
      <c r="R106" s="54">
        <v>800941.66999999993</v>
      </c>
      <c r="S106" s="12"/>
      <c r="T106" s="54">
        <v>171242.71</v>
      </c>
      <c r="U106" s="12"/>
      <c r="V106" s="54">
        <v>175547.63</v>
      </c>
      <c r="W106" s="12"/>
      <c r="X106" s="54">
        <v>590000.01</v>
      </c>
      <c r="Y106" s="12"/>
      <c r="Z106" s="54">
        <v>1176796.48</v>
      </c>
      <c r="AA106" s="12"/>
      <c r="AB106" s="54">
        <v>0</v>
      </c>
      <c r="AC106" s="12"/>
      <c r="AD106" s="54">
        <v>-250000</v>
      </c>
      <c r="AE106" s="12"/>
      <c r="AF106" s="122">
        <f t="shared" si="27"/>
        <v>2664528.5</v>
      </c>
      <c r="AG106" s="9" t="s">
        <v>310</v>
      </c>
      <c r="AH106" s="12">
        <f t="shared" si="24"/>
        <v>3133232.9799999995</v>
      </c>
      <c r="AI106" s="12"/>
      <c r="AJ106" s="12">
        <f t="shared" si="28"/>
        <v>2664528.5</v>
      </c>
      <c r="AK106" s="12"/>
      <c r="AL106" s="12">
        <f t="shared" si="25"/>
        <v>468704.47999999952</v>
      </c>
      <c r="AM106" s="12"/>
      <c r="AN106" s="13">
        <f>AH106/AJ106</f>
        <v>1.1759052230066218</v>
      </c>
      <c r="AO106" s="13"/>
      <c r="AP106" s="14">
        <f t="shared" si="30"/>
        <v>0.17590522300662181</v>
      </c>
    </row>
    <row r="107" spans="1:42" s="9" customFormat="1" ht="24.95" customHeight="1" x14ac:dyDescent="0.2">
      <c r="A107" s="9" t="s">
        <v>311</v>
      </c>
      <c r="B107" s="12">
        <f>CNT!S128</f>
        <v>0</v>
      </c>
      <c r="C107" s="12"/>
      <c r="D107" s="12">
        <v>0</v>
      </c>
      <c r="E107" s="12"/>
      <c r="F107" s="12">
        <v>0</v>
      </c>
      <c r="G107" s="12"/>
      <c r="H107" s="12">
        <v>0</v>
      </c>
      <c r="J107" s="12">
        <v>0</v>
      </c>
      <c r="L107" s="12">
        <v>0</v>
      </c>
      <c r="N107" s="12">
        <v>0</v>
      </c>
      <c r="P107" s="12">
        <f t="shared" si="26"/>
        <v>0</v>
      </c>
      <c r="Q107" s="9" t="s">
        <v>311</v>
      </c>
      <c r="R107" s="54">
        <v>0</v>
      </c>
      <c r="S107" s="12"/>
      <c r="T107" s="54">
        <v>0</v>
      </c>
      <c r="U107" s="12"/>
      <c r="V107" s="54">
        <v>0</v>
      </c>
      <c r="W107" s="12"/>
      <c r="X107" s="54">
        <v>0</v>
      </c>
      <c r="Y107" s="12"/>
      <c r="Z107" s="54">
        <v>0</v>
      </c>
      <c r="AA107" s="12"/>
      <c r="AB107" s="54">
        <v>0</v>
      </c>
      <c r="AC107" s="12"/>
      <c r="AD107" s="54">
        <v>0</v>
      </c>
      <c r="AE107" s="12"/>
      <c r="AF107" s="122">
        <f t="shared" si="27"/>
        <v>0</v>
      </c>
      <c r="AG107" s="9" t="s">
        <v>311</v>
      </c>
      <c r="AH107" s="12">
        <f t="shared" si="24"/>
        <v>0</v>
      </c>
      <c r="AI107" s="12"/>
      <c r="AJ107" s="12">
        <f t="shared" si="28"/>
        <v>0</v>
      </c>
      <c r="AK107" s="12"/>
      <c r="AL107" s="12">
        <f t="shared" si="25"/>
        <v>0</v>
      </c>
      <c r="AM107" s="12"/>
      <c r="AN107" s="13">
        <v>0</v>
      </c>
      <c r="AO107" s="13"/>
      <c r="AP107" s="14">
        <f t="shared" si="30"/>
        <v>-1</v>
      </c>
    </row>
    <row r="108" spans="1:42" s="9" customFormat="1" ht="24.95" customHeight="1" x14ac:dyDescent="0.2">
      <c r="A108" s="9" t="s">
        <v>591</v>
      </c>
      <c r="B108" s="12">
        <f>CNT!S130</f>
        <v>29738.53</v>
      </c>
      <c r="C108" s="12"/>
      <c r="D108" s="12">
        <v>0</v>
      </c>
      <c r="E108" s="12"/>
      <c r="F108" s="12">
        <v>0</v>
      </c>
      <c r="G108" s="12"/>
      <c r="H108" s="12">
        <v>0</v>
      </c>
      <c r="J108" s="12">
        <v>0</v>
      </c>
      <c r="L108" s="12">
        <v>0</v>
      </c>
      <c r="N108" s="12">
        <v>0</v>
      </c>
      <c r="P108" s="12">
        <f t="shared" si="26"/>
        <v>29738.53</v>
      </c>
      <c r="Q108" s="9" t="s">
        <v>591</v>
      </c>
      <c r="R108" s="54">
        <v>0</v>
      </c>
      <c r="S108" s="12"/>
      <c r="T108" s="54">
        <v>0</v>
      </c>
      <c r="U108" s="12"/>
      <c r="V108" s="54">
        <v>0</v>
      </c>
      <c r="W108" s="12"/>
      <c r="X108" s="54">
        <v>0</v>
      </c>
      <c r="Y108" s="12"/>
      <c r="Z108" s="54">
        <v>0</v>
      </c>
      <c r="AA108" s="12"/>
      <c r="AB108" s="54">
        <v>0</v>
      </c>
      <c r="AC108" s="12"/>
      <c r="AD108" s="54">
        <v>0</v>
      </c>
      <c r="AE108" s="12"/>
      <c r="AF108" s="122">
        <f t="shared" si="27"/>
        <v>0</v>
      </c>
      <c r="AG108" s="9" t="s">
        <v>591</v>
      </c>
      <c r="AH108" s="12">
        <f t="shared" si="24"/>
        <v>29738.53</v>
      </c>
      <c r="AI108" s="12"/>
      <c r="AJ108" s="12">
        <f t="shared" si="28"/>
        <v>0</v>
      </c>
      <c r="AK108" s="12"/>
      <c r="AL108" s="12">
        <f t="shared" si="25"/>
        <v>29738.53</v>
      </c>
      <c r="AM108" s="12"/>
      <c r="AN108" s="13">
        <v>0</v>
      </c>
      <c r="AO108" s="13"/>
      <c r="AP108" s="14">
        <f t="shared" si="30"/>
        <v>-1</v>
      </c>
    </row>
    <row r="109" spans="1:42" s="9" customFormat="1" ht="24.95" customHeight="1" x14ac:dyDescent="0.2">
      <c r="A109" s="9" t="s">
        <v>732</v>
      </c>
      <c r="B109" s="12">
        <f>CNT!S131</f>
        <v>209754.13</v>
      </c>
      <c r="C109" s="12"/>
      <c r="D109" s="12">
        <v>0</v>
      </c>
      <c r="E109" s="12"/>
      <c r="F109" s="12">
        <v>0</v>
      </c>
      <c r="G109" s="12"/>
      <c r="H109" s="12">
        <v>0</v>
      </c>
      <c r="J109" s="12">
        <v>0</v>
      </c>
      <c r="L109" s="12">
        <v>0</v>
      </c>
      <c r="N109" s="12">
        <v>0</v>
      </c>
      <c r="P109" s="12">
        <f t="shared" si="26"/>
        <v>209754.13</v>
      </c>
      <c r="Q109" s="9" t="s">
        <v>732</v>
      </c>
      <c r="R109" s="54">
        <v>0</v>
      </c>
      <c r="S109" s="12"/>
      <c r="T109" s="54">
        <v>0</v>
      </c>
      <c r="U109" s="12"/>
      <c r="V109" s="54">
        <v>0</v>
      </c>
      <c r="W109" s="12"/>
      <c r="X109" s="54">
        <v>0</v>
      </c>
      <c r="Y109" s="12"/>
      <c r="Z109" s="54">
        <v>0</v>
      </c>
      <c r="AA109" s="12"/>
      <c r="AB109" s="54">
        <v>0</v>
      </c>
      <c r="AC109" s="12"/>
      <c r="AD109" s="54">
        <v>0</v>
      </c>
      <c r="AE109" s="12"/>
      <c r="AF109" s="122">
        <f t="shared" si="27"/>
        <v>0</v>
      </c>
      <c r="AG109" s="9" t="s">
        <v>732</v>
      </c>
      <c r="AH109" s="12">
        <f t="shared" si="24"/>
        <v>209754.13</v>
      </c>
      <c r="AI109" s="12"/>
      <c r="AJ109" s="12">
        <f t="shared" si="28"/>
        <v>0</v>
      </c>
      <c r="AK109" s="12"/>
      <c r="AL109" s="12">
        <f t="shared" si="25"/>
        <v>209754.13</v>
      </c>
      <c r="AM109" s="12"/>
      <c r="AN109" s="13">
        <v>0</v>
      </c>
      <c r="AO109" s="13"/>
      <c r="AP109" s="14">
        <f t="shared" si="30"/>
        <v>-1</v>
      </c>
    </row>
    <row r="110" spans="1:42" s="9" customFormat="1" ht="24.95" customHeight="1" x14ac:dyDescent="0.2">
      <c r="A110" s="9" t="s">
        <v>636</v>
      </c>
      <c r="B110" s="12">
        <f>CNT!S132</f>
        <v>1395.38</v>
      </c>
      <c r="C110" s="12"/>
      <c r="D110" s="12">
        <v>0</v>
      </c>
      <c r="E110" s="12"/>
      <c r="F110" s="12">
        <v>0</v>
      </c>
      <c r="G110" s="12"/>
      <c r="H110" s="12">
        <v>0</v>
      </c>
      <c r="J110" s="12">
        <v>0</v>
      </c>
      <c r="L110" s="12">
        <v>0</v>
      </c>
      <c r="N110" s="12">
        <v>0</v>
      </c>
      <c r="P110" s="12">
        <f t="shared" si="26"/>
        <v>1395.38</v>
      </c>
      <c r="Q110" s="9" t="s">
        <v>636</v>
      </c>
      <c r="R110" s="54">
        <v>302.20999999999998</v>
      </c>
      <c r="S110" s="12"/>
      <c r="T110" s="54">
        <v>0</v>
      </c>
      <c r="U110" s="12"/>
      <c r="V110" s="54">
        <v>0</v>
      </c>
      <c r="W110" s="12"/>
      <c r="X110" s="54">
        <v>0</v>
      </c>
      <c r="Y110" s="12"/>
      <c r="Z110" s="54">
        <v>0</v>
      </c>
      <c r="AA110" s="12"/>
      <c r="AB110" s="54">
        <v>0</v>
      </c>
      <c r="AC110" s="12"/>
      <c r="AD110" s="54">
        <v>0</v>
      </c>
      <c r="AE110" s="12"/>
      <c r="AF110" s="122">
        <f t="shared" si="27"/>
        <v>302.20999999999998</v>
      </c>
      <c r="AG110" s="9" t="s">
        <v>636</v>
      </c>
      <c r="AH110" s="12">
        <f t="shared" si="24"/>
        <v>1395.38</v>
      </c>
      <c r="AI110" s="12"/>
      <c r="AJ110" s="12">
        <f t="shared" si="28"/>
        <v>302.20999999999998</v>
      </c>
      <c r="AK110" s="12"/>
      <c r="AL110" s="12">
        <f t="shared" si="25"/>
        <v>1093.17</v>
      </c>
      <c r="AM110" s="12"/>
      <c r="AN110" s="13">
        <v>0</v>
      </c>
      <c r="AO110" s="13"/>
      <c r="AP110" s="14">
        <f t="shared" si="30"/>
        <v>-1</v>
      </c>
    </row>
    <row r="111" spans="1:42" s="9" customFormat="1" ht="24.95" customHeight="1" x14ac:dyDescent="0.2">
      <c r="A111" s="9" t="s">
        <v>623</v>
      </c>
      <c r="B111" s="12">
        <f>CNT!S133</f>
        <v>0</v>
      </c>
      <c r="C111" s="12"/>
      <c r="D111" s="12">
        <v>0</v>
      </c>
      <c r="E111" s="12"/>
      <c r="F111" s="12">
        <v>0</v>
      </c>
      <c r="G111" s="12"/>
      <c r="H111" s="12">
        <v>0</v>
      </c>
      <c r="J111" s="12">
        <v>0</v>
      </c>
      <c r="L111" s="12">
        <v>0</v>
      </c>
      <c r="N111" s="12">
        <v>0</v>
      </c>
      <c r="P111" s="12">
        <f t="shared" si="26"/>
        <v>0</v>
      </c>
      <c r="Q111" s="9" t="s">
        <v>623</v>
      </c>
      <c r="R111" s="54">
        <v>0</v>
      </c>
      <c r="S111" s="12"/>
      <c r="T111" s="54">
        <v>0</v>
      </c>
      <c r="U111" s="12"/>
      <c r="V111" s="54">
        <v>0</v>
      </c>
      <c r="W111" s="12"/>
      <c r="X111" s="54">
        <v>0</v>
      </c>
      <c r="Y111" s="12"/>
      <c r="Z111" s="54">
        <v>0</v>
      </c>
      <c r="AA111" s="12"/>
      <c r="AB111" s="54">
        <v>0</v>
      </c>
      <c r="AC111" s="12"/>
      <c r="AD111" s="54">
        <v>0</v>
      </c>
      <c r="AE111" s="12"/>
      <c r="AF111" s="122">
        <f t="shared" si="27"/>
        <v>0</v>
      </c>
      <c r="AG111" s="9" t="s">
        <v>623</v>
      </c>
      <c r="AH111" s="12">
        <f t="shared" si="24"/>
        <v>0</v>
      </c>
      <c r="AI111" s="12"/>
      <c r="AJ111" s="12">
        <f t="shared" si="28"/>
        <v>0</v>
      </c>
      <c r="AK111" s="12"/>
      <c r="AL111" s="12">
        <f t="shared" si="25"/>
        <v>0</v>
      </c>
      <c r="AM111" s="12"/>
      <c r="AN111" s="13">
        <v>0</v>
      </c>
      <c r="AO111" s="13"/>
      <c r="AP111" s="14">
        <f t="shared" si="30"/>
        <v>-1</v>
      </c>
    </row>
    <row r="112" spans="1:42" s="9" customFormat="1" ht="24.95" customHeight="1" x14ac:dyDescent="0.2">
      <c r="A112" s="9" t="s">
        <v>312</v>
      </c>
      <c r="B112" s="16">
        <f>CNT!S129</f>
        <v>21133.64</v>
      </c>
      <c r="C112" s="16"/>
      <c r="D112" s="16">
        <v>0</v>
      </c>
      <c r="E112" s="16"/>
      <c r="F112" s="16">
        <v>0</v>
      </c>
      <c r="G112" s="16"/>
      <c r="H112" s="16">
        <v>0</v>
      </c>
      <c r="I112" s="17"/>
      <c r="J112" s="16">
        <v>0</v>
      </c>
      <c r="K112" s="17"/>
      <c r="L112" s="16">
        <v>0</v>
      </c>
      <c r="M112" s="17"/>
      <c r="N112" s="16">
        <v>0</v>
      </c>
      <c r="O112" s="17"/>
      <c r="P112" s="16">
        <f t="shared" si="26"/>
        <v>21133.64</v>
      </c>
      <c r="Q112" s="9" t="s">
        <v>312</v>
      </c>
      <c r="R112" s="55">
        <v>6056.95</v>
      </c>
      <c r="S112" s="16"/>
      <c r="T112" s="55">
        <v>0</v>
      </c>
      <c r="U112" s="16"/>
      <c r="V112" s="55">
        <v>0</v>
      </c>
      <c r="W112" s="16"/>
      <c r="X112" s="55">
        <v>0</v>
      </c>
      <c r="Y112" s="16"/>
      <c r="Z112" s="55">
        <v>0</v>
      </c>
      <c r="AA112" s="16"/>
      <c r="AB112" s="55">
        <v>0</v>
      </c>
      <c r="AC112" s="16"/>
      <c r="AD112" s="55">
        <v>0</v>
      </c>
      <c r="AE112" s="16"/>
      <c r="AF112" s="16">
        <f t="shared" si="27"/>
        <v>6056.95</v>
      </c>
      <c r="AG112" s="9" t="s">
        <v>312</v>
      </c>
      <c r="AH112" s="16">
        <f t="shared" si="24"/>
        <v>21133.64</v>
      </c>
      <c r="AI112" s="16"/>
      <c r="AJ112" s="16">
        <f t="shared" si="28"/>
        <v>6056.95</v>
      </c>
      <c r="AK112" s="16"/>
      <c r="AL112" s="16">
        <f t="shared" si="25"/>
        <v>15076.689999999999</v>
      </c>
      <c r="AM112" s="12"/>
      <c r="AN112" s="13">
        <v>0</v>
      </c>
      <c r="AO112" s="13"/>
      <c r="AP112" s="14">
        <f t="shared" si="30"/>
        <v>-1</v>
      </c>
    </row>
    <row r="113" spans="1:42" s="9" customFormat="1" ht="24.95" customHeight="1" x14ac:dyDescent="0.2">
      <c r="A113" s="20" t="s">
        <v>382</v>
      </c>
      <c r="B113" s="12">
        <f>SUM(B74:B112)</f>
        <v>54748906.370000005</v>
      </c>
      <c r="C113" s="12"/>
      <c r="D113" s="12">
        <f>SUM(D74:D112)</f>
        <v>5972.63</v>
      </c>
      <c r="E113" s="12"/>
      <c r="F113" s="12">
        <f>SUM(F74:F112)</f>
        <v>586605.91</v>
      </c>
      <c r="G113" s="12"/>
      <c r="H113" s="12">
        <f>SUM(H74:H112)</f>
        <v>472399.99</v>
      </c>
      <c r="I113" s="12"/>
      <c r="J113" s="12">
        <f>SUM(J74:J112)</f>
        <v>2247851.3199999998</v>
      </c>
      <c r="K113" s="12"/>
      <c r="L113" s="12">
        <f>SUM(L74:L112)</f>
        <v>112374.04</v>
      </c>
      <c r="M113" s="12"/>
      <c r="N113" s="12">
        <f>SUM(N74:N112)</f>
        <v>390162.84</v>
      </c>
      <c r="O113" s="12"/>
      <c r="P113" s="12">
        <f>SUM(P74:P112)</f>
        <v>58564273.100000001</v>
      </c>
      <c r="Q113" s="20" t="s">
        <v>382</v>
      </c>
      <c r="R113" s="54">
        <f>SUM(R73:R112)</f>
        <v>14084764.189999999</v>
      </c>
      <c r="S113" s="12"/>
      <c r="T113" s="54">
        <f>SUM(T73:T112)</f>
        <v>658940.72</v>
      </c>
      <c r="U113" s="12"/>
      <c r="V113" s="54">
        <f>SUM(V73:V112)</f>
        <v>590208.78999999992</v>
      </c>
      <c r="W113" s="12"/>
      <c r="X113" s="54">
        <f>SUM(X73:X112)</f>
        <v>601220.19999999995</v>
      </c>
      <c r="Y113" s="12"/>
      <c r="Z113" s="54">
        <f>SUM(Z73:Z112)</f>
        <v>2196446.65</v>
      </c>
      <c r="AA113" s="12"/>
      <c r="AB113" s="54">
        <f>SUM(AB73:AB112)</f>
        <v>101642.89</v>
      </c>
      <c r="AC113" s="12"/>
      <c r="AD113" s="54">
        <f>SUM(AD73:AD112)</f>
        <v>803641.29</v>
      </c>
      <c r="AE113" s="12"/>
      <c r="AF113" s="12">
        <f>SUM(AF73:AF112)</f>
        <v>19036864.73</v>
      </c>
      <c r="AG113" s="20" t="s">
        <v>382</v>
      </c>
      <c r="AH113" s="22">
        <f>SUM(AH73:AH112)</f>
        <v>58564273.100000001</v>
      </c>
      <c r="AI113" s="22">
        <f>SUM(AI73:AI112)</f>
        <v>0</v>
      </c>
      <c r="AJ113" s="22">
        <f>SUM(AJ73:AJ112)</f>
        <v>19036864.73</v>
      </c>
      <c r="AK113" s="22">
        <f>SUM(AK73:AK112)</f>
        <v>0</v>
      </c>
      <c r="AL113" s="22">
        <f>SUM(AL73:AL112)</f>
        <v>39527408.370000005</v>
      </c>
      <c r="AM113" s="22"/>
      <c r="AN113" s="13">
        <f>AH113/AJ113</f>
        <v>3.0763612564683069</v>
      </c>
      <c r="AO113" s="13"/>
      <c r="AP113" s="14">
        <f t="shared" si="30"/>
        <v>2.0763612564683069</v>
      </c>
    </row>
    <row r="114" spans="1:42" s="9" customFormat="1" ht="24.95" customHeight="1" x14ac:dyDescent="0.2">
      <c r="B114" s="12"/>
      <c r="C114" s="12"/>
      <c r="D114" s="12"/>
      <c r="E114" s="12"/>
      <c r="F114" s="12"/>
      <c r="G114" s="12"/>
      <c r="P114" s="10"/>
      <c r="R114" s="65"/>
      <c r="T114" s="65"/>
      <c r="V114" s="65"/>
      <c r="X114" s="65"/>
      <c r="Z114" s="65"/>
      <c r="AB114" s="65"/>
      <c r="AD114" s="65"/>
      <c r="AF114" s="10"/>
      <c r="AN114" s="13"/>
      <c r="AO114" s="13"/>
      <c r="AP114" s="19"/>
    </row>
    <row r="115" spans="1:42" s="9" customFormat="1" ht="24.95" customHeight="1" x14ac:dyDescent="0.2">
      <c r="A115" s="8" t="s">
        <v>313</v>
      </c>
      <c r="B115" s="12"/>
      <c r="C115" s="12"/>
      <c r="D115" s="12"/>
      <c r="E115" s="12"/>
      <c r="F115" s="12"/>
      <c r="G115" s="12"/>
      <c r="P115" s="10"/>
      <c r="Q115" s="8" t="s">
        <v>313</v>
      </c>
      <c r="R115" s="65"/>
      <c r="T115" s="65"/>
      <c r="V115" s="65"/>
      <c r="X115" s="65"/>
      <c r="Z115" s="65"/>
      <c r="AB115" s="65"/>
      <c r="AD115" s="65"/>
      <c r="AF115" s="10"/>
      <c r="AG115" s="8" t="s">
        <v>313</v>
      </c>
      <c r="AN115" s="10"/>
      <c r="AO115" s="10"/>
      <c r="AP115" s="19"/>
    </row>
    <row r="116" spans="1:42" s="9" customFormat="1" ht="24.95" customHeight="1" x14ac:dyDescent="0.2">
      <c r="A116" s="9" t="s">
        <v>314</v>
      </c>
      <c r="B116" s="12">
        <v>0</v>
      </c>
      <c r="C116" s="12"/>
      <c r="D116" s="12">
        <v>0</v>
      </c>
      <c r="E116" s="12"/>
      <c r="F116" s="12">
        <v>0</v>
      </c>
      <c r="G116" s="12"/>
      <c r="H116" s="12">
        <v>0</v>
      </c>
      <c r="I116" s="12"/>
      <c r="J116" s="12">
        <v>0</v>
      </c>
      <c r="K116" s="12"/>
      <c r="L116" s="12">
        <v>0</v>
      </c>
      <c r="M116" s="12"/>
      <c r="N116" s="12">
        <v>0</v>
      </c>
      <c r="O116" s="12"/>
      <c r="P116" s="12">
        <f t="shared" ref="P116:P121" si="32">SUM(B116:N116)</f>
        <v>0</v>
      </c>
      <c r="Q116" s="9" t="s">
        <v>314</v>
      </c>
      <c r="R116" s="54">
        <v>0</v>
      </c>
      <c r="S116" s="12"/>
      <c r="T116" s="54">
        <v>0</v>
      </c>
      <c r="U116" s="12"/>
      <c r="V116" s="54">
        <v>0</v>
      </c>
      <c r="W116" s="12"/>
      <c r="X116" s="54">
        <v>0</v>
      </c>
      <c r="Y116" s="12"/>
      <c r="Z116" s="54">
        <v>0</v>
      </c>
      <c r="AA116" s="12"/>
      <c r="AB116" s="54">
        <v>0</v>
      </c>
      <c r="AC116" s="12"/>
      <c r="AD116" s="54">
        <v>0</v>
      </c>
      <c r="AE116" s="12"/>
      <c r="AF116" s="122">
        <f>SUM(R116:AD116)</f>
        <v>0</v>
      </c>
      <c r="AG116" s="9" t="s">
        <v>314</v>
      </c>
      <c r="AH116" s="12">
        <f t="shared" ref="AH116:AH121" si="33">P116</f>
        <v>0</v>
      </c>
      <c r="AI116" s="12"/>
      <c r="AJ116" s="12">
        <f t="shared" ref="AJ116:AJ121" si="34">AF116</f>
        <v>0</v>
      </c>
      <c r="AK116" s="12"/>
      <c r="AL116" s="12">
        <f t="shared" ref="AL116:AL121" si="35">AH116-AJ116</f>
        <v>0</v>
      </c>
      <c r="AM116" s="12"/>
      <c r="AN116" s="13" t="e">
        <f t="shared" ref="AN116:AN122" si="36">AH116/AJ116</f>
        <v>#DIV/0!</v>
      </c>
      <c r="AO116" s="13"/>
      <c r="AP116" s="14" t="e">
        <f t="shared" ref="AP116:AP122" si="37">AN116-1</f>
        <v>#DIV/0!</v>
      </c>
    </row>
    <row r="117" spans="1:42" s="9" customFormat="1" ht="24.95" customHeight="1" x14ac:dyDescent="0.2">
      <c r="A117" s="9" t="s">
        <v>315</v>
      </c>
      <c r="B117" s="12">
        <f>CNT!S139</f>
        <v>0</v>
      </c>
      <c r="C117" s="12"/>
      <c r="D117" s="12">
        <v>0</v>
      </c>
      <c r="E117" s="12"/>
      <c r="F117" s="12">
        <v>0</v>
      </c>
      <c r="G117" s="12"/>
      <c r="H117" s="12">
        <v>0</v>
      </c>
      <c r="J117" s="12">
        <f>BSC!F71</f>
        <v>1038675.03</v>
      </c>
      <c r="L117" s="12">
        <f>'Oliari Co'!F68</f>
        <v>247750</v>
      </c>
      <c r="N117" s="12">
        <f>'722 Bedford St'!E53</f>
        <v>0</v>
      </c>
      <c r="P117" s="12">
        <f t="shared" si="32"/>
        <v>1286425.03</v>
      </c>
      <c r="Q117" s="9" t="s">
        <v>315</v>
      </c>
      <c r="R117" s="54">
        <v>0</v>
      </c>
      <c r="S117" s="12"/>
      <c r="T117" s="54">
        <v>0</v>
      </c>
      <c r="U117" s="12"/>
      <c r="V117" s="54">
        <v>0</v>
      </c>
      <c r="W117" s="12"/>
      <c r="X117" s="54">
        <v>0</v>
      </c>
      <c r="Y117" s="12"/>
      <c r="Z117" s="54">
        <v>1038675.03</v>
      </c>
      <c r="AA117" s="12"/>
      <c r="AB117" s="54">
        <v>247750</v>
      </c>
      <c r="AC117" s="12"/>
      <c r="AD117" s="54">
        <v>3563493</v>
      </c>
      <c r="AE117" s="12"/>
      <c r="AF117" s="122">
        <f t="shared" ref="AF117:AF121" si="38">SUM(R117:AD117)</f>
        <v>4849918.03</v>
      </c>
      <c r="AG117" s="9" t="s">
        <v>315</v>
      </c>
      <c r="AH117" s="12">
        <f t="shared" si="33"/>
        <v>1286425.03</v>
      </c>
      <c r="AI117" s="12"/>
      <c r="AJ117" s="12">
        <f t="shared" si="34"/>
        <v>4849918.03</v>
      </c>
      <c r="AK117" s="12"/>
      <c r="AL117" s="12">
        <f t="shared" si="35"/>
        <v>-3563493</v>
      </c>
      <c r="AM117" s="12"/>
      <c r="AN117" s="13">
        <f t="shared" si="36"/>
        <v>0.26524675717045054</v>
      </c>
      <c r="AO117" s="13"/>
      <c r="AP117" s="14">
        <f t="shared" si="37"/>
        <v>-0.73475324282954946</v>
      </c>
    </row>
    <row r="118" spans="1:42" s="9" customFormat="1" ht="24.95" customHeight="1" x14ac:dyDescent="0.2">
      <c r="A118" s="9" t="s">
        <v>733</v>
      </c>
      <c r="B118" s="12">
        <f>CNT!S143</f>
        <v>2029343.99</v>
      </c>
      <c r="C118" s="12"/>
      <c r="D118" s="12">
        <v>0</v>
      </c>
      <c r="E118" s="12"/>
      <c r="F118" s="12">
        <v>0</v>
      </c>
      <c r="G118" s="12"/>
      <c r="H118" s="12">
        <v>0</v>
      </c>
      <c r="J118" s="12">
        <v>0</v>
      </c>
      <c r="L118" s="12">
        <v>0</v>
      </c>
      <c r="N118" s="12">
        <v>0</v>
      </c>
      <c r="P118" s="12">
        <f t="shared" si="32"/>
        <v>2029343.99</v>
      </c>
      <c r="Q118" s="9" t="s">
        <v>733</v>
      </c>
      <c r="R118" s="54">
        <v>0</v>
      </c>
      <c r="S118" s="12"/>
      <c r="T118" s="54">
        <v>0</v>
      </c>
      <c r="U118" s="12"/>
      <c r="V118" s="54">
        <v>0</v>
      </c>
      <c r="W118" s="12"/>
      <c r="X118" s="54">
        <v>0</v>
      </c>
      <c r="Y118" s="12"/>
      <c r="Z118" s="54">
        <v>0</v>
      </c>
      <c r="AA118" s="12"/>
      <c r="AB118" s="54">
        <v>0</v>
      </c>
      <c r="AC118" s="12"/>
      <c r="AD118" s="54">
        <v>0</v>
      </c>
      <c r="AE118" s="12"/>
      <c r="AF118" s="122">
        <f t="shared" si="38"/>
        <v>0</v>
      </c>
      <c r="AG118" s="9" t="s">
        <v>733</v>
      </c>
      <c r="AH118" s="12">
        <f t="shared" si="33"/>
        <v>2029343.99</v>
      </c>
      <c r="AI118" s="12"/>
      <c r="AJ118" s="12">
        <f t="shared" si="34"/>
        <v>0</v>
      </c>
      <c r="AK118" s="12"/>
      <c r="AL118" s="12">
        <f t="shared" si="35"/>
        <v>2029343.99</v>
      </c>
      <c r="AM118" s="12"/>
      <c r="AN118" s="13" t="e">
        <f t="shared" si="36"/>
        <v>#DIV/0!</v>
      </c>
      <c r="AO118" s="13"/>
      <c r="AP118" s="14" t="e">
        <f t="shared" si="37"/>
        <v>#DIV/0!</v>
      </c>
    </row>
    <row r="119" spans="1:42" s="9" customFormat="1" ht="24.95" customHeight="1" x14ac:dyDescent="0.2">
      <c r="A119" s="9" t="s">
        <v>316</v>
      </c>
      <c r="B119" s="12">
        <f>CNT!S140</f>
        <v>17080.060000000001</v>
      </c>
      <c r="C119" s="12"/>
      <c r="D119" s="12">
        <v>0</v>
      </c>
      <c r="E119" s="12"/>
      <c r="F119" s="12">
        <v>0</v>
      </c>
      <c r="G119" s="12"/>
      <c r="H119" s="12">
        <v>0</v>
      </c>
      <c r="J119" s="12">
        <v>0</v>
      </c>
      <c r="L119" s="12">
        <v>0</v>
      </c>
      <c r="N119" s="12">
        <f>'722 Bedford St'!E50</f>
        <v>0</v>
      </c>
      <c r="P119" s="12">
        <f t="shared" si="32"/>
        <v>17080.060000000001</v>
      </c>
      <c r="Q119" s="9" t="s">
        <v>316</v>
      </c>
      <c r="R119" s="54">
        <v>16567.650000000001</v>
      </c>
      <c r="S119" s="12"/>
      <c r="T119" s="54">
        <v>0</v>
      </c>
      <c r="U119" s="12"/>
      <c r="V119" s="54">
        <v>0</v>
      </c>
      <c r="W119" s="12"/>
      <c r="X119" s="54">
        <v>0</v>
      </c>
      <c r="Y119" s="12"/>
      <c r="Z119" s="54">
        <v>0</v>
      </c>
      <c r="AA119" s="12"/>
      <c r="AB119" s="54">
        <v>0</v>
      </c>
      <c r="AC119" s="12"/>
      <c r="AD119" s="54">
        <v>819709.5</v>
      </c>
      <c r="AE119" s="12"/>
      <c r="AF119" s="122">
        <f t="shared" si="38"/>
        <v>836277.15</v>
      </c>
      <c r="AG119" s="9" t="s">
        <v>316</v>
      </c>
      <c r="AH119" s="12">
        <f t="shared" si="33"/>
        <v>17080.060000000001</v>
      </c>
      <c r="AI119" s="12"/>
      <c r="AJ119" s="12">
        <f t="shared" si="34"/>
        <v>836277.15</v>
      </c>
      <c r="AK119" s="12"/>
      <c r="AL119" s="12">
        <f t="shared" si="35"/>
        <v>-819197.09</v>
      </c>
      <c r="AM119" s="12"/>
      <c r="AN119" s="13">
        <f t="shared" si="36"/>
        <v>2.0423922858588208E-2</v>
      </c>
      <c r="AO119" s="13"/>
      <c r="AP119" s="14">
        <f t="shared" si="37"/>
        <v>-0.97957607714141182</v>
      </c>
    </row>
    <row r="120" spans="1:42" s="9" customFormat="1" ht="24.95" customHeight="1" x14ac:dyDescent="0.2">
      <c r="A120" s="9" t="s">
        <v>317</v>
      </c>
      <c r="B120" s="12">
        <f>CNT!S141</f>
        <v>4429.8100000000004</v>
      </c>
      <c r="C120" s="12"/>
      <c r="D120" s="12">
        <v>0</v>
      </c>
      <c r="E120" s="12"/>
      <c r="F120" s="12">
        <v>0</v>
      </c>
      <c r="G120" s="12"/>
      <c r="H120" s="12">
        <v>0</v>
      </c>
      <c r="J120" s="12">
        <v>0</v>
      </c>
      <c r="L120" s="12">
        <v>0</v>
      </c>
      <c r="N120" s="12">
        <f>'722 Bedford St'!E51</f>
        <v>0</v>
      </c>
      <c r="P120" s="12">
        <f t="shared" si="32"/>
        <v>4429.8100000000004</v>
      </c>
      <c r="Q120" s="9" t="s">
        <v>317</v>
      </c>
      <c r="R120" s="54">
        <v>4296.83</v>
      </c>
      <c r="S120" s="12"/>
      <c r="T120" s="54">
        <v>0</v>
      </c>
      <c r="U120" s="12"/>
      <c r="V120" s="54">
        <v>0</v>
      </c>
      <c r="W120" s="12"/>
      <c r="X120" s="54">
        <v>0</v>
      </c>
      <c r="Y120" s="12"/>
      <c r="Z120" s="54">
        <v>0</v>
      </c>
      <c r="AA120" s="12"/>
      <c r="AB120" s="54">
        <v>0</v>
      </c>
      <c r="AC120" s="12"/>
      <c r="AD120" s="54">
        <v>855953</v>
      </c>
      <c r="AE120" s="12"/>
      <c r="AF120" s="122">
        <f t="shared" si="38"/>
        <v>860249.83</v>
      </c>
      <c r="AG120" s="9" t="s">
        <v>317</v>
      </c>
      <c r="AH120" s="12">
        <f t="shared" si="33"/>
        <v>4429.8100000000004</v>
      </c>
      <c r="AI120" s="12"/>
      <c r="AJ120" s="12">
        <f t="shared" si="34"/>
        <v>860249.83</v>
      </c>
      <c r="AK120" s="12"/>
      <c r="AL120" s="12">
        <f t="shared" si="35"/>
        <v>-855820.0199999999</v>
      </c>
      <c r="AM120" s="12"/>
      <c r="AN120" s="13">
        <f t="shared" si="36"/>
        <v>5.1494459464176828E-3</v>
      </c>
      <c r="AO120" s="13"/>
      <c r="AP120" s="14">
        <f t="shared" si="37"/>
        <v>-0.99485055405358236</v>
      </c>
    </row>
    <row r="121" spans="1:42" s="9" customFormat="1" ht="24.95" customHeight="1" x14ac:dyDescent="0.2">
      <c r="A121" s="9" t="s">
        <v>318</v>
      </c>
      <c r="B121" s="16">
        <f>CNT!S142</f>
        <v>20207.61</v>
      </c>
      <c r="C121" s="16"/>
      <c r="D121" s="16">
        <v>0</v>
      </c>
      <c r="E121" s="16"/>
      <c r="F121" s="16">
        <v>0</v>
      </c>
      <c r="G121" s="16"/>
      <c r="H121" s="16">
        <v>0</v>
      </c>
      <c r="I121" s="17"/>
      <c r="J121" s="16">
        <v>0</v>
      </c>
      <c r="K121" s="17"/>
      <c r="L121" s="16">
        <v>0</v>
      </c>
      <c r="M121" s="17"/>
      <c r="N121" s="16">
        <f>'722 Bedford St'!E52</f>
        <v>0</v>
      </c>
      <c r="O121" s="17"/>
      <c r="P121" s="16">
        <f t="shared" si="32"/>
        <v>20207.61</v>
      </c>
      <c r="Q121" s="9" t="s">
        <v>318</v>
      </c>
      <c r="R121" s="55">
        <v>19601.28</v>
      </c>
      <c r="S121" s="16"/>
      <c r="T121" s="55">
        <v>0</v>
      </c>
      <c r="U121" s="16"/>
      <c r="V121" s="55">
        <v>0</v>
      </c>
      <c r="W121" s="16"/>
      <c r="X121" s="55">
        <v>0</v>
      </c>
      <c r="Y121" s="16"/>
      <c r="Z121" s="55">
        <v>0</v>
      </c>
      <c r="AA121" s="16"/>
      <c r="AB121" s="55">
        <v>0</v>
      </c>
      <c r="AC121" s="16"/>
      <c r="AD121" s="55">
        <v>686846.65</v>
      </c>
      <c r="AE121" s="16"/>
      <c r="AF121" s="16">
        <f t="shared" si="38"/>
        <v>706447.93</v>
      </c>
      <c r="AG121" s="9" t="s">
        <v>318</v>
      </c>
      <c r="AH121" s="16">
        <f t="shared" si="33"/>
        <v>20207.61</v>
      </c>
      <c r="AI121" s="16"/>
      <c r="AJ121" s="16">
        <f t="shared" si="34"/>
        <v>706447.93</v>
      </c>
      <c r="AK121" s="16"/>
      <c r="AL121" s="16">
        <f t="shared" si="35"/>
        <v>-686240.32000000007</v>
      </c>
      <c r="AM121" s="12"/>
      <c r="AN121" s="13">
        <f t="shared" si="36"/>
        <v>2.8604528574384808E-2</v>
      </c>
      <c r="AO121" s="13"/>
      <c r="AP121" s="14">
        <f t="shared" si="37"/>
        <v>-0.97139547142561522</v>
      </c>
    </row>
    <row r="122" spans="1:42" s="9" customFormat="1" ht="24.95" customHeight="1" x14ac:dyDescent="0.2">
      <c r="A122" s="20" t="s">
        <v>319</v>
      </c>
      <c r="B122" s="12">
        <f>SUM(B116:B121)</f>
        <v>2071061.4700000002</v>
      </c>
      <c r="C122" s="12"/>
      <c r="D122" s="12">
        <f>SUM(D116:D121)</f>
        <v>0</v>
      </c>
      <c r="E122" s="12"/>
      <c r="F122" s="12">
        <f>SUM(F116:F121)</f>
        <v>0</v>
      </c>
      <c r="G122" s="12"/>
      <c r="H122" s="12">
        <f>SUM(H116:H121)</f>
        <v>0</v>
      </c>
      <c r="I122" s="12"/>
      <c r="J122" s="12">
        <f>SUM(J116:J121)</f>
        <v>1038675.03</v>
      </c>
      <c r="K122" s="12"/>
      <c r="L122" s="12">
        <f>SUM(L116:L121)</f>
        <v>247750</v>
      </c>
      <c r="M122" s="12"/>
      <c r="N122" s="12">
        <f>SUM(N116:N121)</f>
        <v>0</v>
      </c>
      <c r="O122" s="12"/>
      <c r="P122" s="12">
        <f>SUM(P116:P121)</f>
        <v>3357486.5</v>
      </c>
      <c r="Q122" s="20" t="s">
        <v>319</v>
      </c>
      <c r="R122" s="54">
        <f>SUM(R116:R121)</f>
        <v>40465.760000000002</v>
      </c>
      <c r="S122" s="12"/>
      <c r="T122" s="54">
        <f>SUM(T116:T121)</f>
        <v>0</v>
      </c>
      <c r="U122" s="12"/>
      <c r="V122" s="54">
        <f>SUM(V116:V121)</f>
        <v>0</v>
      </c>
      <c r="W122" s="12"/>
      <c r="X122" s="54">
        <f>SUM(X116:X121)</f>
        <v>0</v>
      </c>
      <c r="Y122" s="12"/>
      <c r="Z122" s="54">
        <f>SUM(Z116:Z121)</f>
        <v>1038675.03</v>
      </c>
      <c r="AA122" s="12"/>
      <c r="AB122" s="54">
        <f>SUM(AB116:AB121)</f>
        <v>247750</v>
      </c>
      <c r="AC122" s="12"/>
      <c r="AD122" s="54">
        <f>SUM(AD116:AD121)</f>
        <v>5926002.1500000004</v>
      </c>
      <c r="AE122" s="12"/>
      <c r="AF122" s="12">
        <f>SUM(AF116:AF121)</f>
        <v>7252892.9400000004</v>
      </c>
      <c r="AG122" s="20" t="s">
        <v>319</v>
      </c>
      <c r="AH122" s="12">
        <f>SUM(AH116:AH121)</f>
        <v>3357486.5</v>
      </c>
      <c r="AI122" s="12"/>
      <c r="AJ122" s="12">
        <f>SUM(AJ116:AJ121)</f>
        <v>7252892.9400000004</v>
      </c>
      <c r="AK122" s="12"/>
      <c r="AL122" s="12">
        <f>SUM(AL116:AL121)</f>
        <v>-3895406.4400000004</v>
      </c>
      <c r="AM122" s="12"/>
      <c r="AN122" s="13">
        <f t="shared" si="36"/>
        <v>0.46291687024405459</v>
      </c>
      <c r="AO122" s="13"/>
      <c r="AP122" s="14">
        <f t="shared" si="37"/>
        <v>-0.53708312975594541</v>
      </c>
    </row>
    <row r="123" spans="1:42" s="9" customFormat="1" ht="24.95" customHeight="1" x14ac:dyDescent="0.2">
      <c r="A123" s="2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O123" s="12"/>
      <c r="P123" s="10"/>
      <c r="Q123" s="20"/>
      <c r="R123" s="54"/>
      <c r="S123" s="12"/>
      <c r="T123" s="65"/>
      <c r="V123" s="65"/>
      <c r="X123" s="65"/>
      <c r="Z123" s="65"/>
      <c r="AB123" s="65"/>
      <c r="AD123" s="65"/>
      <c r="AF123" s="10"/>
      <c r="AG123" s="20"/>
      <c r="AN123" s="10"/>
      <c r="AO123" s="10"/>
      <c r="AP123" s="14"/>
    </row>
    <row r="124" spans="1:42" s="9" customFormat="1" ht="24.95" customHeight="1" x14ac:dyDescent="0.2">
      <c r="A124" s="27" t="s">
        <v>320</v>
      </c>
      <c r="B124" s="21">
        <f>B122+B113</f>
        <v>56819967.840000004</v>
      </c>
      <c r="C124" s="21"/>
      <c r="D124" s="21">
        <f>D122+D113</f>
        <v>5972.63</v>
      </c>
      <c r="E124" s="21"/>
      <c r="F124" s="21">
        <f>F122+F113</f>
        <v>586605.91</v>
      </c>
      <c r="G124" s="21"/>
      <c r="H124" s="21">
        <f>H122+H113</f>
        <v>472399.99</v>
      </c>
      <c r="I124" s="21"/>
      <c r="J124" s="21">
        <f>J122+J113</f>
        <v>3286526.3499999996</v>
      </c>
      <c r="K124" s="21"/>
      <c r="L124" s="21">
        <f>L122+L113</f>
        <v>360124.04</v>
      </c>
      <c r="M124" s="21"/>
      <c r="N124" s="21">
        <f>N122+N113</f>
        <v>390162.84</v>
      </c>
      <c r="O124" s="21"/>
      <c r="P124" s="21">
        <f>P122+P113</f>
        <v>61921759.600000001</v>
      </c>
      <c r="Q124" s="27" t="s">
        <v>320</v>
      </c>
      <c r="R124" s="56">
        <f>R122+R113</f>
        <v>14125229.949999999</v>
      </c>
      <c r="S124" s="21"/>
      <c r="T124" s="56">
        <f>T122+T113</f>
        <v>658940.72</v>
      </c>
      <c r="U124" s="21"/>
      <c r="V124" s="56">
        <f>V122+V113</f>
        <v>590208.78999999992</v>
      </c>
      <c r="W124" s="21"/>
      <c r="X124" s="56">
        <f>X122+X113</f>
        <v>601220.19999999995</v>
      </c>
      <c r="Y124" s="21"/>
      <c r="Z124" s="56">
        <f>Z122+Z113</f>
        <v>3235121.6799999997</v>
      </c>
      <c r="AA124" s="21"/>
      <c r="AB124" s="56">
        <f>AB122+AB113</f>
        <v>349392.89</v>
      </c>
      <c r="AC124" s="21"/>
      <c r="AD124" s="56">
        <f>AD122+AD113</f>
        <v>6729643.4400000004</v>
      </c>
      <c r="AE124" s="21"/>
      <c r="AF124" s="21">
        <f>AF122+AF113</f>
        <v>26289757.670000002</v>
      </c>
      <c r="AG124" s="27" t="s">
        <v>320</v>
      </c>
      <c r="AH124" s="21">
        <f>AH113+AH122</f>
        <v>61921759.600000001</v>
      </c>
      <c r="AI124" s="21"/>
      <c r="AJ124" s="21">
        <f>AJ113+AJ122</f>
        <v>26289757.670000002</v>
      </c>
      <c r="AK124" s="21"/>
      <c r="AL124" s="21">
        <f>AL113+AL122</f>
        <v>35632001.930000007</v>
      </c>
      <c r="AM124" s="12"/>
      <c r="AN124" s="13">
        <f>AH124/AJ124</f>
        <v>2.3553568038651305</v>
      </c>
      <c r="AO124" s="13"/>
      <c r="AP124" s="14">
        <f>AN124-1</f>
        <v>1.3553568038651305</v>
      </c>
    </row>
    <row r="125" spans="1:42" s="9" customFormat="1" ht="24.95" customHeight="1" x14ac:dyDescent="0.2">
      <c r="B125" s="12"/>
      <c r="C125" s="12"/>
      <c r="D125" s="12"/>
      <c r="E125" s="12"/>
      <c r="F125" s="12"/>
      <c r="G125" s="12"/>
      <c r="P125" s="10"/>
      <c r="R125" s="65"/>
      <c r="T125" s="65"/>
      <c r="V125" s="65"/>
      <c r="X125" s="65"/>
      <c r="Z125" s="65"/>
      <c r="AB125" s="65"/>
      <c r="AD125" s="65"/>
      <c r="AF125" s="10"/>
      <c r="AN125" s="10"/>
      <c r="AO125" s="10"/>
      <c r="AP125" s="19"/>
    </row>
    <row r="126" spans="1:42" s="9" customFormat="1" ht="24.95" customHeight="1" x14ac:dyDescent="0.2">
      <c r="A126" s="8" t="s">
        <v>160</v>
      </c>
      <c r="B126" s="12"/>
      <c r="C126" s="12"/>
      <c r="D126" s="12"/>
      <c r="E126" s="12"/>
      <c r="F126" s="12"/>
      <c r="G126" s="12"/>
      <c r="P126" s="10"/>
      <c r="Q126" s="8" t="s">
        <v>160</v>
      </c>
      <c r="R126" s="65"/>
      <c r="T126" s="65"/>
      <c r="V126" s="65"/>
      <c r="X126" s="65"/>
      <c r="Z126" s="65"/>
      <c r="AB126" s="65"/>
      <c r="AD126" s="65"/>
      <c r="AF126" s="10"/>
      <c r="AG126" s="8" t="s">
        <v>160</v>
      </c>
      <c r="AN126" s="10"/>
      <c r="AO126" s="10"/>
      <c r="AP126" s="19"/>
    </row>
    <row r="127" spans="1:42" s="9" customFormat="1" ht="24.95" customHeight="1" x14ac:dyDescent="0.2">
      <c r="A127" s="9" t="s">
        <v>321</v>
      </c>
      <c r="B127" s="12">
        <f>CNT!S150</f>
        <v>152325</v>
      </c>
      <c r="C127" s="12"/>
      <c r="D127" s="12">
        <v>0</v>
      </c>
      <c r="E127" s="12"/>
      <c r="F127" s="12">
        <f>DEP!S58</f>
        <v>1000</v>
      </c>
      <c r="G127" s="12"/>
      <c r="H127" s="12">
        <v>0</v>
      </c>
      <c r="I127" s="12"/>
      <c r="J127" s="12">
        <f>BSC!F76</f>
        <v>24927.59</v>
      </c>
      <c r="K127" s="12"/>
      <c r="L127" s="12">
        <v>0</v>
      </c>
      <c r="M127" s="12"/>
      <c r="N127" s="12">
        <v>0</v>
      </c>
      <c r="O127" s="12"/>
      <c r="P127" s="12">
        <f>SUM(B127:N127)</f>
        <v>178252.59</v>
      </c>
      <c r="Q127" s="9" t="s">
        <v>321</v>
      </c>
      <c r="R127" s="54">
        <v>152325</v>
      </c>
      <c r="S127" s="12"/>
      <c r="T127" s="54">
        <v>0</v>
      </c>
      <c r="U127" s="12"/>
      <c r="V127" s="54">
        <v>1000</v>
      </c>
      <c r="W127" s="12"/>
      <c r="X127" s="54">
        <v>0</v>
      </c>
      <c r="Y127" s="12"/>
      <c r="Z127" s="54">
        <v>25000.03</v>
      </c>
      <c r="AA127" s="12"/>
      <c r="AB127" s="54">
        <v>0</v>
      </c>
      <c r="AC127" s="12"/>
      <c r="AD127" s="54">
        <v>0</v>
      </c>
      <c r="AE127" s="12"/>
      <c r="AF127" s="122">
        <f>SUM(R127:AD127)</f>
        <v>178325.03</v>
      </c>
      <c r="AG127" s="9" t="s">
        <v>321</v>
      </c>
      <c r="AH127" s="12">
        <f t="shared" ref="AH127:AH138" si="39">P127</f>
        <v>178252.59</v>
      </c>
      <c r="AI127" s="12"/>
      <c r="AJ127" s="12">
        <f>AF127</f>
        <v>178325.03</v>
      </c>
      <c r="AK127" s="12"/>
      <c r="AL127" s="12">
        <f t="shared" ref="AL127:AL138" si="40">AH127-AJ127</f>
        <v>-72.440000000002328</v>
      </c>
      <c r="AM127" s="12"/>
      <c r="AN127" s="13">
        <f t="shared" ref="AN127:AN141" si="41">AH127/AJ127</f>
        <v>0.99959377547840589</v>
      </c>
      <c r="AO127" s="13"/>
      <c r="AP127" s="14">
        <f t="shared" ref="AP127:AP141" si="42">AN127-1</f>
        <v>-4.0622452159411182E-4</v>
      </c>
    </row>
    <row r="128" spans="1:42" s="9" customFormat="1" ht="24.95" customHeight="1" x14ac:dyDescent="0.2">
      <c r="A128" s="9" t="s">
        <v>322</v>
      </c>
      <c r="B128" s="12">
        <f>CNT!S151</f>
        <v>1709758</v>
      </c>
      <c r="C128" s="12"/>
      <c r="D128" s="12">
        <v>0</v>
      </c>
      <c r="E128" s="12"/>
      <c r="F128" s="12">
        <v>0</v>
      </c>
      <c r="G128" s="12"/>
      <c r="H128" s="12">
        <v>0</v>
      </c>
      <c r="I128" s="12"/>
      <c r="J128" s="12">
        <v>0</v>
      </c>
      <c r="K128" s="12"/>
      <c r="L128" s="12">
        <v>0</v>
      </c>
      <c r="M128" s="12"/>
      <c r="N128" s="12">
        <v>0</v>
      </c>
      <c r="O128" s="12"/>
      <c r="P128" s="12">
        <f t="shared" ref="P128:P138" si="43">SUM(B128:N128)</f>
        <v>1709758</v>
      </c>
      <c r="Q128" s="9" t="s">
        <v>322</v>
      </c>
      <c r="R128" s="54">
        <v>1709758</v>
      </c>
      <c r="S128" s="12"/>
      <c r="T128" s="54">
        <v>0</v>
      </c>
      <c r="U128" s="12"/>
      <c r="V128" s="54">
        <v>0</v>
      </c>
      <c r="W128" s="12"/>
      <c r="X128" s="54">
        <v>0</v>
      </c>
      <c r="Y128" s="12"/>
      <c r="Z128" s="54">
        <v>0</v>
      </c>
      <c r="AA128" s="12"/>
      <c r="AB128" s="54">
        <v>0</v>
      </c>
      <c r="AC128" s="12"/>
      <c r="AD128" s="54">
        <v>0</v>
      </c>
      <c r="AE128" s="12"/>
      <c r="AF128" s="122">
        <f t="shared" ref="AF128:AF138" si="44">SUM(R128:AD128)</f>
        <v>1709758</v>
      </c>
      <c r="AG128" s="9" t="s">
        <v>322</v>
      </c>
      <c r="AH128" s="12">
        <f t="shared" si="39"/>
        <v>1709758</v>
      </c>
      <c r="AI128" s="12"/>
      <c r="AJ128" s="12">
        <f t="shared" ref="AJ128:AJ138" si="45">AF128</f>
        <v>1709758</v>
      </c>
      <c r="AK128" s="12"/>
      <c r="AL128" s="12">
        <f t="shared" si="40"/>
        <v>0</v>
      </c>
      <c r="AM128" s="12"/>
      <c r="AN128" s="13">
        <f t="shared" si="41"/>
        <v>1</v>
      </c>
      <c r="AO128" s="13"/>
      <c r="AP128" s="14">
        <f t="shared" si="42"/>
        <v>0</v>
      </c>
    </row>
    <row r="129" spans="1:42" s="9" customFormat="1" ht="24.95" customHeight="1" x14ac:dyDescent="0.2">
      <c r="A129" s="9" t="s">
        <v>323</v>
      </c>
      <c r="B129" s="12">
        <f>CNT!S152</f>
        <v>27944247.670000002</v>
      </c>
      <c r="C129" s="12"/>
      <c r="D129" s="12">
        <f>BPM!S57</f>
        <v>-23625.33</v>
      </c>
      <c r="E129" s="12"/>
      <c r="F129" s="12">
        <f>DEP!S59</f>
        <v>2542025.7999999998</v>
      </c>
      <c r="G129" s="12"/>
      <c r="H129" s="12">
        <f>Lending!F43</f>
        <v>34178.83</v>
      </c>
      <c r="I129" s="12"/>
      <c r="J129" s="12">
        <f>BSC!F78</f>
        <v>-84543.63</v>
      </c>
      <c r="K129" s="12"/>
      <c r="L129" s="12">
        <f>'Oliari Co'!F91</f>
        <v>125011.42</v>
      </c>
      <c r="M129" s="12"/>
      <c r="N129" s="12">
        <f>'722 Bedford St'!E68</f>
        <v>172124.76</v>
      </c>
      <c r="O129" s="12"/>
      <c r="P129" s="12">
        <f t="shared" si="43"/>
        <v>30709419.520000007</v>
      </c>
      <c r="Q129" s="9" t="s">
        <v>323</v>
      </c>
      <c r="R129" s="54">
        <v>555458.43999999994</v>
      </c>
      <c r="S129" s="12"/>
      <c r="T129" s="54">
        <v>-248566.42</v>
      </c>
      <c r="U129" s="12"/>
      <c r="V129" s="54">
        <v>1193273.1200000001</v>
      </c>
      <c r="W129" s="12"/>
      <c r="X129" s="54">
        <v>28120.87</v>
      </c>
      <c r="Y129" s="12"/>
      <c r="Z129" s="54">
        <v>-57891.06</v>
      </c>
      <c r="AA129" s="12"/>
      <c r="AB129" s="54">
        <v>145484.92000000001</v>
      </c>
      <c r="AC129" s="12"/>
      <c r="AD129" s="54">
        <v>8620.42</v>
      </c>
      <c r="AE129" s="12"/>
      <c r="AF129" s="122">
        <f t="shared" si="44"/>
        <v>1624500.29</v>
      </c>
      <c r="AG129" s="9" t="s">
        <v>323</v>
      </c>
      <c r="AH129" s="12">
        <f t="shared" si="39"/>
        <v>30709419.520000007</v>
      </c>
      <c r="AI129" s="12"/>
      <c r="AJ129" s="12">
        <f t="shared" si="45"/>
        <v>1624500.29</v>
      </c>
      <c r="AK129" s="12"/>
      <c r="AL129" s="12">
        <f t="shared" si="40"/>
        <v>29084919.230000008</v>
      </c>
      <c r="AM129" s="12"/>
      <c r="AN129" s="13">
        <f t="shared" si="41"/>
        <v>18.903917536388995</v>
      </c>
      <c r="AO129" s="13"/>
      <c r="AP129" s="13">
        <f t="shared" si="42"/>
        <v>17.903917536388995</v>
      </c>
    </row>
    <row r="130" spans="1:42" s="9" customFormat="1" ht="24.95" customHeight="1" x14ac:dyDescent="0.2">
      <c r="A130" s="9" t="s">
        <v>324</v>
      </c>
      <c r="B130" s="12">
        <f>CNT!S153</f>
        <v>-51086.91</v>
      </c>
      <c r="C130" s="12"/>
      <c r="D130" s="12">
        <f>BPM!S58</f>
        <v>380826.51</v>
      </c>
      <c r="E130" s="12"/>
      <c r="F130" s="12">
        <f>DEP!S60</f>
        <v>0</v>
      </c>
      <c r="G130" s="12"/>
      <c r="H130" s="12">
        <f>Lending!F42</f>
        <v>425392.02</v>
      </c>
      <c r="I130" s="12"/>
      <c r="J130" s="12">
        <f>BSC!F77</f>
        <v>-1189372.3600000001</v>
      </c>
      <c r="K130" s="12"/>
      <c r="L130" s="12">
        <f>'Oliari Co'!F77+'Oliari Co'!F84+'Oliari Co'!F85+'Oliari Co'!F90</f>
        <v>5029784.25</v>
      </c>
      <c r="M130" s="12"/>
      <c r="N130" s="12">
        <f>'722 Bedford St'!E63+'722 Bedford St'!E64+'722 Bedford St'!E65+'722 Bedford St'!E66+'722 Bedford St'!E67</f>
        <v>2152258.9300000002</v>
      </c>
      <c r="O130" s="12"/>
      <c r="P130" s="12">
        <f t="shared" si="43"/>
        <v>6747802.4399999995</v>
      </c>
      <c r="Q130" s="9" t="s">
        <v>324</v>
      </c>
      <c r="R130" s="54">
        <v>9444105.0399999991</v>
      </c>
      <c r="S130" s="12"/>
      <c r="T130" s="54">
        <v>2285317.17</v>
      </c>
      <c r="U130" s="12"/>
      <c r="V130" s="54">
        <v>0</v>
      </c>
      <c r="W130" s="12"/>
      <c r="X130" s="54">
        <v>390997.51</v>
      </c>
      <c r="Y130" s="12"/>
      <c r="Z130" s="54">
        <v>-1194103.1399999999</v>
      </c>
      <c r="AA130" s="12"/>
      <c r="AB130" s="54">
        <v>4833163.25</v>
      </c>
      <c r="AC130" s="12"/>
      <c r="AD130" s="54">
        <v>1442724.1400000001</v>
      </c>
      <c r="AE130" s="12"/>
      <c r="AF130" s="122">
        <f t="shared" si="44"/>
        <v>17202203.969999999</v>
      </c>
      <c r="AG130" s="9" t="s">
        <v>324</v>
      </c>
      <c r="AH130" s="12">
        <f t="shared" si="39"/>
        <v>6747802.4399999995</v>
      </c>
      <c r="AI130" s="12"/>
      <c r="AJ130" s="12">
        <f t="shared" si="45"/>
        <v>17202203.969999999</v>
      </c>
      <c r="AK130" s="12"/>
      <c r="AL130" s="12">
        <f t="shared" si="40"/>
        <v>-10454401.529999999</v>
      </c>
      <c r="AM130" s="12"/>
      <c r="AN130" s="13">
        <f t="shared" si="41"/>
        <v>0.39226383152809458</v>
      </c>
      <c r="AO130" s="13"/>
      <c r="AP130" s="14">
        <f t="shared" si="42"/>
        <v>-0.60773616847190537</v>
      </c>
    </row>
    <row r="131" spans="1:42" s="9" customFormat="1" ht="24.95" customHeight="1" x14ac:dyDescent="0.2">
      <c r="A131" s="9" t="s">
        <v>548</v>
      </c>
      <c r="B131" s="12">
        <f>CNT!S154</f>
        <v>1741208.01</v>
      </c>
      <c r="C131" s="12"/>
      <c r="D131" s="12">
        <v>0</v>
      </c>
      <c r="E131" s="12"/>
      <c r="F131" s="12">
        <f>DEP!S61+DEP!S62+DEP!S63+DEP!S64+DEP!S65</f>
        <v>6646143.8700000001</v>
      </c>
      <c r="G131" s="12"/>
      <c r="H131" s="12">
        <v>0</v>
      </c>
      <c r="I131" s="12"/>
      <c r="J131" s="12">
        <v>0</v>
      </c>
      <c r="K131" s="12"/>
      <c r="L131" s="12">
        <v>0</v>
      </c>
      <c r="M131" s="12"/>
      <c r="N131" s="12">
        <f>'722 Bedford St'!E57+'722 Bedford St'!E58+'722 Bedford St'!E59+'722 Bedford St'!E60+'722 Bedford St'!E61+'722 Bedford St'!E62</f>
        <v>6126127.2300000004</v>
      </c>
      <c r="O131" s="12"/>
      <c r="P131" s="12">
        <f t="shared" si="43"/>
        <v>14513479.109999999</v>
      </c>
      <c r="Q131" s="9" t="s">
        <v>548</v>
      </c>
      <c r="R131" s="54">
        <v>0</v>
      </c>
      <c r="S131" s="12"/>
      <c r="T131" s="54">
        <v>0</v>
      </c>
      <c r="U131" s="12"/>
      <c r="V131" s="54">
        <v>4996824.41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0</v>
      </c>
      <c r="AE131" s="12"/>
      <c r="AF131" s="122">
        <f t="shared" si="44"/>
        <v>4996824.41</v>
      </c>
      <c r="AG131" s="9" t="s">
        <v>548</v>
      </c>
      <c r="AH131" s="12">
        <f t="shared" si="39"/>
        <v>14513479.109999999</v>
      </c>
      <c r="AI131" s="12"/>
      <c r="AJ131" s="12">
        <f>AF131</f>
        <v>4996824.41</v>
      </c>
      <c r="AK131" s="12"/>
      <c r="AL131" s="12">
        <f t="shared" si="40"/>
        <v>9516654.6999999993</v>
      </c>
      <c r="AM131" s="12"/>
      <c r="AN131" s="13">
        <v>0</v>
      </c>
      <c r="AO131" s="13"/>
      <c r="AP131" s="14">
        <f>AN131-1</f>
        <v>-1</v>
      </c>
    </row>
    <row r="132" spans="1:42" s="9" customFormat="1" ht="24.95" customHeight="1" x14ac:dyDescent="0.2">
      <c r="A132" s="9" t="s">
        <v>325</v>
      </c>
      <c r="B132" s="12">
        <f>CNT!S155</f>
        <v>-5000000</v>
      </c>
      <c r="C132" s="12"/>
      <c r="D132" s="12">
        <v>0</v>
      </c>
      <c r="E132" s="12"/>
      <c r="F132" s="12">
        <v>0</v>
      </c>
      <c r="G132" s="12"/>
      <c r="H132" s="12">
        <v>0</v>
      </c>
      <c r="I132" s="12"/>
      <c r="J132" s="12">
        <v>0</v>
      </c>
      <c r="K132" s="12"/>
      <c r="L132" s="12">
        <v>0</v>
      </c>
      <c r="M132" s="12"/>
      <c r="N132" s="12">
        <v>0</v>
      </c>
      <c r="O132" s="12"/>
      <c r="P132" s="12">
        <f t="shared" si="43"/>
        <v>-5000000</v>
      </c>
      <c r="Q132" s="9" t="s">
        <v>325</v>
      </c>
      <c r="R132" s="54">
        <v>-23966.94</v>
      </c>
      <c r="S132" s="12"/>
      <c r="T132" s="54">
        <v>0</v>
      </c>
      <c r="U132" s="12"/>
      <c r="V132" s="54">
        <v>0</v>
      </c>
      <c r="W132" s="12"/>
      <c r="X132" s="54">
        <v>0</v>
      </c>
      <c r="Y132" s="12"/>
      <c r="Z132" s="54">
        <v>0</v>
      </c>
      <c r="AA132" s="12"/>
      <c r="AB132" s="54">
        <v>0</v>
      </c>
      <c r="AC132" s="12"/>
      <c r="AD132" s="54">
        <v>0</v>
      </c>
      <c r="AE132" s="12"/>
      <c r="AF132" s="122">
        <f t="shared" si="44"/>
        <v>-23966.94</v>
      </c>
      <c r="AG132" s="9" t="s">
        <v>325</v>
      </c>
      <c r="AH132" s="12">
        <f t="shared" si="39"/>
        <v>-5000000</v>
      </c>
      <c r="AI132" s="12"/>
      <c r="AJ132" s="12">
        <f t="shared" si="45"/>
        <v>-23966.94</v>
      </c>
      <c r="AK132" s="12"/>
      <c r="AL132" s="12">
        <f t="shared" si="40"/>
        <v>-4976033.0599999996</v>
      </c>
      <c r="AM132" s="12"/>
      <c r="AN132" s="13">
        <f t="shared" si="41"/>
        <v>208.62070835909799</v>
      </c>
      <c r="AO132" s="13"/>
      <c r="AP132" s="14">
        <f t="shared" si="42"/>
        <v>207.62070835909799</v>
      </c>
    </row>
    <row r="133" spans="1:42" s="9" customFormat="1" ht="24.95" customHeight="1" x14ac:dyDescent="0.2">
      <c r="A133" s="9" t="s">
        <v>326</v>
      </c>
      <c r="B133" s="12">
        <f>CNT!S159</f>
        <v>0</v>
      </c>
      <c r="C133" s="12"/>
      <c r="D133" s="12">
        <v>0</v>
      </c>
      <c r="E133" s="12"/>
      <c r="F133" s="12">
        <v>0</v>
      </c>
      <c r="G133" s="12"/>
      <c r="H133" s="12">
        <v>0</v>
      </c>
      <c r="I133" s="12"/>
      <c r="J133" s="12">
        <v>0</v>
      </c>
      <c r="K133" s="12"/>
      <c r="L133" s="12">
        <v>0</v>
      </c>
      <c r="M133" s="12"/>
      <c r="N133" s="12">
        <v>0</v>
      </c>
      <c r="O133" s="12"/>
      <c r="P133" s="12">
        <f t="shared" si="43"/>
        <v>0</v>
      </c>
      <c r="Q133" s="9" t="s">
        <v>326</v>
      </c>
      <c r="R133" s="54">
        <v>-133016.51999999999</v>
      </c>
      <c r="S133" s="12"/>
      <c r="T133" s="54">
        <v>0</v>
      </c>
      <c r="U133" s="12"/>
      <c r="V133" s="54">
        <v>0</v>
      </c>
      <c r="W133" s="12"/>
      <c r="X133" s="54">
        <v>0</v>
      </c>
      <c r="Y133" s="12"/>
      <c r="Z133" s="54">
        <v>0</v>
      </c>
      <c r="AA133" s="12"/>
      <c r="AB133" s="54">
        <v>0</v>
      </c>
      <c r="AC133" s="12"/>
      <c r="AD133" s="54">
        <v>0</v>
      </c>
      <c r="AE133" s="12"/>
      <c r="AF133" s="122">
        <f t="shared" si="44"/>
        <v>-133016.51999999999</v>
      </c>
      <c r="AG133" s="9" t="s">
        <v>326</v>
      </c>
      <c r="AH133" s="12">
        <f t="shared" si="39"/>
        <v>0</v>
      </c>
      <c r="AI133" s="12"/>
      <c r="AJ133" s="12">
        <f t="shared" si="45"/>
        <v>-133016.51999999999</v>
      </c>
      <c r="AK133" s="12"/>
      <c r="AL133" s="12">
        <f t="shared" si="40"/>
        <v>133016.51999999999</v>
      </c>
      <c r="AM133" s="12"/>
      <c r="AN133" s="13">
        <f t="shared" si="41"/>
        <v>0</v>
      </c>
      <c r="AO133" s="13"/>
      <c r="AP133" s="14">
        <f t="shared" si="42"/>
        <v>-1</v>
      </c>
    </row>
    <row r="134" spans="1:42" s="9" customFormat="1" ht="24.95" customHeight="1" x14ac:dyDescent="0.2">
      <c r="A134" s="9" t="s">
        <v>327</v>
      </c>
      <c r="B134" s="12">
        <v>0</v>
      </c>
      <c r="C134" s="12"/>
      <c r="D134" s="12">
        <f>BPM!S59</f>
        <v>0</v>
      </c>
      <c r="E134" s="12"/>
      <c r="F134" s="12">
        <v>0</v>
      </c>
      <c r="G134" s="12"/>
      <c r="H134" s="12">
        <v>0</v>
      </c>
      <c r="I134" s="12"/>
      <c r="J134" s="12">
        <v>0</v>
      </c>
      <c r="K134" s="12"/>
      <c r="L134" s="12">
        <v>0</v>
      </c>
      <c r="M134" s="12"/>
      <c r="N134" s="12">
        <v>0</v>
      </c>
      <c r="O134" s="12"/>
      <c r="P134" s="12">
        <f t="shared" si="43"/>
        <v>0</v>
      </c>
      <c r="Q134" s="9" t="s">
        <v>327</v>
      </c>
      <c r="R134" s="54">
        <v>0</v>
      </c>
      <c r="S134" s="12"/>
      <c r="T134" s="54">
        <v>-7674.23</v>
      </c>
      <c r="U134" s="12"/>
      <c r="V134" s="54">
        <v>0</v>
      </c>
      <c r="W134" s="12"/>
      <c r="X134" s="54">
        <v>0</v>
      </c>
      <c r="Y134" s="12"/>
      <c r="Z134" s="54">
        <v>0</v>
      </c>
      <c r="AA134" s="12"/>
      <c r="AB134" s="54">
        <v>0</v>
      </c>
      <c r="AC134" s="12"/>
      <c r="AD134" s="54">
        <v>0</v>
      </c>
      <c r="AE134" s="12"/>
      <c r="AF134" s="122">
        <f t="shared" si="44"/>
        <v>-7674.23</v>
      </c>
      <c r="AG134" s="9" t="s">
        <v>327</v>
      </c>
      <c r="AH134" s="12">
        <f t="shared" si="39"/>
        <v>0</v>
      </c>
      <c r="AI134" s="12"/>
      <c r="AJ134" s="12">
        <f t="shared" si="45"/>
        <v>-7674.23</v>
      </c>
      <c r="AK134" s="12"/>
      <c r="AL134" s="12">
        <f t="shared" si="40"/>
        <v>7674.23</v>
      </c>
      <c r="AM134" s="12"/>
      <c r="AN134" s="13">
        <f t="shared" si="41"/>
        <v>0</v>
      </c>
      <c r="AO134" s="13"/>
      <c r="AP134" s="14">
        <f t="shared" si="42"/>
        <v>-1</v>
      </c>
    </row>
    <row r="135" spans="1:42" s="9" customFormat="1" ht="24.95" customHeight="1" x14ac:dyDescent="0.2">
      <c r="A135" s="9" t="s">
        <v>332</v>
      </c>
      <c r="B135" s="12">
        <v>0</v>
      </c>
      <c r="C135" s="12"/>
      <c r="D135" s="12">
        <f>BPM!S63</f>
        <v>0</v>
      </c>
      <c r="E135" s="12"/>
      <c r="F135" s="12">
        <v>0</v>
      </c>
      <c r="G135" s="12"/>
      <c r="H135" s="12">
        <v>0</v>
      </c>
      <c r="I135" s="12"/>
      <c r="J135" s="12">
        <v>0</v>
      </c>
      <c r="K135" s="12"/>
      <c r="L135" s="12">
        <v>0</v>
      </c>
      <c r="M135" s="12"/>
      <c r="N135" s="12">
        <v>0</v>
      </c>
      <c r="O135" s="12"/>
      <c r="P135" s="12">
        <f t="shared" si="43"/>
        <v>0</v>
      </c>
      <c r="Q135" s="9" t="s">
        <v>332</v>
      </c>
      <c r="R135" s="54">
        <v>0</v>
      </c>
      <c r="S135" s="12"/>
      <c r="T135" s="54">
        <v>-7674.23</v>
      </c>
      <c r="U135" s="12"/>
      <c r="V135" s="54">
        <v>0</v>
      </c>
      <c r="W135" s="12"/>
      <c r="X135" s="54">
        <v>0</v>
      </c>
      <c r="Y135" s="12"/>
      <c r="Z135" s="54">
        <v>0</v>
      </c>
      <c r="AA135" s="12"/>
      <c r="AB135" s="54">
        <v>0</v>
      </c>
      <c r="AC135" s="12"/>
      <c r="AD135" s="54">
        <v>0</v>
      </c>
      <c r="AE135" s="12"/>
      <c r="AF135" s="122">
        <f t="shared" si="44"/>
        <v>-7674.23</v>
      </c>
      <c r="AG135" s="9" t="s">
        <v>332</v>
      </c>
      <c r="AH135" s="12">
        <f t="shared" si="39"/>
        <v>0</v>
      </c>
      <c r="AI135" s="12"/>
      <c r="AJ135" s="12">
        <f t="shared" si="45"/>
        <v>-7674.23</v>
      </c>
      <c r="AK135" s="12"/>
      <c r="AL135" s="12">
        <f t="shared" si="40"/>
        <v>7674.23</v>
      </c>
      <c r="AM135" s="12"/>
      <c r="AN135" s="13">
        <f t="shared" si="41"/>
        <v>0</v>
      </c>
      <c r="AO135" s="13"/>
      <c r="AP135" s="14">
        <f t="shared" si="42"/>
        <v>-1</v>
      </c>
    </row>
    <row r="136" spans="1:42" s="9" customFormat="1" ht="24.95" customHeight="1" x14ac:dyDescent="0.2">
      <c r="A136" s="9" t="s">
        <v>328</v>
      </c>
      <c r="B136" s="12">
        <f>CNT!S156</f>
        <v>-6000</v>
      </c>
      <c r="C136" s="12"/>
      <c r="D136" s="12">
        <f>BPM!S60</f>
        <v>0</v>
      </c>
      <c r="E136" s="12"/>
      <c r="F136" s="12">
        <v>0</v>
      </c>
      <c r="G136" s="12"/>
      <c r="H136" s="12">
        <v>0</v>
      </c>
      <c r="I136" s="12"/>
      <c r="J136" s="12">
        <v>0</v>
      </c>
      <c r="K136" s="12"/>
      <c r="L136" s="12">
        <f>'Oliari Co'!F88</f>
        <v>0</v>
      </c>
      <c r="M136" s="12"/>
      <c r="N136" s="12">
        <v>0</v>
      </c>
      <c r="O136" s="12"/>
      <c r="P136" s="12">
        <f t="shared" si="43"/>
        <v>-6000</v>
      </c>
      <c r="Q136" s="9" t="s">
        <v>328</v>
      </c>
      <c r="R136" s="54">
        <v>-78500</v>
      </c>
      <c r="S136" s="12"/>
      <c r="T136" s="54">
        <v>-506500</v>
      </c>
      <c r="U136" s="12"/>
      <c r="V136" s="54">
        <v>0</v>
      </c>
      <c r="W136" s="12"/>
      <c r="X136" s="54">
        <v>0</v>
      </c>
      <c r="Y136" s="12"/>
      <c r="Z136" s="54">
        <v>0</v>
      </c>
      <c r="AA136" s="12"/>
      <c r="AB136" s="54">
        <v>0</v>
      </c>
      <c r="AC136" s="12"/>
      <c r="AD136" s="54">
        <v>0</v>
      </c>
      <c r="AE136" s="12"/>
      <c r="AF136" s="122">
        <f t="shared" si="44"/>
        <v>-585000</v>
      </c>
      <c r="AG136" s="9" t="s">
        <v>328</v>
      </c>
      <c r="AH136" s="12">
        <f t="shared" si="39"/>
        <v>-6000</v>
      </c>
      <c r="AI136" s="12"/>
      <c r="AJ136" s="12">
        <f t="shared" si="45"/>
        <v>-585000</v>
      </c>
      <c r="AK136" s="12"/>
      <c r="AL136" s="12">
        <f t="shared" si="40"/>
        <v>579000</v>
      </c>
      <c r="AM136" s="12"/>
      <c r="AN136" s="13">
        <f t="shared" si="41"/>
        <v>1.0256410256410256E-2</v>
      </c>
      <c r="AO136" s="13"/>
      <c r="AP136" s="14">
        <f t="shared" si="42"/>
        <v>-0.98974358974358978</v>
      </c>
    </row>
    <row r="137" spans="1:42" s="9" customFormat="1" ht="24.95" customHeight="1" x14ac:dyDescent="0.2">
      <c r="A137" s="9" t="s">
        <v>329</v>
      </c>
      <c r="B137" s="12">
        <f>CNT!S157</f>
        <v>-6000</v>
      </c>
      <c r="C137" s="12"/>
      <c r="D137" s="12">
        <f>BPM!S61</f>
        <v>0</v>
      </c>
      <c r="E137" s="12"/>
      <c r="F137" s="12">
        <v>0</v>
      </c>
      <c r="G137" s="12"/>
      <c r="H137" s="12">
        <v>0</v>
      </c>
      <c r="I137" s="12"/>
      <c r="J137" s="12">
        <v>0</v>
      </c>
      <c r="K137" s="12"/>
      <c r="L137" s="12">
        <f>'Oliari Co'!F87</f>
        <v>0</v>
      </c>
      <c r="M137" s="12"/>
      <c r="N137" s="12">
        <v>0</v>
      </c>
      <c r="O137" s="12"/>
      <c r="P137" s="12">
        <f t="shared" si="43"/>
        <v>-6000</v>
      </c>
      <c r="Q137" s="9" t="s">
        <v>329</v>
      </c>
      <c r="R137" s="54">
        <v>-78500</v>
      </c>
      <c r="S137" s="12"/>
      <c r="T137" s="54">
        <v>-506500</v>
      </c>
      <c r="U137" s="12"/>
      <c r="V137" s="54">
        <v>0</v>
      </c>
      <c r="W137" s="12"/>
      <c r="X137" s="54">
        <v>0</v>
      </c>
      <c r="Y137" s="12"/>
      <c r="Z137" s="54">
        <v>0</v>
      </c>
      <c r="AA137" s="12"/>
      <c r="AB137" s="54">
        <v>0</v>
      </c>
      <c r="AC137" s="12"/>
      <c r="AD137" s="54">
        <v>0</v>
      </c>
      <c r="AE137" s="12"/>
      <c r="AF137" s="122">
        <f t="shared" si="44"/>
        <v>-585000</v>
      </c>
      <c r="AG137" s="9" t="s">
        <v>329</v>
      </c>
      <c r="AH137" s="12">
        <f t="shared" si="39"/>
        <v>-6000</v>
      </c>
      <c r="AI137" s="12"/>
      <c r="AJ137" s="12">
        <f t="shared" si="45"/>
        <v>-585000</v>
      </c>
      <c r="AK137" s="12"/>
      <c r="AL137" s="12">
        <f t="shared" si="40"/>
        <v>579000</v>
      </c>
      <c r="AM137" s="12"/>
      <c r="AN137" s="13">
        <f t="shared" si="41"/>
        <v>1.0256410256410256E-2</v>
      </c>
      <c r="AO137" s="13"/>
      <c r="AP137" s="14">
        <f t="shared" si="42"/>
        <v>-0.98974358974358978</v>
      </c>
    </row>
    <row r="138" spans="1:42" s="9" customFormat="1" ht="24.95" customHeight="1" x14ac:dyDescent="0.2">
      <c r="A138" s="9" t="s">
        <v>330</v>
      </c>
      <c r="B138" s="16">
        <f>CNT!S158</f>
        <v>-6000</v>
      </c>
      <c r="C138" s="16"/>
      <c r="D138" s="16">
        <f>BPM!S62</f>
        <v>0</v>
      </c>
      <c r="E138" s="16"/>
      <c r="F138" s="16">
        <v>0</v>
      </c>
      <c r="G138" s="16"/>
      <c r="H138" s="16">
        <v>0</v>
      </c>
      <c r="I138" s="16"/>
      <c r="J138" s="16">
        <v>0</v>
      </c>
      <c r="K138" s="16"/>
      <c r="L138" s="16">
        <f>'Oliari Co'!F89</f>
        <v>0</v>
      </c>
      <c r="M138" s="16"/>
      <c r="N138" s="16">
        <v>0</v>
      </c>
      <c r="O138" s="16"/>
      <c r="P138" s="16">
        <f t="shared" si="43"/>
        <v>-6000</v>
      </c>
      <c r="Q138" s="9" t="s">
        <v>330</v>
      </c>
      <c r="R138" s="55">
        <v>-78500</v>
      </c>
      <c r="S138" s="16"/>
      <c r="T138" s="55">
        <v>-506500</v>
      </c>
      <c r="U138" s="16"/>
      <c r="V138" s="55">
        <v>0</v>
      </c>
      <c r="W138" s="16"/>
      <c r="X138" s="55">
        <v>0</v>
      </c>
      <c r="Y138" s="16"/>
      <c r="Z138" s="55">
        <v>0</v>
      </c>
      <c r="AA138" s="16"/>
      <c r="AB138" s="55">
        <v>0</v>
      </c>
      <c r="AC138" s="16"/>
      <c r="AD138" s="55">
        <v>0</v>
      </c>
      <c r="AE138" s="16"/>
      <c r="AF138" s="16">
        <f t="shared" si="44"/>
        <v>-585000</v>
      </c>
      <c r="AG138" s="9" t="s">
        <v>330</v>
      </c>
      <c r="AH138" s="16">
        <f t="shared" si="39"/>
        <v>-6000</v>
      </c>
      <c r="AI138" s="16"/>
      <c r="AJ138" s="16">
        <f t="shared" si="45"/>
        <v>-585000</v>
      </c>
      <c r="AK138" s="16"/>
      <c r="AL138" s="16">
        <f t="shared" si="40"/>
        <v>579000</v>
      </c>
      <c r="AM138" s="12"/>
      <c r="AN138" s="13">
        <f t="shared" si="41"/>
        <v>1.0256410256410256E-2</v>
      </c>
      <c r="AO138" s="13"/>
      <c r="AP138" s="14">
        <f t="shared" si="42"/>
        <v>-0.98974358974358978</v>
      </c>
    </row>
    <row r="139" spans="1:42" s="9" customFormat="1" ht="24.95" customHeight="1" x14ac:dyDescent="0.2">
      <c r="A139" s="27" t="s">
        <v>331</v>
      </c>
      <c r="B139" s="12">
        <f>SUM(B127:B138)</f>
        <v>26478451.770000003</v>
      </c>
      <c r="C139" s="12"/>
      <c r="D139" s="12">
        <f>SUM(D127:D138)</f>
        <v>357201.18</v>
      </c>
      <c r="E139" s="12"/>
      <c r="F139" s="12">
        <f>SUM(F127:F138)</f>
        <v>9189169.6699999999</v>
      </c>
      <c r="G139" s="12"/>
      <c r="H139" s="12">
        <f>SUM(H127:H138)</f>
        <v>459570.85000000003</v>
      </c>
      <c r="I139" s="12"/>
      <c r="J139" s="12">
        <f>SUM(J127:J138)</f>
        <v>-1248988.4000000001</v>
      </c>
      <c r="K139" s="12"/>
      <c r="L139" s="12">
        <f>SUM(L127:L138)</f>
        <v>5154795.67</v>
      </c>
      <c r="M139" s="12"/>
      <c r="N139" s="12">
        <f>SUM(N127:N138)</f>
        <v>8450510.9200000018</v>
      </c>
      <c r="O139" s="12"/>
      <c r="P139" s="12">
        <f>SUM(P127:P138)</f>
        <v>48840711.660000004</v>
      </c>
      <c r="Q139" s="27" t="s">
        <v>331</v>
      </c>
      <c r="R139" s="54">
        <f>SUM(R127:R138)</f>
        <v>11469163.02</v>
      </c>
      <c r="S139" s="12"/>
      <c r="T139" s="54">
        <f>SUM(T127:T138)</f>
        <v>501902.29000000004</v>
      </c>
      <c r="U139" s="12"/>
      <c r="V139" s="54">
        <f>SUM(V127:V138)</f>
        <v>6191097.5300000003</v>
      </c>
      <c r="W139" s="12"/>
      <c r="X139" s="54">
        <f>SUM(X127:X138)</f>
        <v>419118.38</v>
      </c>
      <c r="Y139" s="12"/>
      <c r="Z139" s="54">
        <f>SUM(Z127:Z138)</f>
        <v>-1226994.17</v>
      </c>
      <c r="AA139" s="12"/>
      <c r="AB139" s="54">
        <f>SUM(AB127:AB138)</f>
        <v>4978648.17</v>
      </c>
      <c r="AC139" s="12"/>
      <c r="AD139" s="54">
        <f>SUM(AD127:AD138)</f>
        <v>1451344.56</v>
      </c>
      <c r="AE139" s="12"/>
      <c r="AF139" s="12">
        <f>SUM(AF127:AF138)</f>
        <v>23784279.779999997</v>
      </c>
      <c r="AG139" s="27" t="s">
        <v>331</v>
      </c>
      <c r="AH139" s="22">
        <f>SUM(AH127:AH138)</f>
        <v>48840711.660000004</v>
      </c>
      <c r="AI139" s="22"/>
      <c r="AJ139" s="22">
        <f>SUM(AJ127:AJ138)</f>
        <v>23784279.779999997</v>
      </c>
      <c r="AK139" s="22"/>
      <c r="AL139" s="22">
        <f>SUM(AL127:AL138)</f>
        <v>25056431.880000006</v>
      </c>
      <c r="AM139" s="22"/>
      <c r="AN139" s="13">
        <f t="shared" si="41"/>
        <v>2.053487097854851</v>
      </c>
      <c r="AO139" s="13"/>
      <c r="AP139" s="14">
        <f t="shared" si="42"/>
        <v>1.053487097854851</v>
      </c>
    </row>
    <row r="140" spans="1:42" s="9" customFormat="1" ht="24.95" customHeight="1" x14ac:dyDescent="0.2">
      <c r="B140" s="12"/>
      <c r="C140" s="12"/>
      <c r="D140" s="12"/>
      <c r="E140" s="12"/>
      <c r="F140" s="12"/>
      <c r="G140" s="12"/>
      <c r="P140" s="10"/>
      <c r="R140" s="65"/>
      <c r="T140" s="65"/>
      <c r="V140" s="65"/>
      <c r="X140" s="65"/>
      <c r="Z140" s="65"/>
      <c r="AB140" s="65"/>
      <c r="AD140" s="65"/>
      <c r="AF140" s="10"/>
      <c r="AN140" s="13"/>
      <c r="AO140" s="13"/>
      <c r="AP140" s="19"/>
    </row>
    <row r="141" spans="1:42" s="9" customFormat="1" ht="24.95" customHeight="1" thickBot="1" x14ac:dyDescent="0.25">
      <c r="A141" s="8" t="s">
        <v>333</v>
      </c>
      <c r="B141" s="23">
        <f>SUM(B139,B122,B113)</f>
        <v>83298419.610000014</v>
      </c>
      <c r="C141" s="23"/>
      <c r="D141" s="23">
        <f>SUM(D139,D122,D113)</f>
        <v>363173.81</v>
      </c>
      <c r="E141" s="23"/>
      <c r="F141" s="23">
        <f>SUM(F139,F122,F113)</f>
        <v>9775775.5800000001</v>
      </c>
      <c r="G141" s="23"/>
      <c r="H141" s="23">
        <f>SUM(H139,H122,H113)</f>
        <v>931970.84000000008</v>
      </c>
      <c r="I141" s="23"/>
      <c r="J141" s="23">
        <f>SUM(J139,J122,J113)</f>
        <v>2037537.9499999997</v>
      </c>
      <c r="K141" s="23"/>
      <c r="L141" s="23">
        <f>SUM(L139,L122,L113)</f>
        <v>5514919.71</v>
      </c>
      <c r="M141" s="23"/>
      <c r="N141" s="23">
        <f>SUM(N139,N122,N113)</f>
        <v>8840673.7600000016</v>
      </c>
      <c r="O141" s="23"/>
      <c r="P141" s="23">
        <f>SUM(P139,P122,P113)</f>
        <v>110762471.26000001</v>
      </c>
      <c r="Q141" s="8" t="s">
        <v>333</v>
      </c>
      <c r="R141" s="57">
        <f>SUM(R139,R122,R113)</f>
        <v>25594392.969999999</v>
      </c>
      <c r="S141" s="23"/>
      <c r="T141" s="57">
        <f>SUM(T139,T122,T113)</f>
        <v>1160843.01</v>
      </c>
      <c r="U141" s="23"/>
      <c r="V141" s="57">
        <f>SUM(V139,V122,V113)</f>
        <v>6781306.3200000003</v>
      </c>
      <c r="W141" s="23"/>
      <c r="X141" s="57">
        <f>SUM(X139,X122,X113)</f>
        <v>1020338.58</v>
      </c>
      <c r="Y141" s="24"/>
      <c r="Z141" s="66">
        <f>SUM(Z139,Z122,Z113)</f>
        <v>2008127.51</v>
      </c>
      <c r="AA141" s="24"/>
      <c r="AB141" s="66">
        <f>SUM(AB139,AB122,AB113)</f>
        <v>5328041.0599999996</v>
      </c>
      <c r="AC141" s="24"/>
      <c r="AD141" s="66">
        <f>SUM(AD139,AD122,AD113)</f>
        <v>8180988.0000000009</v>
      </c>
      <c r="AE141" s="24"/>
      <c r="AF141" s="23">
        <f>SUM(AF139,AF122,AF113)</f>
        <v>50074037.450000003</v>
      </c>
      <c r="AG141" s="8" t="s">
        <v>333</v>
      </c>
      <c r="AH141" s="23">
        <f>SUM(AH139,AH122,AH113)</f>
        <v>110762471.26000001</v>
      </c>
      <c r="AI141" s="23"/>
      <c r="AJ141" s="23">
        <f>SUM(AJ139,AJ122,AJ113)</f>
        <v>50074037.450000003</v>
      </c>
      <c r="AK141" s="23"/>
      <c r="AL141" s="23">
        <f>SUM(AL139,AL122,AL113)</f>
        <v>60688433.81000001</v>
      </c>
      <c r="AM141" s="25"/>
      <c r="AN141" s="13">
        <f t="shared" si="41"/>
        <v>2.2119740468421125</v>
      </c>
      <c r="AO141" s="13"/>
      <c r="AP141" s="14">
        <f t="shared" si="42"/>
        <v>1.2119740468421125</v>
      </c>
    </row>
    <row r="142" spans="1:42" ht="15.75" thickTop="1" x14ac:dyDescent="0.2">
      <c r="B142" s="3">
        <f>B141-B69</f>
        <v>0</v>
      </c>
      <c r="C142" s="3"/>
      <c r="D142" s="3">
        <f>D141-D69</f>
        <v>0</v>
      </c>
      <c r="E142" s="3"/>
      <c r="F142" s="3">
        <f>F141-F69</f>
        <v>0</v>
      </c>
      <c r="G142" s="3"/>
      <c r="H142" s="3">
        <f>H141-H69</f>
        <v>0</v>
      </c>
      <c r="I142" s="3"/>
      <c r="J142" s="3">
        <f>J141-J69</f>
        <v>0</v>
      </c>
      <c r="K142" s="3"/>
      <c r="L142" s="3">
        <f>L141-L69</f>
        <v>0</v>
      </c>
      <c r="M142" s="3"/>
      <c r="N142" s="3">
        <f>N141-N69</f>
        <v>0</v>
      </c>
      <c r="O142" s="3"/>
      <c r="P142" s="3">
        <f>P141-P69</f>
        <v>0</v>
      </c>
      <c r="R142" s="58">
        <f>R69-R141</f>
        <v>4.4703483581542969E-8</v>
      </c>
      <c r="S142" s="3"/>
      <c r="T142" s="58">
        <f>T141-T69</f>
        <v>0</v>
      </c>
      <c r="U142" s="3"/>
      <c r="V142" s="58">
        <f>V141-V69</f>
        <v>0</v>
      </c>
      <c r="W142" s="3"/>
      <c r="X142" s="58">
        <f>X141-X69</f>
        <v>0</v>
      </c>
      <c r="Y142" s="3"/>
      <c r="Z142" s="58">
        <f>Z141-Z69</f>
        <v>0</v>
      </c>
      <c r="AA142" s="3"/>
      <c r="AB142" s="58">
        <f>AB141-AB69</f>
        <v>0</v>
      </c>
      <c r="AC142" s="3"/>
      <c r="AD142" s="58">
        <f>AD141-AD69</f>
        <v>0</v>
      </c>
      <c r="AE142" s="3"/>
      <c r="AF142" s="3">
        <f>AF141-AF69</f>
        <v>0</v>
      </c>
      <c r="AG142" s="3"/>
      <c r="AH142" s="3">
        <f>AH141-AH69</f>
        <v>1750431.3600000441</v>
      </c>
      <c r="AI142" s="3"/>
      <c r="AJ142" s="3">
        <f>AJ141-AJ69</f>
        <v>0</v>
      </c>
      <c r="AK142" s="3"/>
      <c r="AL142" s="3">
        <f>AL141-AL69</f>
        <v>1750431.3600000516</v>
      </c>
      <c r="AM142" s="3"/>
      <c r="AN142" s="4">
        <f>AN141-AN69</f>
        <v>3.4956864857321968E-2</v>
      </c>
      <c r="AO142" s="3"/>
      <c r="AP142" s="3">
        <f>AP141-AP69</f>
        <v>3.4956864857321968E-2</v>
      </c>
    </row>
    <row r="143" spans="1:42" x14ac:dyDescent="0.2">
      <c r="B143" s="3">
        <f>B141-CNT!U162</f>
        <v>0</v>
      </c>
      <c r="C143" s="3"/>
      <c r="D143" s="3">
        <f>D141-BPM!U69</f>
        <v>0</v>
      </c>
      <c r="E143" s="3"/>
      <c r="F143" s="3">
        <f>F141-DEP!U68</f>
        <v>0</v>
      </c>
      <c r="G143" s="3"/>
      <c r="H143" s="38">
        <f>H141-Lending!F45</f>
        <v>0</v>
      </c>
      <c r="J143" s="38">
        <f>J141-BSC!F80</f>
        <v>0</v>
      </c>
      <c r="L143" s="38">
        <f>L141-'Oliari Co'!F93</f>
        <v>0</v>
      </c>
      <c r="N143" s="38">
        <f>N141-'722 Bedford St'!E70</f>
        <v>0</v>
      </c>
      <c r="P143" s="7">
        <f>P141-SUM(B141:N141)</f>
        <v>0</v>
      </c>
    </row>
    <row r="144" spans="1:42" x14ac:dyDescent="0.2">
      <c r="R144" s="58"/>
      <c r="S144" s="3"/>
      <c r="T144" s="58"/>
      <c r="U144" s="3"/>
      <c r="V144" s="58"/>
      <c r="W144" s="3"/>
      <c r="X144" s="58"/>
      <c r="Y144" s="3"/>
      <c r="Z144" s="58"/>
      <c r="AA144" s="3"/>
      <c r="AB144" s="58"/>
      <c r="AC144" s="3"/>
      <c r="AD144" s="58"/>
    </row>
    <row r="145" spans="1:30" x14ac:dyDescent="0.2">
      <c r="R145" s="58"/>
      <c r="T145" s="58"/>
      <c r="V145" s="58"/>
      <c r="X145" s="58"/>
      <c r="Z145" s="58"/>
      <c r="AB145" s="58"/>
      <c r="AD145" s="58"/>
    </row>
    <row r="146" spans="1:30" x14ac:dyDescent="0.2">
      <c r="A146" s="50" t="s">
        <v>533</v>
      </c>
    </row>
    <row r="147" spans="1:30" x14ac:dyDescent="0.2">
      <c r="A147" s="50"/>
    </row>
    <row r="148" spans="1:30" x14ac:dyDescent="0.2">
      <c r="A148" s="50"/>
      <c r="F148" s="38"/>
      <c r="H148" s="38"/>
    </row>
    <row r="149" spans="1:30" x14ac:dyDescent="0.2">
      <c r="A149" s="2" t="s">
        <v>534</v>
      </c>
      <c r="B149" s="38">
        <f t="shared" ref="B149:N149" si="46">B12</f>
        <v>605404.14</v>
      </c>
      <c r="C149" s="38">
        <f t="shared" si="46"/>
        <v>0</v>
      </c>
      <c r="D149" s="38">
        <f t="shared" si="46"/>
        <v>300000</v>
      </c>
      <c r="E149" s="38">
        <f t="shared" si="46"/>
        <v>0</v>
      </c>
      <c r="F149" s="38">
        <f t="shared" si="46"/>
        <v>7090162.8399999999</v>
      </c>
      <c r="G149" s="38">
        <f t="shared" si="46"/>
        <v>0</v>
      </c>
      <c r="H149" s="38">
        <f t="shared" si="46"/>
        <v>0</v>
      </c>
      <c r="I149" s="38">
        <f t="shared" si="46"/>
        <v>0</v>
      </c>
      <c r="J149" s="38">
        <f t="shared" si="46"/>
        <v>200000</v>
      </c>
      <c r="K149" s="38">
        <f t="shared" si="46"/>
        <v>0</v>
      </c>
      <c r="L149" s="38">
        <f t="shared" si="46"/>
        <v>2176288.06</v>
      </c>
      <c r="M149" s="38">
        <f t="shared" si="46"/>
        <v>0</v>
      </c>
      <c r="N149" s="38">
        <f t="shared" si="46"/>
        <v>32500</v>
      </c>
      <c r="P149" s="7">
        <f>SUM(B149:N149)</f>
        <v>10404355.039999999</v>
      </c>
    </row>
    <row r="150" spans="1:30" x14ac:dyDescent="0.2">
      <c r="A150" s="2" t="s">
        <v>535</v>
      </c>
      <c r="B150" s="38">
        <f>B106+B105</f>
        <v>8276825</v>
      </c>
      <c r="C150" s="38">
        <f t="shared" ref="C150:M150" si="47">C106+C105</f>
        <v>0</v>
      </c>
      <c r="D150" s="38">
        <f>D106+D105</f>
        <v>3939.49</v>
      </c>
      <c r="E150" s="38">
        <f t="shared" si="47"/>
        <v>0</v>
      </c>
      <c r="F150" s="38">
        <f>F106+F105</f>
        <v>100536.04</v>
      </c>
      <c r="G150" s="38">
        <f t="shared" si="47"/>
        <v>0</v>
      </c>
      <c r="H150" s="38">
        <f>H106+H105</f>
        <v>458137.97</v>
      </c>
      <c r="I150" s="38">
        <f t="shared" si="47"/>
        <v>0</v>
      </c>
      <c r="J150" s="38">
        <f>J106+J105+J81</f>
        <v>1174569.69</v>
      </c>
      <c r="K150" s="38">
        <f t="shared" si="47"/>
        <v>0</v>
      </c>
      <c r="L150" s="38">
        <f>L106+L105</f>
        <v>0</v>
      </c>
      <c r="M150" s="38">
        <f t="shared" si="47"/>
        <v>0</v>
      </c>
      <c r="N150" s="38">
        <f>N106+N105</f>
        <v>390162.84</v>
      </c>
      <c r="P150" s="7">
        <f>SUM(B150:N150)</f>
        <v>10404171.029999999</v>
      </c>
    </row>
    <row r="151" spans="1:30" x14ac:dyDescent="0.2">
      <c r="A151" s="2" t="s">
        <v>536</v>
      </c>
      <c r="H151" s="38"/>
      <c r="P151" s="68">
        <f>P149-P150</f>
        <v>184.00999999977648</v>
      </c>
    </row>
    <row r="152" spans="1:30" x14ac:dyDescent="0.2">
      <c r="Q152" s="62"/>
    </row>
    <row r="153" spans="1:30" x14ac:dyDescent="0.2">
      <c r="A153" s="2" t="s">
        <v>538</v>
      </c>
      <c r="B153" s="3">
        <v>-9046717.2699999996</v>
      </c>
      <c r="D153" s="3">
        <v>-17763.09</v>
      </c>
      <c r="F153" s="3">
        <v>-797776.31</v>
      </c>
      <c r="H153" s="3">
        <v>0</v>
      </c>
      <c r="J153" s="3">
        <v>-2545935.86</v>
      </c>
      <c r="L153" s="3">
        <v>-1557487.12</v>
      </c>
      <c r="N153" s="3">
        <v>-1265921.3999999999</v>
      </c>
      <c r="Q153" s="51"/>
    </row>
    <row r="154" spans="1:30" x14ac:dyDescent="0.2">
      <c r="A154" s="2" t="s">
        <v>539</v>
      </c>
      <c r="B154" s="63">
        <f>B64</f>
        <v>-8116442.2300000004</v>
      </c>
      <c r="C154" s="48"/>
      <c r="D154" s="63">
        <f>D64</f>
        <v>-21527.7</v>
      </c>
      <c r="E154" s="48"/>
      <c r="F154" s="63">
        <f>F64</f>
        <v>-921881.05</v>
      </c>
      <c r="G154" s="48"/>
      <c r="H154" s="63">
        <f>H64</f>
        <v>0</v>
      </c>
      <c r="I154" s="48"/>
      <c r="J154" s="63">
        <f>J64</f>
        <v>-2621716.17</v>
      </c>
      <c r="K154" s="48"/>
      <c r="L154" s="63">
        <f>L64</f>
        <v>-1640262.48</v>
      </c>
      <c r="M154" s="48"/>
      <c r="N154" s="63">
        <f>N64</f>
        <v>-1396839.15</v>
      </c>
      <c r="O154" s="48"/>
      <c r="P154" s="49">
        <f>SUM(B154:N154)</f>
        <v>-14718668.780000001</v>
      </c>
    </row>
    <row r="155" spans="1:30" x14ac:dyDescent="0.2">
      <c r="A155" s="2" t="s">
        <v>540</v>
      </c>
      <c r="B155" s="38">
        <f>B153-B154</f>
        <v>-930275.03999999911</v>
      </c>
      <c r="D155" s="38">
        <f>D153-D154</f>
        <v>3764.6100000000006</v>
      </c>
      <c r="F155" s="38">
        <f>F153-F154</f>
        <v>124104.73999999999</v>
      </c>
      <c r="H155" s="38">
        <f>H153-H154</f>
        <v>0</v>
      </c>
      <c r="J155" s="38">
        <f>J153-J154</f>
        <v>75780.310000000056</v>
      </c>
      <c r="L155" s="38">
        <f>L153-L154</f>
        <v>82775.35999999987</v>
      </c>
      <c r="N155" s="38">
        <f>N153-N154</f>
        <v>130917.75</v>
      </c>
    </row>
    <row r="156" spans="1:30" x14ac:dyDescent="0.2">
      <c r="B156" s="38"/>
      <c r="D156" s="38"/>
      <c r="F156" s="38"/>
      <c r="H156" s="38"/>
      <c r="J156" s="38"/>
      <c r="L156" s="38"/>
      <c r="N156" s="38"/>
    </row>
    <row r="157" spans="1:30" x14ac:dyDescent="0.2">
      <c r="A157" s="2" t="s">
        <v>537</v>
      </c>
      <c r="B157" s="38">
        <f>'[2]Comp YTD 2020-2019 '!$B$65</f>
        <v>965943.37</v>
      </c>
      <c r="D157" s="38">
        <f>'[2]Comp YTD 2020-2019 '!$C$65</f>
        <v>3764.61</v>
      </c>
      <c r="F157" s="38">
        <f>'[2]Comp YTD 2020-2019 '!$D$65</f>
        <v>124104.74</v>
      </c>
      <c r="H157" s="38">
        <f>'[2]Comp YTD 2020-2019 '!$E$65</f>
        <v>0</v>
      </c>
      <c r="J157" s="38">
        <f>'[2]Comp YTD 2020-2019 '!$F$65</f>
        <v>75780.31</v>
      </c>
      <c r="L157" s="38">
        <f>'[2]Comp YTD 2020-2019 '!$G$65</f>
        <v>83263.420000000013</v>
      </c>
      <c r="N157" s="38">
        <f>'[2]Comp YTD 2020-2019 '!$H$65</f>
        <v>130917.75000000001</v>
      </c>
      <c r="P157" s="7">
        <f>SUM(B157:N157)</f>
        <v>1383774.2</v>
      </c>
    </row>
    <row r="158" spans="1:30" x14ac:dyDescent="0.2">
      <c r="A158" s="2" t="s">
        <v>536</v>
      </c>
      <c r="B158" s="71">
        <f>B155-B157</f>
        <v>-1896218.4099999992</v>
      </c>
      <c r="C158" s="70"/>
      <c r="D158" s="71">
        <f>D155-D157</f>
        <v>0</v>
      </c>
      <c r="E158" s="70"/>
      <c r="F158" s="71">
        <f>F155-F157</f>
        <v>0</v>
      </c>
      <c r="G158" s="70"/>
      <c r="H158" s="71">
        <f>H155-H157</f>
        <v>0</v>
      </c>
      <c r="I158" s="70"/>
      <c r="J158" s="71">
        <f>J155-J157</f>
        <v>0</v>
      </c>
      <c r="K158" s="70"/>
      <c r="L158" s="71">
        <f>L155-L157</f>
        <v>-488.06000000014319</v>
      </c>
      <c r="M158" s="70"/>
      <c r="N158" s="71">
        <f>N155-N157</f>
        <v>0</v>
      </c>
    </row>
    <row r="160" spans="1:30" x14ac:dyDescent="0.2">
      <c r="A160" s="2" t="s">
        <v>558</v>
      </c>
      <c r="B160" s="69">
        <f>B129-'[2]Comp YTD 2020-2019 '!$B$178</f>
        <v>4.9620866775512695E-6</v>
      </c>
      <c r="C160" s="70" t="s">
        <v>536</v>
      </c>
      <c r="D160" s="69">
        <f>D129-'[2]Comp YTD 2020-2019 '!$C$178</f>
        <v>6.2573235481977463E-10</v>
      </c>
      <c r="E160" s="70"/>
      <c r="F160" s="69">
        <f>F129-'[2]Comp YTD 2020-2019 '!$D$178</f>
        <v>0</v>
      </c>
      <c r="G160" s="70"/>
      <c r="H160" s="69">
        <f>H129-'[2]Comp YTD 2020-2019 '!$E$178</f>
        <v>0</v>
      </c>
      <c r="I160" s="70"/>
      <c r="J160" s="69">
        <f>J129-'[2]Comp YTD 2020-2019 '!$F$178</f>
        <v>0</v>
      </c>
      <c r="K160" s="70"/>
      <c r="L160" s="69">
        <f>L129-'[2]Comp YTD 2020-2019 '!$G$178</f>
        <v>0</v>
      </c>
      <c r="M160" s="70"/>
      <c r="N160" s="69">
        <f>N129-'[2]Comp YTD 2020-2019 '!$H$178</f>
        <v>0</v>
      </c>
      <c r="O160" s="70"/>
      <c r="P160" s="68">
        <v>0</v>
      </c>
      <c r="Q160" s="2" t="s">
        <v>536</v>
      </c>
    </row>
    <row r="161" spans="1:2" x14ac:dyDescent="0.2">
      <c r="B161" s="38"/>
    </row>
    <row r="163" spans="1:2" x14ac:dyDescent="0.2">
      <c r="A163" s="152" t="s">
        <v>742</v>
      </c>
      <c r="B163" s="3">
        <f>-'[1]Year End Tie Out'!$J$21</f>
        <v>846562.63705677656</v>
      </c>
    </row>
    <row r="164" spans="1:2" x14ac:dyDescent="0.2">
      <c r="A164" s="152" t="s">
        <v>743</v>
      </c>
      <c r="B164" s="3">
        <v>-2901.19</v>
      </c>
    </row>
    <row r="165" spans="1:2" x14ac:dyDescent="0.2">
      <c r="A165" s="152" t="s">
        <v>744</v>
      </c>
      <c r="B165" s="48">
        <v>490.14</v>
      </c>
    </row>
    <row r="166" spans="1:2" x14ac:dyDescent="0.2">
      <c r="B166" s="38">
        <f>B158+B163+B164+B165</f>
        <v>-1052066.8229432227</v>
      </c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38" orientation="landscape" r:id="rId1"/>
  <headerFooter>
    <oddFooter>&amp;C&amp;14Page &amp;P of &amp;N</oddFooter>
  </headerFooter>
  <rowBreaks count="3" manualBreakCount="3">
    <brk id="45" max="16383" man="1"/>
    <brk id="69" max="33" man="1"/>
    <brk id="113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outlinePr summaryBelow="0"/>
    <pageSetUpPr autoPageBreaks="0" fitToPage="1"/>
  </sheetPr>
  <dimension ref="A1:AH168"/>
  <sheetViews>
    <sheetView showGridLines="0" topLeftCell="A124" workbookViewId="0">
      <selection activeCell="K169" sqref="K169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4.570312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5" ht="12" customHeight="1" x14ac:dyDescent="0.2"/>
    <row r="3" spans="1:25" ht="12" customHeight="1" x14ac:dyDescent="0.2">
      <c r="A3" s="171" t="s">
        <v>750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5" ht="12" customHeight="1" x14ac:dyDescent="0.2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</row>
    <row r="5" spans="1:25" ht="12" customHeight="1" x14ac:dyDescent="0.2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25" ht="12" customHeight="1" x14ac:dyDescent="0.2"/>
    <row r="7" spans="1:25" ht="12" customHeight="1" x14ac:dyDescent="0.2">
      <c r="B7" s="162" t="s">
        <v>3</v>
      </c>
      <c r="C7" s="162"/>
      <c r="D7" s="162"/>
      <c r="E7" s="162"/>
      <c r="F7" s="162"/>
      <c r="G7" s="162"/>
      <c r="H7" s="162"/>
      <c r="I7" s="162"/>
      <c r="J7" s="162"/>
      <c r="K7" s="162"/>
    </row>
    <row r="8" spans="1:25" ht="12" customHeight="1" x14ac:dyDescent="0.2"/>
    <row r="9" spans="1:25" ht="12" customHeight="1" x14ac:dyDescent="0.2">
      <c r="C9" s="164">
        <v>1120</v>
      </c>
      <c r="D9" s="164"/>
      <c r="E9" s="164"/>
      <c r="F9" s="164"/>
      <c r="H9" s="76" t="s">
        <v>217</v>
      </c>
      <c r="S9" s="147"/>
    </row>
    <row r="10" spans="1:25" ht="12" customHeight="1" x14ac:dyDescent="0.2">
      <c r="C10" s="164" t="s">
        <v>4</v>
      </c>
      <c r="D10" s="164"/>
      <c r="E10" s="164"/>
      <c r="F10" s="164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47">
        <v>500</v>
      </c>
    </row>
    <row r="11" spans="1:25" ht="12" customHeight="1" x14ac:dyDescent="0.2">
      <c r="C11" s="164">
        <v>1135</v>
      </c>
      <c r="D11" s="164"/>
      <c r="E11" s="164"/>
      <c r="F11" s="164"/>
      <c r="H11" s="76" t="s">
        <v>739</v>
      </c>
      <c r="I11" s="76"/>
      <c r="J11" s="76"/>
      <c r="K11" s="76"/>
      <c r="L11" s="76"/>
      <c r="M11" s="76"/>
      <c r="N11" s="76"/>
      <c r="O11" s="76"/>
      <c r="P11" s="76"/>
      <c r="Q11" s="76"/>
      <c r="S11" s="151">
        <v>6401610.0199999996</v>
      </c>
    </row>
    <row r="12" spans="1:25" ht="12" customHeight="1" x14ac:dyDescent="0.2">
      <c r="C12" s="164" t="s">
        <v>6</v>
      </c>
      <c r="D12" s="164"/>
      <c r="E12" s="164"/>
      <c r="F12" s="164"/>
      <c r="H12" s="76" t="s">
        <v>7</v>
      </c>
      <c r="I12" s="76"/>
      <c r="J12" s="76"/>
      <c r="K12" s="76"/>
      <c r="L12" s="76"/>
      <c r="M12" s="76"/>
      <c r="N12" s="76"/>
      <c r="O12" s="76"/>
      <c r="P12" s="76"/>
      <c r="Q12" s="76"/>
      <c r="S12" s="147">
        <v>-357634.9</v>
      </c>
    </row>
    <row r="13" spans="1:25" ht="12" customHeight="1" x14ac:dyDescent="0.2">
      <c r="C13" s="164" t="s">
        <v>8</v>
      </c>
      <c r="D13" s="164"/>
      <c r="E13" s="164"/>
      <c r="F13" s="164"/>
      <c r="H13" s="76" t="s">
        <v>9</v>
      </c>
      <c r="I13" s="76"/>
      <c r="J13" s="76"/>
      <c r="K13" s="76"/>
      <c r="L13" s="76"/>
      <c r="M13" s="76"/>
      <c r="N13" s="76"/>
      <c r="O13" s="76"/>
      <c r="P13" s="76"/>
      <c r="Q13" s="76"/>
      <c r="S13" s="147">
        <v>0</v>
      </c>
    </row>
    <row r="14" spans="1:25" ht="12" hidden="1" customHeight="1" x14ac:dyDescent="0.2">
      <c r="C14" s="164" t="s">
        <v>10</v>
      </c>
      <c r="D14" s="164"/>
      <c r="E14" s="164"/>
      <c r="F14" s="164"/>
      <c r="H14" s="76" t="s">
        <v>11</v>
      </c>
      <c r="I14" s="76"/>
      <c r="J14" s="76"/>
      <c r="K14" s="76"/>
      <c r="L14" s="76"/>
      <c r="M14" s="76"/>
      <c r="N14" s="76"/>
      <c r="O14" s="76"/>
      <c r="P14" s="76"/>
      <c r="Q14" s="76"/>
      <c r="S14" s="147"/>
      <c r="Y14" s="76"/>
    </row>
    <row r="15" spans="1:25" ht="12" customHeight="1" x14ac:dyDescent="0.2">
      <c r="C15" s="164" t="s">
        <v>12</v>
      </c>
      <c r="D15" s="164"/>
      <c r="E15" s="164"/>
      <c r="F15" s="164"/>
      <c r="H15" s="76" t="s">
        <v>13</v>
      </c>
      <c r="I15" s="76"/>
      <c r="J15" s="76"/>
      <c r="K15" s="76"/>
      <c r="L15" s="76"/>
      <c r="M15" s="76"/>
      <c r="N15" s="76"/>
      <c r="O15" s="76"/>
      <c r="P15" s="76"/>
      <c r="Q15" s="76"/>
      <c r="S15" s="147">
        <v>792667.48</v>
      </c>
    </row>
    <row r="16" spans="1:25" ht="12" customHeight="1" x14ac:dyDescent="0.2">
      <c r="C16" s="164" t="s">
        <v>14</v>
      </c>
      <c r="D16" s="164"/>
      <c r="E16" s="164"/>
      <c r="F16" s="164"/>
      <c r="H16" s="76" t="s">
        <v>15</v>
      </c>
      <c r="I16" s="76"/>
      <c r="J16" s="76"/>
      <c r="K16" s="76"/>
      <c r="L16" s="76"/>
      <c r="M16" s="76"/>
      <c r="N16" s="76"/>
      <c r="O16" s="76"/>
      <c r="P16" s="76"/>
      <c r="Q16" s="76"/>
      <c r="S16" s="147">
        <v>633906.94999999995</v>
      </c>
    </row>
    <row r="17" spans="3:34" ht="12" customHeight="1" x14ac:dyDescent="0.2">
      <c r="C17" s="164" t="s">
        <v>16</v>
      </c>
      <c r="D17" s="164"/>
      <c r="E17" s="164"/>
      <c r="F17" s="164"/>
      <c r="H17" s="76" t="s">
        <v>17</v>
      </c>
      <c r="I17" s="76"/>
      <c r="J17" s="76"/>
      <c r="K17" s="76"/>
      <c r="L17" s="76"/>
      <c r="M17" s="76"/>
      <c r="N17" s="76"/>
      <c r="O17" s="76"/>
      <c r="P17" s="76"/>
      <c r="Q17" s="76"/>
      <c r="S17" s="147">
        <v>71737380.319999993</v>
      </c>
    </row>
    <row r="18" spans="3:34" ht="12" customHeight="1" x14ac:dyDescent="0.2">
      <c r="C18" s="164">
        <v>1220</v>
      </c>
      <c r="D18" s="164"/>
      <c r="E18" s="164"/>
      <c r="F18" s="164"/>
      <c r="H18" s="76" t="s">
        <v>585</v>
      </c>
      <c r="I18" s="76"/>
      <c r="J18" s="76"/>
      <c r="K18" s="76"/>
      <c r="L18" s="76"/>
      <c r="M18" s="76"/>
      <c r="N18" s="76"/>
      <c r="O18" s="76"/>
      <c r="P18" s="76"/>
      <c r="Q18" s="76"/>
      <c r="S18" s="147">
        <v>4728.26</v>
      </c>
    </row>
    <row r="19" spans="3:34" ht="12" customHeight="1" x14ac:dyDescent="0.2">
      <c r="C19" s="164" t="s">
        <v>18</v>
      </c>
      <c r="D19" s="164"/>
      <c r="E19" s="164"/>
      <c r="F19" s="164"/>
      <c r="H19" s="76" t="s">
        <v>19</v>
      </c>
      <c r="I19" s="76"/>
      <c r="J19" s="76"/>
      <c r="K19" s="76"/>
      <c r="L19" s="76"/>
      <c r="M19" s="76"/>
      <c r="N19" s="76"/>
      <c r="O19" s="76"/>
      <c r="P19" s="76"/>
      <c r="Q19" s="76"/>
      <c r="S19" s="147">
        <v>45241448.140000001</v>
      </c>
      <c r="AG19" s="76"/>
    </row>
    <row r="20" spans="3:34" ht="12" customHeight="1" x14ac:dyDescent="0.2">
      <c r="C20" s="164" t="s">
        <v>20</v>
      </c>
      <c r="D20" s="164"/>
      <c r="E20" s="164"/>
      <c r="F20" s="164"/>
      <c r="H20" s="76" t="s">
        <v>21</v>
      </c>
      <c r="I20" s="76"/>
      <c r="J20" s="76"/>
      <c r="K20" s="76"/>
      <c r="L20" s="76"/>
      <c r="M20" s="76"/>
      <c r="N20" s="76"/>
      <c r="O20" s="76"/>
      <c r="P20" s="76"/>
      <c r="Q20" s="76"/>
      <c r="S20" s="147">
        <v>160551998.97999999</v>
      </c>
    </row>
    <row r="21" spans="3:34" ht="12" customHeight="1" x14ac:dyDescent="0.2">
      <c r="C21" s="164" t="s">
        <v>22</v>
      </c>
      <c r="D21" s="164"/>
      <c r="E21" s="164"/>
      <c r="F21" s="164"/>
      <c r="H21" s="76" t="s">
        <v>23</v>
      </c>
      <c r="I21" s="76"/>
      <c r="J21" s="76"/>
      <c r="K21" s="76"/>
      <c r="L21" s="76"/>
      <c r="M21" s="76"/>
      <c r="N21" s="76"/>
      <c r="O21" s="76"/>
      <c r="P21" s="76"/>
      <c r="Q21" s="76"/>
      <c r="S21" s="147">
        <v>-979051.94</v>
      </c>
    </row>
    <row r="22" spans="3:34" ht="12" customHeight="1" x14ac:dyDescent="0.2">
      <c r="C22" s="164" t="s">
        <v>24</v>
      </c>
      <c r="D22" s="164"/>
      <c r="E22" s="164"/>
      <c r="F22" s="164"/>
      <c r="H22" s="76" t="s">
        <v>25</v>
      </c>
      <c r="I22" s="76"/>
      <c r="J22" s="76"/>
      <c r="K22" s="76"/>
      <c r="L22" s="76"/>
      <c r="M22" s="76"/>
      <c r="N22" s="76"/>
      <c r="O22" s="76"/>
      <c r="P22" s="76"/>
      <c r="Q22" s="76"/>
      <c r="S22" s="147">
        <v>2022788.23</v>
      </c>
      <c r="AH22" s="76"/>
    </row>
    <row r="23" spans="3:34" ht="12" customHeight="1" x14ac:dyDescent="0.2">
      <c r="C23" s="164" t="s">
        <v>26</v>
      </c>
      <c r="D23" s="164"/>
      <c r="E23" s="164"/>
      <c r="F23" s="164"/>
      <c r="H23" s="76" t="s">
        <v>27</v>
      </c>
      <c r="I23" s="76"/>
      <c r="J23" s="76"/>
      <c r="K23" s="76"/>
      <c r="L23" s="76"/>
      <c r="M23" s="76"/>
      <c r="N23" s="76"/>
      <c r="O23" s="76"/>
      <c r="P23" s="76"/>
      <c r="Q23" s="76"/>
      <c r="S23" s="147">
        <v>32400.95</v>
      </c>
      <c r="AH23" s="76"/>
    </row>
    <row r="24" spans="3:34" ht="12" customHeight="1" x14ac:dyDescent="0.2">
      <c r="C24" s="164" t="s">
        <v>28</v>
      </c>
      <c r="D24" s="164"/>
      <c r="E24" s="164"/>
      <c r="F24" s="164"/>
      <c r="H24" s="76" t="s">
        <v>29</v>
      </c>
      <c r="I24" s="76"/>
      <c r="J24" s="76"/>
      <c r="K24" s="76"/>
      <c r="L24" s="76"/>
      <c r="M24" s="76"/>
      <c r="N24" s="76"/>
      <c r="O24" s="76"/>
      <c r="P24" s="76"/>
      <c r="Q24" s="76"/>
      <c r="S24" s="147">
        <v>2365</v>
      </c>
    </row>
    <row r="25" spans="3:34" ht="12" customHeight="1" x14ac:dyDescent="0.2">
      <c r="C25" s="164" t="s">
        <v>30</v>
      </c>
      <c r="D25" s="164"/>
      <c r="E25" s="164"/>
      <c r="F25" s="164"/>
      <c r="H25" s="76" t="s">
        <v>31</v>
      </c>
      <c r="I25" s="76"/>
      <c r="J25" s="76"/>
      <c r="K25" s="76"/>
      <c r="L25" s="76"/>
      <c r="M25" s="76"/>
      <c r="N25" s="76"/>
      <c r="O25" s="76"/>
      <c r="P25" s="76"/>
      <c r="Q25" s="76"/>
      <c r="S25" s="147">
        <v>127513.41</v>
      </c>
    </row>
    <row r="26" spans="3:34" ht="12" customHeight="1" x14ac:dyDescent="0.2">
      <c r="C26" s="164" t="s">
        <v>32</v>
      </c>
      <c r="D26" s="164"/>
      <c r="E26" s="164"/>
      <c r="F26" s="164"/>
      <c r="H26" s="76" t="s">
        <v>33</v>
      </c>
      <c r="I26" s="76"/>
      <c r="J26" s="76"/>
      <c r="K26" s="76"/>
      <c r="L26" s="76"/>
      <c r="M26" s="76"/>
      <c r="N26" s="76"/>
      <c r="O26" s="76"/>
      <c r="P26" s="76"/>
      <c r="Q26" s="76"/>
      <c r="S26" s="147">
        <v>-92259902.569999993</v>
      </c>
    </row>
    <row r="27" spans="3:34" ht="12" customHeight="1" x14ac:dyDescent="0.2">
      <c r="C27" s="164" t="s">
        <v>34</v>
      </c>
      <c r="D27" s="164"/>
      <c r="E27" s="164"/>
      <c r="F27" s="164"/>
      <c r="H27" s="76" t="s">
        <v>35</v>
      </c>
      <c r="I27" s="76"/>
      <c r="J27" s="76"/>
      <c r="K27" s="76"/>
      <c r="L27" s="76"/>
      <c r="M27" s="76"/>
      <c r="N27" s="76"/>
      <c r="O27" s="76"/>
      <c r="P27" s="76"/>
      <c r="Q27" s="76"/>
      <c r="S27" s="147">
        <v>-135517603.24000001</v>
      </c>
    </row>
    <row r="28" spans="3:34" ht="12" customHeight="1" x14ac:dyDescent="0.2">
      <c r="C28" s="164" t="s">
        <v>36</v>
      </c>
      <c r="D28" s="164"/>
      <c r="E28" s="164"/>
      <c r="F28" s="164"/>
      <c r="H28" s="76" t="s">
        <v>37</v>
      </c>
      <c r="I28" s="76"/>
      <c r="J28" s="76"/>
      <c r="K28" s="76"/>
      <c r="L28" s="76"/>
      <c r="M28" s="76"/>
      <c r="N28" s="76"/>
      <c r="O28" s="76"/>
      <c r="P28" s="76"/>
      <c r="Q28" s="76"/>
      <c r="S28" s="147">
        <v>-30081777.469999999</v>
      </c>
    </row>
    <row r="29" spans="3:34" ht="12" customHeight="1" x14ac:dyDescent="0.2">
      <c r="C29" s="164" t="s">
        <v>38</v>
      </c>
      <c r="D29" s="164"/>
      <c r="E29" s="164"/>
      <c r="F29" s="164"/>
      <c r="H29" s="76" t="s">
        <v>39</v>
      </c>
      <c r="I29" s="76"/>
      <c r="J29" s="76"/>
      <c r="K29" s="76"/>
      <c r="L29" s="76"/>
      <c r="M29" s="76"/>
      <c r="N29" s="76"/>
      <c r="O29" s="76"/>
      <c r="P29" s="76"/>
      <c r="Q29" s="76"/>
      <c r="S29" s="147">
        <v>0</v>
      </c>
    </row>
    <row r="30" spans="3:34" ht="12" customHeight="1" x14ac:dyDescent="0.2">
      <c r="C30" s="164" t="s">
        <v>40</v>
      </c>
      <c r="D30" s="164"/>
      <c r="E30" s="164"/>
      <c r="F30" s="164"/>
      <c r="H30" s="76" t="s">
        <v>41</v>
      </c>
      <c r="I30" s="76"/>
      <c r="J30" s="76"/>
      <c r="K30" s="76"/>
      <c r="L30" s="76"/>
      <c r="M30" s="76"/>
      <c r="N30" s="76"/>
      <c r="O30" s="76"/>
      <c r="P30" s="76"/>
      <c r="Q30" s="76"/>
      <c r="S30" s="147">
        <v>75536.05</v>
      </c>
    </row>
    <row r="31" spans="3:34" ht="12" customHeight="1" x14ac:dyDescent="0.2">
      <c r="C31" s="164" t="s">
        <v>42</v>
      </c>
      <c r="D31" s="164"/>
      <c r="E31" s="164"/>
      <c r="F31" s="164"/>
      <c r="H31" s="76" t="s">
        <v>43</v>
      </c>
      <c r="I31" s="76"/>
      <c r="J31" s="76"/>
      <c r="K31" s="76"/>
      <c r="L31" s="76"/>
      <c r="M31" s="76"/>
      <c r="N31" s="76"/>
      <c r="O31" s="76"/>
      <c r="P31" s="76"/>
      <c r="Q31" s="76"/>
      <c r="S31" s="147">
        <f>2803.2+64803.43</f>
        <v>67606.63</v>
      </c>
    </row>
    <row r="32" spans="3:34" ht="12" customHeight="1" x14ac:dyDescent="0.2">
      <c r="C32" s="164">
        <v>1238</v>
      </c>
      <c r="D32" s="164"/>
      <c r="E32" s="164"/>
      <c r="F32" s="164"/>
      <c r="H32" s="76" t="s">
        <v>586</v>
      </c>
      <c r="I32" s="76"/>
      <c r="J32" s="76"/>
      <c r="K32" s="76"/>
      <c r="L32" s="76"/>
      <c r="M32" s="76"/>
      <c r="N32" s="76"/>
      <c r="O32" s="76"/>
      <c r="P32" s="76"/>
      <c r="Q32" s="76"/>
      <c r="S32" s="147"/>
    </row>
    <row r="33" spans="3:19" ht="12" customHeight="1" x14ac:dyDescent="0.2">
      <c r="C33" s="164" t="s">
        <v>44</v>
      </c>
      <c r="D33" s="164"/>
      <c r="E33" s="164"/>
      <c r="F33" s="164"/>
      <c r="H33" s="76" t="s">
        <v>45</v>
      </c>
      <c r="I33" s="76"/>
      <c r="J33" s="76"/>
      <c r="K33" s="76"/>
      <c r="L33" s="76"/>
      <c r="M33" s="76"/>
      <c r="N33" s="76"/>
      <c r="O33" s="76"/>
      <c r="P33" s="76"/>
      <c r="Q33" s="76"/>
      <c r="S33" s="147"/>
    </row>
    <row r="34" spans="3:19" ht="12" customHeight="1" x14ac:dyDescent="0.2">
      <c r="C34" s="164" t="s">
        <v>46</v>
      </c>
      <c r="D34" s="164"/>
      <c r="E34" s="164"/>
      <c r="F34" s="164"/>
      <c r="H34" s="76" t="s">
        <v>47</v>
      </c>
      <c r="I34" s="76"/>
      <c r="J34" s="76"/>
      <c r="K34" s="76"/>
      <c r="L34" s="76"/>
      <c r="M34" s="76"/>
      <c r="N34" s="76"/>
      <c r="O34" s="76"/>
      <c r="P34" s="76"/>
      <c r="Q34" s="76"/>
      <c r="S34" s="147"/>
    </row>
    <row r="35" spans="3:19" ht="12" customHeight="1" x14ac:dyDescent="0.2">
      <c r="C35" s="164" t="s">
        <v>48</v>
      </c>
      <c r="D35" s="164"/>
      <c r="E35" s="164"/>
      <c r="F35" s="164"/>
      <c r="H35" s="76" t="s">
        <v>49</v>
      </c>
      <c r="I35" s="76"/>
      <c r="J35" s="76"/>
      <c r="K35" s="76"/>
      <c r="L35" s="76"/>
      <c r="M35" s="76"/>
      <c r="N35" s="76"/>
      <c r="O35" s="76"/>
      <c r="P35" s="76"/>
      <c r="Q35" s="76"/>
      <c r="S35" s="147">
        <v>79955.56</v>
      </c>
    </row>
    <row r="36" spans="3:19" ht="12" customHeight="1" x14ac:dyDescent="0.2">
      <c r="C36" s="164" t="s">
        <v>50</v>
      </c>
      <c r="D36" s="164"/>
      <c r="E36" s="164"/>
      <c r="F36" s="164"/>
      <c r="H36" s="76" t="s">
        <v>51</v>
      </c>
      <c r="I36" s="76"/>
      <c r="J36" s="76"/>
      <c r="K36" s="76"/>
      <c r="L36" s="76"/>
      <c r="M36" s="76"/>
      <c r="N36" s="76"/>
      <c r="O36" s="76"/>
      <c r="P36" s="76"/>
      <c r="Q36" s="76"/>
      <c r="S36" s="147">
        <v>9391249.1899999995</v>
      </c>
    </row>
    <row r="37" spans="3:19" ht="12" customHeight="1" x14ac:dyDescent="0.2">
      <c r="C37" s="164" t="s">
        <v>52</v>
      </c>
      <c r="D37" s="164"/>
      <c r="E37" s="164"/>
      <c r="F37" s="164"/>
      <c r="H37" s="76" t="s">
        <v>53</v>
      </c>
      <c r="I37" s="76"/>
      <c r="J37" s="76"/>
      <c r="K37" s="76"/>
      <c r="L37" s="76"/>
      <c r="M37" s="76"/>
      <c r="N37" s="76"/>
      <c r="O37" s="76"/>
      <c r="P37" s="76"/>
      <c r="Q37" s="76"/>
      <c r="S37" s="147">
        <v>201745.91</v>
      </c>
    </row>
    <row r="38" spans="3:19" ht="12" customHeight="1" x14ac:dyDescent="0.2">
      <c r="C38" s="164" t="s">
        <v>54</v>
      </c>
      <c r="D38" s="164"/>
      <c r="E38" s="164"/>
      <c r="F38" s="164"/>
      <c r="H38" s="76" t="s">
        <v>55</v>
      </c>
      <c r="I38" s="76"/>
      <c r="J38" s="76"/>
      <c r="K38" s="76"/>
      <c r="L38" s="76"/>
      <c r="M38" s="76"/>
      <c r="N38" s="76"/>
      <c r="O38" s="76"/>
      <c r="P38" s="76"/>
      <c r="Q38" s="76"/>
      <c r="S38" s="147">
        <v>167699</v>
      </c>
    </row>
    <row r="39" spans="3:19" ht="12" customHeight="1" x14ac:dyDescent="0.2">
      <c r="C39" s="164">
        <v>1247</v>
      </c>
      <c r="D39" s="164"/>
      <c r="E39" s="164"/>
      <c r="F39" s="164"/>
      <c r="H39" s="76" t="s">
        <v>740</v>
      </c>
      <c r="I39" s="76"/>
      <c r="J39" s="76"/>
      <c r="K39" s="76"/>
      <c r="L39" s="76"/>
      <c r="M39" s="76"/>
      <c r="N39" s="76"/>
      <c r="O39" s="76"/>
      <c r="P39" s="76"/>
      <c r="Q39" s="76"/>
      <c r="S39" s="151">
        <v>1750431.36</v>
      </c>
    </row>
    <row r="40" spans="3:19" ht="12" customHeight="1" x14ac:dyDescent="0.2">
      <c r="C40" s="164">
        <v>1248</v>
      </c>
      <c r="D40" s="164"/>
      <c r="E40" s="164"/>
      <c r="F40" s="164"/>
      <c r="H40" s="76" t="s">
        <v>603</v>
      </c>
      <c r="I40" s="76"/>
      <c r="J40" s="76"/>
      <c r="K40" s="76"/>
      <c r="L40" s="76"/>
      <c r="M40" s="76"/>
      <c r="N40" s="76"/>
      <c r="O40" s="76"/>
      <c r="P40" s="76"/>
      <c r="Q40" s="76"/>
      <c r="S40" s="147"/>
    </row>
    <row r="41" spans="3:19" ht="12" customHeight="1" x14ac:dyDescent="0.2">
      <c r="C41" s="164">
        <v>1249</v>
      </c>
      <c r="D41" s="164"/>
      <c r="E41" s="164"/>
      <c r="F41" s="164"/>
      <c r="H41" s="76" t="s">
        <v>662</v>
      </c>
      <c r="I41" s="76"/>
      <c r="J41" s="76"/>
      <c r="K41" s="76"/>
      <c r="L41" s="76"/>
      <c r="M41" s="76"/>
      <c r="N41" s="76"/>
      <c r="O41" s="76"/>
      <c r="P41" s="76"/>
      <c r="Q41" s="76"/>
      <c r="S41" s="147">
        <v>2429.9299999999998</v>
      </c>
    </row>
    <row r="42" spans="3:19" ht="12" customHeight="1" x14ac:dyDescent="0.2">
      <c r="C42" s="164" t="s">
        <v>58</v>
      </c>
      <c r="D42" s="164"/>
      <c r="E42" s="164"/>
      <c r="F42" s="164"/>
      <c r="H42" s="76" t="s">
        <v>59</v>
      </c>
      <c r="I42" s="76"/>
      <c r="J42" s="76"/>
      <c r="K42" s="76"/>
      <c r="L42" s="76"/>
      <c r="M42" s="76"/>
      <c r="N42" s="76"/>
      <c r="O42" s="76"/>
      <c r="P42" s="76"/>
      <c r="Q42" s="76"/>
      <c r="S42" s="147">
        <v>8166056.25</v>
      </c>
    </row>
    <row r="43" spans="3:19" ht="12" customHeight="1" x14ac:dyDescent="0.2">
      <c r="C43" s="164">
        <v>1252</v>
      </c>
      <c r="D43" s="164"/>
      <c r="E43" s="164"/>
      <c r="F43" s="164"/>
      <c r="H43" s="76" t="s">
        <v>589</v>
      </c>
      <c r="I43" s="76"/>
      <c r="J43" s="76"/>
      <c r="K43" s="76"/>
      <c r="L43" s="76"/>
      <c r="M43" s="76"/>
      <c r="N43" s="76"/>
      <c r="O43" s="76"/>
      <c r="P43" s="76"/>
      <c r="Q43" s="76"/>
      <c r="S43" s="147">
        <v>1120.29</v>
      </c>
    </row>
    <row r="44" spans="3:19" ht="12" customHeight="1" x14ac:dyDescent="0.2">
      <c r="C44" s="164">
        <v>1253</v>
      </c>
      <c r="D44" s="164"/>
      <c r="E44" s="164"/>
      <c r="F44" s="164"/>
      <c r="H44" s="76" t="s">
        <v>200</v>
      </c>
      <c r="I44" s="76"/>
      <c r="J44" s="76"/>
      <c r="K44" s="76"/>
      <c r="L44" s="76"/>
      <c r="M44" s="76"/>
      <c r="N44" s="76"/>
      <c r="O44" s="76"/>
      <c r="P44" s="76"/>
      <c r="Q44" s="76"/>
      <c r="S44" s="147"/>
    </row>
    <row r="45" spans="3:19" ht="12" customHeight="1" x14ac:dyDescent="0.2">
      <c r="C45" s="164">
        <v>1255</v>
      </c>
      <c r="D45" s="164"/>
      <c r="E45" s="164"/>
      <c r="F45" s="164"/>
      <c r="H45" s="76" t="s">
        <v>554</v>
      </c>
      <c r="I45" s="76"/>
      <c r="J45" s="76"/>
      <c r="K45" s="76"/>
      <c r="L45" s="76"/>
      <c r="M45" s="76"/>
      <c r="N45" s="76"/>
      <c r="O45" s="76"/>
      <c r="P45" s="76"/>
      <c r="Q45" s="76"/>
      <c r="S45" s="154">
        <v>456972.17</v>
      </c>
    </row>
    <row r="46" spans="3:19" ht="12" customHeight="1" x14ac:dyDescent="0.2">
      <c r="C46" s="164" t="s">
        <v>60</v>
      </c>
      <c r="D46" s="164"/>
      <c r="E46" s="164"/>
      <c r="F46" s="164"/>
      <c r="H46" s="76" t="s">
        <v>61</v>
      </c>
      <c r="I46" s="76"/>
      <c r="J46" s="76"/>
      <c r="K46" s="76"/>
      <c r="L46" s="76"/>
      <c r="M46" s="76"/>
      <c r="N46" s="76"/>
      <c r="O46" s="76"/>
      <c r="P46" s="76"/>
      <c r="Q46" s="76"/>
      <c r="S46" s="147">
        <v>1165.8</v>
      </c>
    </row>
    <row r="47" spans="3:19" ht="12" customHeight="1" x14ac:dyDescent="0.2">
      <c r="C47" s="164" t="s">
        <v>62</v>
      </c>
      <c r="D47" s="164"/>
      <c r="E47" s="164"/>
      <c r="F47" s="164"/>
      <c r="H47" s="76" t="s">
        <v>63</v>
      </c>
      <c r="I47" s="76"/>
      <c r="J47" s="76"/>
      <c r="K47" s="76"/>
      <c r="L47" s="76"/>
      <c r="M47" s="76"/>
      <c r="N47" s="76"/>
      <c r="O47" s="76"/>
      <c r="P47" s="76"/>
      <c r="Q47" s="76"/>
      <c r="S47" s="147">
        <v>3939.49</v>
      </c>
    </row>
    <row r="48" spans="3:19" ht="12" customHeight="1" x14ac:dyDescent="0.2">
      <c r="C48" s="170">
        <v>1258</v>
      </c>
      <c r="D48" s="170"/>
      <c r="E48" s="170"/>
      <c r="F48" s="170"/>
      <c r="H48" s="76" t="s">
        <v>746</v>
      </c>
      <c r="I48" s="76"/>
      <c r="J48" s="76"/>
      <c r="K48" s="76"/>
      <c r="L48" s="76"/>
      <c r="M48" s="76"/>
      <c r="N48" s="76"/>
      <c r="O48" s="76"/>
      <c r="P48" s="76"/>
      <c r="Q48" s="76"/>
      <c r="S48" s="154">
        <v>184</v>
      </c>
    </row>
    <row r="49" spans="3:27" ht="12" customHeight="1" x14ac:dyDescent="0.2">
      <c r="C49" s="164" t="s">
        <v>64</v>
      </c>
      <c r="D49" s="164"/>
      <c r="E49" s="164"/>
      <c r="F49" s="164"/>
      <c r="H49" s="76" t="s">
        <v>65</v>
      </c>
      <c r="I49" s="76"/>
      <c r="J49" s="76"/>
      <c r="K49" s="76"/>
      <c r="L49" s="76"/>
      <c r="M49" s="76"/>
      <c r="N49" s="76"/>
      <c r="O49" s="76"/>
      <c r="P49" s="76"/>
      <c r="Q49" s="76"/>
      <c r="S49" s="147">
        <v>23158529.879999999</v>
      </c>
    </row>
    <row r="50" spans="3:27" ht="12" customHeight="1" x14ac:dyDescent="0.2">
      <c r="C50" s="170">
        <v>1262</v>
      </c>
      <c r="D50" s="170"/>
      <c r="E50" s="170"/>
      <c r="F50" s="170"/>
      <c r="H50" s="76" t="s">
        <v>747</v>
      </c>
      <c r="I50" s="76"/>
      <c r="J50" s="76"/>
      <c r="K50" s="76"/>
      <c r="L50" s="76"/>
      <c r="M50" s="76"/>
      <c r="N50" s="76"/>
      <c r="O50" s="76"/>
      <c r="P50" s="76"/>
      <c r="Q50" s="76"/>
      <c r="S50" s="154">
        <v>480279.51</v>
      </c>
    </row>
    <row r="51" spans="3:27" ht="12" customHeight="1" x14ac:dyDescent="0.2">
      <c r="C51" s="164" t="s">
        <v>66</v>
      </c>
      <c r="D51" s="164"/>
      <c r="E51" s="164"/>
      <c r="F51" s="164"/>
      <c r="H51" s="76" t="s">
        <v>67</v>
      </c>
      <c r="I51" s="76"/>
      <c r="J51" s="76"/>
      <c r="K51" s="76"/>
      <c r="L51" s="76"/>
      <c r="M51" s="76"/>
      <c r="N51" s="76"/>
      <c r="O51" s="76"/>
      <c r="P51" s="76"/>
      <c r="Q51" s="76"/>
      <c r="S51" s="147">
        <v>201614.61</v>
      </c>
    </row>
    <row r="52" spans="3:27" ht="12" customHeight="1" x14ac:dyDescent="0.2">
      <c r="C52" s="164" t="s">
        <v>68</v>
      </c>
      <c r="D52" s="164"/>
      <c r="E52" s="164"/>
      <c r="F52" s="164"/>
      <c r="H52" s="76" t="s">
        <v>69</v>
      </c>
      <c r="I52" s="76"/>
      <c r="J52" s="76"/>
      <c r="K52" s="76"/>
      <c r="L52" s="76"/>
      <c r="M52" s="76"/>
      <c r="N52" s="76"/>
      <c r="O52" s="76"/>
      <c r="P52" s="76"/>
      <c r="Q52" s="76"/>
      <c r="S52" s="147">
        <v>2165244.7200000002</v>
      </c>
    </row>
    <row r="53" spans="3:27" ht="12" customHeight="1" x14ac:dyDescent="0.2">
      <c r="C53" s="164" t="s">
        <v>70</v>
      </c>
      <c r="D53" s="164"/>
      <c r="E53" s="164"/>
      <c r="F53" s="164"/>
      <c r="H53" s="76" t="s">
        <v>397</v>
      </c>
      <c r="I53" s="76"/>
      <c r="J53" s="76"/>
      <c r="K53" s="76"/>
      <c r="L53" s="76"/>
      <c r="M53" s="76"/>
      <c r="N53" s="76"/>
      <c r="O53" s="76"/>
      <c r="P53" s="76"/>
      <c r="Q53" s="76"/>
      <c r="S53" s="147">
        <v>157037.22</v>
      </c>
    </row>
    <row r="54" spans="3:27" ht="12" customHeight="1" x14ac:dyDescent="0.2">
      <c r="C54" s="164" t="s">
        <v>71</v>
      </c>
      <c r="D54" s="164"/>
      <c r="E54" s="164"/>
      <c r="F54" s="164"/>
      <c r="H54" s="76" t="s">
        <v>398</v>
      </c>
      <c r="I54" s="76"/>
      <c r="J54" s="76"/>
      <c r="K54" s="76"/>
      <c r="L54" s="76"/>
      <c r="M54" s="76"/>
      <c r="N54" s="76"/>
      <c r="O54" s="76"/>
      <c r="P54" s="76"/>
      <c r="Q54" s="76"/>
      <c r="S54" s="147">
        <v>130314.76</v>
      </c>
    </row>
    <row r="55" spans="3:27" ht="12" customHeight="1" x14ac:dyDescent="0.2">
      <c r="C55" s="164" t="s">
        <v>72</v>
      </c>
      <c r="D55" s="164"/>
      <c r="E55" s="164"/>
      <c r="F55" s="164"/>
      <c r="H55" s="76" t="s">
        <v>399</v>
      </c>
      <c r="I55" s="76"/>
      <c r="J55" s="76"/>
      <c r="K55" s="76"/>
      <c r="L55" s="76"/>
      <c r="M55" s="76"/>
      <c r="N55" s="76"/>
      <c r="O55" s="76"/>
      <c r="P55" s="76"/>
      <c r="Q55" s="76"/>
      <c r="S55" s="147">
        <v>85912.4</v>
      </c>
    </row>
    <row r="56" spans="3:27" ht="12" customHeight="1" x14ac:dyDescent="0.2">
      <c r="C56" s="164" t="s">
        <v>619</v>
      </c>
      <c r="D56" s="164"/>
      <c r="E56" s="164"/>
      <c r="F56" s="164"/>
      <c r="H56" s="76" t="s">
        <v>620</v>
      </c>
      <c r="I56" s="76"/>
      <c r="J56" s="76"/>
      <c r="K56" s="76"/>
      <c r="L56" s="76"/>
      <c r="M56" s="76"/>
      <c r="N56" s="76"/>
      <c r="O56" s="76"/>
      <c r="P56" s="76"/>
      <c r="Q56" s="76"/>
      <c r="S56" s="147">
        <v>0</v>
      </c>
    </row>
    <row r="57" spans="3:27" ht="12" customHeight="1" x14ac:dyDescent="0.2">
      <c r="C57" s="164" t="s">
        <v>628</v>
      </c>
      <c r="D57" s="164"/>
      <c r="E57" s="164"/>
      <c r="F57" s="164"/>
      <c r="H57" s="76" t="s">
        <v>713</v>
      </c>
      <c r="I57" s="76"/>
      <c r="J57" s="76"/>
      <c r="K57" s="76"/>
      <c r="L57" s="76"/>
      <c r="M57" s="76"/>
      <c r="N57" s="76"/>
      <c r="O57" s="76"/>
      <c r="P57" s="76"/>
      <c r="Q57" s="76"/>
      <c r="S57" s="147"/>
    </row>
    <row r="58" spans="3:27" ht="12" customHeight="1" x14ac:dyDescent="0.2">
      <c r="C58" s="164" t="s">
        <v>618</v>
      </c>
      <c r="D58" s="164"/>
      <c r="E58" s="164"/>
      <c r="F58" s="164"/>
      <c r="H58" s="76" t="s">
        <v>617</v>
      </c>
      <c r="I58" s="76"/>
      <c r="J58" s="76"/>
      <c r="K58" s="76"/>
      <c r="L58" s="76"/>
      <c r="M58" s="76"/>
      <c r="N58" s="76"/>
      <c r="O58" s="76"/>
      <c r="P58" s="76"/>
      <c r="Q58" s="76"/>
      <c r="S58" s="147"/>
    </row>
    <row r="59" spans="3:27" ht="12" customHeight="1" x14ac:dyDescent="0.2">
      <c r="C59" s="145" t="s">
        <v>552</v>
      </c>
      <c r="D59" s="145"/>
      <c r="E59" s="145"/>
      <c r="F59" s="145"/>
      <c r="H59" s="76" t="s">
        <v>553</v>
      </c>
      <c r="I59" s="76"/>
      <c r="J59" s="76"/>
      <c r="K59" s="76"/>
      <c r="L59" s="76"/>
      <c r="M59" s="76"/>
      <c r="N59" s="76"/>
      <c r="O59" s="76"/>
      <c r="P59" s="76"/>
      <c r="Q59" s="76"/>
      <c r="S59" s="156">
        <v>1060.95</v>
      </c>
    </row>
    <row r="60" spans="3:27" ht="12" customHeight="1" x14ac:dyDescent="0.2">
      <c r="C60" s="145" t="s">
        <v>598</v>
      </c>
      <c r="D60" s="145"/>
      <c r="E60" s="145"/>
      <c r="F60" s="145"/>
      <c r="H60" s="76" t="s">
        <v>599</v>
      </c>
      <c r="I60" s="76"/>
      <c r="J60" s="76"/>
      <c r="K60" s="76"/>
      <c r="L60" s="76"/>
      <c r="M60" s="76"/>
      <c r="N60" s="76"/>
      <c r="O60" s="76"/>
      <c r="P60" s="76"/>
      <c r="Q60" s="76"/>
      <c r="S60" s="147">
        <v>6.93</v>
      </c>
    </row>
    <row r="61" spans="3:27" ht="12" customHeight="1" x14ac:dyDescent="0.2">
      <c r="C61" s="164" t="s">
        <v>401</v>
      </c>
      <c r="D61" s="164"/>
      <c r="E61" s="164"/>
      <c r="F61" s="164"/>
      <c r="H61" s="76" t="s">
        <v>400</v>
      </c>
      <c r="I61" s="76"/>
      <c r="J61" s="76"/>
      <c r="K61" s="76"/>
      <c r="L61" s="76"/>
      <c r="M61" s="76"/>
      <c r="N61" s="76"/>
      <c r="O61" s="76"/>
      <c r="P61" s="76"/>
      <c r="Q61" s="76"/>
      <c r="S61" s="147">
        <v>19929.16</v>
      </c>
    </row>
    <row r="62" spans="3:27" ht="12" customHeight="1" x14ac:dyDescent="0.2">
      <c r="C62" s="164"/>
      <c r="D62" s="164"/>
      <c r="E62" s="164"/>
      <c r="F62" s="164"/>
      <c r="H62" s="76"/>
      <c r="I62" s="76"/>
      <c r="J62" s="76"/>
      <c r="K62" s="76"/>
      <c r="L62" s="76"/>
      <c r="M62" s="76"/>
      <c r="N62" s="76"/>
      <c r="O62" s="76"/>
      <c r="P62" s="76"/>
      <c r="Q62" s="76"/>
      <c r="S62" s="147"/>
    </row>
    <row r="63" spans="3:27" ht="12" customHeight="1" x14ac:dyDescent="0.2">
      <c r="H63" s="162" t="s">
        <v>73</v>
      </c>
      <c r="I63" s="162"/>
      <c r="J63" s="162"/>
      <c r="K63" s="162"/>
      <c r="L63" s="162"/>
      <c r="M63" s="162"/>
      <c r="N63" s="162"/>
      <c r="O63" s="162"/>
      <c r="P63" s="162"/>
      <c r="U63" s="163">
        <f>SUM(S9:S61)</f>
        <v>75119359.390000045</v>
      </c>
      <c r="V63" s="163"/>
      <c r="W63" s="163"/>
      <c r="Y63" s="77"/>
      <c r="AA63" s="77"/>
    </row>
    <row r="64" spans="3:27" ht="12" customHeight="1" x14ac:dyDescent="0.2"/>
    <row r="65" spans="2:19" ht="12" customHeight="1" x14ac:dyDescent="0.2">
      <c r="B65" s="162" t="s">
        <v>74</v>
      </c>
      <c r="C65" s="162"/>
      <c r="D65" s="162"/>
      <c r="E65" s="162"/>
      <c r="F65" s="162"/>
      <c r="G65" s="162"/>
      <c r="H65" s="162"/>
      <c r="I65" s="162"/>
      <c r="J65" s="162"/>
      <c r="K65" s="162"/>
    </row>
    <row r="66" spans="2:19" ht="12" customHeight="1" x14ac:dyDescent="0.2"/>
    <row r="67" spans="2:19" ht="12" customHeight="1" x14ac:dyDescent="0.2">
      <c r="C67" s="164" t="s">
        <v>75</v>
      </c>
      <c r="D67" s="164"/>
      <c r="E67" s="164"/>
      <c r="F67" s="164"/>
      <c r="H67" s="164" t="s">
        <v>76</v>
      </c>
      <c r="I67" s="164"/>
      <c r="J67" s="164"/>
      <c r="K67" s="164"/>
      <c r="L67" s="164"/>
      <c r="M67" s="164"/>
      <c r="N67" s="164"/>
      <c r="O67" s="164"/>
      <c r="P67" s="164"/>
      <c r="Q67" s="164"/>
      <c r="S67" s="147">
        <v>576362.16</v>
      </c>
    </row>
    <row r="68" spans="2:19" ht="12" customHeight="1" x14ac:dyDescent="0.2">
      <c r="C68" s="164" t="s">
        <v>77</v>
      </c>
      <c r="D68" s="164"/>
      <c r="E68" s="164"/>
      <c r="F68" s="164"/>
      <c r="H68" s="164" t="s">
        <v>78</v>
      </c>
      <c r="I68" s="164"/>
      <c r="J68" s="164"/>
      <c r="K68" s="164"/>
      <c r="L68" s="164"/>
      <c r="M68" s="164"/>
      <c r="N68" s="164"/>
      <c r="O68" s="164"/>
      <c r="P68" s="164"/>
      <c r="Q68" s="164"/>
      <c r="S68" s="147">
        <v>45071.88</v>
      </c>
    </row>
    <row r="69" spans="2:19" ht="12" customHeight="1" x14ac:dyDescent="0.2">
      <c r="C69" s="164" t="s">
        <v>79</v>
      </c>
      <c r="D69" s="164"/>
      <c r="E69" s="164"/>
      <c r="F69" s="164"/>
      <c r="H69" s="164" t="s">
        <v>80</v>
      </c>
      <c r="I69" s="164"/>
      <c r="J69" s="164"/>
      <c r="K69" s="164"/>
      <c r="L69" s="164"/>
      <c r="M69" s="164"/>
      <c r="N69" s="164"/>
      <c r="O69" s="164"/>
      <c r="P69" s="164"/>
      <c r="Q69" s="164"/>
      <c r="S69" s="147">
        <v>503235.29</v>
      </c>
    </row>
    <row r="70" spans="2:19" ht="12" customHeight="1" x14ac:dyDescent="0.2">
      <c r="C70" s="164" t="s">
        <v>81</v>
      </c>
      <c r="D70" s="164"/>
      <c r="E70" s="164"/>
      <c r="F70" s="164"/>
      <c r="H70" s="164" t="s">
        <v>82</v>
      </c>
      <c r="I70" s="164"/>
      <c r="J70" s="164"/>
      <c r="K70" s="164"/>
      <c r="L70" s="164"/>
      <c r="M70" s="164"/>
      <c r="N70" s="164"/>
      <c r="O70" s="164"/>
      <c r="P70" s="164"/>
      <c r="Q70" s="164"/>
      <c r="S70" s="147">
        <v>4227135.5199999996</v>
      </c>
    </row>
    <row r="71" spans="2:19" ht="12" customHeight="1" x14ac:dyDescent="0.2">
      <c r="C71" s="164" t="s">
        <v>83</v>
      </c>
      <c r="D71" s="164"/>
      <c r="E71" s="164"/>
      <c r="F71" s="164"/>
      <c r="H71" s="164" t="s">
        <v>84</v>
      </c>
      <c r="I71" s="164"/>
      <c r="J71" s="164"/>
      <c r="K71" s="164"/>
      <c r="L71" s="164"/>
      <c r="M71" s="164"/>
      <c r="N71" s="164"/>
      <c r="O71" s="164"/>
      <c r="P71" s="164"/>
      <c r="Q71" s="164"/>
      <c r="S71" s="147">
        <v>201938.14</v>
      </c>
    </row>
    <row r="72" spans="2:19" ht="14.25" customHeight="1" x14ac:dyDescent="0.2">
      <c r="C72" s="164" t="s">
        <v>85</v>
      </c>
      <c r="D72" s="164"/>
      <c r="E72" s="164"/>
      <c r="F72" s="164"/>
      <c r="H72" s="164" t="s">
        <v>86</v>
      </c>
      <c r="I72" s="164"/>
      <c r="J72" s="164"/>
      <c r="K72" s="164"/>
      <c r="L72" s="164"/>
      <c r="M72" s="164"/>
      <c r="N72" s="164"/>
      <c r="O72" s="164"/>
      <c r="P72" s="164"/>
      <c r="Q72" s="164"/>
      <c r="S72" s="147"/>
    </row>
    <row r="73" spans="2:19" ht="12" customHeight="1" x14ac:dyDescent="0.2">
      <c r="C73" s="164" t="s">
        <v>87</v>
      </c>
      <c r="D73" s="164"/>
      <c r="E73" s="164"/>
      <c r="F73" s="164"/>
      <c r="H73" s="164" t="s">
        <v>88</v>
      </c>
      <c r="I73" s="164"/>
      <c r="J73" s="164"/>
      <c r="K73" s="164"/>
      <c r="L73" s="164"/>
      <c r="M73" s="164"/>
      <c r="N73" s="164"/>
      <c r="O73" s="164"/>
      <c r="P73" s="164"/>
      <c r="Q73" s="164"/>
      <c r="S73" s="150">
        <v>2526450.4</v>
      </c>
    </row>
    <row r="74" spans="2:19" ht="12.75" customHeight="1" x14ac:dyDescent="0.2">
      <c r="C74" s="164" t="s">
        <v>89</v>
      </c>
      <c r="D74" s="164"/>
      <c r="E74" s="164"/>
      <c r="F74" s="164"/>
      <c r="H74" s="164" t="s">
        <v>90</v>
      </c>
      <c r="I74" s="164"/>
      <c r="J74" s="164"/>
      <c r="K74" s="164"/>
      <c r="L74" s="164"/>
      <c r="M74" s="164"/>
      <c r="N74" s="164"/>
      <c r="O74" s="164"/>
      <c r="P74" s="164"/>
      <c r="Q74" s="164"/>
      <c r="S74" s="150">
        <v>11428.88</v>
      </c>
    </row>
    <row r="75" spans="2:19" ht="12" customHeight="1" x14ac:dyDescent="0.2">
      <c r="C75" s="164" t="s">
        <v>91</v>
      </c>
      <c r="D75" s="164"/>
      <c r="E75" s="164"/>
      <c r="F75" s="164"/>
      <c r="H75" s="164" t="s">
        <v>92</v>
      </c>
      <c r="I75" s="164"/>
      <c r="J75" s="164"/>
      <c r="K75" s="164"/>
      <c r="L75" s="164"/>
      <c r="M75" s="164"/>
      <c r="N75" s="164"/>
      <c r="O75" s="164"/>
      <c r="P75" s="164"/>
      <c r="Q75" s="164"/>
      <c r="S75" s="150">
        <v>387263.86</v>
      </c>
    </row>
    <row r="76" spans="2:19" ht="12" customHeight="1" x14ac:dyDescent="0.2">
      <c r="C76" s="164" t="s">
        <v>93</v>
      </c>
      <c r="D76" s="164"/>
      <c r="E76" s="164"/>
      <c r="F76" s="164"/>
      <c r="H76" s="164" t="s">
        <v>94</v>
      </c>
      <c r="I76" s="164"/>
      <c r="J76" s="164"/>
      <c r="K76" s="164"/>
      <c r="L76" s="164"/>
      <c r="M76" s="164"/>
      <c r="N76" s="164"/>
      <c r="O76" s="164"/>
      <c r="P76" s="164"/>
      <c r="Q76" s="164"/>
      <c r="S76" s="147">
        <v>2027573.66</v>
      </c>
    </row>
    <row r="77" spans="2:19" ht="12" customHeight="1" x14ac:dyDescent="0.2">
      <c r="C77" s="164" t="s">
        <v>95</v>
      </c>
      <c r="D77" s="164"/>
      <c r="E77" s="164"/>
      <c r="F77" s="164"/>
      <c r="H77" s="164" t="s">
        <v>96</v>
      </c>
      <c r="I77" s="164"/>
      <c r="J77" s="164"/>
      <c r="K77" s="164"/>
      <c r="L77" s="164"/>
      <c r="M77" s="164"/>
      <c r="N77" s="164"/>
      <c r="O77" s="164"/>
      <c r="P77" s="164"/>
      <c r="Q77" s="164"/>
      <c r="S77" s="147">
        <v>5547135.6799999997</v>
      </c>
    </row>
    <row r="78" spans="2:19" ht="12" customHeight="1" x14ac:dyDescent="0.2">
      <c r="C78" s="164">
        <v>1327</v>
      </c>
      <c r="D78" s="164"/>
      <c r="E78" s="164"/>
      <c r="F78" s="164"/>
      <c r="H78" s="145" t="s">
        <v>663</v>
      </c>
      <c r="I78" s="145"/>
      <c r="J78" s="145"/>
      <c r="K78" s="145"/>
      <c r="L78" s="145"/>
      <c r="M78" s="145"/>
      <c r="N78" s="145"/>
      <c r="O78" s="145"/>
      <c r="P78" s="145"/>
      <c r="Q78" s="145"/>
      <c r="S78" s="147">
        <v>0</v>
      </c>
    </row>
    <row r="79" spans="2:19" ht="12" customHeight="1" x14ac:dyDescent="0.2">
      <c r="C79" s="164" t="s">
        <v>97</v>
      </c>
      <c r="D79" s="164"/>
      <c r="E79" s="164"/>
      <c r="F79" s="164"/>
      <c r="H79" s="164" t="s">
        <v>98</v>
      </c>
      <c r="I79" s="164"/>
      <c r="J79" s="164"/>
      <c r="K79" s="164"/>
      <c r="L79" s="164"/>
      <c r="M79" s="164"/>
      <c r="N79" s="164"/>
      <c r="O79" s="164"/>
      <c r="P79" s="164"/>
      <c r="Q79" s="164"/>
      <c r="S79" s="154">
        <v>76523.81</v>
      </c>
    </row>
    <row r="80" spans="2:19" ht="12" customHeight="1" x14ac:dyDescent="0.2">
      <c r="C80" s="164">
        <v>1336</v>
      </c>
      <c r="D80" s="164"/>
      <c r="E80" s="164"/>
      <c r="F80" s="164"/>
      <c r="H80" s="164" t="s">
        <v>672</v>
      </c>
      <c r="I80" s="164"/>
      <c r="J80" s="164"/>
      <c r="K80" s="164"/>
      <c r="L80" s="164"/>
      <c r="M80" s="164"/>
      <c r="N80" s="164"/>
      <c r="O80" s="164"/>
      <c r="P80" s="164"/>
      <c r="Q80" s="164"/>
      <c r="S80" s="147"/>
    </row>
    <row r="81" spans="1:23" ht="12" customHeight="1" x14ac:dyDescent="0.2">
      <c r="C81" s="164">
        <v>1340</v>
      </c>
      <c r="D81" s="164"/>
      <c r="E81" s="164"/>
      <c r="F81" s="164"/>
      <c r="H81" s="164" t="s">
        <v>727</v>
      </c>
      <c r="I81" s="164"/>
      <c r="J81" s="164"/>
      <c r="K81" s="164"/>
      <c r="L81" s="164"/>
      <c r="M81" s="164"/>
      <c r="N81" s="164"/>
      <c r="O81" s="164"/>
      <c r="P81" s="164"/>
      <c r="Q81" s="164"/>
      <c r="S81" s="147">
        <v>97562.54</v>
      </c>
    </row>
    <row r="82" spans="1:23" ht="12" customHeight="1" x14ac:dyDescent="0.2">
      <c r="C82" s="164">
        <v>1350</v>
      </c>
      <c r="D82" s="164"/>
      <c r="E82" s="164"/>
      <c r="F82" s="164"/>
      <c r="H82" s="164" t="s">
        <v>720</v>
      </c>
      <c r="I82" s="164"/>
      <c r="J82" s="164"/>
      <c r="K82" s="164"/>
      <c r="L82" s="164"/>
      <c r="M82" s="164"/>
      <c r="N82" s="164"/>
      <c r="O82" s="164"/>
      <c r="P82" s="164"/>
      <c r="Q82" s="164"/>
      <c r="S82" s="147">
        <v>67184.44</v>
      </c>
    </row>
    <row r="83" spans="1:23" ht="12" customHeight="1" x14ac:dyDescent="0.2">
      <c r="C83" s="164" t="s">
        <v>99</v>
      </c>
      <c r="D83" s="164"/>
      <c r="E83" s="164"/>
      <c r="F83" s="164"/>
      <c r="H83" s="164" t="s">
        <v>100</v>
      </c>
      <c r="I83" s="164"/>
      <c r="J83" s="164"/>
      <c r="K83" s="164"/>
      <c r="L83" s="164"/>
      <c r="M83" s="164"/>
      <c r="N83" s="164"/>
      <c r="O83" s="164"/>
      <c r="P83" s="164"/>
      <c r="Q83" s="164"/>
      <c r="S83" s="147">
        <v>-8116442.2300000004</v>
      </c>
    </row>
    <row r="84" spans="1:23" ht="12" customHeight="1" x14ac:dyDescent="0.2">
      <c r="C84" s="164" t="s">
        <v>101</v>
      </c>
      <c r="D84" s="164"/>
      <c r="E84" s="164"/>
      <c r="F84" s="164"/>
      <c r="H84" s="164" t="s">
        <v>102</v>
      </c>
      <c r="I84" s="164"/>
      <c r="J84" s="164"/>
      <c r="K84" s="164"/>
      <c r="L84" s="164"/>
      <c r="M84" s="164"/>
      <c r="N84" s="164"/>
      <c r="O84" s="164"/>
      <c r="P84" s="164"/>
      <c r="Q84" s="164"/>
      <c r="S84" s="147"/>
    </row>
    <row r="85" spans="1:23" ht="12" customHeight="1" x14ac:dyDescent="0.2">
      <c r="H85" s="162" t="s">
        <v>103</v>
      </c>
      <c r="I85" s="162"/>
      <c r="J85" s="162"/>
      <c r="K85" s="162"/>
      <c r="L85" s="162"/>
      <c r="M85" s="162"/>
      <c r="N85" s="162"/>
      <c r="O85" s="162"/>
      <c r="P85" s="162"/>
      <c r="U85" s="166">
        <f>SUM(S67:S84)</f>
        <v>8178424.0299999975</v>
      </c>
      <c r="V85" s="166"/>
      <c r="W85" s="166"/>
    </row>
    <row r="86" spans="1:23" ht="12" customHeight="1" x14ac:dyDescent="0.2">
      <c r="H86" s="146"/>
      <c r="I86" s="146"/>
      <c r="J86" s="146"/>
      <c r="K86" s="146"/>
      <c r="L86" s="146"/>
      <c r="M86" s="146"/>
      <c r="N86" s="146"/>
      <c r="O86" s="146"/>
      <c r="P86" s="146"/>
      <c r="U86" s="78"/>
      <c r="V86" s="78"/>
      <c r="W86" s="78"/>
    </row>
    <row r="87" spans="1:23" ht="12" customHeight="1" x14ac:dyDescent="0.2">
      <c r="D87" s="164" t="s">
        <v>101</v>
      </c>
      <c r="E87" s="164"/>
      <c r="F87" s="164"/>
      <c r="G87" s="164"/>
      <c r="H87" s="164" t="s">
        <v>673</v>
      </c>
      <c r="I87" s="164"/>
      <c r="J87" s="164"/>
      <c r="K87" s="164"/>
      <c r="L87" s="164"/>
      <c r="M87" s="164"/>
      <c r="N87" s="164"/>
      <c r="O87" s="164"/>
      <c r="P87" s="164"/>
      <c r="Q87" s="164"/>
      <c r="S87" s="147">
        <v>583.64</v>
      </c>
      <c r="U87" s="78"/>
      <c r="V87" s="78"/>
      <c r="W87" s="78"/>
    </row>
    <row r="88" spans="1:23" ht="12" customHeight="1" x14ac:dyDescent="0.2">
      <c r="D88" s="164">
        <v>1421</v>
      </c>
      <c r="E88" s="164"/>
      <c r="F88" s="164"/>
      <c r="G88" s="164"/>
      <c r="H88" s="173" t="s">
        <v>756</v>
      </c>
      <c r="I88" s="173"/>
      <c r="J88" s="173"/>
      <c r="K88" s="173"/>
      <c r="L88" s="173"/>
      <c r="M88" s="173"/>
      <c r="N88" s="173"/>
      <c r="O88" s="173"/>
      <c r="P88" s="173"/>
      <c r="Q88" s="173"/>
      <c r="S88" s="156">
        <v>52.55</v>
      </c>
      <c r="U88" s="78"/>
      <c r="V88" s="78"/>
      <c r="W88" s="78"/>
    </row>
    <row r="89" spans="1:23" ht="12" customHeight="1" thickBot="1" x14ac:dyDescent="0.25">
      <c r="I89" s="162" t="s">
        <v>104</v>
      </c>
      <c r="J89" s="162"/>
      <c r="K89" s="162"/>
      <c r="L89" s="162"/>
      <c r="M89" s="162"/>
      <c r="N89" s="162"/>
      <c r="O89" s="162"/>
      <c r="P89" s="162"/>
      <c r="U89" s="169">
        <f>U63+U85+S87+S88</f>
        <v>83298419.610000044</v>
      </c>
      <c r="V89" s="169"/>
      <c r="W89" s="169"/>
    </row>
    <row r="90" spans="1:23" ht="12" customHeight="1" x14ac:dyDescent="0.2"/>
    <row r="91" spans="1:23" ht="12" customHeight="1" x14ac:dyDescent="0.2">
      <c r="A91" s="162" t="s">
        <v>105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</row>
    <row r="92" spans="1:23" ht="12" customHeight="1" x14ac:dyDescent="0.2"/>
    <row r="93" spans="1:23" ht="12" customHeight="1" x14ac:dyDescent="0.2">
      <c r="B93" s="162" t="s">
        <v>106</v>
      </c>
      <c r="C93" s="162"/>
      <c r="D93" s="162"/>
      <c r="E93" s="162"/>
      <c r="F93" s="162"/>
      <c r="G93" s="162"/>
      <c r="H93" s="162"/>
      <c r="I93" s="162"/>
      <c r="J93" s="162"/>
      <c r="K93" s="162"/>
    </row>
    <row r="94" spans="1:23" ht="12" customHeight="1" x14ac:dyDescent="0.2">
      <c r="C94" s="164" t="s">
        <v>107</v>
      </c>
      <c r="D94" s="164"/>
      <c r="E94" s="164"/>
      <c r="F94" s="164"/>
      <c r="H94" s="76" t="s">
        <v>108</v>
      </c>
      <c r="I94" s="76"/>
      <c r="J94" s="76"/>
      <c r="K94" s="76"/>
      <c r="L94" s="76"/>
      <c r="M94" s="76"/>
      <c r="N94" s="76"/>
      <c r="O94" s="76"/>
      <c r="P94" s="76"/>
      <c r="Q94" s="76"/>
      <c r="S94" s="147"/>
    </row>
    <row r="95" spans="1:23" ht="12" customHeight="1" x14ac:dyDescent="0.2">
      <c r="C95" s="164" t="s">
        <v>109</v>
      </c>
      <c r="D95" s="164"/>
      <c r="E95" s="164"/>
      <c r="F95" s="164"/>
      <c r="H95" s="76" t="s">
        <v>110</v>
      </c>
      <c r="I95" s="76"/>
      <c r="J95" s="76"/>
      <c r="K95" s="76"/>
      <c r="L95" s="76"/>
      <c r="M95" s="76"/>
      <c r="N95" s="76"/>
      <c r="O95" s="76"/>
      <c r="P95" s="76"/>
      <c r="Q95" s="76"/>
      <c r="S95" s="147">
        <v>20373690.010000002</v>
      </c>
    </row>
    <row r="96" spans="1:23" ht="12" customHeight="1" x14ac:dyDescent="0.2">
      <c r="C96" s="164" t="s">
        <v>111</v>
      </c>
      <c r="D96" s="164"/>
      <c r="E96" s="164"/>
      <c r="F96" s="164"/>
      <c r="H96" s="76" t="s">
        <v>112</v>
      </c>
      <c r="I96" s="76"/>
      <c r="J96" s="76"/>
      <c r="K96" s="76"/>
      <c r="L96" s="76"/>
      <c r="M96" s="76"/>
      <c r="N96" s="76"/>
      <c r="O96" s="76"/>
      <c r="P96" s="76"/>
      <c r="Q96" s="76"/>
      <c r="S96" s="147">
        <v>74.72</v>
      </c>
    </row>
    <row r="97" spans="3:19" ht="12" customHeight="1" x14ac:dyDescent="0.2">
      <c r="C97" s="164">
        <v>2125</v>
      </c>
      <c r="D97" s="164"/>
      <c r="E97" s="164"/>
      <c r="F97" s="164"/>
      <c r="H97" s="76" t="s">
        <v>680</v>
      </c>
      <c r="I97" s="76"/>
      <c r="J97" s="76"/>
      <c r="K97" s="76"/>
      <c r="L97" s="76"/>
      <c r="M97" s="76"/>
      <c r="N97" s="76"/>
      <c r="O97" s="76"/>
      <c r="P97" s="76"/>
      <c r="Q97" s="76"/>
      <c r="S97" s="147">
        <v>0</v>
      </c>
    </row>
    <row r="98" spans="3:19" ht="12" customHeight="1" x14ac:dyDescent="0.2">
      <c r="C98" s="164" t="s">
        <v>113</v>
      </c>
      <c r="D98" s="164"/>
      <c r="E98" s="164"/>
      <c r="F98" s="164"/>
      <c r="H98" s="76" t="s">
        <v>114</v>
      </c>
      <c r="I98" s="76"/>
      <c r="J98" s="76"/>
      <c r="K98" s="76"/>
      <c r="L98" s="76"/>
      <c r="M98" s="76"/>
      <c r="N98" s="76"/>
      <c r="O98" s="76"/>
      <c r="P98" s="76"/>
      <c r="Q98" s="76"/>
      <c r="S98" s="147">
        <v>6561.45</v>
      </c>
    </row>
    <row r="99" spans="3:19" ht="12" customHeight="1" x14ac:dyDescent="0.2">
      <c r="C99" s="164">
        <v>2127</v>
      </c>
      <c r="D99" s="164"/>
      <c r="E99" s="164"/>
      <c r="F99" s="164"/>
      <c r="H99" s="76" t="s">
        <v>714</v>
      </c>
      <c r="I99" s="76"/>
      <c r="J99" s="76"/>
      <c r="K99" s="76"/>
      <c r="L99" s="76"/>
      <c r="M99" s="76"/>
      <c r="N99" s="76"/>
      <c r="O99" s="76"/>
      <c r="P99" s="76"/>
      <c r="Q99" s="76"/>
      <c r="S99" s="147">
        <v>-13.18</v>
      </c>
    </row>
    <row r="100" spans="3:19" ht="12" customHeight="1" x14ac:dyDescent="0.2">
      <c r="C100" s="164">
        <v>2150</v>
      </c>
      <c r="D100" s="164"/>
      <c r="E100" s="164"/>
      <c r="F100" s="164"/>
      <c r="H100" s="76" t="s">
        <v>189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47">
        <v>16.88</v>
      </c>
    </row>
    <row r="101" spans="3:19" ht="12" customHeight="1" x14ac:dyDescent="0.2">
      <c r="C101" s="164">
        <v>2155</v>
      </c>
      <c r="D101" s="164"/>
      <c r="E101" s="164"/>
      <c r="F101" s="164"/>
      <c r="H101" s="76" t="s">
        <v>681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47"/>
    </row>
    <row r="102" spans="3:19" ht="12" customHeight="1" x14ac:dyDescent="0.2">
      <c r="C102" s="164" t="s">
        <v>115</v>
      </c>
      <c r="D102" s="164"/>
      <c r="E102" s="164"/>
      <c r="F102" s="164"/>
      <c r="H102" s="76" t="s">
        <v>116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47"/>
    </row>
    <row r="103" spans="3:19" ht="12" customHeight="1" x14ac:dyDescent="0.2">
      <c r="C103" s="148" t="s">
        <v>600</v>
      </c>
      <c r="D103" s="145"/>
      <c r="E103" s="145"/>
      <c r="F103" s="145"/>
      <c r="H103" s="76" t="s">
        <v>601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47"/>
    </row>
    <row r="104" spans="3:19" ht="12" customHeight="1" x14ac:dyDescent="0.2">
      <c r="C104" s="164" t="s">
        <v>117</v>
      </c>
      <c r="D104" s="164"/>
      <c r="E104" s="164"/>
      <c r="F104" s="164"/>
      <c r="H104" s="76" t="s">
        <v>118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47">
        <v>15772444.83</v>
      </c>
    </row>
    <row r="105" spans="3:19" ht="12" customHeight="1" x14ac:dyDescent="0.2">
      <c r="C105" s="164" t="s">
        <v>119</v>
      </c>
      <c r="D105" s="164"/>
      <c r="E105" s="164"/>
      <c r="F105" s="164"/>
      <c r="H105" s="76" t="s">
        <v>120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47">
        <v>17280.04</v>
      </c>
    </row>
    <row r="106" spans="3:19" ht="12" customHeight="1" x14ac:dyDescent="0.2">
      <c r="C106" s="164" t="s">
        <v>121</v>
      </c>
      <c r="D106" s="164"/>
      <c r="E106" s="164"/>
      <c r="F106" s="164"/>
      <c r="H106" s="76" t="s">
        <v>122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47">
        <v>190207.95</v>
      </c>
    </row>
    <row r="107" spans="3:19" ht="12" customHeight="1" x14ac:dyDescent="0.2">
      <c r="C107" s="164" t="s">
        <v>123</v>
      </c>
      <c r="D107" s="164"/>
      <c r="E107" s="164"/>
      <c r="F107" s="164"/>
      <c r="H107" s="76" t="s">
        <v>124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47">
        <v>7004.07</v>
      </c>
    </row>
    <row r="108" spans="3:19" ht="12" customHeight="1" x14ac:dyDescent="0.2">
      <c r="C108" s="164" t="s">
        <v>125</v>
      </c>
      <c r="D108" s="164"/>
      <c r="E108" s="164"/>
      <c r="F108" s="164"/>
      <c r="H108" s="76" t="s">
        <v>126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47">
        <v>145919.73000000001</v>
      </c>
    </row>
    <row r="109" spans="3:19" ht="12" customHeight="1" x14ac:dyDescent="0.2">
      <c r="C109" s="164" t="s">
        <v>127</v>
      </c>
      <c r="D109" s="164"/>
      <c r="E109" s="164"/>
      <c r="F109" s="164"/>
      <c r="H109" s="76" t="s">
        <v>128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47">
        <v>121609.97</v>
      </c>
    </row>
    <row r="110" spans="3:19" ht="12" customHeight="1" x14ac:dyDescent="0.2">
      <c r="C110" s="164">
        <v>2231</v>
      </c>
      <c r="D110" s="164"/>
      <c r="E110" s="164"/>
      <c r="F110" s="164"/>
      <c r="H110" s="76" t="s">
        <v>686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47">
        <v>4338500.0199999996</v>
      </c>
    </row>
    <row r="111" spans="3:19" ht="12" customHeight="1" x14ac:dyDescent="0.2">
      <c r="C111" s="164" t="s">
        <v>129</v>
      </c>
      <c r="D111" s="164"/>
      <c r="E111" s="164"/>
      <c r="F111" s="164"/>
      <c r="H111" s="76" t="s">
        <v>130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47">
        <v>45046.559999999998</v>
      </c>
    </row>
    <row r="112" spans="3:19" ht="12" customHeight="1" x14ac:dyDescent="0.2">
      <c r="C112" s="164">
        <v>2241</v>
      </c>
      <c r="D112" s="164"/>
      <c r="E112" s="164"/>
      <c r="F112" s="164"/>
      <c r="H112" s="76" t="s">
        <v>684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47">
        <v>4160.25</v>
      </c>
    </row>
    <row r="113" spans="3:19" ht="12" customHeight="1" x14ac:dyDescent="0.2">
      <c r="C113" s="164" t="s">
        <v>131</v>
      </c>
      <c r="D113" s="164"/>
      <c r="E113" s="164"/>
      <c r="F113" s="164"/>
      <c r="H113" s="76" t="s">
        <v>716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47">
        <v>0</v>
      </c>
    </row>
    <row r="114" spans="3:19" ht="12" customHeight="1" x14ac:dyDescent="0.2">
      <c r="C114" s="164" t="s">
        <v>132</v>
      </c>
      <c r="D114" s="164"/>
      <c r="E114" s="164"/>
      <c r="F114" s="164"/>
      <c r="H114" s="76" t="s">
        <v>133</v>
      </c>
      <c r="I114" s="76"/>
      <c r="J114" s="76"/>
      <c r="K114" s="76"/>
      <c r="L114" s="76"/>
      <c r="M114" s="76"/>
      <c r="N114" s="76"/>
      <c r="O114" s="76"/>
      <c r="P114" s="76"/>
      <c r="Q114" s="76"/>
      <c r="S114" s="147">
        <v>2190.6799999999998</v>
      </c>
    </row>
    <row r="115" spans="3:19" ht="12" customHeight="1" x14ac:dyDescent="0.2">
      <c r="C115" s="164">
        <v>2245</v>
      </c>
      <c r="D115" s="164"/>
      <c r="E115" s="164"/>
      <c r="F115" s="164"/>
      <c r="H115" s="76" t="s">
        <v>633</v>
      </c>
      <c r="I115" s="76"/>
      <c r="J115" s="76"/>
      <c r="K115" s="76"/>
      <c r="L115" s="76"/>
      <c r="M115" s="76"/>
      <c r="N115" s="76"/>
      <c r="O115" s="76"/>
      <c r="P115" s="76"/>
      <c r="Q115" s="76"/>
      <c r="S115" s="147">
        <v>50000</v>
      </c>
    </row>
    <row r="116" spans="3:19" ht="12" customHeight="1" x14ac:dyDescent="0.2">
      <c r="C116" s="164" t="s">
        <v>134</v>
      </c>
      <c r="D116" s="164"/>
      <c r="E116" s="164"/>
      <c r="F116" s="164"/>
      <c r="H116" s="76" t="s">
        <v>135</v>
      </c>
      <c r="I116" s="76"/>
      <c r="J116" s="76"/>
      <c r="K116" s="76"/>
      <c r="L116" s="76"/>
      <c r="M116" s="76"/>
      <c r="N116" s="76"/>
      <c r="O116" s="76"/>
      <c r="P116" s="76"/>
      <c r="Q116" s="76"/>
      <c r="S116" s="147">
        <v>3089.46</v>
      </c>
    </row>
    <row r="117" spans="3:19" ht="12" customHeight="1" x14ac:dyDescent="0.2">
      <c r="C117" s="164" t="s">
        <v>136</v>
      </c>
      <c r="D117" s="164"/>
      <c r="E117" s="164"/>
      <c r="F117" s="164"/>
      <c r="H117" s="76" t="s">
        <v>137</v>
      </c>
      <c r="I117" s="76"/>
      <c r="J117" s="76"/>
      <c r="K117" s="76"/>
      <c r="L117" s="76"/>
      <c r="M117" s="76"/>
      <c r="N117" s="76"/>
      <c r="O117" s="76"/>
      <c r="P117" s="76"/>
      <c r="Q117" s="76"/>
      <c r="S117" s="147">
        <v>0</v>
      </c>
    </row>
    <row r="118" spans="3:19" ht="12" customHeight="1" x14ac:dyDescent="0.2">
      <c r="C118" s="164" t="s">
        <v>138</v>
      </c>
      <c r="D118" s="164"/>
      <c r="E118" s="164"/>
      <c r="F118" s="164"/>
      <c r="H118" s="76" t="s">
        <v>139</v>
      </c>
      <c r="I118" s="76"/>
      <c r="J118" s="76"/>
      <c r="K118" s="76"/>
      <c r="L118" s="76"/>
      <c r="M118" s="76"/>
      <c r="N118" s="76"/>
      <c r="O118" s="76"/>
      <c r="P118" s="76"/>
      <c r="Q118" s="76"/>
      <c r="S118" s="147"/>
    </row>
    <row r="119" spans="3:19" ht="12" customHeight="1" x14ac:dyDescent="0.2">
      <c r="C119" s="164" t="s">
        <v>140</v>
      </c>
      <c r="D119" s="164"/>
      <c r="E119" s="164"/>
      <c r="F119" s="164"/>
      <c r="H119" s="76" t="s">
        <v>141</v>
      </c>
      <c r="I119" s="76"/>
      <c r="J119" s="76"/>
      <c r="K119" s="76"/>
      <c r="L119" s="76"/>
      <c r="M119" s="76"/>
      <c r="N119" s="76"/>
      <c r="O119" s="76"/>
      <c r="P119" s="76"/>
      <c r="Q119" s="76"/>
      <c r="S119" s="147"/>
    </row>
    <row r="120" spans="3:19" ht="12" customHeight="1" x14ac:dyDescent="0.2">
      <c r="C120" s="164" t="s">
        <v>142</v>
      </c>
      <c r="D120" s="164"/>
      <c r="E120" s="164"/>
      <c r="F120" s="164"/>
      <c r="H120" s="76" t="s">
        <v>143</v>
      </c>
      <c r="I120" s="76"/>
      <c r="J120" s="76"/>
      <c r="K120" s="76"/>
      <c r="L120" s="76"/>
      <c r="M120" s="76"/>
      <c r="N120" s="76"/>
      <c r="O120" s="76"/>
      <c r="P120" s="76"/>
      <c r="Q120" s="76"/>
      <c r="S120" s="147">
        <v>5132276.25</v>
      </c>
    </row>
    <row r="121" spans="3:19" ht="12" customHeight="1" x14ac:dyDescent="0.2">
      <c r="C121" s="164" t="s">
        <v>144</v>
      </c>
      <c r="D121" s="164"/>
      <c r="E121" s="164"/>
      <c r="F121" s="164"/>
      <c r="H121" s="76" t="s">
        <v>402</v>
      </c>
      <c r="I121" s="76"/>
      <c r="J121" s="76"/>
      <c r="K121" s="76"/>
      <c r="L121" s="76"/>
      <c r="M121" s="76"/>
      <c r="N121" s="76"/>
      <c r="O121" s="76"/>
      <c r="P121" s="76"/>
      <c r="Q121" s="76"/>
      <c r="S121" s="147">
        <v>6700000</v>
      </c>
    </row>
    <row r="122" spans="3:19" ht="12" customHeight="1" x14ac:dyDescent="0.2">
      <c r="C122" s="164">
        <v>2301</v>
      </c>
      <c r="D122" s="164"/>
      <c r="E122" s="164"/>
      <c r="F122" s="164"/>
      <c r="H122" s="76" t="s">
        <v>403</v>
      </c>
      <c r="I122" s="76"/>
      <c r="J122" s="76"/>
      <c r="K122" s="76"/>
      <c r="L122" s="76"/>
      <c r="M122" s="76"/>
      <c r="N122" s="76"/>
      <c r="O122" s="76"/>
      <c r="P122" s="76"/>
      <c r="Q122" s="76"/>
      <c r="S122" s="147">
        <v>300000</v>
      </c>
    </row>
    <row r="123" spans="3:19" ht="12" customHeight="1" x14ac:dyDescent="0.2">
      <c r="C123" s="168" t="s">
        <v>236</v>
      </c>
      <c r="D123" s="168"/>
      <c r="E123" s="168"/>
      <c r="F123" s="168"/>
      <c r="H123" s="168" t="s">
        <v>574</v>
      </c>
      <c r="I123" s="168"/>
      <c r="J123" s="168"/>
      <c r="K123" s="168"/>
      <c r="L123" s="168"/>
      <c r="M123" s="168"/>
      <c r="N123" s="168"/>
      <c r="O123" s="168"/>
      <c r="P123" s="168"/>
      <c r="Q123" s="168"/>
      <c r="S123" s="147">
        <v>7500</v>
      </c>
    </row>
    <row r="124" spans="3:19" ht="12" customHeight="1" x14ac:dyDescent="0.2">
      <c r="C124" s="168" t="s">
        <v>236</v>
      </c>
      <c r="D124" s="168"/>
      <c r="E124" s="168"/>
      <c r="F124" s="168"/>
      <c r="H124" s="168" t="s">
        <v>568</v>
      </c>
      <c r="I124" s="168"/>
      <c r="J124" s="168"/>
      <c r="K124" s="168"/>
      <c r="L124" s="168"/>
      <c r="M124" s="168"/>
      <c r="N124" s="168"/>
      <c r="O124" s="168"/>
      <c r="P124" s="168"/>
      <c r="Q124" s="168"/>
      <c r="S124" s="147">
        <v>19325</v>
      </c>
    </row>
    <row r="125" spans="3:19" ht="12" customHeight="1" x14ac:dyDescent="0.2">
      <c r="C125" s="165" t="s">
        <v>541</v>
      </c>
      <c r="D125" s="164"/>
      <c r="E125" s="164"/>
      <c r="F125" s="164"/>
      <c r="H125" s="164" t="s">
        <v>545</v>
      </c>
      <c r="I125" s="164"/>
      <c r="J125" s="164"/>
      <c r="K125" s="164"/>
      <c r="L125" s="164"/>
      <c r="M125" s="164"/>
      <c r="N125" s="164"/>
      <c r="O125" s="164"/>
      <c r="P125" s="164"/>
      <c r="Q125" s="164"/>
      <c r="S125" s="147"/>
    </row>
    <row r="126" spans="3:19" ht="12" customHeight="1" x14ac:dyDescent="0.2">
      <c r="C126" s="165" t="s">
        <v>542</v>
      </c>
      <c r="D126" s="164"/>
      <c r="E126" s="164"/>
      <c r="F126" s="164"/>
      <c r="H126" s="164" t="s">
        <v>543</v>
      </c>
      <c r="I126" s="164"/>
      <c r="J126" s="164"/>
      <c r="K126" s="164"/>
      <c r="L126" s="164"/>
      <c r="M126" s="164"/>
      <c r="N126" s="164"/>
      <c r="O126" s="164"/>
      <c r="P126" s="164"/>
      <c r="Q126" s="164"/>
      <c r="S126" s="147"/>
    </row>
    <row r="127" spans="3:19" ht="12" customHeight="1" x14ac:dyDescent="0.2">
      <c r="C127" s="165">
        <v>2433</v>
      </c>
      <c r="D127" s="164"/>
      <c r="E127" s="164"/>
      <c r="F127" s="164"/>
      <c r="H127" s="164" t="s">
        <v>544</v>
      </c>
      <c r="I127" s="164"/>
      <c r="J127" s="164"/>
      <c r="K127" s="164"/>
      <c r="L127" s="164"/>
      <c r="M127" s="164"/>
      <c r="N127" s="164"/>
      <c r="O127" s="164"/>
      <c r="P127" s="164"/>
      <c r="Q127" s="164"/>
      <c r="S127" s="147"/>
    </row>
    <row r="128" spans="3:19" ht="12" customHeight="1" x14ac:dyDescent="0.2">
      <c r="C128" s="164" t="s">
        <v>146</v>
      </c>
      <c r="D128" s="164"/>
      <c r="E128" s="164"/>
      <c r="F128" s="164"/>
      <c r="H128" s="76" t="s">
        <v>404</v>
      </c>
      <c r="I128" s="76"/>
      <c r="J128" s="76"/>
      <c r="K128" s="76"/>
      <c r="L128" s="76"/>
      <c r="M128" s="76"/>
      <c r="N128" s="76"/>
      <c r="O128" s="76"/>
      <c r="P128" s="76"/>
      <c r="Q128" s="76"/>
      <c r="S128" s="147"/>
    </row>
    <row r="129" spans="2:25" ht="12" customHeight="1" x14ac:dyDescent="0.2">
      <c r="C129" s="164" t="s">
        <v>147</v>
      </c>
      <c r="D129" s="164"/>
      <c r="E129" s="164"/>
      <c r="F129" s="164"/>
      <c r="H129" s="76" t="s">
        <v>556</v>
      </c>
      <c r="I129" s="76"/>
      <c r="J129" s="76"/>
      <c r="K129" s="76"/>
      <c r="L129" s="76"/>
      <c r="M129" s="76"/>
      <c r="N129" s="76"/>
      <c r="O129" s="76"/>
      <c r="P129" s="76"/>
      <c r="Q129" s="76"/>
      <c r="S129" s="147">
        <v>21133.64</v>
      </c>
    </row>
    <row r="130" spans="2:25" ht="12" customHeight="1" x14ac:dyDescent="0.2">
      <c r="C130" s="164" t="s">
        <v>587</v>
      </c>
      <c r="D130" s="164"/>
      <c r="E130" s="164"/>
      <c r="F130" s="164"/>
      <c r="H130" s="76" t="s">
        <v>588</v>
      </c>
      <c r="I130" s="76"/>
      <c r="J130" s="76"/>
      <c r="K130" s="76"/>
      <c r="L130" s="76"/>
      <c r="M130" s="76"/>
      <c r="N130" s="76"/>
      <c r="O130" s="76"/>
      <c r="P130" s="76"/>
      <c r="Q130" s="76"/>
      <c r="S130" s="147">
        <v>29738.53</v>
      </c>
    </row>
    <row r="131" spans="2:25" ht="12" customHeight="1" x14ac:dyDescent="0.2">
      <c r="C131" s="164" t="s">
        <v>728</v>
      </c>
      <c r="D131" s="164"/>
      <c r="E131" s="164"/>
      <c r="F131" s="164"/>
      <c r="H131" s="76" t="s">
        <v>729</v>
      </c>
      <c r="I131" s="76"/>
      <c r="J131" s="76"/>
      <c r="K131" s="76"/>
      <c r="L131" s="76"/>
      <c r="M131" s="76"/>
      <c r="N131" s="76"/>
      <c r="O131" s="76"/>
      <c r="P131" s="76"/>
      <c r="Q131" s="76"/>
      <c r="S131" s="147">
        <v>209754.13</v>
      </c>
    </row>
    <row r="132" spans="2:25" ht="12" customHeight="1" x14ac:dyDescent="0.2">
      <c r="C132" s="164" t="s">
        <v>634</v>
      </c>
      <c r="D132" s="164"/>
      <c r="E132" s="164"/>
      <c r="F132" s="164"/>
      <c r="H132" s="76" t="s">
        <v>635</v>
      </c>
      <c r="I132" s="76"/>
      <c r="J132" s="76"/>
      <c r="K132" s="76"/>
      <c r="L132" s="76"/>
      <c r="M132" s="76"/>
      <c r="N132" s="76"/>
      <c r="O132" s="76"/>
      <c r="P132" s="76"/>
      <c r="Q132" s="76"/>
      <c r="S132" s="147">
        <v>1395.38</v>
      </c>
    </row>
    <row r="133" spans="2:25" ht="12" customHeight="1" x14ac:dyDescent="0.2">
      <c r="C133" s="164" t="s">
        <v>621</v>
      </c>
      <c r="D133" s="164"/>
      <c r="E133" s="164"/>
      <c r="F133" s="164"/>
      <c r="H133" s="76" t="s">
        <v>622</v>
      </c>
      <c r="I133" s="76"/>
      <c r="J133" s="76"/>
      <c r="K133" s="76"/>
      <c r="L133" s="76"/>
      <c r="M133" s="76"/>
      <c r="N133" s="76"/>
      <c r="O133" s="76"/>
      <c r="P133" s="76"/>
      <c r="Q133" s="76"/>
      <c r="S133" s="147"/>
    </row>
    <row r="134" spans="2:25" ht="12" customHeight="1" x14ac:dyDescent="0.2">
      <c r="H134" s="162" t="s">
        <v>148</v>
      </c>
      <c r="I134" s="162"/>
      <c r="J134" s="162"/>
      <c r="K134" s="162"/>
      <c r="L134" s="162"/>
      <c r="M134" s="162"/>
      <c r="N134" s="162"/>
      <c r="O134" s="162"/>
      <c r="P134" s="162"/>
      <c r="U134" s="163">
        <f>SUM(S94:S133)</f>
        <v>53498906.370000005</v>
      </c>
      <c r="V134" s="163"/>
      <c r="W134" s="163"/>
      <c r="Y134" s="77"/>
    </row>
    <row r="135" spans="2:25" ht="12" customHeight="1" x14ac:dyDescent="0.2"/>
    <row r="136" spans="2:25" ht="12" customHeight="1" x14ac:dyDescent="0.2">
      <c r="B136" s="162" t="s">
        <v>149</v>
      </c>
      <c r="C136" s="162"/>
      <c r="D136" s="162"/>
      <c r="E136" s="162"/>
      <c r="F136" s="162"/>
      <c r="G136" s="162"/>
      <c r="H136" s="162"/>
      <c r="I136" s="162"/>
      <c r="J136" s="162"/>
      <c r="K136" s="162"/>
    </row>
    <row r="137" spans="2:25" ht="12" customHeight="1" x14ac:dyDescent="0.2">
      <c r="B137" s="146"/>
      <c r="C137" s="164">
        <v>2403</v>
      </c>
      <c r="D137" s="164"/>
      <c r="E137" s="164"/>
      <c r="F137" s="164"/>
      <c r="G137" s="146"/>
      <c r="H137" s="164" t="s">
        <v>664</v>
      </c>
      <c r="I137" s="164"/>
      <c r="J137" s="164"/>
      <c r="K137" s="164"/>
      <c r="L137" s="164"/>
      <c r="M137" s="164"/>
      <c r="N137" s="164"/>
      <c r="O137" s="164"/>
      <c r="P137" s="164"/>
      <c r="Q137" s="164"/>
      <c r="S137" s="147">
        <v>200000</v>
      </c>
    </row>
    <row r="138" spans="2:25" ht="12" customHeight="1" x14ac:dyDescent="0.2">
      <c r="B138" s="146"/>
      <c r="C138" s="164">
        <v>2404</v>
      </c>
      <c r="D138" s="164"/>
      <c r="E138" s="164"/>
      <c r="F138" s="164"/>
      <c r="G138" s="146"/>
      <c r="H138" s="164" t="s">
        <v>665</v>
      </c>
      <c r="I138" s="164"/>
      <c r="J138" s="164"/>
      <c r="K138" s="164"/>
      <c r="L138" s="164"/>
      <c r="M138" s="164"/>
      <c r="N138" s="164"/>
      <c r="O138" s="164"/>
      <c r="P138" s="164"/>
      <c r="Q138" s="164"/>
      <c r="S138" s="147">
        <v>1050000</v>
      </c>
    </row>
    <row r="139" spans="2:25" ht="12" customHeight="1" x14ac:dyDescent="0.2">
      <c r="C139" s="164" t="s">
        <v>150</v>
      </c>
      <c r="D139" s="164"/>
      <c r="E139" s="164"/>
      <c r="F139" s="164"/>
      <c r="H139" s="164" t="s">
        <v>151</v>
      </c>
      <c r="I139" s="164"/>
      <c r="J139" s="164"/>
      <c r="K139" s="164"/>
      <c r="L139" s="164"/>
      <c r="M139" s="164"/>
      <c r="N139" s="164"/>
      <c r="O139" s="164"/>
      <c r="P139" s="164"/>
      <c r="Q139" s="164"/>
      <c r="S139" s="147">
        <v>0</v>
      </c>
    </row>
    <row r="140" spans="2:25" ht="12" customHeight="1" x14ac:dyDescent="0.2">
      <c r="C140" s="164" t="s">
        <v>152</v>
      </c>
      <c r="D140" s="164"/>
      <c r="E140" s="164"/>
      <c r="F140" s="164"/>
      <c r="H140" s="164" t="s">
        <v>153</v>
      </c>
      <c r="I140" s="164"/>
      <c r="J140" s="164"/>
      <c r="K140" s="164"/>
      <c r="L140" s="164"/>
      <c r="M140" s="164"/>
      <c r="N140" s="164"/>
      <c r="O140" s="164"/>
      <c r="P140" s="164"/>
      <c r="Q140" s="164"/>
      <c r="S140" s="147">
        <v>17080.060000000001</v>
      </c>
    </row>
    <row r="141" spans="2:25" ht="12" customHeight="1" x14ac:dyDescent="0.2">
      <c r="C141" s="164" t="s">
        <v>154</v>
      </c>
      <c r="D141" s="164"/>
      <c r="E141" s="164"/>
      <c r="F141" s="164"/>
      <c r="H141" s="164" t="s">
        <v>155</v>
      </c>
      <c r="I141" s="164"/>
      <c r="J141" s="164"/>
      <c r="K141" s="164"/>
      <c r="L141" s="164"/>
      <c r="M141" s="164"/>
      <c r="N141" s="164"/>
      <c r="O141" s="164"/>
      <c r="P141" s="164"/>
      <c r="Q141" s="164"/>
      <c r="S141" s="147">
        <v>4429.8100000000004</v>
      </c>
    </row>
    <row r="142" spans="2:25" ht="12" customHeight="1" x14ac:dyDescent="0.2">
      <c r="C142" s="164" t="s">
        <v>156</v>
      </c>
      <c r="D142" s="164"/>
      <c r="E142" s="164"/>
      <c r="F142" s="164"/>
      <c r="H142" s="164" t="s">
        <v>157</v>
      </c>
      <c r="I142" s="164"/>
      <c r="J142" s="164"/>
      <c r="K142" s="164"/>
      <c r="L142" s="164"/>
      <c r="M142" s="164"/>
      <c r="N142" s="164"/>
      <c r="O142" s="164"/>
      <c r="P142" s="164"/>
      <c r="Q142" s="164"/>
      <c r="S142" s="147">
        <v>20207.61</v>
      </c>
    </row>
    <row r="143" spans="2:25" ht="12" customHeight="1" x14ac:dyDescent="0.2">
      <c r="C143" s="164">
        <v>2434</v>
      </c>
      <c r="D143" s="164"/>
      <c r="E143" s="164"/>
      <c r="F143" s="164"/>
      <c r="H143" s="164" t="s">
        <v>730</v>
      </c>
      <c r="I143" s="164"/>
      <c r="J143" s="164"/>
      <c r="K143" s="164"/>
      <c r="L143" s="164"/>
      <c r="M143" s="164"/>
      <c r="N143" s="164"/>
      <c r="O143" s="164"/>
      <c r="P143" s="164"/>
      <c r="Q143" s="164"/>
      <c r="S143" s="147">
        <v>2029343.99</v>
      </c>
    </row>
    <row r="144" spans="2:25" ht="12" customHeight="1" x14ac:dyDescent="0.2">
      <c r="C144" s="145"/>
      <c r="D144" s="145"/>
      <c r="E144" s="145"/>
      <c r="F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S144" s="147"/>
    </row>
    <row r="145" spans="1:23" ht="12" customHeight="1" x14ac:dyDescent="0.2">
      <c r="H145" s="162" t="s">
        <v>158</v>
      </c>
      <c r="I145" s="162"/>
      <c r="J145" s="162"/>
      <c r="K145" s="162"/>
      <c r="L145" s="162"/>
      <c r="M145" s="162"/>
      <c r="N145" s="162"/>
      <c r="O145" s="162"/>
      <c r="P145" s="162"/>
      <c r="U145" s="166">
        <f>SUM(S137:S143)</f>
        <v>3321061.47</v>
      </c>
      <c r="V145" s="166"/>
      <c r="W145" s="166"/>
    </row>
    <row r="146" spans="1:23" ht="12" customHeight="1" x14ac:dyDescent="0.2"/>
    <row r="147" spans="1:23" ht="12" customHeight="1" x14ac:dyDescent="0.2">
      <c r="I147" s="162" t="s">
        <v>159</v>
      </c>
      <c r="J147" s="162"/>
      <c r="K147" s="162"/>
      <c r="L147" s="162"/>
      <c r="M147" s="162"/>
      <c r="N147" s="162"/>
      <c r="O147" s="162"/>
      <c r="P147" s="162"/>
      <c r="U147" s="163">
        <f>U134+U145</f>
        <v>56819967.840000004</v>
      </c>
      <c r="V147" s="163"/>
      <c r="W147" s="163"/>
    </row>
    <row r="148" spans="1:23" ht="12" customHeight="1" x14ac:dyDescent="0.2"/>
    <row r="149" spans="1:23" ht="12" customHeight="1" x14ac:dyDescent="0.2">
      <c r="A149" s="162" t="s">
        <v>160</v>
      </c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</row>
    <row r="150" spans="1:23" ht="12" customHeight="1" x14ac:dyDescent="0.2">
      <c r="C150" s="164" t="s">
        <v>161</v>
      </c>
      <c r="D150" s="164"/>
      <c r="E150" s="164"/>
      <c r="F150" s="164"/>
      <c r="H150" s="164" t="s">
        <v>162</v>
      </c>
      <c r="I150" s="164"/>
      <c r="J150" s="164"/>
      <c r="K150" s="164"/>
      <c r="L150" s="164"/>
      <c r="M150" s="164"/>
      <c r="N150" s="164"/>
      <c r="O150" s="164"/>
      <c r="P150" s="164"/>
      <c r="Q150" s="164"/>
      <c r="S150" s="147">
        <v>152325</v>
      </c>
    </row>
    <row r="151" spans="1:23" ht="12" customHeight="1" x14ac:dyDescent="0.2">
      <c r="C151" s="164" t="s">
        <v>163</v>
      </c>
      <c r="D151" s="164"/>
      <c r="E151" s="164"/>
      <c r="F151" s="164"/>
      <c r="H151" s="164" t="s">
        <v>164</v>
      </c>
      <c r="I151" s="164"/>
      <c r="J151" s="164"/>
      <c r="K151" s="164"/>
      <c r="L151" s="164"/>
      <c r="M151" s="164"/>
      <c r="N151" s="164"/>
      <c r="O151" s="164"/>
      <c r="P151" s="164"/>
      <c r="Q151" s="164"/>
      <c r="S151" s="147">
        <v>1709758</v>
      </c>
    </row>
    <row r="152" spans="1:23" ht="12" customHeight="1" x14ac:dyDescent="0.2">
      <c r="C152" s="164" t="s">
        <v>165</v>
      </c>
      <c r="D152" s="164"/>
      <c r="E152" s="164"/>
      <c r="F152" s="164"/>
      <c r="H152" s="164" t="s">
        <v>166</v>
      </c>
      <c r="I152" s="164"/>
      <c r="J152" s="164"/>
      <c r="K152" s="164"/>
      <c r="L152" s="164"/>
      <c r="M152" s="164"/>
      <c r="N152" s="164"/>
      <c r="O152" s="164"/>
      <c r="P152" s="164"/>
      <c r="Q152" s="164"/>
      <c r="S152" s="147">
        <v>27944247.670000002</v>
      </c>
    </row>
    <row r="153" spans="1:23" ht="11.25" customHeight="1" x14ac:dyDescent="0.2">
      <c r="C153" s="164" t="s">
        <v>165</v>
      </c>
      <c r="D153" s="164"/>
      <c r="E153" s="164"/>
      <c r="F153" s="164"/>
      <c r="H153" s="164" t="s">
        <v>167</v>
      </c>
      <c r="I153" s="164"/>
      <c r="J153" s="164"/>
      <c r="K153" s="164"/>
      <c r="L153" s="164"/>
      <c r="M153" s="164"/>
      <c r="N153" s="164"/>
      <c r="O153" s="164"/>
      <c r="P153" s="164"/>
      <c r="Q153" s="164"/>
      <c r="S153" s="147">
        <v>-51086.91</v>
      </c>
    </row>
    <row r="154" spans="1:23" ht="11.25" customHeight="1" x14ac:dyDescent="0.2">
      <c r="C154" s="165" t="s">
        <v>546</v>
      </c>
      <c r="D154" s="164"/>
      <c r="E154" s="164"/>
      <c r="F154" s="164"/>
      <c r="H154" s="164" t="s">
        <v>547</v>
      </c>
      <c r="I154" s="164"/>
      <c r="J154" s="164"/>
      <c r="K154" s="164"/>
      <c r="L154" s="164"/>
      <c r="M154" s="164"/>
      <c r="N154" s="164"/>
      <c r="O154" s="164"/>
      <c r="P154" s="164"/>
      <c r="Q154" s="164"/>
      <c r="S154" s="147">
        <v>1741208.01</v>
      </c>
    </row>
    <row r="155" spans="1:23" ht="12" customHeight="1" x14ac:dyDescent="0.2">
      <c r="C155" s="164" t="s">
        <v>168</v>
      </c>
      <c r="D155" s="164"/>
      <c r="E155" s="164"/>
      <c r="F155" s="164"/>
      <c r="H155" s="164" t="s">
        <v>169</v>
      </c>
      <c r="I155" s="164"/>
      <c r="J155" s="164"/>
      <c r="K155" s="164"/>
      <c r="L155" s="164"/>
      <c r="M155" s="164"/>
      <c r="N155" s="164"/>
      <c r="O155" s="164"/>
      <c r="P155" s="164"/>
      <c r="Q155" s="164"/>
      <c r="S155" s="147">
        <v>-5000000</v>
      </c>
    </row>
    <row r="156" spans="1:23" ht="12" customHeight="1" x14ac:dyDescent="0.2">
      <c r="C156" s="164" t="s">
        <v>170</v>
      </c>
      <c r="D156" s="164"/>
      <c r="E156" s="164"/>
      <c r="F156" s="164"/>
      <c r="H156" s="164" t="s">
        <v>171</v>
      </c>
      <c r="I156" s="164"/>
      <c r="J156" s="164"/>
      <c r="K156" s="164"/>
      <c r="L156" s="164"/>
      <c r="M156" s="164"/>
      <c r="N156" s="164"/>
      <c r="O156" s="164"/>
      <c r="P156" s="164"/>
      <c r="Q156" s="164"/>
      <c r="S156" s="147">
        <v>-6000</v>
      </c>
    </row>
    <row r="157" spans="1:23" ht="12" customHeight="1" x14ac:dyDescent="0.2">
      <c r="C157" s="164" t="s">
        <v>172</v>
      </c>
      <c r="D157" s="164"/>
      <c r="E157" s="164"/>
      <c r="F157" s="164"/>
      <c r="H157" s="164" t="s">
        <v>173</v>
      </c>
      <c r="I157" s="164"/>
      <c r="J157" s="164"/>
      <c r="K157" s="164"/>
      <c r="L157" s="164"/>
      <c r="M157" s="164"/>
      <c r="N157" s="164"/>
      <c r="O157" s="164"/>
      <c r="P157" s="164"/>
      <c r="Q157" s="164"/>
      <c r="S157" s="147">
        <v>-6000</v>
      </c>
    </row>
    <row r="158" spans="1:23" ht="12" customHeight="1" x14ac:dyDescent="0.2">
      <c r="C158" s="164" t="s">
        <v>174</v>
      </c>
      <c r="D158" s="164"/>
      <c r="E158" s="164"/>
      <c r="F158" s="164"/>
      <c r="H158" s="164" t="s">
        <v>175</v>
      </c>
      <c r="I158" s="164"/>
      <c r="J158" s="164"/>
      <c r="K158" s="164"/>
      <c r="L158" s="164"/>
      <c r="M158" s="164"/>
      <c r="N158" s="164"/>
      <c r="O158" s="164"/>
      <c r="P158" s="164"/>
      <c r="Q158" s="164"/>
      <c r="S158" s="78">
        <v>-6000</v>
      </c>
    </row>
    <row r="159" spans="1:23" ht="12" customHeight="1" x14ac:dyDescent="0.2">
      <c r="C159" s="164">
        <v>3554</v>
      </c>
      <c r="D159" s="164"/>
      <c r="E159" s="164"/>
      <c r="F159" s="164"/>
      <c r="H159" s="164" t="s">
        <v>232</v>
      </c>
      <c r="I159" s="164"/>
      <c r="J159" s="164"/>
      <c r="K159" s="164"/>
      <c r="L159" s="164"/>
      <c r="M159" s="164"/>
      <c r="N159" s="164"/>
      <c r="O159" s="164"/>
      <c r="P159" s="164"/>
      <c r="Q159" s="164"/>
      <c r="S159" s="149">
        <v>0</v>
      </c>
    </row>
    <row r="160" spans="1:23" ht="12" customHeight="1" x14ac:dyDescent="0.2">
      <c r="I160" s="162" t="s">
        <v>176</v>
      </c>
      <c r="J160" s="162"/>
      <c r="K160" s="162"/>
      <c r="L160" s="162"/>
      <c r="M160" s="162"/>
      <c r="N160" s="162"/>
      <c r="O160" s="162"/>
      <c r="P160" s="162"/>
      <c r="U160" s="163">
        <f>SUM(S150:S159)</f>
        <v>26478451.770000003</v>
      </c>
      <c r="V160" s="163"/>
      <c r="W160" s="163"/>
    </row>
    <row r="161" spans="9:23" ht="12" customHeight="1" x14ac:dyDescent="0.2">
      <c r="I161" s="162" t="s">
        <v>177</v>
      </c>
      <c r="J161" s="162"/>
      <c r="K161" s="162"/>
      <c r="L161" s="162"/>
      <c r="M161" s="162"/>
      <c r="N161" s="162"/>
      <c r="O161" s="162"/>
      <c r="P161" s="162"/>
    </row>
    <row r="162" spans="9:23" ht="12" customHeight="1" thickBot="1" x14ac:dyDescent="0.25">
      <c r="I162" s="162"/>
      <c r="J162" s="162"/>
      <c r="K162" s="162"/>
      <c r="L162" s="162"/>
      <c r="M162" s="162"/>
      <c r="N162" s="162"/>
      <c r="O162" s="162"/>
      <c r="P162" s="162"/>
      <c r="U162" s="167">
        <f>U147+U160</f>
        <v>83298419.610000014</v>
      </c>
      <c r="V162" s="167"/>
      <c r="W162" s="167"/>
    </row>
    <row r="163" spans="9:23" ht="12" customHeight="1" thickTop="1" x14ac:dyDescent="0.2">
      <c r="U163" s="163"/>
      <c r="V163" s="163"/>
      <c r="W163" s="163"/>
    </row>
    <row r="164" spans="9:23" ht="12" customHeight="1" x14ac:dyDescent="0.2">
      <c r="U164" s="163"/>
      <c r="V164" s="163"/>
      <c r="W164" s="163"/>
    </row>
    <row r="165" spans="9:23" ht="12" customHeight="1" x14ac:dyDescent="0.2">
      <c r="S165" s="75" t="s">
        <v>405</v>
      </c>
      <c r="U165" s="163">
        <f>U89-U162</f>
        <v>0</v>
      </c>
      <c r="V165" s="163"/>
      <c r="W165" s="163"/>
    </row>
    <row r="166" spans="9:23" ht="12" customHeight="1" x14ac:dyDescent="0.2"/>
    <row r="167" spans="9:23" ht="12" customHeight="1" x14ac:dyDescent="0.2"/>
    <row r="168" spans="9:23" ht="12" customHeight="1" x14ac:dyDescent="0.2"/>
  </sheetData>
  <mergeCells count="198">
    <mergeCell ref="C39:F39"/>
    <mergeCell ref="C143:F143"/>
    <mergeCell ref="H143:Q143"/>
    <mergeCell ref="C22:F22"/>
    <mergeCell ref="C23:F23"/>
    <mergeCell ref="C24:F24"/>
    <mergeCell ref="C69:F69"/>
    <mergeCell ref="H69:Q69"/>
    <mergeCell ref="C70:F70"/>
    <mergeCell ref="H70:Q70"/>
    <mergeCell ref="C71:F71"/>
    <mergeCell ref="H71:Q71"/>
    <mergeCell ref="C28:F28"/>
    <mergeCell ref="H63:P63"/>
    <mergeCell ref="C67:F67"/>
    <mergeCell ref="H67:Q67"/>
    <mergeCell ref="C68:F68"/>
    <mergeCell ref="H68:Q68"/>
    <mergeCell ref="C40:F40"/>
    <mergeCell ref="C57:F57"/>
    <mergeCell ref="C44:F44"/>
    <mergeCell ref="C77:F77"/>
    <mergeCell ref="H77:Q77"/>
    <mergeCell ref="C79:F79"/>
    <mergeCell ref="H79:Q79"/>
    <mergeCell ref="C83:F83"/>
    <mergeCell ref="H83:Q83"/>
    <mergeCell ref="C112:F112"/>
    <mergeCell ref="C84:F84"/>
    <mergeCell ref="C82:F82"/>
    <mergeCell ref="H82:Q82"/>
    <mergeCell ref="C78:F78"/>
    <mergeCell ref="C81:F81"/>
    <mergeCell ref="H81:Q81"/>
    <mergeCell ref="H84:Q84"/>
    <mergeCell ref="H85:P85"/>
    <mergeCell ref="C80:F80"/>
    <mergeCell ref="H80:Q80"/>
    <mergeCell ref="C102:F102"/>
    <mergeCell ref="C104:F104"/>
    <mergeCell ref="C105:F105"/>
    <mergeCell ref="C101:F101"/>
    <mergeCell ref="C99:F99"/>
    <mergeCell ref="C100:F100"/>
    <mergeCell ref="D88:G88"/>
    <mergeCell ref="H88:Q88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A1:X1"/>
    <mergeCell ref="A3:X3"/>
    <mergeCell ref="A4:X4"/>
    <mergeCell ref="A5:M5"/>
    <mergeCell ref="B7:K7"/>
    <mergeCell ref="C10:F10"/>
    <mergeCell ref="C15:F15"/>
    <mergeCell ref="C16:F16"/>
    <mergeCell ref="C17:F17"/>
    <mergeCell ref="C12:F12"/>
    <mergeCell ref="C13:F13"/>
    <mergeCell ref="C14:F14"/>
    <mergeCell ref="C11:F11"/>
    <mergeCell ref="C18:F18"/>
    <mergeCell ref="C9:F9"/>
    <mergeCell ref="C38:F38"/>
    <mergeCell ref="C42:F42"/>
    <mergeCell ref="C45:F45"/>
    <mergeCell ref="C54:F54"/>
    <mergeCell ref="C55:F55"/>
    <mergeCell ref="C29:F29"/>
    <mergeCell ref="C30:F30"/>
    <mergeCell ref="C25:F25"/>
    <mergeCell ref="C26:F26"/>
    <mergeCell ref="C27:F27"/>
    <mergeCell ref="C35:F35"/>
    <mergeCell ref="C36:F36"/>
    <mergeCell ref="C37:F37"/>
    <mergeCell ref="C31:F31"/>
    <mergeCell ref="C33:F33"/>
    <mergeCell ref="C34:F34"/>
    <mergeCell ref="C32:F32"/>
    <mergeCell ref="C43:F43"/>
    <mergeCell ref="C41:F41"/>
    <mergeCell ref="C19:F19"/>
    <mergeCell ref="C20:F20"/>
    <mergeCell ref="C21:F21"/>
    <mergeCell ref="U63:W63"/>
    <mergeCell ref="C51:F51"/>
    <mergeCell ref="C52:F52"/>
    <mergeCell ref="C53:F53"/>
    <mergeCell ref="C61:F61"/>
    <mergeCell ref="B65:K65"/>
    <mergeCell ref="C62:F62"/>
    <mergeCell ref="C46:F46"/>
    <mergeCell ref="C47:F47"/>
    <mergeCell ref="C49:F49"/>
    <mergeCell ref="C58:F58"/>
    <mergeCell ref="C56:F56"/>
    <mergeCell ref="C48:F48"/>
    <mergeCell ref="C50:F50"/>
    <mergeCell ref="C121:F121"/>
    <mergeCell ref="C114:F114"/>
    <mergeCell ref="C116:F116"/>
    <mergeCell ref="C117:F117"/>
    <mergeCell ref="C109:F109"/>
    <mergeCell ref="C111:F111"/>
    <mergeCell ref="C113:F113"/>
    <mergeCell ref="C106:F106"/>
    <mergeCell ref="C107:F107"/>
    <mergeCell ref="C108:F108"/>
    <mergeCell ref="C118:F118"/>
    <mergeCell ref="C119:F119"/>
    <mergeCell ref="C120:F120"/>
    <mergeCell ref="C110:F110"/>
    <mergeCell ref="U85:W85"/>
    <mergeCell ref="C95:F95"/>
    <mergeCell ref="C96:F96"/>
    <mergeCell ref="C98:F98"/>
    <mergeCell ref="I89:P89"/>
    <mergeCell ref="U89:W89"/>
    <mergeCell ref="A91:M91"/>
    <mergeCell ref="B93:K93"/>
    <mergeCell ref="C94:F94"/>
    <mergeCell ref="D87:G87"/>
    <mergeCell ref="H87:Q87"/>
    <mergeCell ref="C97:F97"/>
    <mergeCell ref="C123:F123"/>
    <mergeCell ref="H125:Q125"/>
    <mergeCell ref="H126:Q126"/>
    <mergeCell ref="H127:Q127"/>
    <mergeCell ref="H140:Q140"/>
    <mergeCell ref="H141:Q141"/>
    <mergeCell ref="C124:F124"/>
    <mergeCell ref="H124:Q124"/>
    <mergeCell ref="H134:P134"/>
    <mergeCell ref="C128:F128"/>
    <mergeCell ref="C129:F129"/>
    <mergeCell ref="C138:F138"/>
    <mergeCell ref="C137:F137"/>
    <mergeCell ref="H138:Q138"/>
    <mergeCell ref="H137:Q137"/>
    <mergeCell ref="H123:Q123"/>
    <mergeCell ref="C131:F131"/>
    <mergeCell ref="C122:F122"/>
    <mergeCell ref="C125:F125"/>
    <mergeCell ref="C126:F126"/>
    <mergeCell ref="C127:F127"/>
    <mergeCell ref="C130:F130"/>
    <mergeCell ref="C133:F133"/>
    <mergeCell ref="C115:F115"/>
    <mergeCell ref="C132:F132"/>
    <mergeCell ref="U165:W165"/>
    <mergeCell ref="I160:P160"/>
    <mergeCell ref="U160:W160"/>
    <mergeCell ref="I161:P162"/>
    <mergeCell ref="U162:W162"/>
    <mergeCell ref="U163:W163"/>
    <mergeCell ref="H156:Q156"/>
    <mergeCell ref="C157:F157"/>
    <mergeCell ref="H157:Q157"/>
    <mergeCell ref="C158:F158"/>
    <mergeCell ref="H158:Q158"/>
    <mergeCell ref="C159:F159"/>
    <mergeCell ref="H159:Q159"/>
    <mergeCell ref="C155:F155"/>
    <mergeCell ref="C156:F156"/>
    <mergeCell ref="H155:Q155"/>
    <mergeCell ref="I147:P147"/>
    <mergeCell ref="U147:W147"/>
    <mergeCell ref="A149:M149"/>
    <mergeCell ref="U164:W164"/>
    <mergeCell ref="C150:F150"/>
    <mergeCell ref="H150:Q150"/>
    <mergeCell ref="C151:F151"/>
    <mergeCell ref="U134:W134"/>
    <mergeCell ref="B136:K136"/>
    <mergeCell ref="C139:F139"/>
    <mergeCell ref="H139:Q139"/>
    <mergeCell ref="C141:F141"/>
    <mergeCell ref="C140:F140"/>
    <mergeCell ref="H151:Q151"/>
    <mergeCell ref="C154:F154"/>
    <mergeCell ref="H154:Q154"/>
    <mergeCell ref="H145:P145"/>
    <mergeCell ref="C152:F152"/>
    <mergeCell ref="H152:Q152"/>
    <mergeCell ref="C153:F153"/>
    <mergeCell ref="H153:Q153"/>
    <mergeCell ref="U145:W145"/>
    <mergeCell ref="C142:F142"/>
    <mergeCell ref="H142:Q142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outlinePr summaryBelow="0"/>
    <pageSetUpPr autoPageBreaks="0"/>
  </sheetPr>
  <dimension ref="A1:X71"/>
  <sheetViews>
    <sheetView showGridLines="0" topLeftCell="A10" workbookViewId="0">
      <selection activeCell="W72" sqref="W72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4" ht="12" customHeight="1" x14ac:dyDescent="0.2">
      <c r="A2" s="171" t="s">
        <v>750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</row>
    <row r="3" spans="1:24" ht="12" customHeight="1" x14ac:dyDescent="0.2">
      <c r="A3" s="172" t="s">
        <v>194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</row>
    <row r="4" spans="1:24" ht="12" customHeight="1" x14ac:dyDescent="0.2"/>
    <row r="5" spans="1:24" ht="12" customHeight="1" x14ac:dyDescent="0.2">
      <c r="A5" s="162" t="s">
        <v>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24" ht="12" customHeight="1" x14ac:dyDescent="0.2">
      <c r="B6" s="162" t="s">
        <v>3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1:24" ht="12" customHeight="1" x14ac:dyDescent="0.2">
      <c r="C7" s="164" t="s">
        <v>6</v>
      </c>
      <c r="D7" s="164"/>
      <c r="E7" s="164"/>
      <c r="F7" s="164"/>
      <c r="H7" s="164" t="s">
        <v>195</v>
      </c>
      <c r="I7" s="164"/>
      <c r="J7" s="164"/>
      <c r="K7" s="164"/>
      <c r="L7" s="164"/>
      <c r="M7" s="164"/>
      <c r="N7" s="164"/>
      <c r="O7" s="164"/>
      <c r="P7" s="164"/>
      <c r="Q7" s="164"/>
      <c r="S7" s="125">
        <v>1574194.3</v>
      </c>
    </row>
    <row r="8" spans="1:24" ht="12" customHeight="1" x14ac:dyDescent="0.2">
      <c r="C8" s="164" t="s">
        <v>16</v>
      </c>
      <c r="D8" s="164"/>
      <c r="E8" s="164"/>
      <c r="F8" s="164"/>
      <c r="H8" s="164" t="s">
        <v>17</v>
      </c>
      <c r="I8" s="164"/>
      <c r="J8" s="164"/>
      <c r="K8" s="164"/>
      <c r="L8" s="164"/>
      <c r="M8" s="164"/>
      <c r="N8" s="164"/>
      <c r="O8" s="164"/>
      <c r="P8" s="164"/>
      <c r="Q8" s="164"/>
      <c r="S8" s="125">
        <v>6363.11</v>
      </c>
    </row>
    <row r="9" spans="1:24" ht="12" customHeight="1" x14ac:dyDescent="0.2">
      <c r="A9" s="75">
        <v>1235</v>
      </c>
      <c r="C9" s="164" t="s">
        <v>182</v>
      </c>
      <c r="D9" s="164"/>
      <c r="E9" s="164"/>
      <c r="F9" s="164"/>
      <c r="H9" s="164" t="s">
        <v>61</v>
      </c>
      <c r="I9" s="164"/>
      <c r="J9" s="164"/>
      <c r="K9" s="164"/>
      <c r="L9" s="164"/>
      <c r="M9" s="164"/>
      <c r="N9" s="164"/>
      <c r="O9" s="164"/>
      <c r="P9" s="164"/>
      <c r="Q9" s="164"/>
      <c r="S9" s="125"/>
    </row>
    <row r="10" spans="1:24" ht="12" customHeight="1" x14ac:dyDescent="0.2">
      <c r="C10" s="164" t="s">
        <v>182</v>
      </c>
      <c r="D10" s="164"/>
      <c r="E10" s="164"/>
      <c r="F10" s="164"/>
      <c r="H10" s="164" t="s">
        <v>183</v>
      </c>
      <c r="I10" s="164"/>
      <c r="J10" s="164"/>
      <c r="K10" s="164"/>
      <c r="L10" s="164"/>
      <c r="M10" s="164"/>
      <c r="N10" s="164"/>
      <c r="O10" s="164"/>
      <c r="P10" s="164"/>
      <c r="Q10" s="164"/>
      <c r="S10" s="144">
        <v>6700000</v>
      </c>
    </row>
    <row r="11" spans="1:24" ht="12" customHeight="1" x14ac:dyDescent="0.2">
      <c r="C11" s="164">
        <v>1239</v>
      </c>
      <c r="D11" s="164"/>
      <c r="E11" s="164"/>
      <c r="F11" s="164"/>
      <c r="H11" s="164" t="s">
        <v>45</v>
      </c>
      <c r="I11" s="164"/>
      <c r="J11" s="164"/>
      <c r="K11" s="164"/>
      <c r="L11" s="164"/>
      <c r="M11" s="164"/>
      <c r="N11" s="164"/>
      <c r="O11" s="164"/>
      <c r="P11" s="164"/>
      <c r="Q11" s="164"/>
      <c r="S11" s="125">
        <v>390162.84</v>
      </c>
    </row>
    <row r="12" spans="1:24" ht="12" customHeight="1" x14ac:dyDescent="0.2">
      <c r="C12" s="164" t="s">
        <v>46</v>
      </c>
      <c r="D12" s="164"/>
      <c r="E12" s="164"/>
      <c r="F12" s="164"/>
      <c r="H12" s="164" t="s">
        <v>196</v>
      </c>
      <c r="I12" s="164"/>
      <c r="J12" s="164"/>
      <c r="K12" s="164"/>
      <c r="L12" s="164"/>
      <c r="M12" s="164"/>
      <c r="N12" s="164"/>
      <c r="O12" s="164"/>
      <c r="P12" s="164"/>
      <c r="Q12" s="164"/>
      <c r="S12" s="125">
        <v>1638</v>
      </c>
    </row>
    <row r="13" spans="1:24" ht="12" customHeight="1" x14ac:dyDescent="0.2">
      <c r="C13" s="164" t="s">
        <v>48</v>
      </c>
      <c r="D13" s="164"/>
      <c r="E13" s="164"/>
      <c r="F13" s="164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>
        <v>25789.02</v>
      </c>
    </row>
    <row r="14" spans="1:24" ht="12" customHeight="1" x14ac:dyDescent="0.2">
      <c r="C14" s="164">
        <v>1243</v>
      </c>
      <c r="D14" s="164"/>
      <c r="E14" s="164"/>
      <c r="F14" s="164"/>
      <c r="H14" s="124" t="s">
        <v>627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64" t="s">
        <v>197</v>
      </c>
      <c r="D15" s="164"/>
      <c r="E15" s="164"/>
      <c r="F15" s="164"/>
      <c r="H15" s="164" t="s">
        <v>198</v>
      </c>
      <c r="I15" s="164"/>
      <c r="J15" s="164"/>
      <c r="K15" s="164"/>
      <c r="L15" s="164"/>
      <c r="M15" s="164"/>
      <c r="N15" s="164"/>
      <c r="O15" s="164"/>
      <c r="P15" s="164"/>
      <c r="Q15" s="164"/>
      <c r="S15" s="125">
        <v>23802.33</v>
      </c>
    </row>
    <row r="16" spans="1:24" ht="12" customHeight="1" x14ac:dyDescent="0.2">
      <c r="C16" s="164">
        <v>1251</v>
      </c>
      <c r="D16" s="164"/>
      <c r="E16" s="164"/>
      <c r="F16" s="164"/>
      <c r="H16" s="124" t="s">
        <v>200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>
        <v>134129.46</v>
      </c>
    </row>
    <row r="17" spans="2:23" ht="12" customHeight="1" x14ac:dyDescent="0.2">
      <c r="C17" s="164">
        <v>1252</v>
      </c>
      <c r="D17" s="164"/>
      <c r="E17" s="164"/>
      <c r="F17" s="164"/>
      <c r="H17" s="124" t="s">
        <v>531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>
        <v>3999.99</v>
      </c>
    </row>
    <row r="18" spans="2:23" ht="12" customHeight="1" x14ac:dyDescent="0.2">
      <c r="C18" s="164">
        <v>1253</v>
      </c>
      <c r="D18" s="164"/>
      <c r="E18" s="164"/>
      <c r="F18" s="164"/>
      <c r="H18" s="124" t="s">
        <v>532</v>
      </c>
      <c r="I18" s="124"/>
      <c r="J18" s="124"/>
      <c r="K18" s="124"/>
      <c r="L18" s="124"/>
      <c r="M18" s="124"/>
      <c r="N18" s="124"/>
      <c r="O18" s="124"/>
      <c r="P18" s="124"/>
      <c r="Q18" s="124"/>
      <c r="S18" s="127">
        <v>91828.67</v>
      </c>
    </row>
    <row r="19" spans="2:23" ht="12" customHeight="1" x14ac:dyDescent="0.2">
      <c r="H19" s="162" t="s">
        <v>73</v>
      </c>
      <c r="I19" s="162"/>
      <c r="J19" s="162"/>
      <c r="K19" s="162"/>
      <c r="L19" s="162"/>
      <c r="M19" s="162"/>
      <c r="N19" s="162"/>
      <c r="O19" s="162"/>
      <c r="P19" s="162"/>
      <c r="U19" s="163">
        <f>SUM(S7:S18)</f>
        <v>8951907.7200000007</v>
      </c>
      <c r="V19" s="163"/>
      <c r="W19" s="163"/>
    </row>
    <row r="20" spans="2:23" ht="12" customHeight="1" x14ac:dyDescent="0.2"/>
    <row r="21" spans="2:23" ht="12" customHeight="1" x14ac:dyDescent="0.2">
      <c r="B21" s="162" t="s">
        <v>74</v>
      </c>
      <c r="C21" s="162"/>
      <c r="D21" s="162"/>
      <c r="E21" s="162"/>
      <c r="F21" s="162"/>
      <c r="G21" s="162"/>
      <c r="H21" s="162"/>
      <c r="I21" s="162"/>
      <c r="J21" s="162"/>
      <c r="K21" s="162"/>
    </row>
    <row r="22" spans="2:23" ht="12" customHeight="1" x14ac:dyDescent="0.2">
      <c r="C22" s="164" t="s">
        <v>75</v>
      </c>
      <c r="D22" s="164"/>
      <c r="E22" s="164"/>
      <c r="F22" s="164"/>
      <c r="H22" s="164" t="s">
        <v>186</v>
      </c>
      <c r="I22" s="164"/>
      <c r="J22" s="164"/>
      <c r="K22" s="164"/>
      <c r="L22" s="164"/>
      <c r="M22" s="164"/>
      <c r="N22" s="164"/>
      <c r="O22" s="164"/>
      <c r="P22" s="164"/>
      <c r="Q22" s="164"/>
      <c r="S22" s="125">
        <v>138413.75</v>
      </c>
    </row>
    <row r="23" spans="2:23" ht="12" customHeight="1" x14ac:dyDescent="0.2">
      <c r="C23" s="164" t="s">
        <v>81</v>
      </c>
      <c r="D23" s="164"/>
      <c r="E23" s="164"/>
      <c r="F23" s="164"/>
      <c r="H23" s="164" t="s">
        <v>201</v>
      </c>
      <c r="I23" s="164"/>
      <c r="J23" s="164"/>
      <c r="K23" s="164"/>
      <c r="L23" s="164"/>
      <c r="M23" s="164"/>
      <c r="N23" s="164"/>
      <c r="O23" s="164"/>
      <c r="P23" s="164"/>
      <c r="Q23" s="164"/>
      <c r="S23" s="125">
        <v>193555.25</v>
      </c>
    </row>
    <row r="24" spans="2:23" ht="12" customHeight="1" x14ac:dyDescent="0.2">
      <c r="C24" s="164" t="s">
        <v>87</v>
      </c>
      <c r="D24" s="164"/>
      <c r="E24" s="164"/>
      <c r="F24" s="164"/>
      <c r="H24" s="164" t="s">
        <v>88</v>
      </c>
      <c r="I24" s="164"/>
      <c r="J24" s="164"/>
      <c r="K24" s="164"/>
      <c r="L24" s="164"/>
      <c r="M24" s="164"/>
      <c r="N24" s="164"/>
      <c r="O24" s="164"/>
      <c r="P24" s="164"/>
      <c r="Q24" s="164"/>
      <c r="S24" s="125">
        <v>831251.1</v>
      </c>
    </row>
    <row r="25" spans="2:23" ht="12" customHeight="1" x14ac:dyDescent="0.2">
      <c r="C25" s="164">
        <v>1335</v>
      </c>
      <c r="D25" s="164"/>
      <c r="E25" s="164"/>
      <c r="F25" s="164"/>
      <c r="H25" s="164" t="s">
        <v>720</v>
      </c>
      <c r="I25" s="164"/>
      <c r="J25" s="164"/>
      <c r="K25" s="164"/>
      <c r="L25" s="164"/>
      <c r="M25" s="164"/>
      <c r="N25" s="164"/>
      <c r="O25" s="164"/>
      <c r="P25" s="164"/>
      <c r="Q25" s="164"/>
      <c r="S25" s="144">
        <v>22262</v>
      </c>
    </row>
    <row r="26" spans="2:23" ht="12" customHeight="1" x14ac:dyDescent="0.2">
      <c r="C26" s="164">
        <v>1335</v>
      </c>
      <c r="D26" s="164"/>
      <c r="E26" s="164"/>
      <c r="F26" s="164"/>
      <c r="H26" s="94" t="s">
        <v>94</v>
      </c>
      <c r="I26" s="124"/>
      <c r="J26" s="124"/>
      <c r="K26" s="124"/>
      <c r="L26" s="124"/>
      <c r="M26" s="124"/>
      <c r="N26" s="124"/>
      <c r="O26" s="124"/>
      <c r="P26" s="124"/>
      <c r="Q26" s="124"/>
      <c r="S26" s="125">
        <v>557749</v>
      </c>
    </row>
    <row r="27" spans="2:23" ht="12" customHeight="1" x14ac:dyDescent="0.2">
      <c r="C27" s="164" t="s">
        <v>99</v>
      </c>
      <c r="D27" s="164"/>
      <c r="E27" s="164"/>
      <c r="F27" s="164"/>
      <c r="H27" s="164" t="s">
        <v>187</v>
      </c>
      <c r="I27" s="164"/>
      <c r="J27" s="164"/>
      <c r="K27" s="164"/>
      <c r="L27" s="164"/>
      <c r="M27" s="164"/>
      <c r="N27" s="164"/>
      <c r="O27" s="164"/>
      <c r="P27" s="164"/>
      <c r="Q27" s="164"/>
      <c r="S27" s="126">
        <v>-921881.05</v>
      </c>
    </row>
    <row r="28" spans="2:23" ht="12" customHeight="1" x14ac:dyDescent="0.2">
      <c r="H28" s="162" t="s">
        <v>103</v>
      </c>
      <c r="I28" s="162"/>
      <c r="J28" s="162"/>
      <c r="K28" s="162"/>
      <c r="L28" s="162"/>
      <c r="M28" s="162"/>
      <c r="N28" s="162"/>
      <c r="O28" s="162"/>
      <c r="P28" s="162"/>
      <c r="U28" s="166">
        <f>SUM(S22:S27)</f>
        <v>821350.05</v>
      </c>
      <c r="V28" s="166"/>
      <c r="W28" s="166"/>
    </row>
    <row r="29" spans="2:23" ht="12" customHeight="1" x14ac:dyDescent="0.2"/>
    <row r="30" spans="2:23" ht="12" customHeight="1" x14ac:dyDescent="0.2">
      <c r="B30" s="162" t="s">
        <v>218</v>
      </c>
      <c r="C30" s="162"/>
      <c r="D30" s="162"/>
      <c r="E30" s="162"/>
      <c r="F30" s="162"/>
      <c r="G30" s="162"/>
      <c r="H30" s="162"/>
      <c r="I30" s="162"/>
      <c r="J30" s="162"/>
      <c r="K30" s="162"/>
      <c r="L30" s="133"/>
      <c r="M30" s="133"/>
      <c r="N30" s="133"/>
      <c r="O30" s="133"/>
      <c r="P30" s="133"/>
      <c r="U30" s="78"/>
      <c r="V30" s="78"/>
      <c r="W30" s="78"/>
    </row>
    <row r="31" spans="2:23" ht="12" customHeight="1" x14ac:dyDescent="0.2">
      <c r="C31" s="164">
        <v>1420</v>
      </c>
      <c r="D31" s="164"/>
      <c r="E31" s="164"/>
      <c r="F31" s="164"/>
      <c r="H31" s="164" t="s">
        <v>697</v>
      </c>
      <c r="I31" s="164"/>
      <c r="J31" s="164"/>
      <c r="K31" s="164"/>
      <c r="L31" s="164"/>
      <c r="M31" s="164"/>
      <c r="N31" s="164"/>
      <c r="O31" s="164"/>
      <c r="P31" s="164"/>
      <c r="Q31" s="164"/>
      <c r="S31" s="141">
        <v>2517.81</v>
      </c>
      <c r="U31" s="78"/>
      <c r="V31" s="78"/>
      <c r="W31" s="78"/>
    </row>
    <row r="32" spans="2:23" ht="12" customHeight="1" x14ac:dyDescent="0.2">
      <c r="I32" s="133"/>
      <c r="J32" s="133"/>
      <c r="K32" s="133"/>
      <c r="L32" s="133"/>
      <c r="M32" s="133"/>
      <c r="N32" s="133"/>
      <c r="O32" s="133"/>
      <c r="P32" s="133"/>
      <c r="U32" s="78"/>
      <c r="V32" s="78"/>
      <c r="W32" s="78"/>
    </row>
    <row r="33" spans="1:23" ht="12" customHeight="1" thickBot="1" x14ac:dyDescent="0.25">
      <c r="I33" s="162" t="s">
        <v>104</v>
      </c>
      <c r="J33" s="162"/>
      <c r="K33" s="162"/>
      <c r="L33" s="162"/>
      <c r="M33" s="162"/>
      <c r="N33" s="162"/>
      <c r="O33" s="162"/>
      <c r="P33" s="162"/>
      <c r="U33" s="169">
        <f>U19+U28+S31</f>
        <v>9775775.5800000019</v>
      </c>
      <c r="V33" s="169"/>
      <c r="W33" s="169"/>
    </row>
    <row r="34" spans="1:23" ht="12" customHeight="1" thickTop="1" x14ac:dyDescent="0.2"/>
    <row r="35" spans="1:23" ht="12" customHeight="1" x14ac:dyDescent="0.2">
      <c r="A35" s="162" t="s">
        <v>105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</row>
    <row r="36" spans="1:23" ht="12" customHeight="1" x14ac:dyDescent="0.2">
      <c r="B36" s="162" t="s">
        <v>106</v>
      </c>
      <c r="C36" s="162"/>
      <c r="D36" s="162"/>
      <c r="E36" s="162"/>
      <c r="F36" s="162"/>
      <c r="G36" s="162"/>
      <c r="H36" s="162"/>
      <c r="I36" s="162"/>
      <c r="J36" s="162"/>
      <c r="K36" s="162"/>
    </row>
    <row r="37" spans="1:23" ht="12" customHeight="1" x14ac:dyDescent="0.2">
      <c r="C37" s="164" t="s">
        <v>109</v>
      </c>
      <c r="D37" s="164"/>
      <c r="E37" s="164"/>
      <c r="F37" s="164"/>
      <c r="H37" s="164" t="s">
        <v>110</v>
      </c>
      <c r="I37" s="164"/>
      <c r="J37" s="164"/>
      <c r="K37" s="164"/>
      <c r="L37" s="164"/>
      <c r="M37" s="164"/>
      <c r="N37" s="164"/>
      <c r="O37" s="164"/>
      <c r="P37" s="164"/>
      <c r="Q37" s="164"/>
      <c r="S37" s="125">
        <v>22578.43</v>
      </c>
    </row>
    <row r="38" spans="1:23" ht="12" customHeight="1" x14ac:dyDescent="0.2">
      <c r="C38" s="164">
        <v>2124</v>
      </c>
      <c r="D38" s="164"/>
      <c r="E38" s="164"/>
      <c r="F38" s="164"/>
      <c r="H38" s="94" t="s">
        <v>395</v>
      </c>
      <c r="I38" s="124"/>
      <c r="J38" s="124"/>
      <c r="K38" s="124"/>
      <c r="L38" s="124"/>
      <c r="M38" s="124"/>
      <c r="N38" s="124"/>
      <c r="O38" s="124"/>
      <c r="P38" s="124"/>
      <c r="Q38" s="124"/>
      <c r="S38" s="125">
        <v>9</v>
      </c>
    </row>
    <row r="39" spans="1:23" ht="12" customHeight="1" x14ac:dyDescent="0.2">
      <c r="C39" s="164">
        <v>2125</v>
      </c>
      <c r="D39" s="164"/>
      <c r="E39" s="164"/>
      <c r="F39" s="164"/>
      <c r="H39" s="124" t="s">
        <v>238</v>
      </c>
      <c r="I39" s="124"/>
      <c r="J39" s="124"/>
      <c r="K39" s="124"/>
      <c r="L39" s="124"/>
      <c r="M39" s="124"/>
      <c r="N39" s="124"/>
      <c r="O39" s="124"/>
      <c r="P39" s="124"/>
      <c r="Q39" s="124"/>
      <c r="S39" s="125"/>
    </row>
    <row r="40" spans="1:23" ht="12" customHeight="1" x14ac:dyDescent="0.2">
      <c r="C40" s="164">
        <v>2150</v>
      </c>
      <c r="D40" s="164"/>
      <c r="E40" s="164"/>
      <c r="F40" s="164"/>
      <c r="H40" s="155" t="s">
        <v>189</v>
      </c>
      <c r="I40" s="155"/>
      <c r="J40" s="155"/>
      <c r="K40" s="155"/>
      <c r="L40" s="155"/>
      <c r="M40" s="155"/>
      <c r="N40" s="155"/>
      <c r="O40" s="155"/>
      <c r="P40" s="155"/>
      <c r="Q40" s="155"/>
      <c r="S40" s="156">
        <v>122.11</v>
      </c>
    </row>
    <row r="41" spans="1:23" ht="12" customHeight="1" x14ac:dyDescent="0.2">
      <c r="C41" s="164" t="s">
        <v>117</v>
      </c>
      <c r="D41" s="164"/>
      <c r="E41" s="164"/>
      <c r="F41" s="164"/>
      <c r="H41" s="164" t="s">
        <v>118</v>
      </c>
      <c r="I41" s="164"/>
      <c r="J41" s="164"/>
      <c r="K41" s="164"/>
      <c r="L41" s="164"/>
      <c r="M41" s="164"/>
      <c r="N41" s="164"/>
      <c r="O41" s="164"/>
      <c r="P41" s="164"/>
      <c r="Q41" s="164"/>
      <c r="S41" s="125">
        <v>374769.08</v>
      </c>
    </row>
    <row r="42" spans="1:23" ht="12" customHeight="1" x14ac:dyDescent="0.2">
      <c r="C42" s="164" t="s">
        <v>119</v>
      </c>
      <c r="D42" s="164"/>
      <c r="E42" s="164"/>
      <c r="F42" s="164"/>
      <c r="H42" s="164" t="s">
        <v>190</v>
      </c>
      <c r="I42" s="164"/>
      <c r="J42" s="164"/>
      <c r="K42" s="164"/>
      <c r="L42" s="164"/>
      <c r="M42" s="164"/>
      <c r="N42" s="164"/>
      <c r="O42" s="164"/>
      <c r="P42" s="164"/>
      <c r="Q42" s="164"/>
      <c r="S42" s="125">
        <v>32959.660000000003</v>
      </c>
    </row>
    <row r="43" spans="1:23" ht="12" customHeight="1" x14ac:dyDescent="0.2">
      <c r="C43" s="164">
        <v>2215</v>
      </c>
      <c r="D43" s="164"/>
      <c r="E43" s="164"/>
      <c r="F43" s="164"/>
      <c r="H43" s="164" t="s">
        <v>637</v>
      </c>
      <c r="I43" s="164"/>
      <c r="J43" s="164"/>
      <c r="K43" s="164"/>
      <c r="L43" s="164"/>
      <c r="M43" s="164"/>
      <c r="N43" s="164"/>
      <c r="O43" s="164"/>
      <c r="P43" s="164"/>
      <c r="Q43" s="164"/>
      <c r="S43" s="125"/>
    </row>
    <row r="44" spans="1:23" ht="12" customHeight="1" x14ac:dyDescent="0.2">
      <c r="C44" s="164" t="s">
        <v>125</v>
      </c>
      <c r="D44" s="164"/>
      <c r="E44" s="164"/>
      <c r="F44" s="164"/>
      <c r="H44" s="164" t="s">
        <v>202</v>
      </c>
      <c r="I44" s="164"/>
      <c r="J44" s="164"/>
      <c r="K44" s="164"/>
      <c r="L44" s="164"/>
      <c r="M44" s="164"/>
      <c r="N44" s="164"/>
      <c r="O44" s="164"/>
      <c r="P44" s="164"/>
      <c r="Q44" s="164"/>
      <c r="S44" s="153">
        <v>3123.61</v>
      </c>
    </row>
    <row r="45" spans="1:23" ht="12" customHeight="1" x14ac:dyDescent="0.2">
      <c r="C45" s="164" t="s">
        <v>127</v>
      </c>
      <c r="D45" s="164"/>
      <c r="E45" s="164"/>
      <c r="F45" s="164"/>
      <c r="H45" s="164" t="s">
        <v>203</v>
      </c>
      <c r="I45" s="164"/>
      <c r="J45" s="164"/>
      <c r="K45" s="164"/>
      <c r="L45" s="164"/>
      <c r="M45" s="164"/>
      <c r="N45" s="164"/>
      <c r="O45" s="164"/>
      <c r="P45" s="164"/>
      <c r="Q45" s="164"/>
      <c r="S45" s="125">
        <v>46322.86</v>
      </c>
    </row>
    <row r="46" spans="1:23" ht="12" customHeight="1" x14ac:dyDescent="0.2">
      <c r="C46" s="164" t="s">
        <v>129</v>
      </c>
      <c r="D46" s="164"/>
      <c r="E46" s="164"/>
      <c r="F46" s="164"/>
      <c r="H46" s="164" t="s">
        <v>191</v>
      </c>
      <c r="I46" s="164"/>
      <c r="J46" s="164"/>
      <c r="K46" s="164"/>
      <c r="L46" s="164"/>
      <c r="M46" s="164"/>
      <c r="N46" s="164"/>
      <c r="O46" s="164"/>
      <c r="P46" s="164"/>
      <c r="Q46" s="164"/>
      <c r="S46" s="125">
        <v>2902.12</v>
      </c>
    </row>
    <row r="47" spans="1:23" ht="12" customHeight="1" x14ac:dyDescent="0.2">
      <c r="C47" s="164">
        <v>2241</v>
      </c>
      <c r="D47" s="164"/>
      <c r="E47" s="164"/>
      <c r="F47" s="164"/>
      <c r="H47" s="164" t="s">
        <v>684</v>
      </c>
      <c r="I47" s="164"/>
      <c r="J47" s="164"/>
      <c r="K47" s="164"/>
      <c r="L47" s="164"/>
      <c r="M47" s="164"/>
      <c r="N47" s="164"/>
      <c r="O47" s="164"/>
      <c r="P47" s="164"/>
      <c r="Q47" s="164"/>
      <c r="S47" s="125">
        <v>3283</v>
      </c>
    </row>
    <row r="48" spans="1:23" ht="12" customHeight="1" x14ac:dyDescent="0.2">
      <c r="C48" s="164" t="s">
        <v>204</v>
      </c>
      <c r="D48" s="164"/>
      <c r="E48" s="164"/>
      <c r="F48" s="164"/>
      <c r="H48" s="164" t="s">
        <v>205</v>
      </c>
      <c r="I48" s="164"/>
      <c r="J48" s="164"/>
      <c r="K48" s="164"/>
      <c r="L48" s="164"/>
      <c r="M48" s="164"/>
      <c r="N48" s="164"/>
      <c r="O48" s="164"/>
      <c r="P48" s="164"/>
      <c r="Q48" s="164"/>
      <c r="S48" s="125">
        <v>75536.039999999994</v>
      </c>
    </row>
    <row r="49" spans="1:23" ht="12" customHeight="1" x14ac:dyDescent="0.2">
      <c r="H49" s="162" t="s">
        <v>148</v>
      </c>
      <c r="I49" s="162"/>
      <c r="J49" s="162"/>
      <c r="K49" s="162"/>
      <c r="L49" s="162"/>
      <c r="M49" s="162"/>
      <c r="N49" s="162"/>
      <c r="O49" s="162"/>
      <c r="P49" s="162"/>
      <c r="U49" s="174">
        <f>SUM(S37:S48)</f>
        <v>561605.91</v>
      </c>
      <c r="V49" s="174"/>
      <c r="W49" s="174"/>
    </row>
    <row r="50" spans="1:23" ht="12" customHeight="1" x14ac:dyDescent="0.2">
      <c r="I50" s="162" t="s">
        <v>159</v>
      </c>
      <c r="J50" s="162"/>
      <c r="K50" s="162"/>
      <c r="L50" s="162"/>
      <c r="M50" s="162"/>
      <c r="N50" s="162"/>
      <c r="O50" s="162"/>
      <c r="P50" s="162"/>
      <c r="U50" s="175">
        <f>U49</f>
        <v>561605.91</v>
      </c>
      <c r="V50" s="175"/>
      <c r="W50" s="175"/>
    </row>
    <row r="51" spans="1:23" ht="12" customHeight="1" x14ac:dyDescent="0.2"/>
    <row r="52" spans="1:23" ht="12" customHeight="1" x14ac:dyDescent="0.2">
      <c r="A52" s="162" t="s">
        <v>105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</row>
    <row r="53" spans="1:23" ht="12" customHeight="1" x14ac:dyDescent="0.2">
      <c r="B53" s="162" t="s">
        <v>149</v>
      </c>
      <c r="C53" s="162"/>
      <c r="D53" s="162"/>
      <c r="E53" s="162"/>
      <c r="F53" s="162"/>
      <c r="G53" s="162"/>
      <c r="H53" s="162"/>
      <c r="I53" s="162"/>
      <c r="J53" s="162"/>
      <c r="K53" s="162"/>
    </row>
    <row r="54" spans="1:23" ht="12" customHeight="1" x14ac:dyDescent="0.2">
      <c r="C54" s="164">
        <v>2402</v>
      </c>
      <c r="D54" s="164"/>
      <c r="E54" s="164"/>
      <c r="F54" s="164"/>
      <c r="H54" s="164" t="s">
        <v>555</v>
      </c>
      <c r="I54" s="164"/>
      <c r="J54" s="164"/>
      <c r="K54" s="164"/>
      <c r="L54" s="164"/>
      <c r="M54" s="164"/>
      <c r="N54" s="164"/>
      <c r="O54" s="164"/>
      <c r="P54" s="164"/>
      <c r="Q54" s="164"/>
      <c r="S54" s="125">
        <v>25000</v>
      </c>
    </row>
    <row r="55" spans="1:23" ht="12" customHeight="1" x14ac:dyDescent="0.2">
      <c r="H55" s="162" t="s">
        <v>148</v>
      </c>
      <c r="I55" s="162"/>
      <c r="J55" s="162"/>
      <c r="K55" s="162"/>
      <c r="L55" s="162"/>
      <c r="M55" s="162"/>
      <c r="N55" s="162"/>
      <c r="O55" s="162"/>
      <c r="P55" s="162"/>
      <c r="U55" s="174">
        <f>SUM(S54:S54)</f>
        <v>25000</v>
      </c>
      <c r="V55" s="174"/>
      <c r="W55" s="174"/>
    </row>
    <row r="56" spans="1:23" ht="12" customHeight="1" x14ac:dyDescent="0.2">
      <c r="I56" s="162" t="s">
        <v>159</v>
      </c>
      <c r="J56" s="162"/>
      <c r="K56" s="162"/>
      <c r="L56" s="162"/>
      <c r="M56" s="162"/>
      <c r="N56" s="162"/>
      <c r="O56" s="162"/>
      <c r="P56" s="162"/>
      <c r="U56" s="175">
        <f>U55</f>
        <v>25000</v>
      </c>
      <c r="V56" s="175"/>
      <c r="W56" s="175"/>
    </row>
    <row r="57" spans="1:23" ht="12" customHeight="1" x14ac:dyDescent="0.2">
      <c r="A57" s="162" t="s">
        <v>160</v>
      </c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</row>
    <row r="58" spans="1:23" ht="12" customHeight="1" x14ac:dyDescent="0.2">
      <c r="C58" s="164" t="s">
        <v>161</v>
      </c>
      <c r="D58" s="164"/>
      <c r="E58" s="164"/>
      <c r="F58" s="164"/>
      <c r="H58" s="164" t="s">
        <v>162</v>
      </c>
      <c r="I58" s="164"/>
      <c r="J58" s="164"/>
      <c r="K58" s="164"/>
      <c r="L58" s="164"/>
      <c r="M58" s="164"/>
      <c r="N58" s="164"/>
      <c r="O58" s="164"/>
      <c r="P58" s="164"/>
      <c r="Q58" s="164"/>
      <c r="S58" s="125">
        <v>1000</v>
      </c>
    </row>
    <row r="59" spans="1:23" ht="12" customHeight="1" x14ac:dyDescent="0.2">
      <c r="C59" s="164" t="s">
        <v>165</v>
      </c>
      <c r="D59" s="164"/>
      <c r="E59" s="164"/>
      <c r="F59" s="164"/>
      <c r="H59" s="164" t="s">
        <v>166</v>
      </c>
      <c r="I59" s="164"/>
      <c r="J59" s="164"/>
      <c r="K59" s="164"/>
      <c r="L59" s="164"/>
      <c r="M59" s="164"/>
      <c r="N59" s="164"/>
      <c r="O59" s="164"/>
      <c r="P59" s="164"/>
      <c r="Q59" s="164"/>
      <c r="S59" s="142">
        <v>2542025.7999999998</v>
      </c>
      <c r="W59" s="142"/>
    </row>
    <row r="60" spans="1:23" ht="12" customHeight="1" x14ac:dyDescent="0.2">
      <c r="C60" s="164" t="s">
        <v>165</v>
      </c>
      <c r="D60" s="164"/>
      <c r="E60" s="164"/>
      <c r="F60" s="164"/>
      <c r="H60" s="164" t="s">
        <v>193</v>
      </c>
      <c r="I60" s="164"/>
      <c r="J60" s="164"/>
      <c r="K60" s="164"/>
      <c r="L60" s="164"/>
      <c r="M60" s="164"/>
      <c r="N60" s="164"/>
      <c r="O60" s="164"/>
      <c r="P60" s="164"/>
      <c r="Q60" s="164"/>
      <c r="S60" s="142">
        <v>0</v>
      </c>
    </row>
    <row r="61" spans="1:23" ht="12" customHeight="1" x14ac:dyDescent="0.2">
      <c r="C61" s="164" t="s">
        <v>206</v>
      </c>
      <c r="D61" s="164"/>
      <c r="E61" s="164"/>
      <c r="F61" s="164"/>
      <c r="H61" s="164" t="s">
        <v>207</v>
      </c>
      <c r="I61" s="164"/>
      <c r="J61" s="164"/>
      <c r="K61" s="164"/>
      <c r="L61" s="164"/>
      <c r="M61" s="164"/>
      <c r="N61" s="164"/>
      <c r="O61" s="164"/>
      <c r="P61" s="164"/>
      <c r="Q61" s="164"/>
      <c r="S61" s="125">
        <v>33230.769999999997</v>
      </c>
    </row>
    <row r="62" spans="1:23" ht="12" customHeight="1" x14ac:dyDescent="0.2">
      <c r="C62" s="164" t="s">
        <v>208</v>
      </c>
      <c r="D62" s="164"/>
      <c r="E62" s="164"/>
      <c r="F62" s="164"/>
      <c r="H62" s="164" t="s">
        <v>209</v>
      </c>
      <c r="I62" s="164"/>
      <c r="J62" s="164"/>
      <c r="K62" s="164"/>
      <c r="L62" s="164"/>
      <c r="M62" s="164"/>
      <c r="N62" s="164"/>
      <c r="O62" s="164"/>
      <c r="P62" s="164"/>
      <c r="Q62" s="164"/>
      <c r="S62" s="125">
        <v>2193227.4500000002</v>
      </c>
    </row>
    <row r="63" spans="1:23" ht="12" customHeight="1" x14ac:dyDescent="0.2">
      <c r="C63" s="164" t="s">
        <v>210</v>
      </c>
      <c r="D63" s="164"/>
      <c r="E63" s="164"/>
      <c r="F63" s="164"/>
      <c r="H63" s="164" t="s">
        <v>211</v>
      </c>
      <c r="I63" s="164"/>
      <c r="J63" s="164"/>
      <c r="K63" s="164"/>
      <c r="L63" s="164"/>
      <c r="M63" s="164"/>
      <c r="N63" s="164"/>
      <c r="O63" s="164"/>
      <c r="P63" s="164"/>
      <c r="Q63" s="164"/>
      <c r="S63" s="125">
        <v>2193227.4500000002</v>
      </c>
    </row>
    <row r="64" spans="1:23" ht="12" customHeight="1" x14ac:dyDescent="0.2">
      <c r="C64" s="164" t="s">
        <v>212</v>
      </c>
      <c r="D64" s="164"/>
      <c r="E64" s="164"/>
      <c r="F64" s="164"/>
      <c r="H64" s="164" t="s">
        <v>213</v>
      </c>
      <c r="I64" s="164"/>
      <c r="J64" s="164"/>
      <c r="K64" s="164"/>
      <c r="L64" s="164"/>
      <c r="M64" s="164"/>
      <c r="N64" s="164"/>
      <c r="O64" s="164"/>
      <c r="P64" s="164"/>
      <c r="Q64" s="164"/>
      <c r="S64" s="125">
        <v>2193227.4500000002</v>
      </c>
    </row>
    <row r="65" spans="3:23" ht="12" customHeight="1" x14ac:dyDescent="0.2">
      <c r="C65" s="164" t="s">
        <v>214</v>
      </c>
      <c r="D65" s="164"/>
      <c r="E65" s="164"/>
      <c r="F65" s="164"/>
      <c r="H65" s="164" t="s">
        <v>215</v>
      </c>
      <c r="I65" s="164"/>
      <c r="J65" s="164"/>
      <c r="K65" s="164"/>
      <c r="L65" s="164"/>
      <c r="M65" s="164"/>
      <c r="N65" s="164"/>
      <c r="O65" s="164"/>
      <c r="P65" s="164"/>
      <c r="Q65" s="164"/>
      <c r="S65" s="127">
        <v>33230.75</v>
      </c>
    </row>
    <row r="66" spans="3:23" ht="12" customHeight="1" x14ac:dyDescent="0.2">
      <c r="I66" s="162" t="s">
        <v>176</v>
      </c>
      <c r="J66" s="162"/>
      <c r="K66" s="162"/>
      <c r="L66" s="162"/>
      <c r="M66" s="162"/>
      <c r="N66" s="162"/>
      <c r="O66" s="162"/>
      <c r="P66" s="162"/>
      <c r="U66" s="174">
        <f>SUM(S58:S65)</f>
        <v>9189169.6699999999</v>
      </c>
      <c r="V66" s="174"/>
      <c r="W66" s="174"/>
    </row>
    <row r="67" spans="3:23" ht="12" customHeight="1" x14ac:dyDescent="0.2">
      <c r="I67" s="162" t="s">
        <v>177</v>
      </c>
      <c r="J67" s="162"/>
      <c r="K67" s="162"/>
      <c r="L67" s="162"/>
      <c r="M67" s="162"/>
      <c r="N67" s="162"/>
      <c r="O67" s="162"/>
      <c r="P67" s="162"/>
    </row>
    <row r="68" spans="3:23" ht="12" customHeight="1" thickBot="1" x14ac:dyDescent="0.25">
      <c r="I68" s="162"/>
      <c r="J68" s="162"/>
      <c r="K68" s="162"/>
      <c r="L68" s="162"/>
      <c r="M68" s="162"/>
      <c r="N68" s="162"/>
      <c r="O68" s="162"/>
      <c r="P68" s="162"/>
      <c r="U68" s="169">
        <f>U50+U56+U66</f>
        <v>9775775.5800000001</v>
      </c>
      <c r="V68" s="169"/>
      <c r="W68" s="169"/>
    </row>
    <row r="69" spans="3:23" ht="6" customHeight="1" thickTop="1" x14ac:dyDescent="0.2"/>
    <row r="70" spans="3:23" ht="12.75" customHeight="1" thickBot="1" x14ac:dyDescent="0.25">
      <c r="U70" s="169">
        <f>U68-U33</f>
        <v>0</v>
      </c>
      <c r="V70" s="169"/>
    </row>
    <row r="71" spans="3:23" ht="12.75" customHeight="1" thickTop="1" x14ac:dyDescent="0.2"/>
  </sheetData>
  <mergeCells count="102">
    <mergeCell ref="U56:W56"/>
    <mergeCell ref="U50:W50"/>
    <mergeCell ref="U49:W49"/>
    <mergeCell ref="B30:K30"/>
    <mergeCell ref="C31:F31"/>
    <mergeCell ref="H31:Q31"/>
    <mergeCell ref="C47:F47"/>
    <mergeCell ref="H47:Q47"/>
    <mergeCell ref="U55:W55"/>
    <mergeCell ref="I33:P33"/>
    <mergeCell ref="U33:W33"/>
    <mergeCell ref="A35:M35"/>
    <mergeCell ref="B36:K36"/>
    <mergeCell ref="C37:F37"/>
    <mergeCell ref="H37:Q37"/>
    <mergeCell ref="C41:F41"/>
    <mergeCell ref="C40:F40"/>
    <mergeCell ref="C7:F7"/>
    <mergeCell ref="H7:Q7"/>
    <mergeCell ref="C8:F8"/>
    <mergeCell ref="H8:Q8"/>
    <mergeCell ref="C10:F10"/>
    <mergeCell ref="H10:Q10"/>
    <mergeCell ref="A1:X1"/>
    <mergeCell ref="A2:X2"/>
    <mergeCell ref="A3:X3"/>
    <mergeCell ref="A5:M5"/>
    <mergeCell ref="B6:K6"/>
    <mergeCell ref="C12:F12"/>
    <mergeCell ref="H12:Q12"/>
    <mergeCell ref="C43:F43"/>
    <mergeCell ref="H43:Q43"/>
    <mergeCell ref="U19:W19"/>
    <mergeCell ref="C16:F16"/>
    <mergeCell ref="C17:F17"/>
    <mergeCell ref="C18:F18"/>
    <mergeCell ref="H42:Q42"/>
    <mergeCell ref="C39:F39"/>
    <mergeCell ref="C24:F24"/>
    <mergeCell ref="H24:Q24"/>
    <mergeCell ref="C27:F27"/>
    <mergeCell ref="H27:Q27"/>
    <mergeCell ref="H28:P28"/>
    <mergeCell ref="U28:W28"/>
    <mergeCell ref="H41:Q41"/>
    <mergeCell ref="C42:F42"/>
    <mergeCell ref="C14:F14"/>
    <mergeCell ref="B21:K21"/>
    <mergeCell ref="C22:F22"/>
    <mergeCell ref="H22:Q22"/>
    <mergeCell ref="C23:F23"/>
    <mergeCell ref="H23:Q23"/>
    <mergeCell ref="C15:F15"/>
    <mergeCell ref="H15:Q15"/>
    <mergeCell ref="H19:P19"/>
    <mergeCell ref="C25:F25"/>
    <mergeCell ref="H25:Q25"/>
    <mergeCell ref="C48:F48"/>
    <mergeCell ref="H48:Q48"/>
    <mergeCell ref="H49:P49"/>
    <mergeCell ref="I50:P50"/>
    <mergeCell ref="A57:M57"/>
    <mergeCell ref="C44:F44"/>
    <mergeCell ref="H44:Q44"/>
    <mergeCell ref="C45:F45"/>
    <mergeCell ref="H45:Q45"/>
    <mergeCell ref="C46:F46"/>
    <mergeCell ref="H46:Q46"/>
    <mergeCell ref="C62:F62"/>
    <mergeCell ref="H62:Q62"/>
    <mergeCell ref="C58:F58"/>
    <mergeCell ref="H58:Q58"/>
    <mergeCell ref="A52:M52"/>
    <mergeCell ref="B53:K53"/>
    <mergeCell ref="C54:F54"/>
    <mergeCell ref="H54:Q54"/>
    <mergeCell ref="H55:P55"/>
    <mergeCell ref="I56:P56"/>
    <mergeCell ref="C11:F11"/>
    <mergeCell ref="H11:Q11"/>
    <mergeCell ref="C9:F9"/>
    <mergeCell ref="H9:Q9"/>
    <mergeCell ref="U70:V70"/>
    <mergeCell ref="C13:F13"/>
    <mergeCell ref="C26:F26"/>
    <mergeCell ref="C38:F38"/>
    <mergeCell ref="I66:P66"/>
    <mergeCell ref="U66:W66"/>
    <mergeCell ref="I67:P68"/>
    <mergeCell ref="U68:W68"/>
    <mergeCell ref="C63:F63"/>
    <mergeCell ref="H63:Q63"/>
    <mergeCell ref="C59:F59"/>
    <mergeCell ref="H59:Q59"/>
    <mergeCell ref="C64:F64"/>
    <mergeCell ref="H64:Q64"/>
    <mergeCell ref="C65:F65"/>
    <mergeCell ref="H65:Q65"/>
    <mergeCell ref="C60:F60"/>
    <mergeCell ref="H60:Q60"/>
    <mergeCell ref="C61:F61"/>
    <mergeCell ref="H61:Q61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outlinePr summaryBelow="0"/>
    <pageSetUpPr autoPageBreaks="0"/>
  </sheetPr>
  <dimension ref="A1:X73"/>
  <sheetViews>
    <sheetView showGridLines="0" topLeftCell="A28" workbookViewId="0">
      <selection activeCell="AB78" sqref="AB78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7.42578125" style="75" bestFit="1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</row>
    <row r="2" spans="1:24" ht="9.9499999999999993" customHeight="1" x14ac:dyDescent="0.2"/>
    <row r="3" spans="1:24" ht="12.75" customHeight="1" x14ac:dyDescent="0.2">
      <c r="A3" s="171" t="s">
        <v>750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</row>
    <row r="4" spans="1:24" ht="16.5" customHeight="1" x14ac:dyDescent="0.2">
      <c r="A4" s="172" t="s">
        <v>178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62" t="s">
        <v>2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8" spans="1:24" ht="9.9499999999999993" customHeight="1" x14ac:dyDescent="0.2"/>
    <row r="9" spans="1:24" ht="9.9499999999999993" customHeight="1" x14ac:dyDescent="0.2">
      <c r="B9" s="162" t="s">
        <v>3</v>
      </c>
      <c r="C9" s="162"/>
      <c r="D9" s="162"/>
      <c r="E9" s="162"/>
      <c r="F9" s="162"/>
      <c r="G9" s="162"/>
      <c r="H9" s="162"/>
      <c r="I9" s="162"/>
      <c r="J9" s="162"/>
      <c r="K9" s="162"/>
    </row>
    <row r="10" spans="1:24" ht="9.9499999999999993" customHeight="1" x14ac:dyDescent="0.2"/>
    <row r="11" spans="1:24" ht="9.9499999999999993" customHeight="1" x14ac:dyDescent="0.2">
      <c r="C11" s="164" t="s">
        <v>8</v>
      </c>
      <c r="D11" s="164"/>
      <c r="E11" s="164"/>
      <c r="F11" s="164"/>
      <c r="H11" s="164" t="s">
        <v>179</v>
      </c>
      <c r="I11" s="164"/>
      <c r="J11" s="164"/>
      <c r="K11" s="164"/>
      <c r="L11" s="164"/>
      <c r="M11" s="164"/>
      <c r="N11" s="164"/>
      <c r="O11" s="164"/>
      <c r="P11" s="164"/>
      <c r="Q11" s="164"/>
      <c r="S11" s="89">
        <v>52217.55</v>
      </c>
    </row>
    <row r="12" spans="1:24" ht="9.9499999999999993" customHeight="1" x14ac:dyDescent="0.2">
      <c r="C12" s="164" t="s">
        <v>16</v>
      </c>
      <c r="D12" s="164"/>
      <c r="E12" s="164"/>
      <c r="F12" s="164"/>
      <c r="H12" s="164" t="s">
        <v>17</v>
      </c>
      <c r="I12" s="164"/>
      <c r="J12" s="164"/>
      <c r="K12" s="164"/>
      <c r="L12" s="164"/>
      <c r="M12" s="164"/>
      <c r="N12" s="164"/>
      <c r="O12" s="164"/>
      <c r="P12" s="164"/>
      <c r="Q12" s="164"/>
      <c r="S12" s="89"/>
    </row>
    <row r="13" spans="1:24" ht="9.9499999999999993" customHeight="1" x14ac:dyDescent="0.2">
      <c r="C13" s="164" t="s">
        <v>180</v>
      </c>
      <c r="D13" s="164"/>
      <c r="E13" s="164"/>
      <c r="F13" s="164"/>
      <c r="H13" s="164" t="s">
        <v>181</v>
      </c>
      <c r="I13" s="164"/>
      <c r="J13" s="164"/>
      <c r="K13" s="164"/>
      <c r="L13" s="164"/>
      <c r="M13" s="164"/>
      <c r="N13" s="164"/>
      <c r="O13" s="164"/>
      <c r="P13" s="164"/>
      <c r="Q13" s="164"/>
      <c r="S13" s="89"/>
    </row>
    <row r="14" spans="1:24" ht="9.9499999999999993" customHeight="1" x14ac:dyDescent="0.2">
      <c r="C14" s="164" t="s">
        <v>18</v>
      </c>
      <c r="D14" s="164"/>
      <c r="E14" s="164"/>
      <c r="F14" s="164"/>
      <c r="H14" s="164" t="s">
        <v>19</v>
      </c>
      <c r="I14" s="164"/>
      <c r="J14" s="164"/>
      <c r="K14" s="164"/>
      <c r="L14" s="164"/>
      <c r="M14" s="164"/>
      <c r="N14" s="164"/>
      <c r="O14" s="164"/>
      <c r="P14" s="164"/>
      <c r="Q14" s="164"/>
      <c r="S14" s="89"/>
    </row>
    <row r="15" spans="1:24" ht="9.9499999999999993" customHeight="1" x14ac:dyDescent="0.2">
      <c r="C15" s="164" t="s">
        <v>20</v>
      </c>
      <c r="D15" s="164"/>
      <c r="E15" s="164"/>
      <c r="F15" s="164"/>
      <c r="H15" s="164" t="s">
        <v>21</v>
      </c>
      <c r="I15" s="164"/>
      <c r="J15" s="164"/>
      <c r="K15" s="164"/>
      <c r="L15" s="164"/>
      <c r="M15" s="164"/>
      <c r="N15" s="164"/>
      <c r="O15" s="164"/>
      <c r="P15" s="164"/>
      <c r="Q15" s="164"/>
      <c r="S15" s="89"/>
    </row>
    <row r="16" spans="1:24" ht="9.9499999999999993" customHeight="1" x14ac:dyDescent="0.2">
      <c r="C16" s="164" t="s">
        <v>22</v>
      </c>
      <c r="D16" s="164"/>
      <c r="E16" s="164"/>
      <c r="F16" s="164"/>
      <c r="H16" s="164" t="s">
        <v>23</v>
      </c>
      <c r="I16" s="164"/>
      <c r="J16" s="164"/>
      <c r="K16" s="164"/>
      <c r="L16" s="164"/>
      <c r="M16" s="164"/>
      <c r="N16" s="164"/>
      <c r="O16" s="164"/>
      <c r="P16" s="164"/>
      <c r="Q16" s="164"/>
      <c r="S16" s="89"/>
    </row>
    <row r="17" spans="2:23" ht="9.9499999999999993" customHeight="1" x14ac:dyDescent="0.2">
      <c r="C17" s="164">
        <v>1226</v>
      </c>
      <c r="D17" s="164"/>
      <c r="E17" s="164"/>
      <c r="F17" s="164"/>
      <c r="H17" s="164" t="s">
        <v>234</v>
      </c>
      <c r="I17" s="164"/>
      <c r="J17" s="164"/>
      <c r="K17" s="164"/>
      <c r="L17" s="164"/>
      <c r="M17" s="164"/>
      <c r="N17" s="164"/>
      <c r="O17" s="164"/>
      <c r="P17" s="164"/>
      <c r="Q17" s="164"/>
      <c r="S17" s="89"/>
    </row>
    <row r="18" spans="2:23" ht="9.9499999999999993" customHeight="1" x14ac:dyDescent="0.2">
      <c r="C18" s="164" t="s">
        <v>182</v>
      </c>
      <c r="D18" s="164"/>
      <c r="E18" s="164"/>
      <c r="F18" s="164"/>
      <c r="H18" s="164" t="s">
        <v>183</v>
      </c>
      <c r="I18" s="164"/>
      <c r="J18" s="164"/>
      <c r="K18" s="164"/>
      <c r="L18" s="164"/>
      <c r="M18" s="164"/>
      <c r="N18" s="164"/>
      <c r="O18" s="164"/>
      <c r="P18" s="164"/>
      <c r="Q18" s="164"/>
      <c r="S18" s="89">
        <v>300000</v>
      </c>
    </row>
    <row r="19" spans="2:23" ht="9.9499999999999993" customHeight="1" x14ac:dyDescent="0.2">
      <c r="C19" s="164" t="s">
        <v>54</v>
      </c>
      <c r="D19" s="164"/>
      <c r="E19" s="164"/>
      <c r="F19" s="164"/>
      <c r="H19" s="164" t="s">
        <v>184</v>
      </c>
      <c r="I19" s="164"/>
      <c r="J19" s="164"/>
      <c r="K19" s="164"/>
      <c r="L19" s="164"/>
      <c r="M19" s="164"/>
      <c r="N19" s="164"/>
      <c r="O19" s="164"/>
      <c r="P19" s="164"/>
      <c r="Q19" s="164"/>
      <c r="S19" s="89">
        <v>3669</v>
      </c>
    </row>
    <row r="20" spans="2:23" ht="9.9499999999999993" customHeight="1" x14ac:dyDescent="0.2">
      <c r="C20" s="164" t="s">
        <v>56</v>
      </c>
      <c r="D20" s="164"/>
      <c r="E20" s="164"/>
      <c r="F20" s="164"/>
      <c r="H20" s="164" t="s">
        <v>185</v>
      </c>
      <c r="I20" s="164"/>
      <c r="J20" s="164"/>
      <c r="K20" s="164"/>
      <c r="L20" s="164"/>
      <c r="M20" s="164"/>
      <c r="N20" s="164"/>
      <c r="O20" s="164"/>
      <c r="P20" s="164"/>
      <c r="Q20" s="164"/>
      <c r="S20" s="89"/>
    </row>
    <row r="21" spans="2:23" ht="9.9499999999999993" customHeight="1" x14ac:dyDescent="0.2">
      <c r="C21" s="164">
        <v>1250</v>
      </c>
      <c r="D21" s="164"/>
      <c r="E21" s="164"/>
      <c r="F21" s="164"/>
      <c r="H21" s="164" t="s">
        <v>59</v>
      </c>
      <c r="I21" s="164"/>
      <c r="J21" s="164"/>
      <c r="K21" s="164"/>
      <c r="L21" s="164"/>
      <c r="M21" s="164"/>
      <c r="N21" s="164"/>
      <c r="O21" s="164"/>
      <c r="P21" s="164"/>
      <c r="Q21" s="164"/>
      <c r="S21" s="91"/>
    </row>
    <row r="22" spans="2:23" ht="9.9499999999999993" customHeight="1" x14ac:dyDescent="0.2"/>
    <row r="23" spans="2:23" ht="9.9499999999999993" customHeight="1" x14ac:dyDescent="0.2">
      <c r="H23" s="162" t="s">
        <v>73</v>
      </c>
      <c r="I23" s="162"/>
      <c r="J23" s="162"/>
      <c r="K23" s="162"/>
      <c r="L23" s="162"/>
      <c r="M23" s="162"/>
      <c r="N23" s="162"/>
      <c r="O23" s="162"/>
      <c r="P23" s="162"/>
      <c r="U23" s="163">
        <f>SUM(S11:S21)</f>
        <v>355886.55</v>
      </c>
      <c r="V23" s="163"/>
      <c r="W23" s="163"/>
    </row>
    <row r="24" spans="2:23" ht="9.9499999999999993" customHeight="1" x14ac:dyDescent="0.2"/>
    <row r="25" spans="2:23" ht="9.9499999999999993" customHeight="1" x14ac:dyDescent="0.2">
      <c r="B25" s="162" t="s">
        <v>74</v>
      </c>
      <c r="C25" s="162"/>
      <c r="D25" s="162"/>
      <c r="E25" s="162"/>
      <c r="F25" s="162"/>
      <c r="G25" s="162"/>
      <c r="H25" s="162"/>
      <c r="I25" s="162"/>
      <c r="J25" s="162"/>
      <c r="K25" s="162"/>
    </row>
    <row r="26" spans="2:23" ht="9.9499999999999993" customHeight="1" x14ac:dyDescent="0.2"/>
    <row r="27" spans="2:23" ht="9.9499999999999993" customHeight="1" x14ac:dyDescent="0.2">
      <c r="C27" s="164" t="s">
        <v>75</v>
      </c>
      <c r="D27" s="164"/>
      <c r="E27" s="164"/>
      <c r="F27" s="164"/>
      <c r="H27" s="164" t="s">
        <v>186</v>
      </c>
      <c r="I27" s="164"/>
      <c r="J27" s="164"/>
      <c r="K27" s="164"/>
      <c r="L27" s="164"/>
      <c r="M27" s="164"/>
      <c r="N27" s="164"/>
      <c r="O27" s="164"/>
      <c r="P27" s="164"/>
      <c r="Q27" s="164"/>
      <c r="S27" s="89">
        <v>8577.17</v>
      </c>
    </row>
    <row r="28" spans="2:23" ht="9.9499999999999993" customHeight="1" x14ac:dyDescent="0.2">
      <c r="C28" s="164" t="s">
        <v>87</v>
      </c>
      <c r="D28" s="164"/>
      <c r="E28" s="164"/>
      <c r="F28" s="164"/>
      <c r="H28" s="164" t="s">
        <v>88</v>
      </c>
      <c r="I28" s="164"/>
      <c r="J28" s="164"/>
      <c r="K28" s="164"/>
      <c r="L28" s="164"/>
      <c r="M28" s="164"/>
      <c r="N28" s="164"/>
      <c r="O28" s="164"/>
      <c r="P28" s="164"/>
      <c r="Q28" s="164"/>
      <c r="S28" s="89">
        <v>20237.79</v>
      </c>
    </row>
    <row r="29" spans="2:23" ht="9.9499999999999993" customHeight="1" x14ac:dyDescent="0.2">
      <c r="C29" s="164" t="s">
        <v>99</v>
      </c>
      <c r="D29" s="164"/>
      <c r="E29" s="164"/>
      <c r="F29" s="164"/>
      <c r="H29" s="164" t="s">
        <v>187</v>
      </c>
      <c r="I29" s="164"/>
      <c r="J29" s="164"/>
      <c r="K29" s="164"/>
      <c r="L29" s="164"/>
      <c r="M29" s="164"/>
      <c r="N29" s="164"/>
      <c r="O29" s="164"/>
      <c r="P29" s="164"/>
      <c r="Q29" s="164"/>
      <c r="S29" s="91">
        <v>-21527.7</v>
      </c>
    </row>
    <row r="30" spans="2:23" ht="9.9499999999999993" customHeight="1" x14ac:dyDescent="0.2"/>
    <row r="31" spans="2:23" ht="9.9499999999999993" customHeight="1" x14ac:dyDescent="0.2">
      <c r="H31" s="162" t="s">
        <v>103</v>
      </c>
      <c r="I31" s="162"/>
      <c r="J31" s="162"/>
      <c r="K31" s="162"/>
      <c r="L31" s="162"/>
      <c r="M31" s="162"/>
      <c r="N31" s="162"/>
      <c r="O31" s="162"/>
      <c r="P31" s="162"/>
      <c r="U31" s="166">
        <f>SUM(S27:S29)</f>
        <v>7287.2599999999984</v>
      </c>
      <c r="V31" s="166"/>
      <c r="W31" s="166"/>
    </row>
    <row r="32" spans="2:23" ht="9.9499999999999993" customHeight="1" x14ac:dyDescent="0.2"/>
    <row r="33" spans="1:23" ht="9.9499999999999993" customHeight="1" thickBot="1" x14ac:dyDescent="0.25">
      <c r="I33" s="162" t="s">
        <v>104</v>
      </c>
      <c r="J33" s="162"/>
      <c r="K33" s="162"/>
      <c r="L33" s="162"/>
      <c r="M33" s="162"/>
      <c r="N33" s="162"/>
      <c r="O33" s="162"/>
      <c r="P33" s="162"/>
      <c r="U33" s="169">
        <f>U23+U31</f>
        <v>363173.81</v>
      </c>
      <c r="V33" s="169"/>
      <c r="W33" s="169"/>
    </row>
    <row r="34" spans="1:23" ht="9.9499999999999993" customHeight="1" thickTop="1" x14ac:dyDescent="0.2"/>
    <row r="35" spans="1:23" ht="9.9499999999999993" customHeight="1" x14ac:dyDescent="0.2">
      <c r="A35" s="162" t="s">
        <v>105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</row>
    <row r="36" spans="1:23" ht="9.9499999999999993" customHeight="1" x14ac:dyDescent="0.2"/>
    <row r="37" spans="1:23" ht="9.9499999999999993" customHeight="1" x14ac:dyDescent="0.2">
      <c r="B37" s="162" t="s">
        <v>106</v>
      </c>
      <c r="C37" s="162"/>
      <c r="D37" s="162"/>
      <c r="E37" s="162"/>
      <c r="F37" s="162"/>
      <c r="G37" s="162"/>
      <c r="H37" s="162"/>
      <c r="I37" s="162"/>
      <c r="J37" s="162"/>
      <c r="K37" s="162"/>
    </row>
    <row r="38" spans="1:23" ht="9.9499999999999993" customHeight="1" x14ac:dyDescent="0.2"/>
    <row r="39" spans="1:23" ht="9.9499999999999993" customHeight="1" x14ac:dyDescent="0.2">
      <c r="C39" s="164" t="s">
        <v>109</v>
      </c>
      <c r="D39" s="164"/>
      <c r="E39" s="164"/>
      <c r="F39" s="164"/>
      <c r="H39" s="164" t="s">
        <v>110</v>
      </c>
      <c r="I39" s="164"/>
      <c r="J39" s="164"/>
      <c r="K39" s="164"/>
      <c r="L39" s="164"/>
      <c r="M39" s="164"/>
      <c r="N39" s="164"/>
      <c r="O39" s="164"/>
      <c r="P39" s="164"/>
      <c r="Q39" s="164"/>
      <c r="S39" s="89"/>
    </row>
    <row r="40" spans="1:23" ht="9.9499999999999993" customHeight="1" x14ac:dyDescent="0.2">
      <c r="C40" s="164" t="s">
        <v>188</v>
      </c>
      <c r="D40" s="164"/>
      <c r="E40" s="164"/>
      <c r="F40" s="164"/>
      <c r="H40" s="164" t="s">
        <v>189</v>
      </c>
      <c r="I40" s="164"/>
      <c r="J40" s="164"/>
      <c r="K40" s="164"/>
      <c r="L40" s="164"/>
      <c r="M40" s="164"/>
      <c r="N40" s="164"/>
      <c r="O40" s="164"/>
      <c r="P40" s="164"/>
      <c r="Q40" s="164"/>
      <c r="S40" s="89"/>
    </row>
    <row r="41" spans="1:23" ht="9.9499999999999993" customHeight="1" x14ac:dyDescent="0.2">
      <c r="C41" s="164">
        <v>2175</v>
      </c>
      <c r="D41" s="164"/>
      <c r="E41" s="164"/>
      <c r="F41" s="164"/>
      <c r="H41" s="164" t="s">
        <v>118</v>
      </c>
      <c r="I41" s="164"/>
      <c r="J41" s="164"/>
      <c r="K41" s="164"/>
      <c r="L41" s="164"/>
      <c r="M41" s="164"/>
      <c r="N41" s="164"/>
      <c r="O41" s="164"/>
      <c r="P41" s="164"/>
      <c r="Q41" s="164"/>
      <c r="S41" s="89"/>
    </row>
    <row r="42" spans="1:23" ht="9.9499999999999993" customHeight="1" x14ac:dyDescent="0.2">
      <c r="C42" s="164" t="s">
        <v>121</v>
      </c>
      <c r="D42" s="164"/>
      <c r="E42" s="164"/>
      <c r="F42" s="164"/>
      <c r="H42" s="164" t="s">
        <v>190</v>
      </c>
      <c r="I42" s="164"/>
      <c r="J42" s="164"/>
      <c r="K42" s="164"/>
      <c r="L42" s="164"/>
      <c r="M42" s="164"/>
      <c r="N42" s="164"/>
      <c r="O42" s="164"/>
      <c r="P42" s="164"/>
      <c r="Q42" s="164"/>
      <c r="S42" s="89">
        <v>1932</v>
      </c>
    </row>
    <row r="43" spans="1:23" ht="9.9499999999999993" customHeight="1" x14ac:dyDescent="0.2">
      <c r="C43" s="164">
        <v>2230</v>
      </c>
      <c r="D43" s="164"/>
      <c r="E43" s="164"/>
      <c r="F43" s="164"/>
      <c r="H43" s="164" t="s">
        <v>597</v>
      </c>
      <c r="I43" s="164"/>
      <c r="J43" s="164"/>
      <c r="K43" s="164"/>
      <c r="L43" s="164"/>
      <c r="M43" s="164"/>
      <c r="N43" s="164"/>
      <c r="O43" s="164"/>
      <c r="P43" s="164"/>
      <c r="Q43" s="164"/>
      <c r="S43" s="89">
        <v>101.14</v>
      </c>
    </row>
    <row r="44" spans="1:23" ht="9.9499999999999993" customHeight="1" x14ac:dyDescent="0.2">
      <c r="C44" s="164" t="s">
        <v>129</v>
      </c>
      <c r="D44" s="164"/>
      <c r="E44" s="164"/>
      <c r="F44" s="164"/>
      <c r="H44" s="164" t="s">
        <v>191</v>
      </c>
      <c r="I44" s="164"/>
      <c r="J44" s="164"/>
      <c r="K44" s="164"/>
      <c r="L44" s="164"/>
      <c r="M44" s="164"/>
      <c r="N44" s="164"/>
      <c r="O44" s="164"/>
      <c r="P44" s="164"/>
      <c r="Q44" s="164"/>
      <c r="S44" s="89"/>
    </row>
    <row r="45" spans="1:23" ht="9.9499999999999993" customHeight="1" x14ac:dyDescent="0.2">
      <c r="C45" s="164">
        <v>2241</v>
      </c>
      <c r="D45" s="164"/>
      <c r="E45" s="164"/>
      <c r="F45" s="164"/>
      <c r="H45" s="164" t="s">
        <v>584</v>
      </c>
      <c r="I45" s="164"/>
      <c r="J45" s="164"/>
      <c r="K45" s="164"/>
      <c r="L45" s="164"/>
      <c r="M45" s="164"/>
      <c r="N45" s="164"/>
      <c r="O45" s="164"/>
      <c r="P45" s="164"/>
      <c r="Q45" s="164"/>
      <c r="S45" s="89"/>
    </row>
    <row r="46" spans="1:23" ht="9.9499999999999993" customHeight="1" x14ac:dyDescent="0.2">
      <c r="S46" s="89"/>
    </row>
    <row r="47" spans="1:23" ht="9.9499999999999993" customHeight="1" x14ac:dyDescent="0.2">
      <c r="C47" s="164" t="s">
        <v>131</v>
      </c>
      <c r="D47" s="164"/>
      <c r="E47" s="164"/>
      <c r="F47" s="164"/>
      <c r="H47" s="164" t="s">
        <v>192</v>
      </c>
      <c r="I47" s="164"/>
      <c r="J47" s="164"/>
      <c r="K47" s="164"/>
      <c r="L47" s="164"/>
      <c r="M47" s="164"/>
      <c r="N47" s="164"/>
      <c r="O47" s="164"/>
      <c r="P47" s="164"/>
      <c r="Q47" s="164"/>
      <c r="S47" s="89"/>
    </row>
    <row r="48" spans="1:23" ht="9.9499999999999993" customHeight="1" x14ac:dyDescent="0.2">
      <c r="C48" s="164">
        <v>2400</v>
      </c>
      <c r="D48" s="164"/>
      <c r="E48" s="164"/>
      <c r="F48" s="164"/>
      <c r="H48" s="164" t="s">
        <v>205</v>
      </c>
      <c r="I48" s="164"/>
      <c r="J48" s="164"/>
      <c r="K48" s="164"/>
      <c r="L48" s="164"/>
      <c r="M48" s="164"/>
      <c r="N48" s="164"/>
      <c r="O48" s="164"/>
      <c r="P48" s="164"/>
      <c r="Q48" s="164"/>
      <c r="S48" s="89">
        <v>3939.49</v>
      </c>
    </row>
    <row r="49" spans="1:23" ht="9.9499999999999993" customHeight="1" x14ac:dyDescent="0.2">
      <c r="C49" s="164">
        <v>2401</v>
      </c>
      <c r="D49" s="164"/>
      <c r="E49" s="164"/>
      <c r="F49" s="164"/>
      <c r="H49" s="164" t="s">
        <v>575</v>
      </c>
      <c r="I49" s="164"/>
      <c r="J49" s="164"/>
      <c r="K49" s="164"/>
      <c r="L49" s="164"/>
      <c r="M49" s="164"/>
      <c r="N49" s="164"/>
      <c r="O49" s="164"/>
      <c r="P49" s="164"/>
      <c r="Q49" s="164"/>
      <c r="S49" s="79"/>
    </row>
    <row r="50" spans="1:23" ht="9.9499999999999993" customHeight="1" x14ac:dyDescent="0.2"/>
    <row r="51" spans="1:23" ht="9.9499999999999993" customHeight="1" x14ac:dyDescent="0.2">
      <c r="H51" s="162" t="s">
        <v>148</v>
      </c>
      <c r="I51" s="162"/>
      <c r="J51" s="162"/>
      <c r="K51" s="162"/>
      <c r="L51" s="162"/>
      <c r="M51" s="162"/>
      <c r="N51" s="162"/>
      <c r="O51" s="162"/>
      <c r="P51" s="162"/>
      <c r="U51" s="163">
        <f>SUM(S39:S49)</f>
        <v>5972.63</v>
      </c>
      <c r="V51" s="163"/>
      <c r="W51" s="163"/>
    </row>
    <row r="52" spans="1:23" ht="9.9499999999999993" customHeight="1" x14ac:dyDescent="0.2"/>
    <row r="53" spans="1:23" ht="9.9499999999999993" customHeight="1" x14ac:dyDescent="0.2">
      <c r="I53" s="162" t="s">
        <v>159</v>
      </c>
      <c r="J53" s="162"/>
      <c r="K53" s="162"/>
      <c r="L53" s="162"/>
      <c r="M53" s="162"/>
      <c r="N53" s="162"/>
      <c r="O53" s="162"/>
      <c r="P53" s="162"/>
      <c r="U53" s="163">
        <f>U51</f>
        <v>5972.63</v>
      </c>
      <c r="V53" s="163"/>
      <c r="W53" s="163"/>
    </row>
    <row r="54" spans="1:23" ht="9.9499999999999993" customHeight="1" x14ac:dyDescent="0.2"/>
    <row r="55" spans="1:23" ht="9.9499999999999993" customHeight="1" x14ac:dyDescent="0.2">
      <c r="A55" s="162" t="s">
        <v>160</v>
      </c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</row>
    <row r="56" spans="1:23" ht="9.9499999999999993" customHeight="1" x14ac:dyDescent="0.2"/>
    <row r="57" spans="1:23" ht="9.9499999999999993" customHeight="1" x14ac:dyDescent="0.2">
      <c r="C57" s="164" t="s">
        <v>165</v>
      </c>
      <c r="D57" s="164"/>
      <c r="E57" s="164"/>
      <c r="F57" s="164"/>
      <c r="H57" s="164" t="s">
        <v>166</v>
      </c>
      <c r="I57" s="164"/>
      <c r="J57" s="164"/>
      <c r="K57" s="164"/>
      <c r="L57" s="164"/>
      <c r="M57" s="164"/>
      <c r="N57" s="164"/>
      <c r="O57" s="164"/>
      <c r="P57" s="164"/>
      <c r="Q57" s="164"/>
      <c r="S57" s="89">
        <v>-23625.33</v>
      </c>
    </row>
    <row r="58" spans="1:23" ht="9.9499999999999993" customHeight="1" x14ac:dyDescent="0.2">
      <c r="C58" s="164" t="s">
        <v>165</v>
      </c>
      <c r="D58" s="164"/>
      <c r="E58" s="164"/>
      <c r="F58" s="164"/>
      <c r="H58" s="164" t="s">
        <v>193</v>
      </c>
      <c r="I58" s="164"/>
      <c r="J58" s="164"/>
      <c r="K58" s="164"/>
      <c r="L58" s="164"/>
      <c r="M58" s="164"/>
      <c r="N58" s="164"/>
      <c r="O58" s="164"/>
      <c r="P58" s="164"/>
      <c r="Q58" s="164"/>
      <c r="S58" s="153">
        <v>380826.51</v>
      </c>
    </row>
    <row r="59" spans="1:23" ht="9.9499999999999993" customHeight="1" x14ac:dyDescent="0.2">
      <c r="C59" s="164">
        <v>3550</v>
      </c>
      <c r="D59" s="164"/>
      <c r="E59" s="164"/>
      <c r="F59" s="164"/>
      <c r="H59" s="164" t="s">
        <v>646</v>
      </c>
      <c r="I59" s="164"/>
      <c r="J59" s="164"/>
      <c r="K59" s="164"/>
      <c r="L59" s="164"/>
      <c r="M59" s="164"/>
      <c r="N59" s="164"/>
      <c r="O59" s="164"/>
      <c r="P59" s="164"/>
      <c r="Q59" s="164"/>
      <c r="S59" s="78"/>
    </row>
    <row r="60" spans="1:23" ht="9.9499999999999993" customHeight="1" x14ac:dyDescent="0.2">
      <c r="C60" s="164">
        <v>3551</v>
      </c>
      <c r="D60" s="164"/>
      <c r="E60" s="164"/>
      <c r="F60" s="164"/>
      <c r="H60" s="90" t="s">
        <v>647</v>
      </c>
      <c r="I60" s="90"/>
      <c r="J60" s="90"/>
      <c r="K60" s="90"/>
      <c r="L60" s="90"/>
      <c r="M60" s="90"/>
      <c r="N60" s="90"/>
      <c r="O60" s="90"/>
      <c r="P60" s="90"/>
      <c r="Q60" s="90"/>
      <c r="S60" s="78"/>
    </row>
    <row r="61" spans="1:23" ht="9.9499999999999993" customHeight="1" x14ac:dyDescent="0.2">
      <c r="C61" s="164">
        <v>3552</v>
      </c>
      <c r="D61" s="164"/>
      <c r="E61" s="164"/>
      <c r="F61" s="164"/>
      <c r="H61" s="90" t="s">
        <v>648</v>
      </c>
      <c r="I61" s="90"/>
      <c r="J61" s="90"/>
      <c r="K61" s="90"/>
      <c r="L61" s="90"/>
      <c r="M61" s="90"/>
      <c r="N61" s="90"/>
      <c r="O61" s="90"/>
      <c r="P61" s="90"/>
      <c r="Q61" s="90"/>
      <c r="S61" s="78"/>
    </row>
    <row r="62" spans="1:23" ht="9.9499999999999993" customHeight="1" x14ac:dyDescent="0.2">
      <c r="C62" s="164">
        <v>3553</v>
      </c>
      <c r="D62" s="164"/>
      <c r="E62" s="164"/>
      <c r="F62" s="164"/>
      <c r="H62" s="90" t="s">
        <v>649</v>
      </c>
      <c r="I62" s="90"/>
      <c r="J62" s="90"/>
      <c r="K62" s="90"/>
      <c r="L62" s="90"/>
      <c r="M62" s="90"/>
      <c r="N62" s="90"/>
      <c r="O62" s="90"/>
      <c r="P62" s="90"/>
      <c r="Q62" s="90"/>
      <c r="S62" s="78"/>
    </row>
    <row r="63" spans="1:23" ht="9.75" customHeight="1" x14ac:dyDescent="0.2">
      <c r="C63" s="164">
        <v>3554</v>
      </c>
      <c r="D63" s="164"/>
      <c r="E63" s="164"/>
      <c r="F63" s="164"/>
      <c r="H63" s="90" t="s">
        <v>650</v>
      </c>
      <c r="I63" s="90"/>
      <c r="J63" s="90"/>
      <c r="K63" s="90"/>
      <c r="L63" s="90"/>
      <c r="M63" s="90"/>
      <c r="N63" s="90"/>
      <c r="O63" s="90"/>
      <c r="P63" s="90"/>
      <c r="Q63" s="90"/>
      <c r="S63" s="79"/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62" t="s">
        <v>176</v>
      </c>
      <c r="J66" s="162"/>
      <c r="K66" s="162"/>
      <c r="L66" s="162"/>
      <c r="M66" s="162"/>
      <c r="N66" s="162"/>
      <c r="O66" s="162"/>
      <c r="P66" s="162"/>
      <c r="U66" s="163">
        <f>SUM(S57:S65)</f>
        <v>357201.18</v>
      </c>
      <c r="V66" s="163"/>
      <c r="W66" s="163"/>
    </row>
    <row r="67" spans="1:23" ht="9.9499999999999993" customHeight="1" x14ac:dyDescent="0.2"/>
    <row r="68" spans="1:23" ht="9.9499999999999993" customHeight="1" x14ac:dyDescent="0.2">
      <c r="I68" s="162" t="s">
        <v>177</v>
      </c>
      <c r="J68" s="162"/>
      <c r="K68" s="162"/>
      <c r="L68" s="162"/>
      <c r="M68" s="162"/>
      <c r="N68" s="162"/>
      <c r="O68" s="162"/>
      <c r="P68" s="162"/>
      <c r="U68" s="163"/>
      <c r="V68" s="163"/>
      <c r="W68" s="163"/>
    </row>
    <row r="69" spans="1:23" ht="9.9499999999999993" customHeight="1" x14ac:dyDescent="0.2">
      <c r="I69" s="162"/>
      <c r="J69" s="162"/>
      <c r="K69" s="162"/>
      <c r="L69" s="162"/>
      <c r="M69" s="162"/>
      <c r="N69" s="162"/>
      <c r="O69" s="162"/>
      <c r="P69" s="162"/>
      <c r="U69" s="163">
        <f>U53+U66</f>
        <v>363173.81</v>
      </c>
      <c r="V69" s="163"/>
      <c r="W69" s="163"/>
    </row>
    <row r="70" spans="1:23" ht="9.9499999999999993" customHeight="1" x14ac:dyDescent="0.2">
      <c r="U70" s="163"/>
      <c r="V70" s="163"/>
      <c r="W70" s="163"/>
    </row>
    <row r="71" spans="1:23" ht="6" customHeight="1" x14ac:dyDescent="0.2"/>
    <row r="72" spans="1:23" ht="12" customHeight="1" x14ac:dyDescent="0.2">
      <c r="A72" s="176"/>
      <c r="B72" s="176"/>
      <c r="C72" s="176"/>
      <c r="D72" s="176"/>
      <c r="F72" s="178"/>
      <c r="G72" s="178"/>
      <c r="H72" s="178"/>
      <c r="I72" s="178"/>
      <c r="J72" s="178"/>
      <c r="V72" s="92">
        <f>U33-U69</f>
        <v>0</v>
      </c>
      <c r="W72" s="93"/>
    </row>
    <row r="73" spans="1:23" ht="12" customHeight="1" x14ac:dyDescent="0.2">
      <c r="A73" s="176"/>
      <c r="B73" s="176"/>
      <c r="C73" s="176"/>
      <c r="D73" s="176"/>
      <c r="F73" s="177"/>
      <c r="G73" s="177"/>
      <c r="H73" s="177"/>
      <c r="I73" s="177"/>
    </row>
  </sheetData>
  <mergeCells count="87">
    <mergeCell ref="H59:Q59"/>
    <mergeCell ref="C59:F59"/>
    <mergeCell ref="C60:F60"/>
    <mergeCell ref="C61:F61"/>
    <mergeCell ref="C62:F62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A1:X1"/>
    <mergeCell ref="A3:X3"/>
    <mergeCell ref="A4:X4"/>
    <mergeCell ref="A7:M7"/>
    <mergeCell ref="B9:K9"/>
    <mergeCell ref="H19:Q19"/>
    <mergeCell ref="C17:F17"/>
    <mergeCell ref="H17:Q17"/>
    <mergeCell ref="C20:F20"/>
    <mergeCell ref="H20:Q20"/>
    <mergeCell ref="H23:P23"/>
    <mergeCell ref="U23:W23"/>
    <mergeCell ref="B25:K25"/>
    <mergeCell ref="C21:F21"/>
    <mergeCell ref="H21:Q21"/>
    <mergeCell ref="C27:F27"/>
    <mergeCell ref="H27:Q27"/>
    <mergeCell ref="C28:F28"/>
    <mergeCell ref="H28:Q28"/>
    <mergeCell ref="C29:F29"/>
    <mergeCell ref="H29:Q29"/>
    <mergeCell ref="H31:P31"/>
    <mergeCell ref="U31:W31"/>
    <mergeCell ref="I33:P33"/>
    <mergeCell ref="U33:W33"/>
    <mergeCell ref="A35:M35"/>
    <mergeCell ref="B37:K37"/>
    <mergeCell ref="C39:F39"/>
    <mergeCell ref="H39:Q39"/>
    <mergeCell ref="C40:F40"/>
    <mergeCell ref="H40:Q40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2:S47"/>
  <sheetViews>
    <sheetView workbookViewId="0">
      <selection activeCell="I38" sqref="I38"/>
    </sheetView>
  </sheetViews>
  <sheetFormatPr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79" t="s">
        <v>752</v>
      </c>
      <c r="B2" s="180"/>
      <c r="C2" s="180"/>
      <c r="D2" s="180"/>
      <c r="E2" s="180"/>
      <c r="F2" s="181"/>
    </row>
    <row r="3" spans="1:19" x14ac:dyDescent="0.2">
      <c r="A3" s="182"/>
      <c r="B3" s="183"/>
      <c r="C3" s="183"/>
      <c r="D3" s="183"/>
      <c r="E3" s="183"/>
      <c r="F3" s="184"/>
    </row>
    <row r="4" spans="1:19" x14ac:dyDescent="0.2">
      <c r="A4" s="182"/>
      <c r="B4" s="183"/>
      <c r="C4" s="183"/>
      <c r="D4" s="183"/>
      <c r="E4" s="183"/>
      <c r="F4" s="184"/>
    </row>
    <row r="5" spans="1:19" x14ac:dyDescent="0.2">
      <c r="A5" s="185"/>
      <c r="B5" s="186"/>
      <c r="C5" s="186"/>
      <c r="D5" s="186"/>
      <c r="E5" s="186"/>
      <c r="F5" s="187"/>
    </row>
    <row r="8" spans="1:19" ht="13.5" thickBot="1" x14ac:dyDescent="0.25">
      <c r="A8" s="87"/>
      <c r="B8" s="87"/>
      <c r="C8" s="87"/>
      <c r="D8" s="87"/>
      <c r="E8" s="87"/>
      <c r="F8" s="113" t="s">
        <v>751</v>
      </c>
    </row>
    <row r="9" spans="1:19" ht="13.5" thickTop="1" x14ac:dyDescent="0.2">
      <c r="A9" s="80" t="s">
        <v>335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336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510</v>
      </c>
      <c r="E12" s="80"/>
      <c r="F12" s="115">
        <v>6404.09</v>
      </c>
    </row>
    <row r="13" spans="1:19" x14ac:dyDescent="0.2">
      <c r="A13" s="80"/>
      <c r="B13" s="80"/>
      <c r="C13" s="80" t="s">
        <v>340</v>
      </c>
      <c r="D13" s="80"/>
      <c r="E13" s="80"/>
      <c r="F13" s="114">
        <f>F12</f>
        <v>6404.09</v>
      </c>
    </row>
    <row r="14" spans="1:19" x14ac:dyDescent="0.2">
      <c r="A14" s="80"/>
      <c r="B14" s="80"/>
      <c r="C14" s="80" t="s">
        <v>511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512</v>
      </c>
      <c r="E15" s="80"/>
      <c r="F15" s="115">
        <v>923626.25</v>
      </c>
    </row>
    <row r="16" spans="1:19" x14ac:dyDescent="0.2">
      <c r="A16" s="80"/>
      <c r="B16" s="80"/>
      <c r="C16" s="80" t="s">
        <v>513</v>
      </c>
      <c r="D16" s="80"/>
      <c r="E16" s="80"/>
      <c r="F16" s="114">
        <f>F15</f>
        <v>923626.25</v>
      </c>
    </row>
    <row r="17" spans="1:6" x14ac:dyDescent="0.2">
      <c r="A17" s="80"/>
      <c r="B17" s="80"/>
      <c r="C17" s="80" t="s">
        <v>409</v>
      </c>
      <c r="D17" s="80"/>
      <c r="E17" s="80"/>
      <c r="F17" s="114"/>
    </row>
    <row r="18" spans="1:6" x14ac:dyDescent="0.2">
      <c r="A18" s="80"/>
      <c r="B18" s="80"/>
      <c r="C18" s="80"/>
      <c r="D18" s="80" t="s">
        <v>570</v>
      </c>
      <c r="E18" s="80"/>
      <c r="F18" s="114">
        <v>0</v>
      </c>
    </row>
    <row r="19" spans="1:6" x14ac:dyDescent="0.2">
      <c r="A19" s="80"/>
      <c r="B19" s="80"/>
      <c r="C19" s="80"/>
      <c r="D19" s="80" t="s">
        <v>526</v>
      </c>
      <c r="E19" s="80"/>
      <c r="F19" s="114">
        <v>1228</v>
      </c>
    </row>
    <row r="20" spans="1:6" x14ac:dyDescent="0.2">
      <c r="A20" s="80"/>
      <c r="B20" s="80"/>
      <c r="C20" s="80"/>
      <c r="D20" s="80" t="s">
        <v>527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653</v>
      </c>
      <c r="E21" s="80"/>
      <c r="F21" s="114">
        <v>712.5</v>
      </c>
    </row>
    <row r="22" spans="1:6" ht="13.5" thickBot="1" x14ac:dyDescent="0.25">
      <c r="A22" s="80"/>
      <c r="B22" s="80"/>
      <c r="C22" s="80" t="s">
        <v>413</v>
      </c>
      <c r="D22" s="80"/>
      <c r="E22" s="80"/>
      <c r="F22" s="116">
        <f>SUM(F18:F21)</f>
        <v>1940.5</v>
      </c>
    </row>
    <row r="23" spans="1:6" ht="13.5" thickBot="1" x14ac:dyDescent="0.25">
      <c r="A23" s="80"/>
      <c r="B23" s="80" t="s">
        <v>275</v>
      </c>
      <c r="C23" s="80"/>
      <c r="D23" s="80"/>
      <c r="E23" s="80"/>
      <c r="F23" s="116">
        <f>F13+F16+F22</f>
        <v>931970.84</v>
      </c>
    </row>
    <row r="24" spans="1:6" ht="13.5" thickBot="1" x14ac:dyDescent="0.25">
      <c r="A24" s="80" t="s">
        <v>369</v>
      </c>
      <c r="B24" s="80"/>
      <c r="C24" s="80"/>
      <c r="D24" s="80"/>
      <c r="E24" s="80"/>
      <c r="F24" s="117">
        <f>F23</f>
        <v>931970.84</v>
      </c>
    </row>
    <row r="25" spans="1:6" ht="13.5" thickTop="1" x14ac:dyDescent="0.2">
      <c r="A25" s="80" t="s">
        <v>370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449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516</v>
      </c>
      <c r="F29" s="115">
        <v>0</v>
      </c>
    </row>
    <row r="30" spans="1:6" x14ac:dyDescent="0.2">
      <c r="A30" s="80"/>
      <c r="B30" s="80"/>
      <c r="C30" s="80"/>
      <c r="D30" s="80" t="s">
        <v>451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371</v>
      </c>
      <c r="E31" s="80"/>
      <c r="F31" s="114"/>
    </row>
    <row r="32" spans="1:6" x14ac:dyDescent="0.2">
      <c r="A32" s="80"/>
      <c r="B32" s="80"/>
      <c r="C32" s="80"/>
      <c r="D32" s="80"/>
      <c r="E32" s="80" t="s">
        <v>528</v>
      </c>
      <c r="F32" s="114">
        <v>0</v>
      </c>
    </row>
    <row r="33" spans="1:6" x14ac:dyDescent="0.2">
      <c r="A33" s="80"/>
      <c r="B33" s="80"/>
      <c r="C33" s="80"/>
      <c r="D33" s="80"/>
      <c r="E33" s="80" t="s">
        <v>734</v>
      </c>
      <c r="F33" s="114">
        <v>1595.44</v>
      </c>
    </row>
    <row r="34" spans="1:6" x14ac:dyDescent="0.2">
      <c r="A34" s="80"/>
      <c r="B34" s="80"/>
      <c r="C34" s="80"/>
      <c r="D34" s="80"/>
      <c r="E34" s="80" t="s">
        <v>573</v>
      </c>
      <c r="F34" s="114"/>
    </row>
    <row r="35" spans="1:6" x14ac:dyDescent="0.2">
      <c r="A35" s="80"/>
      <c r="B35" s="80"/>
      <c r="C35" s="80"/>
      <c r="D35" s="80"/>
      <c r="E35" s="80" t="s">
        <v>518</v>
      </c>
      <c r="F35" s="114">
        <v>456972.17</v>
      </c>
    </row>
    <row r="36" spans="1:6" x14ac:dyDescent="0.2">
      <c r="A36" s="80"/>
      <c r="B36" s="80"/>
      <c r="C36" s="80"/>
      <c r="D36" s="80"/>
      <c r="E36" s="80" t="s">
        <v>529</v>
      </c>
      <c r="F36" s="114">
        <v>1165.8</v>
      </c>
    </row>
    <row r="37" spans="1:6" ht="13.5" thickBot="1" x14ac:dyDescent="0.25">
      <c r="A37" s="80"/>
      <c r="B37" s="80"/>
      <c r="C37" s="80"/>
      <c r="D37" s="80"/>
      <c r="E37" s="80" t="s">
        <v>519</v>
      </c>
      <c r="F37" s="114">
        <v>12666.58</v>
      </c>
    </row>
    <row r="38" spans="1:6" ht="13.5" thickBot="1" x14ac:dyDescent="0.25">
      <c r="A38" s="80"/>
      <c r="B38" s="80"/>
      <c r="C38" s="80"/>
      <c r="D38" s="80" t="s">
        <v>381</v>
      </c>
      <c r="E38" s="80"/>
      <c r="F38" s="116">
        <f>F32+F35+F36+F37+F34+F33</f>
        <v>472399.99</v>
      </c>
    </row>
    <row r="39" spans="1:6" ht="13.5" thickBot="1" x14ac:dyDescent="0.25">
      <c r="A39" s="80"/>
      <c r="B39" s="80"/>
      <c r="C39" s="80" t="s">
        <v>382</v>
      </c>
      <c r="D39" s="80"/>
      <c r="E39" s="80"/>
      <c r="F39" s="118">
        <f>F30+F38</f>
        <v>472399.99</v>
      </c>
    </row>
    <row r="40" spans="1:6" x14ac:dyDescent="0.2">
      <c r="A40" s="80"/>
      <c r="B40" s="80" t="s">
        <v>320</v>
      </c>
      <c r="C40" s="80"/>
      <c r="D40" s="80"/>
      <c r="E40" s="80"/>
      <c r="F40" s="114">
        <f>F39</f>
        <v>472399.99</v>
      </c>
    </row>
    <row r="41" spans="1:6" x14ac:dyDescent="0.2">
      <c r="A41" s="80"/>
      <c r="B41" s="80" t="s">
        <v>160</v>
      </c>
      <c r="C41" s="80"/>
      <c r="D41" s="80"/>
      <c r="E41" s="80"/>
      <c r="F41" s="114"/>
    </row>
    <row r="42" spans="1:6" x14ac:dyDescent="0.2">
      <c r="A42" s="80"/>
      <c r="B42" s="80"/>
      <c r="C42" s="80" t="s">
        <v>520</v>
      </c>
      <c r="D42" s="80"/>
      <c r="E42" s="80"/>
      <c r="F42" s="114">
        <v>425392.02</v>
      </c>
    </row>
    <row r="43" spans="1:6" ht="13.5" thickBot="1" x14ac:dyDescent="0.25">
      <c r="A43" s="80"/>
      <c r="B43" s="80"/>
      <c r="C43" s="80" t="s">
        <v>387</v>
      </c>
      <c r="D43" s="80"/>
      <c r="E43" s="80"/>
      <c r="F43" s="114">
        <v>34178.83</v>
      </c>
    </row>
    <row r="44" spans="1:6" ht="13.5" thickBot="1" x14ac:dyDescent="0.25">
      <c r="A44" s="80"/>
      <c r="B44" s="80" t="s">
        <v>331</v>
      </c>
      <c r="C44" s="80"/>
      <c r="D44" s="80"/>
      <c r="E44" s="80"/>
      <c r="F44" s="116">
        <f>F42+F43</f>
        <v>459570.85000000003</v>
      </c>
    </row>
    <row r="45" spans="1:6" ht="13.5" thickBot="1" x14ac:dyDescent="0.25">
      <c r="A45" s="80" t="s">
        <v>388</v>
      </c>
      <c r="B45" s="80"/>
      <c r="C45" s="80"/>
      <c r="D45" s="80"/>
      <c r="E45" s="80"/>
      <c r="F45" s="117">
        <f>F40+F44</f>
        <v>931970.84000000008</v>
      </c>
    </row>
    <row r="46" spans="1:6" ht="15.75" thickTop="1" x14ac:dyDescent="0.25">
      <c r="A46" s="88"/>
      <c r="B46" s="88"/>
      <c r="C46" s="88"/>
      <c r="D46" s="88"/>
      <c r="E46" s="88"/>
      <c r="F46" s="88"/>
    </row>
    <row r="47" spans="1:6" x14ac:dyDescent="0.2">
      <c r="F47" s="119">
        <f>F24-F45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I82"/>
  <sheetViews>
    <sheetView zoomScaleNormal="100" workbookViewId="0">
      <selection activeCell="K33" sqref="K33"/>
    </sheetView>
  </sheetViews>
  <sheetFormatPr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745</v>
      </c>
      <c r="G1" s="111"/>
      <c r="H1" s="112" t="s">
        <v>549</v>
      </c>
    </row>
    <row r="2" spans="1:9" ht="13.5" thickTop="1" x14ac:dyDescent="0.2">
      <c r="A2" s="81" t="s">
        <v>335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336</v>
      </c>
      <c r="D4" s="81"/>
      <c r="E4" s="81"/>
      <c r="F4" s="103"/>
      <c r="H4" s="188"/>
      <c r="I4" s="188"/>
    </row>
    <row r="5" spans="1:9" x14ac:dyDescent="0.2">
      <c r="A5" s="81"/>
      <c r="B5" s="81"/>
      <c r="C5" s="81"/>
      <c r="D5" s="81" t="s">
        <v>337</v>
      </c>
      <c r="E5" s="81"/>
      <c r="F5" s="103">
        <v>235</v>
      </c>
      <c r="H5" s="188"/>
      <c r="I5" s="188"/>
    </row>
    <row r="6" spans="1:9" x14ac:dyDescent="0.2">
      <c r="A6" s="81"/>
      <c r="B6" s="81"/>
      <c r="C6" s="81"/>
      <c r="D6" s="81" t="s">
        <v>338</v>
      </c>
      <c r="E6" s="81"/>
      <c r="F6" s="103">
        <v>127905.21</v>
      </c>
      <c r="H6" s="188"/>
      <c r="I6" s="188"/>
    </row>
    <row r="7" spans="1:9" ht="13.5" thickBot="1" x14ac:dyDescent="0.25">
      <c r="A7" s="81"/>
      <c r="B7" s="81"/>
      <c r="C7" s="81"/>
      <c r="D7" s="81" t="s">
        <v>339</v>
      </c>
      <c r="E7" s="81"/>
      <c r="F7" s="103">
        <v>37317.760000000002</v>
      </c>
      <c r="H7" s="188"/>
      <c r="I7" s="188"/>
    </row>
    <row r="8" spans="1:9" ht="13.5" thickBot="1" x14ac:dyDescent="0.25">
      <c r="A8" s="81"/>
      <c r="B8" s="81"/>
      <c r="C8" s="81" t="s">
        <v>340</v>
      </c>
      <c r="D8" s="81"/>
      <c r="E8" s="81"/>
      <c r="F8" s="104">
        <f>ROUND(SUM(F4:F7),5)</f>
        <v>165457.97</v>
      </c>
      <c r="H8" s="188"/>
      <c r="I8" s="188"/>
    </row>
    <row r="9" spans="1:9" x14ac:dyDescent="0.2">
      <c r="A9" s="81"/>
      <c r="B9" s="81" t="s">
        <v>275</v>
      </c>
      <c r="C9" s="81"/>
      <c r="D9" s="81"/>
      <c r="E9" s="81"/>
      <c r="F9" s="103">
        <f>ROUND(F3+F8,5)</f>
        <v>165457.97</v>
      </c>
      <c r="H9" s="188"/>
      <c r="I9" s="188"/>
    </row>
    <row r="10" spans="1:9" x14ac:dyDescent="0.2">
      <c r="A10" s="81"/>
      <c r="B10" s="81" t="s">
        <v>409</v>
      </c>
      <c r="C10" s="81"/>
      <c r="D10" s="81"/>
      <c r="E10" s="81"/>
      <c r="F10" s="103"/>
      <c r="H10" s="188"/>
      <c r="I10" s="188"/>
    </row>
    <row r="11" spans="1:9" x14ac:dyDescent="0.2">
      <c r="A11" s="81"/>
      <c r="B11" s="81"/>
      <c r="C11" s="81"/>
      <c r="D11" s="81" t="s">
        <v>660</v>
      </c>
      <c r="E11" s="81"/>
      <c r="F11" s="103">
        <v>0</v>
      </c>
      <c r="H11" s="188"/>
      <c r="I11" s="188"/>
    </row>
    <row r="12" spans="1:9" x14ac:dyDescent="0.2">
      <c r="A12" s="81"/>
      <c r="B12" s="81"/>
      <c r="C12" s="81"/>
      <c r="D12" s="81" t="s">
        <v>708</v>
      </c>
      <c r="E12" s="81"/>
      <c r="F12" s="103">
        <v>0</v>
      </c>
      <c r="H12" s="188"/>
      <c r="I12" s="188"/>
    </row>
    <row r="13" spans="1:9" ht="13.5" thickBot="1" x14ac:dyDescent="0.25">
      <c r="A13" s="81"/>
      <c r="B13" s="81"/>
      <c r="C13" s="81"/>
      <c r="D13" s="81" t="s">
        <v>661</v>
      </c>
      <c r="E13" s="81"/>
      <c r="F13" s="109">
        <v>200000</v>
      </c>
      <c r="H13" s="188"/>
      <c r="I13" s="188"/>
    </row>
    <row r="14" spans="1:9" x14ac:dyDescent="0.2">
      <c r="A14" s="81"/>
      <c r="B14" s="81"/>
      <c r="C14" s="81" t="s">
        <v>413</v>
      </c>
      <c r="D14" s="81"/>
      <c r="E14" s="81"/>
      <c r="F14" s="103">
        <f>SUM(F11:F13)</f>
        <v>200000</v>
      </c>
      <c r="H14" s="188"/>
      <c r="I14" s="188"/>
    </row>
    <row r="15" spans="1:9" x14ac:dyDescent="0.2">
      <c r="A15" s="81"/>
      <c r="B15" s="81" t="s">
        <v>341</v>
      </c>
      <c r="C15" s="81"/>
      <c r="D15" s="81"/>
      <c r="E15" s="81"/>
      <c r="F15" s="103"/>
      <c r="H15" s="188"/>
      <c r="I15" s="188"/>
    </row>
    <row r="16" spans="1:9" x14ac:dyDescent="0.2">
      <c r="A16" s="81"/>
      <c r="B16" s="81"/>
      <c r="C16" s="81" t="s">
        <v>342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343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344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345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346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347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348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349</v>
      </c>
      <c r="D23" s="81"/>
      <c r="E23" s="81"/>
      <c r="F23" s="103">
        <v>462774.65</v>
      </c>
    </row>
    <row r="24" spans="1:6" x14ac:dyDescent="0.2">
      <c r="A24" s="81"/>
      <c r="B24" s="81"/>
      <c r="C24" s="81" t="s">
        <v>350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351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352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353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354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355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356</v>
      </c>
      <c r="D30" s="81"/>
      <c r="E30" s="81"/>
      <c r="F30" s="103">
        <v>16428</v>
      </c>
    </row>
    <row r="31" spans="1:6" x14ac:dyDescent="0.2">
      <c r="A31" s="81"/>
      <c r="B31" s="81"/>
      <c r="C31" s="81" t="s">
        <v>357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358</v>
      </c>
      <c r="D32" s="81"/>
      <c r="E32" s="81"/>
      <c r="F32" s="103">
        <v>107880.06</v>
      </c>
    </row>
    <row r="33" spans="1:6" x14ac:dyDescent="0.2">
      <c r="A33" s="81"/>
      <c r="B33" s="81"/>
      <c r="C33" s="81" t="s">
        <v>359</v>
      </c>
      <c r="D33" s="81"/>
      <c r="E33" s="81"/>
      <c r="F33" s="103">
        <v>6029.69</v>
      </c>
    </row>
    <row r="34" spans="1:6" x14ac:dyDescent="0.2">
      <c r="A34" s="81"/>
      <c r="B34" s="81"/>
      <c r="C34" s="81" t="s">
        <v>360</v>
      </c>
      <c r="D34" s="81"/>
      <c r="E34" s="81"/>
      <c r="F34" s="103">
        <v>62029.53</v>
      </c>
    </row>
    <row r="35" spans="1:6" x14ac:dyDescent="0.2">
      <c r="A35" s="81"/>
      <c r="B35" s="81"/>
      <c r="C35" s="81" t="s">
        <v>361</v>
      </c>
      <c r="D35" s="81"/>
      <c r="E35" s="81"/>
      <c r="F35" s="103">
        <v>186350.3</v>
      </c>
    </row>
    <row r="36" spans="1:6" x14ac:dyDescent="0.2">
      <c r="A36" s="81"/>
      <c r="B36" s="81"/>
      <c r="C36" s="81" t="s">
        <v>362</v>
      </c>
      <c r="D36" s="81"/>
      <c r="E36" s="81"/>
      <c r="F36" s="103">
        <v>4474</v>
      </c>
    </row>
    <row r="37" spans="1:6" x14ac:dyDescent="0.2">
      <c r="A37" s="81"/>
      <c r="B37" s="81"/>
      <c r="C37" s="81" t="s">
        <v>670</v>
      </c>
      <c r="D37" s="81"/>
      <c r="E37" s="81"/>
      <c r="F37" s="103">
        <v>25212.82</v>
      </c>
    </row>
    <row r="38" spans="1:6" x14ac:dyDescent="0.2">
      <c r="A38" s="81"/>
      <c r="B38" s="81"/>
      <c r="C38" s="81" t="s">
        <v>363</v>
      </c>
      <c r="D38" s="81"/>
      <c r="E38" s="81"/>
      <c r="F38" s="103">
        <v>25005.61</v>
      </c>
    </row>
    <row r="39" spans="1:6" x14ac:dyDescent="0.2">
      <c r="A39" s="81"/>
      <c r="B39" s="81"/>
      <c r="C39" s="81" t="s">
        <v>612</v>
      </c>
      <c r="D39" s="81"/>
      <c r="E39" s="81"/>
      <c r="F39" s="103">
        <v>234546.72</v>
      </c>
    </row>
    <row r="40" spans="1:6" x14ac:dyDescent="0.2">
      <c r="A40" s="81"/>
      <c r="B40" s="81"/>
      <c r="C40" s="81" t="s">
        <v>659</v>
      </c>
      <c r="D40" s="81"/>
      <c r="E40" s="86"/>
      <c r="F40" s="103">
        <v>3505.19</v>
      </c>
    </row>
    <row r="41" spans="1:6" x14ac:dyDescent="0.2">
      <c r="A41" s="81"/>
      <c r="B41" s="81"/>
      <c r="C41" s="81" t="s">
        <v>364</v>
      </c>
      <c r="D41" s="81"/>
      <c r="E41" s="81"/>
      <c r="F41" s="103">
        <v>188141.96</v>
      </c>
    </row>
    <row r="42" spans="1:6" x14ac:dyDescent="0.2">
      <c r="A42" s="81"/>
      <c r="B42" s="81"/>
      <c r="C42" s="81" t="s">
        <v>754</v>
      </c>
      <c r="D42" s="81"/>
      <c r="E42" s="157"/>
      <c r="F42" s="103">
        <v>84090.93</v>
      </c>
    </row>
    <row r="43" spans="1:6" ht="13.5" thickBot="1" x14ac:dyDescent="0.25">
      <c r="A43" s="81"/>
      <c r="B43" s="81"/>
      <c r="C43" s="81" t="s">
        <v>365</v>
      </c>
      <c r="D43" s="81"/>
      <c r="E43" s="81"/>
      <c r="F43" s="109">
        <v>-2621716.17</v>
      </c>
    </row>
    <row r="44" spans="1:6" x14ac:dyDescent="0.2">
      <c r="A44" s="81"/>
      <c r="B44" s="81" t="s">
        <v>366</v>
      </c>
      <c r="C44" s="81"/>
      <c r="D44" s="81"/>
      <c r="E44" s="81"/>
      <c r="F44" s="103">
        <f>ROUND(SUM(F15:F43),5)</f>
        <v>1669192.39</v>
      </c>
    </row>
    <row r="45" spans="1:6" x14ac:dyDescent="0.2">
      <c r="A45" s="81"/>
      <c r="B45" s="81" t="s">
        <v>218</v>
      </c>
      <c r="C45" s="81"/>
      <c r="D45" s="81"/>
      <c r="E45" s="81"/>
      <c r="F45" s="103"/>
    </row>
    <row r="46" spans="1:6" x14ac:dyDescent="0.2">
      <c r="A46" s="81"/>
      <c r="B46" s="81"/>
      <c r="C46" s="81" t="s">
        <v>396</v>
      </c>
      <c r="D46" s="81"/>
      <c r="E46" s="81"/>
      <c r="F46" s="103">
        <v>0</v>
      </c>
    </row>
    <row r="47" spans="1:6" ht="13.5" thickBot="1" x14ac:dyDescent="0.25">
      <c r="A47" s="81"/>
      <c r="B47" s="81"/>
      <c r="C47" s="81" t="s">
        <v>367</v>
      </c>
      <c r="D47" s="81"/>
      <c r="E47" s="81"/>
      <c r="F47" s="103">
        <v>2887.59</v>
      </c>
    </row>
    <row r="48" spans="1:6" ht="13.5" thickBot="1" x14ac:dyDescent="0.25">
      <c r="A48" s="81"/>
      <c r="B48" s="81" t="s">
        <v>368</v>
      </c>
      <c r="C48" s="81"/>
      <c r="D48" s="81"/>
      <c r="E48" s="81"/>
      <c r="F48" s="105">
        <f>ROUND(SUM(F45:F47),5)</f>
        <v>2887.59</v>
      </c>
    </row>
    <row r="49" spans="1:7" ht="13.5" thickBot="1" x14ac:dyDescent="0.25">
      <c r="A49" s="83" t="s">
        <v>369</v>
      </c>
      <c r="B49" s="83"/>
      <c r="C49" s="83"/>
      <c r="D49" s="83"/>
      <c r="E49" s="83"/>
      <c r="F49" s="106">
        <f>ROUND(F2+F9+F44+F48+F14,5)</f>
        <v>2037537.95</v>
      </c>
      <c r="G49" s="100"/>
    </row>
    <row r="50" spans="1:7" ht="13.5" thickTop="1" x14ac:dyDescent="0.2">
      <c r="A50" s="81" t="s">
        <v>370</v>
      </c>
      <c r="B50" s="81"/>
      <c r="C50" s="81"/>
      <c r="D50" s="81"/>
      <c r="E50" s="81"/>
      <c r="F50" s="103"/>
    </row>
    <row r="51" spans="1:7" x14ac:dyDescent="0.2">
      <c r="A51" s="81"/>
      <c r="B51" s="81" t="s">
        <v>105</v>
      </c>
      <c r="C51" s="81"/>
      <c r="D51" s="81"/>
      <c r="E51" s="81"/>
      <c r="F51" s="103"/>
    </row>
    <row r="52" spans="1:7" x14ac:dyDescent="0.2">
      <c r="A52" s="81"/>
      <c r="B52" s="81"/>
      <c r="C52" s="81" t="s">
        <v>106</v>
      </c>
      <c r="D52" s="81"/>
      <c r="E52" s="81"/>
      <c r="F52" s="103"/>
    </row>
    <row r="53" spans="1:7" x14ac:dyDescent="0.2">
      <c r="A53" s="81"/>
      <c r="B53" s="81"/>
      <c r="C53" s="81"/>
      <c r="D53" s="81" t="s">
        <v>371</v>
      </c>
      <c r="E53" s="81"/>
      <c r="F53" s="103"/>
    </row>
    <row r="54" spans="1:7" x14ac:dyDescent="0.2">
      <c r="A54" s="81"/>
      <c r="B54" s="81"/>
      <c r="C54" s="81"/>
      <c r="D54" s="81"/>
      <c r="E54" s="81" t="s">
        <v>613</v>
      </c>
      <c r="F54" s="103"/>
    </row>
    <row r="55" spans="1:7" x14ac:dyDescent="0.2">
      <c r="A55" s="81"/>
      <c r="B55" s="81"/>
      <c r="C55" s="81"/>
      <c r="D55" s="81"/>
      <c r="E55" s="81" t="s">
        <v>372</v>
      </c>
      <c r="F55" s="103"/>
    </row>
    <row r="56" spans="1:7" x14ac:dyDescent="0.2">
      <c r="A56" s="81"/>
      <c r="B56" s="81"/>
      <c r="C56" s="81"/>
      <c r="D56" s="81"/>
      <c r="E56" s="81" t="s">
        <v>373</v>
      </c>
      <c r="F56" s="103">
        <v>4500</v>
      </c>
    </row>
    <row r="57" spans="1:7" x14ac:dyDescent="0.2">
      <c r="A57" s="81"/>
      <c r="B57" s="81"/>
      <c r="C57" s="81"/>
      <c r="D57" s="81"/>
      <c r="E57" s="81" t="s">
        <v>374</v>
      </c>
      <c r="F57" s="103"/>
    </row>
    <row r="58" spans="1:7" x14ac:dyDescent="0.2">
      <c r="A58" s="81"/>
      <c r="B58" s="81"/>
      <c r="C58" s="81"/>
      <c r="D58" s="81"/>
      <c r="E58" s="81" t="s">
        <v>592</v>
      </c>
      <c r="F58" s="103">
        <v>6750</v>
      </c>
    </row>
    <row r="59" spans="1:7" x14ac:dyDescent="0.2">
      <c r="A59" s="81"/>
      <c r="B59" s="81"/>
      <c r="C59" s="81"/>
      <c r="D59" s="81"/>
      <c r="E59" s="81" t="s">
        <v>375</v>
      </c>
      <c r="F59" s="103">
        <v>384.6</v>
      </c>
    </row>
    <row r="60" spans="1:7" x14ac:dyDescent="0.2">
      <c r="A60" s="81"/>
      <c r="B60" s="81"/>
      <c r="C60" s="81"/>
      <c r="D60" s="81"/>
      <c r="E60" s="81" t="s">
        <v>376</v>
      </c>
      <c r="F60" s="103">
        <v>2150</v>
      </c>
    </row>
    <row r="61" spans="1:7" x14ac:dyDescent="0.2">
      <c r="A61" s="81"/>
      <c r="B61" s="81"/>
      <c r="C61" s="81"/>
      <c r="D61" s="81"/>
      <c r="E61" s="81" t="s">
        <v>530</v>
      </c>
      <c r="F61" s="103">
        <v>5498.64</v>
      </c>
    </row>
    <row r="62" spans="1:7" x14ac:dyDescent="0.2">
      <c r="A62" s="81"/>
      <c r="B62" s="81"/>
      <c r="C62" s="81"/>
      <c r="D62" s="81"/>
      <c r="E62" s="81" t="s">
        <v>377</v>
      </c>
      <c r="F62" s="103"/>
    </row>
    <row r="63" spans="1:7" x14ac:dyDescent="0.2">
      <c r="A63" s="81"/>
      <c r="B63" s="81"/>
      <c r="C63" s="81"/>
      <c r="D63" s="81"/>
      <c r="E63" s="81" t="s">
        <v>378</v>
      </c>
      <c r="F63" s="103">
        <v>1053998.3899999999</v>
      </c>
    </row>
    <row r="64" spans="1:7" x14ac:dyDescent="0.2">
      <c r="A64" s="81"/>
      <c r="B64" s="81"/>
      <c r="C64" s="81"/>
      <c r="D64" s="81"/>
      <c r="E64" s="81" t="s">
        <v>379</v>
      </c>
      <c r="F64" s="103">
        <v>20938.05</v>
      </c>
    </row>
    <row r="65" spans="1:7" x14ac:dyDescent="0.2">
      <c r="A65" s="81"/>
      <c r="B65" s="81"/>
      <c r="C65" s="81"/>
      <c r="D65" s="81"/>
      <c r="E65" s="81" t="s">
        <v>380</v>
      </c>
      <c r="F65" s="103">
        <v>2803.2</v>
      </c>
    </row>
    <row r="66" spans="1:7" x14ac:dyDescent="0.2">
      <c r="A66" s="81"/>
      <c r="B66" s="81"/>
      <c r="C66" s="81"/>
      <c r="D66" s="81"/>
      <c r="E66" s="81" t="s">
        <v>615</v>
      </c>
      <c r="F66" s="103"/>
    </row>
    <row r="67" spans="1:7" ht="13.5" thickBot="1" x14ac:dyDescent="0.25">
      <c r="A67" s="81"/>
      <c r="B67" s="81"/>
      <c r="C67" s="81"/>
      <c r="D67" s="81"/>
      <c r="E67" s="157" t="s">
        <v>755</v>
      </c>
      <c r="F67" s="103">
        <v>64803.43</v>
      </c>
    </row>
    <row r="68" spans="1:7" ht="13.5" thickBot="1" x14ac:dyDescent="0.25">
      <c r="A68" s="81"/>
      <c r="B68" s="81"/>
      <c r="C68" s="81"/>
      <c r="D68" s="81" t="s">
        <v>381</v>
      </c>
      <c r="E68" s="81"/>
      <c r="F68" s="104">
        <f>ROUND(SUM(F53:F67),5)</f>
        <v>1161826.31</v>
      </c>
    </row>
    <row r="69" spans="1:7" x14ac:dyDescent="0.2">
      <c r="A69" s="81"/>
      <c r="B69" s="81"/>
      <c r="C69" s="81" t="s">
        <v>382</v>
      </c>
      <c r="D69" s="81"/>
      <c r="E69" s="81"/>
      <c r="F69" s="103">
        <f>ROUND(F52+F68,5)</f>
        <v>1161826.31</v>
      </c>
    </row>
    <row r="70" spans="1:7" x14ac:dyDescent="0.2">
      <c r="A70" s="81"/>
      <c r="B70" s="81"/>
      <c r="C70" s="81" t="s">
        <v>149</v>
      </c>
      <c r="D70" s="81"/>
      <c r="E70" s="81"/>
      <c r="F70" s="103"/>
    </row>
    <row r="71" spans="1:7" x14ac:dyDescent="0.2">
      <c r="A71" s="81"/>
      <c r="B71" s="81"/>
      <c r="C71" s="81"/>
      <c r="D71" s="81" t="s">
        <v>383</v>
      </c>
      <c r="E71" s="81"/>
      <c r="F71" s="103">
        <v>1038675.03</v>
      </c>
    </row>
    <row r="72" spans="1:7" ht="13.5" thickBot="1" x14ac:dyDescent="0.25">
      <c r="A72" s="81"/>
      <c r="B72" s="81"/>
      <c r="C72" s="81"/>
      <c r="D72" s="81" t="s">
        <v>384</v>
      </c>
      <c r="E72" s="81"/>
      <c r="F72" s="103">
        <v>1086025.01</v>
      </c>
    </row>
    <row r="73" spans="1:7" ht="13.5" thickBot="1" x14ac:dyDescent="0.25">
      <c r="A73" s="81"/>
      <c r="B73" s="81"/>
      <c r="C73" s="81" t="s">
        <v>319</v>
      </c>
      <c r="D73" s="81"/>
      <c r="E73" s="81"/>
      <c r="F73" s="104">
        <f>ROUND(SUM(F70:F72),5)</f>
        <v>2124700.04</v>
      </c>
    </row>
    <row r="74" spans="1:7" x14ac:dyDescent="0.2">
      <c r="A74" s="81"/>
      <c r="B74" s="81" t="s">
        <v>320</v>
      </c>
      <c r="C74" s="81"/>
      <c r="D74" s="81"/>
      <c r="E74" s="81"/>
      <c r="F74" s="103">
        <f>ROUND(F51+F69+F73,5)</f>
        <v>3286526.35</v>
      </c>
    </row>
    <row r="75" spans="1:7" x14ac:dyDescent="0.2">
      <c r="A75" s="81"/>
      <c r="B75" s="81" t="s">
        <v>160</v>
      </c>
      <c r="C75" s="81"/>
      <c r="D75" s="81"/>
      <c r="E75" s="81"/>
      <c r="F75" s="103"/>
    </row>
    <row r="76" spans="1:7" x14ac:dyDescent="0.2">
      <c r="A76" s="81"/>
      <c r="B76" s="81"/>
      <c r="C76" s="81" t="s">
        <v>385</v>
      </c>
      <c r="D76" s="81"/>
      <c r="E76" s="81"/>
      <c r="F76" s="103">
        <v>24927.59</v>
      </c>
    </row>
    <row r="77" spans="1:7" x14ac:dyDescent="0.2">
      <c r="A77" s="81"/>
      <c r="B77" s="81"/>
      <c r="C77" s="81" t="s">
        <v>386</v>
      </c>
      <c r="D77" s="81"/>
      <c r="E77" s="81"/>
      <c r="F77" s="103">
        <v>-1189372.3600000001</v>
      </c>
    </row>
    <row r="78" spans="1:7" ht="13.5" thickBot="1" x14ac:dyDescent="0.25">
      <c r="A78" s="81"/>
      <c r="B78" s="81"/>
      <c r="C78" s="81" t="s">
        <v>387</v>
      </c>
      <c r="D78" s="81"/>
      <c r="E78" s="81"/>
      <c r="F78" s="103">
        <v>-84543.63</v>
      </c>
    </row>
    <row r="79" spans="1:7" ht="13.5" thickBot="1" x14ac:dyDescent="0.25">
      <c r="A79" s="81"/>
      <c r="B79" s="81" t="s">
        <v>331</v>
      </c>
      <c r="C79" s="81"/>
      <c r="D79" s="81"/>
      <c r="E79" s="81"/>
      <c r="F79" s="105">
        <f>ROUND(SUM(F75:F78),5)</f>
        <v>-1248988.3999999999</v>
      </c>
    </row>
    <row r="80" spans="1:7" ht="13.5" thickBot="1" x14ac:dyDescent="0.25">
      <c r="A80" s="83" t="s">
        <v>388</v>
      </c>
      <c r="B80" s="83"/>
      <c r="C80" s="83"/>
      <c r="D80" s="83"/>
      <c r="E80" s="83"/>
      <c r="F80" s="106">
        <f>ROUND(F50+F74+F79,5)</f>
        <v>2037537.95</v>
      </c>
      <c r="G80" s="100"/>
    </row>
    <row r="81" spans="5:6" ht="13.5" thickTop="1" x14ac:dyDescent="0.2"/>
    <row r="82" spans="5:6" x14ac:dyDescent="0.2">
      <c r="E82" s="85" t="s">
        <v>392</v>
      </c>
      <c r="F82" s="108">
        <f>F49-F80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S110"/>
  <sheetViews>
    <sheetView topLeftCell="A58" workbookViewId="0">
      <selection activeCell="I96" sqref="I96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9" t="s">
        <v>407</v>
      </c>
      <c r="C2" s="189"/>
      <c r="D2" s="189"/>
      <c r="E2" s="189"/>
      <c r="F2" s="189"/>
    </row>
    <row r="3" spans="1:19" x14ac:dyDescent="0.2">
      <c r="A3" s="100"/>
      <c r="B3" s="189"/>
      <c r="C3" s="189"/>
      <c r="D3" s="189"/>
      <c r="E3" s="189"/>
      <c r="F3" s="189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751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168251.57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168251.57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411</v>
      </c>
      <c r="E12" s="83"/>
      <c r="F12" s="103">
        <v>1106963.06</v>
      </c>
    </row>
    <row r="13" spans="1:19" x14ac:dyDescent="0.2">
      <c r="A13" s="83"/>
      <c r="B13" s="83"/>
      <c r="C13" s="83"/>
      <c r="D13" s="83" t="s">
        <v>569</v>
      </c>
      <c r="E13" s="83"/>
      <c r="F13" s="103">
        <f>1050000+19325</f>
        <v>1069325</v>
      </c>
    </row>
    <row r="14" spans="1:19" x14ac:dyDescent="0.2">
      <c r="A14" s="83"/>
      <c r="B14" s="83"/>
      <c r="C14" s="83"/>
      <c r="D14" s="83" t="s">
        <v>576</v>
      </c>
      <c r="E14" s="83"/>
      <c r="F14" s="103">
        <v>0</v>
      </c>
    </row>
    <row r="15" spans="1:19" x14ac:dyDescent="0.2">
      <c r="A15" s="83"/>
      <c r="B15" s="83"/>
      <c r="C15" s="83"/>
      <c r="D15" s="83" t="s">
        <v>412</v>
      </c>
      <c r="E15" s="83"/>
      <c r="F15" s="103">
        <v>0</v>
      </c>
    </row>
    <row r="16" spans="1:19" ht="13.5" thickBot="1" x14ac:dyDescent="0.25">
      <c r="A16" s="83"/>
      <c r="B16" s="83"/>
      <c r="C16" s="83"/>
      <c r="D16" s="83" t="s">
        <v>669</v>
      </c>
      <c r="E16" s="83"/>
      <c r="F16" s="103">
        <v>0</v>
      </c>
    </row>
    <row r="17" spans="1:6" ht="13.5" thickBot="1" x14ac:dyDescent="0.25">
      <c r="A17" s="83"/>
      <c r="B17" s="83"/>
      <c r="C17" s="83" t="s">
        <v>413</v>
      </c>
      <c r="D17" s="83"/>
      <c r="E17" s="83"/>
      <c r="F17" s="104">
        <f>ROUND(SUM(F11:F16),5)</f>
        <v>2176288.06</v>
      </c>
    </row>
    <row r="18" spans="1:6" x14ac:dyDescent="0.2">
      <c r="A18" s="83"/>
      <c r="B18" s="83" t="s">
        <v>275</v>
      </c>
      <c r="C18" s="83"/>
      <c r="D18" s="83"/>
      <c r="E18" s="83"/>
      <c r="F18" s="103">
        <f>ROUND(F7+F10+F17,5)</f>
        <v>2344539.63</v>
      </c>
    </row>
    <row r="19" spans="1:6" x14ac:dyDescent="0.2">
      <c r="A19" s="83"/>
      <c r="B19" s="83" t="s">
        <v>341</v>
      </c>
      <c r="C19" s="83"/>
      <c r="D19" s="83"/>
      <c r="E19" s="83"/>
      <c r="F19" s="103"/>
    </row>
    <row r="20" spans="1:6" x14ac:dyDescent="0.2">
      <c r="A20" s="83"/>
      <c r="B20" s="83"/>
      <c r="C20" s="83" t="s">
        <v>414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415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416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417</v>
      </c>
      <c r="D23" s="83"/>
      <c r="E23" s="83"/>
      <c r="F23" s="103">
        <v>-1640262.48</v>
      </c>
    </row>
    <row r="24" spans="1:6" x14ac:dyDescent="0.2">
      <c r="A24" s="83"/>
      <c r="B24" s="83"/>
      <c r="C24" s="83" t="s">
        <v>419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420</v>
      </c>
      <c r="D25" s="83"/>
      <c r="E25" s="83"/>
      <c r="F25" s="109">
        <v>950000</v>
      </c>
    </row>
    <row r="26" spans="1:6" x14ac:dyDescent="0.2">
      <c r="A26" s="83"/>
      <c r="B26" s="83" t="s">
        <v>366</v>
      </c>
      <c r="C26" s="83"/>
      <c r="D26" s="83"/>
      <c r="E26" s="83"/>
      <c r="F26" s="103">
        <f>ROUND(SUM(F19:F25),5)</f>
        <v>87793.53</v>
      </c>
    </row>
    <row r="27" spans="1:6" x14ac:dyDescent="0.2">
      <c r="A27" s="83"/>
      <c r="B27" s="83" t="s">
        <v>218</v>
      </c>
      <c r="C27" s="83"/>
      <c r="D27" s="83"/>
      <c r="E27" s="83"/>
      <c r="F27" s="103"/>
    </row>
    <row r="28" spans="1:6" x14ac:dyDescent="0.2">
      <c r="A28" s="83"/>
      <c r="B28" s="83"/>
      <c r="C28" s="83" t="s">
        <v>422</v>
      </c>
      <c r="D28" s="83"/>
      <c r="E28" s="83"/>
      <c r="F28" s="103"/>
    </row>
    <row r="29" spans="1:6" x14ac:dyDescent="0.2">
      <c r="A29" s="83"/>
      <c r="B29" s="83"/>
      <c r="C29" s="83"/>
      <c r="D29" s="83" t="s">
        <v>423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424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425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426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427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428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429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430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431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432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433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434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435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436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437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438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439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440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441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442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443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444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445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446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447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448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368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369</v>
      </c>
      <c r="B56" s="83"/>
      <c r="C56" s="83"/>
      <c r="D56" s="83"/>
      <c r="E56" s="83"/>
      <c r="F56" s="106">
        <f>ROUND(F6+F18+F26+F55,5)</f>
        <v>5514919.71</v>
      </c>
    </row>
    <row r="57" spans="1:6" ht="13.5" thickTop="1" x14ac:dyDescent="0.2">
      <c r="A57" s="83" t="s">
        <v>370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371</v>
      </c>
      <c r="E60" s="83"/>
      <c r="F60" s="103"/>
    </row>
    <row r="61" spans="1:6" x14ac:dyDescent="0.2">
      <c r="A61" s="83"/>
      <c r="B61" s="83"/>
      <c r="C61" s="83"/>
      <c r="D61" s="83"/>
      <c r="E61" s="83" t="s">
        <v>651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472</v>
      </c>
      <c r="F62" s="103">
        <v>2175</v>
      </c>
    </row>
    <row r="63" spans="1:6" ht="13.5" thickBot="1" x14ac:dyDescent="0.25">
      <c r="A63" s="83"/>
      <c r="B63" s="83"/>
      <c r="C63" s="83"/>
      <c r="D63" s="83"/>
      <c r="E63" s="83" t="s">
        <v>453</v>
      </c>
      <c r="F63" s="103">
        <v>110199.03999999999</v>
      </c>
    </row>
    <row r="64" spans="1:6" ht="13.5" thickBot="1" x14ac:dyDescent="0.25">
      <c r="A64" s="83"/>
      <c r="B64" s="83"/>
      <c r="C64" s="83"/>
      <c r="D64" s="83" t="s">
        <v>381</v>
      </c>
      <c r="E64" s="83"/>
      <c r="F64" s="104">
        <f>ROUND(SUM(F60:F63),5)</f>
        <v>112374.04</v>
      </c>
    </row>
    <row r="65" spans="1:6" x14ac:dyDescent="0.2">
      <c r="A65" s="83"/>
      <c r="B65" s="83"/>
      <c r="C65" s="83" t="s">
        <v>382</v>
      </c>
      <c r="D65" s="83"/>
      <c r="E65" s="83"/>
      <c r="F65" s="103">
        <f>ROUND(F59+F64,5)</f>
        <v>112374.04</v>
      </c>
    </row>
    <row r="66" spans="1:6" x14ac:dyDescent="0.2">
      <c r="A66" s="83"/>
      <c r="B66" s="83"/>
      <c r="C66" s="83" t="s">
        <v>149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455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319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320</v>
      </c>
      <c r="C69" s="83"/>
      <c r="D69" s="83"/>
      <c r="E69" s="83"/>
      <c r="F69" s="103">
        <f>ROUND(F58+F65+F68,5)</f>
        <v>360124.04</v>
      </c>
    </row>
    <row r="70" spans="1:6" x14ac:dyDescent="0.2">
      <c r="A70" s="83"/>
      <c r="B70" s="83" t="s">
        <v>160</v>
      </c>
      <c r="C70" s="83"/>
      <c r="D70" s="83"/>
      <c r="E70" s="83"/>
      <c r="F70" s="103"/>
    </row>
    <row r="71" spans="1:6" x14ac:dyDescent="0.2">
      <c r="A71" s="83"/>
      <c r="B71" s="83"/>
      <c r="C71" s="83" t="s">
        <v>456</v>
      </c>
      <c r="D71" s="83"/>
      <c r="E71" s="83"/>
      <c r="F71" s="103"/>
    </row>
    <row r="72" spans="1:6" x14ac:dyDescent="0.2">
      <c r="A72" s="83"/>
      <c r="B72" s="83"/>
      <c r="C72" s="83"/>
      <c r="D72" s="83" t="s">
        <v>457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458</v>
      </c>
      <c r="E73" s="83"/>
      <c r="F73" s="103">
        <v>0</v>
      </c>
    </row>
    <row r="74" spans="1:6" x14ac:dyDescent="0.2">
      <c r="A74" s="83"/>
      <c r="B74" s="83"/>
      <c r="C74" s="83"/>
      <c r="D74" s="83" t="s">
        <v>459</v>
      </c>
      <c r="E74" s="83"/>
      <c r="F74" s="103">
        <v>0</v>
      </c>
    </row>
    <row r="75" spans="1:6" x14ac:dyDescent="0.2">
      <c r="A75" s="83"/>
      <c r="B75" s="83"/>
      <c r="C75" s="83"/>
      <c r="D75" s="83" t="s">
        <v>460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461</v>
      </c>
      <c r="E76" s="83"/>
      <c r="F76" s="109">
        <v>0</v>
      </c>
    </row>
    <row r="77" spans="1:6" x14ac:dyDescent="0.2">
      <c r="A77" s="83"/>
      <c r="B77" s="83"/>
      <c r="C77" s="83" t="s">
        <v>462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463</v>
      </c>
      <c r="D78" s="83"/>
      <c r="E78" s="83"/>
      <c r="F78" s="103"/>
    </row>
    <row r="79" spans="1:6" x14ac:dyDescent="0.2">
      <c r="A79" s="83"/>
      <c r="B79" s="83"/>
      <c r="C79" s="83"/>
      <c r="D79" s="83" t="s">
        <v>464</v>
      </c>
      <c r="E79" s="83"/>
      <c r="F79" s="103">
        <v>1662905.87</v>
      </c>
    </row>
    <row r="80" spans="1:6" x14ac:dyDescent="0.2">
      <c r="A80" s="83"/>
      <c r="B80" s="83"/>
      <c r="C80" s="83"/>
      <c r="D80" s="83" t="s">
        <v>465</v>
      </c>
      <c r="E80" s="83"/>
      <c r="F80" s="103">
        <v>1662896.87</v>
      </c>
    </row>
    <row r="81" spans="1:6" x14ac:dyDescent="0.2">
      <c r="A81" s="83"/>
      <c r="B81" s="83"/>
      <c r="C81" s="83"/>
      <c r="D81" s="83" t="s">
        <v>466</v>
      </c>
      <c r="E81" s="83"/>
      <c r="F81" s="103">
        <v>1662914.87</v>
      </c>
    </row>
    <row r="82" spans="1:6" x14ac:dyDescent="0.2">
      <c r="A82" s="83"/>
      <c r="B82" s="83"/>
      <c r="C82" s="83"/>
      <c r="D82" s="83" t="s">
        <v>467</v>
      </c>
      <c r="E82" s="83"/>
      <c r="F82" s="103">
        <v>19732.41</v>
      </c>
    </row>
    <row r="83" spans="1:6" ht="13.5" thickBot="1" x14ac:dyDescent="0.25">
      <c r="A83" s="83"/>
      <c r="B83" s="83"/>
      <c r="C83" s="83"/>
      <c r="D83" s="83" t="s">
        <v>468</v>
      </c>
      <c r="E83" s="83"/>
      <c r="F83" s="109">
        <v>18346.169999999998</v>
      </c>
    </row>
    <row r="84" spans="1:6" x14ac:dyDescent="0.2">
      <c r="A84" s="83"/>
      <c r="B84" s="83"/>
      <c r="C84" s="83" t="s">
        <v>469</v>
      </c>
      <c r="D84" s="83"/>
      <c r="E84" s="83"/>
      <c r="F84" s="103">
        <f>ROUND(SUM(F78:F83),5)</f>
        <v>5026796.1900000004</v>
      </c>
    </row>
    <row r="85" spans="1:6" x14ac:dyDescent="0.2">
      <c r="A85" s="83"/>
      <c r="B85" s="83"/>
      <c r="C85" s="83" t="s">
        <v>470</v>
      </c>
      <c r="D85" s="83"/>
      <c r="E85" s="83"/>
      <c r="F85" s="103">
        <v>0</v>
      </c>
    </row>
    <row r="86" spans="1:6" x14ac:dyDescent="0.2">
      <c r="A86" s="83"/>
      <c r="B86" s="83"/>
      <c r="C86" s="83" t="s">
        <v>580</v>
      </c>
      <c r="D86" s="83"/>
      <c r="E86" s="83"/>
      <c r="F86" s="103"/>
    </row>
    <row r="87" spans="1:6" x14ac:dyDescent="0.2">
      <c r="A87" s="83"/>
      <c r="B87" s="83"/>
      <c r="C87" s="83"/>
      <c r="D87" s="83" t="s">
        <v>581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582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583</v>
      </c>
      <c r="E89" s="83"/>
      <c r="F89" s="103">
        <v>0</v>
      </c>
    </row>
    <row r="90" spans="1:6" x14ac:dyDescent="0.2">
      <c r="A90" s="83"/>
      <c r="B90" s="83"/>
      <c r="C90" s="83" t="s">
        <v>471</v>
      </c>
      <c r="D90" s="83"/>
      <c r="E90" s="83"/>
      <c r="F90" s="103">
        <v>2988.06</v>
      </c>
    </row>
    <row r="91" spans="1:6" ht="13.5" thickBot="1" x14ac:dyDescent="0.25">
      <c r="A91" s="83"/>
      <c r="B91" s="83"/>
      <c r="C91" s="83" t="s">
        <v>387</v>
      </c>
      <c r="D91" s="83"/>
      <c r="E91" s="83"/>
      <c r="F91" s="103">
        <v>125011.42</v>
      </c>
    </row>
    <row r="92" spans="1:6" ht="13.5" thickBot="1" x14ac:dyDescent="0.25">
      <c r="A92" s="83"/>
      <c r="B92" s="83" t="s">
        <v>331</v>
      </c>
      <c r="C92" s="83"/>
      <c r="D92" s="83"/>
      <c r="E92" s="83"/>
      <c r="F92" s="105">
        <f>ROUND(F70+F77+SUM(F84:F91),5)</f>
        <v>5154795.67</v>
      </c>
    </row>
    <row r="93" spans="1:6" ht="13.5" thickBot="1" x14ac:dyDescent="0.25">
      <c r="A93" s="83" t="s">
        <v>388</v>
      </c>
      <c r="B93" s="83"/>
      <c r="C93" s="83"/>
      <c r="D93" s="83"/>
      <c r="E93" s="83"/>
      <c r="F93" s="106">
        <f>ROUND(F57+F69+F92,5)</f>
        <v>5514919.71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2:S72"/>
  <sheetViews>
    <sheetView topLeftCell="A49" zoomScaleNormal="100" workbookViewId="0">
      <selection activeCell="I81" sqref="I81"/>
    </sheetView>
  </sheetViews>
  <sheetFormatPr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19" x14ac:dyDescent="0.2">
      <c r="B2" s="189" t="s">
        <v>502</v>
      </c>
      <c r="C2" s="189"/>
      <c r="D2" s="189"/>
      <c r="E2" s="189"/>
    </row>
    <row r="3" spans="1:19" x14ac:dyDescent="0.2">
      <c r="B3" s="189"/>
      <c r="C3" s="189"/>
      <c r="D3" s="189"/>
      <c r="E3" s="189"/>
    </row>
    <row r="5" spans="1:19" ht="13.5" thickBot="1" x14ac:dyDescent="0.25">
      <c r="A5" s="101"/>
      <c r="B5" s="101"/>
      <c r="C5" s="101"/>
      <c r="D5" s="101"/>
      <c r="E5" s="102" t="s">
        <v>753</v>
      </c>
    </row>
    <row r="6" spans="1:19" ht="13.5" thickTop="1" x14ac:dyDescent="0.2">
      <c r="A6" s="83" t="s">
        <v>335</v>
      </c>
      <c r="B6" s="83"/>
      <c r="C6" s="83"/>
      <c r="D6" s="83"/>
      <c r="E6" s="103"/>
    </row>
    <row r="7" spans="1:19" x14ac:dyDescent="0.2">
      <c r="A7" s="83"/>
      <c r="B7" s="83" t="s">
        <v>3</v>
      </c>
      <c r="C7" s="83"/>
      <c r="D7" s="83"/>
      <c r="E7" s="103"/>
    </row>
    <row r="8" spans="1:19" x14ac:dyDescent="0.2">
      <c r="A8" s="83"/>
      <c r="B8" s="83"/>
      <c r="C8" s="83" t="s">
        <v>336</v>
      </c>
      <c r="D8" s="83"/>
      <c r="E8" s="103"/>
    </row>
    <row r="9" spans="1:19" ht="13.5" thickBot="1" x14ac:dyDescent="0.25">
      <c r="A9" s="83"/>
      <c r="B9" s="83"/>
      <c r="C9" s="83" t="s">
        <v>481</v>
      </c>
      <c r="E9" s="103">
        <v>69782.84</v>
      </c>
      <c r="S9" s="75">
        <v>0</v>
      </c>
    </row>
    <row r="10" spans="1:19" ht="13.5" thickBot="1" x14ac:dyDescent="0.25">
      <c r="A10" s="83"/>
      <c r="B10" s="83"/>
      <c r="C10" s="83" t="s">
        <v>340</v>
      </c>
      <c r="D10" s="83"/>
      <c r="E10" s="104">
        <f>ROUND(SUM(E8:E9),5)</f>
        <v>69782.84</v>
      </c>
      <c r="S10" s="75">
        <v>0</v>
      </c>
    </row>
    <row r="11" spans="1:19" x14ac:dyDescent="0.2">
      <c r="A11" s="83"/>
      <c r="B11" s="83"/>
      <c r="C11" s="83"/>
      <c r="D11" s="83"/>
      <c r="E11" s="103"/>
    </row>
    <row r="12" spans="1:19" x14ac:dyDescent="0.2">
      <c r="A12" s="83"/>
      <c r="B12" s="83"/>
      <c r="C12" s="83" t="s">
        <v>550</v>
      </c>
      <c r="D12" s="83"/>
      <c r="E12" s="103"/>
    </row>
    <row r="13" spans="1:19" x14ac:dyDescent="0.2">
      <c r="A13" s="83"/>
      <c r="B13" s="83"/>
      <c r="C13" s="83" t="s">
        <v>551</v>
      </c>
      <c r="E13" s="103">
        <v>25000</v>
      </c>
    </row>
    <row r="14" spans="1:19" x14ac:dyDescent="0.2">
      <c r="A14" s="83"/>
      <c r="B14" s="83"/>
      <c r="C14" s="83" t="s">
        <v>571</v>
      </c>
      <c r="E14" s="103">
        <v>7500</v>
      </c>
      <c r="G14" s="75" t="s">
        <v>572</v>
      </c>
    </row>
    <row r="15" spans="1:19" x14ac:dyDescent="0.2">
      <c r="A15" s="83"/>
      <c r="B15" s="83"/>
      <c r="C15" s="83" t="s">
        <v>652</v>
      </c>
      <c r="E15" s="103">
        <v>387.51</v>
      </c>
    </row>
    <row r="16" spans="1:19" ht="13.5" thickBot="1" x14ac:dyDescent="0.25">
      <c r="A16" s="83"/>
      <c r="B16" s="83"/>
      <c r="C16" s="83" t="s">
        <v>671</v>
      </c>
      <c r="E16" s="103"/>
    </row>
    <row r="17" spans="1:5" ht="13.5" thickBot="1" x14ac:dyDescent="0.25">
      <c r="A17" s="83"/>
      <c r="B17" s="83"/>
      <c r="C17" s="83" t="s">
        <v>340</v>
      </c>
      <c r="D17" s="83"/>
      <c r="E17" s="104">
        <f>ROUND(SUM(E13:E16),5)</f>
        <v>32887.51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275</v>
      </c>
      <c r="C19" s="83"/>
      <c r="D19" s="83"/>
      <c r="E19" s="103">
        <f>E10+E17</f>
        <v>102670.35</v>
      </c>
    </row>
    <row r="20" spans="1:5" x14ac:dyDescent="0.2">
      <c r="A20" s="83"/>
      <c r="B20" s="83" t="s">
        <v>341</v>
      </c>
      <c r="C20" s="83"/>
      <c r="D20" s="83"/>
      <c r="E20" s="103"/>
    </row>
    <row r="21" spans="1:5" x14ac:dyDescent="0.2">
      <c r="A21" s="83"/>
      <c r="B21" s="83"/>
      <c r="C21" s="83" t="s">
        <v>482</v>
      </c>
      <c r="D21" s="83"/>
      <c r="E21" s="103">
        <v>-1081130.73</v>
      </c>
    </row>
    <row r="22" spans="1:5" x14ac:dyDescent="0.2">
      <c r="A22" s="83"/>
      <c r="B22" s="83"/>
      <c r="C22" s="83" t="s">
        <v>483</v>
      </c>
      <c r="D22" s="83"/>
      <c r="E22" s="103">
        <v>-9394.2000000000007</v>
      </c>
    </row>
    <row r="23" spans="1:5" x14ac:dyDescent="0.2">
      <c r="A23" s="83"/>
      <c r="B23" s="83"/>
      <c r="C23" s="83" t="s">
        <v>484</v>
      </c>
      <c r="D23" s="83"/>
      <c r="E23" s="103">
        <v>-121959.72</v>
      </c>
    </row>
    <row r="24" spans="1:5" x14ac:dyDescent="0.2">
      <c r="A24" s="83"/>
      <c r="B24" s="83"/>
      <c r="C24" s="83" t="s">
        <v>485</v>
      </c>
      <c r="D24" s="83"/>
      <c r="E24" s="103">
        <v>-184354.5</v>
      </c>
    </row>
    <row r="25" spans="1:5" x14ac:dyDescent="0.2">
      <c r="A25" s="83"/>
      <c r="B25" s="83"/>
      <c r="C25" s="83" t="s">
        <v>638</v>
      </c>
      <c r="D25" s="83"/>
      <c r="E25" s="103"/>
    </row>
    <row r="26" spans="1:5" x14ac:dyDescent="0.2">
      <c r="A26" s="83"/>
      <c r="B26" s="83"/>
      <c r="C26" s="83" t="s">
        <v>486</v>
      </c>
      <c r="D26" s="83"/>
      <c r="E26" s="103">
        <v>6396505.0499999998</v>
      </c>
    </row>
    <row r="27" spans="1:5" x14ac:dyDescent="0.2">
      <c r="A27" s="83"/>
      <c r="B27" s="83"/>
      <c r="C27" s="83" t="s">
        <v>504</v>
      </c>
      <c r="D27" s="83"/>
      <c r="E27" s="103">
        <v>1447911.12</v>
      </c>
    </row>
    <row r="28" spans="1:5" x14ac:dyDescent="0.2">
      <c r="A28" s="83"/>
      <c r="B28" s="83"/>
      <c r="C28" s="83" t="s">
        <v>487</v>
      </c>
      <c r="D28" s="83"/>
      <c r="E28" s="103">
        <v>9394.19</v>
      </c>
    </row>
    <row r="29" spans="1:5" x14ac:dyDescent="0.2">
      <c r="A29" s="83"/>
      <c r="B29" s="83"/>
      <c r="C29" s="83" t="s">
        <v>488</v>
      </c>
      <c r="D29" s="83"/>
      <c r="E29" s="103">
        <v>1898482.76</v>
      </c>
    </row>
    <row r="30" spans="1:5" x14ac:dyDescent="0.2">
      <c r="A30" s="83"/>
      <c r="B30" s="83"/>
      <c r="C30" s="83" t="s">
        <v>489</v>
      </c>
      <c r="D30" s="83"/>
      <c r="E30" s="103">
        <v>152311.53</v>
      </c>
    </row>
    <row r="31" spans="1:5" x14ac:dyDescent="0.2">
      <c r="A31" s="83"/>
      <c r="B31" s="83"/>
      <c r="C31" s="83" t="s">
        <v>490</v>
      </c>
      <c r="D31" s="83"/>
      <c r="E31" s="103">
        <v>230237.91</v>
      </c>
    </row>
    <row r="32" spans="1:5" ht="13.5" thickBot="1" x14ac:dyDescent="0.25">
      <c r="A32" s="83"/>
      <c r="B32" s="83"/>
      <c r="C32" s="83" t="s">
        <v>578</v>
      </c>
      <c r="D32" s="83"/>
      <c r="E32" s="103"/>
    </row>
    <row r="33" spans="1:5" ht="13.5" thickBot="1" x14ac:dyDescent="0.25">
      <c r="A33" s="83"/>
      <c r="B33" s="83" t="s">
        <v>366</v>
      </c>
      <c r="C33" s="83"/>
      <c r="D33" s="83"/>
      <c r="E33" s="105">
        <f>ROUND(SUM(E20:E32),5)</f>
        <v>8738003.4100000001</v>
      </c>
    </row>
    <row r="34" spans="1:5" ht="13.5" thickBot="1" x14ac:dyDescent="0.25">
      <c r="A34" s="83" t="s">
        <v>369</v>
      </c>
      <c r="B34" s="83"/>
      <c r="C34" s="83"/>
      <c r="D34" s="83"/>
      <c r="E34" s="106">
        <f>ROUND(E6+E19+E33,5)</f>
        <v>8840673.7599999998</v>
      </c>
    </row>
    <row r="35" spans="1:5" ht="13.5" thickTop="1" x14ac:dyDescent="0.2">
      <c r="A35" s="83" t="s">
        <v>370</v>
      </c>
      <c r="B35" s="83"/>
      <c r="C35" s="83"/>
      <c r="D35" s="83"/>
      <c r="E35" s="103"/>
    </row>
    <row r="36" spans="1:5" x14ac:dyDescent="0.2">
      <c r="A36" s="83"/>
      <c r="B36" s="83" t="s">
        <v>105</v>
      </c>
      <c r="C36" s="83"/>
      <c r="D36" s="83"/>
      <c r="E36" s="103"/>
    </row>
    <row r="37" spans="1:5" x14ac:dyDescent="0.2">
      <c r="A37" s="83"/>
      <c r="B37" s="83"/>
      <c r="C37" s="83" t="s">
        <v>106</v>
      </c>
      <c r="D37" s="83"/>
      <c r="E37" s="103"/>
    </row>
    <row r="38" spans="1:5" x14ac:dyDescent="0.2">
      <c r="A38" s="83"/>
      <c r="B38" s="83"/>
      <c r="C38" s="83" t="s">
        <v>371</v>
      </c>
      <c r="D38" s="83"/>
      <c r="E38" s="103"/>
    </row>
    <row r="39" spans="1:5" x14ac:dyDescent="0.2">
      <c r="A39" s="83"/>
      <c r="B39" s="83"/>
      <c r="C39" s="83" t="s">
        <v>639</v>
      </c>
      <c r="D39" s="83"/>
      <c r="E39" s="103">
        <v>0</v>
      </c>
    </row>
    <row r="40" spans="1:5" x14ac:dyDescent="0.2">
      <c r="A40" s="83"/>
      <c r="B40" s="83"/>
      <c r="C40" s="83" t="s">
        <v>640</v>
      </c>
      <c r="D40" s="83"/>
      <c r="E40" s="103">
        <v>0</v>
      </c>
    </row>
    <row r="41" spans="1:5" x14ac:dyDescent="0.2">
      <c r="A41" s="83"/>
      <c r="B41" s="83"/>
      <c r="C41" s="83" t="s">
        <v>641</v>
      </c>
      <c r="D41" s="83"/>
      <c r="E41" s="103">
        <v>0</v>
      </c>
    </row>
    <row r="42" spans="1:5" x14ac:dyDescent="0.2">
      <c r="A42" s="83"/>
      <c r="B42" s="83"/>
      <c r="C42" s="83" t="s">
        <v>642</v>
      </c>
      <c r="D42" s="83"/>
      <c r="E42" s="103">
        <v>0</v>
      </c>
    </row>
    <row r="43" spans="1:5" x14ac:dyDescent="0.2">
      <c r="A43" s="83"/>
      <c r="B43" s="83"/>
      <c r="C43" s="83" t="s">
        <v>626</v>
      </c>
      <c r="D43" s="83"/>
      <c r="E43" s="103">
        <v>0</v>
      </c>
    </row>
    <row r="44" spans="1:5" x14ac:dyDescent="0.2">
      <c r="A44" s="83"/>
      <c r="B44" s="83"/>
      <c r="C44" s="83" t="s">
        <v>491</v>
      </c>
      <c r="E44" s="103">
        <v>0</v>
      </c>
    </row>
    <row r="45" spans="1:5" x14ac:dyDescent="0.2">
      <c r="A45" s="83"/>
      <c r="B45" s="83"/>
      <c r="C45" s="83" t="s">
        <v>579</v>
      </c>
      <c r="E45" s="103">
        <v>390162.84</v>
      </c>
    </row>
    <row r="46" spans="1:5" ht="13.5" thickBot="1" x14ac:dyDescent="0.25">
      <c r="A46" s="83"/>
      <c r="B46" s="83"/>
      <c r="C46" s="83" t="s">
        <v>492</v>
      </c>
      <c r="E46" s="103">
        <v>0</v>
      </c>
    </row>
    <row r="47" spans="1:5" ht="13.5" thickBot="1" x14ac:dyDescent="0.25">
      <c r="A47" s="83"/>
      <c r="B47" s="83"/>
      <c r="C47" s="83" t="s">
        <v>381</v>
      </c>
      <c r="D47" s="83"/>
      <c r="E47" s="104">
        <f>ROUND(SUM(E38:E46),5)</f>
        <v>390162.84</v>
      </c>
    </row>
    <row r="48" spans="1:5" x14ac:dyDescent="0.2">
      <c r="A48" s="83"/>
      <c r="B48" s="83"/>
      <c r="C48" s="83" t="s">
        <v>382</v>
      </c>
      <c r="D48" s="83"/>
      <c r="E48" s="103">
        <f>ROUND(E37+E47,5)</f>
        <v>390162.84</v>
      </c>
    </row>
    <row r="49" spans="1:5" x14ac:dyDescent="0.2">
      <c r="A49" s="83"/>
      <c r="B49" s="83"/>
      <c r="C49" s="83" t="s">
        <v>149</v>
      </c>
      <c r="D49" s="83"/>
      <c r="E49" s="103"/>
    </row>
    <row r="50" spans="1:5" x14ac:dyDescent="0.2">
      <c r="A50" s="83"/>
      <c r="B50" s="83"/>
      <c r="C50" s="83" t="s">
        <v>493</v>
      </c>
      <c r="D50" s="83"/>
      <c r="E50" s="103">
        <v>0</v>
      </c>
    </row>
    <row r="51" spans="1:5" x14ac:dyDescent="0.2">
      <c r="A51" s="83"/>
      <c r="B51" s="83"/>
      <c r="C51" s="83" t="s">
        <v>494</v>
      </c>
      <c r="D51" s="83"/>
      <c r="E51" s="103">
        <v>0</v>
      </c>
    </row>
    <row r="52" spans="1:5" x14ac:dyDescent="0.2">
      <c r="A52" s="83"/>
      <c r="B52" s="83"/>
      <c r="C52" s="83" t="s">
        <v>495</v>
      </c>
      <c r="D52" s="83"/>
      <c r="E52" s="103">
        <v>0</v>
      </c>
    </row>
    <row r="53" spans="1:5" ht="13.5" thickBot="1" x14ac:dyDescent="0.25">
      <c r="A53" s="83"/>
      <c r="B53" s="83"/>
      <c r="C53" s="83" t="s">
        <v>496</v>
      </c>
      <c r="D53" s="83"/>
      <c r="E53" s="103">
        <v>0</v>
      </c>
    </row>
    <row r="54" spans="1:5" ht="13.5" thickBot="1" x14ac:dyDescent="0.25">
      <c r="A54" s="83"/>
      <c r="B54" s="83"/>
      <c r="C54" s="83" t="s">
        <v>319</v>
      </c>
      <c r="D54" s="83"/>
      <c r="E54" s="104">
        <f>ROUND(SUM(E49:E53),5)</f>
        <v>0</v>
      </c>
    </row>
    <row r="55" spans="1:5" x14ac:dyDescent="0.2">
      <c r="A55" s="83"/>
      <c r="B55" s="83" t="s">
        <v>320</v>
      </c>
      <c r="C55" s="83"/>
      <c r="D55" s="83"/>
      <c r="E55" s="103">
        <f>ROUND(E36+E48+E54,5)</f>
        <v>390162.84</v>
      </c>
    </row>
    <row r="56" spans="1:5" x14ac:dyDescent="0.2">
      <c r="A56" s="83"/>
      <c r="B56" s="83" t="s">
        <v>160</v>
      </c>
      <c r="C56" s="83"/>
      <c r="D56" s="83"/>
      <c r="E56" s="103"/>
    </row>
    <row r="57" spans="1:5" x14ac:dyDescent="0.2">
      <c r="A57" s="83"/>
      <c r="B57" s="83"/>
      <c r="C57" s="83" t="s">
        <v>505</v>
      </c>
      <c r="D57" s="83"/>
      <c r="E57" s="103">
        <v>200125.23</v>
      </c>
    </row>
    <row r="58" spans="1:5" x14ac:dyDescent="0.2">
      <c r="A58" s="83"/>
      <c r="B58" s="83"/>
      <c r="C58" s="83" t="s">
        <v>722</v>
      </c>
      <c r="D58" s="83"/>
      <c r="E58" s="103">
        <v>819710</v>
      </c>
    </row>
    <row r="59" spans="1:5" x14ac:dyDescent="0.2">
      <c r="A59" s="83"/>
      <c r="B59" s="83"/>
      <c r="C59" s="83" t="s">
        <v>723</v>
      </c>
      <c r="D59" s="83"/>
      <c r="E59" s="103">
        <v>1781746</v>
      </c>
    </row>
    <row r="60" spans="1:5" x14ac:dyDescent="0.2">
      <c r="A60" s="83"/>
      <c r="B60" s="83"/>
      <c r="C60" s="83" t="s">
        <v>724</v>
      </c>
      <c r="D60" s="83"/>
      <c r="E60" s="103">
        <v>1781746</v>
      </c>
    </row>
    <row r="61" spans="1:5" x14ac:dyDescent="0.2">
      <c r="A61" s="83"/>
      <c r="B61" s="83"/>
      <c r="C61" s="83" t="s">
        <v>725</v>
      </c>
      <c r="D61" s="83"/>
      <c r="E61" s="103">
        <v>855953</v>
      </c>
    </row>
    <row r="62" spans="1:5" x14ac:dyDescent="0.2">
      <c r="A62" s="83"/>
      <c r="B62" s="83"/>
      <c r="C62" s="83" t="s">
        <v>726</v>
      </c>
      <c r="D62" s="83"/>
      <c r="E62" s="103">
        <v>686847</v>
      </c>
    </row>
    <row r="63" spans="1:5" x14ac:dyDescent="0.2">
      <c r="A63" s="83"/>
      <c r="B63" s="83"/>
      <c r="C63" s="83" t="s">
        <v>497</v>
      </c>
      <c r="D63" s="83"/>
      <c r="E63" s="103">
        <v>691658.71</v>
      </c>
    </row>
    <row r="64" spans="1:5" x14ac:dyDescent="0.2">
      <c r="A64" s="83"/>
      <c r="B64" s="83"/>
      <c r="C64" s="83" t="s">
        <v>498</v>
      </c>
      <c r="D64" s="83"/>
      <c r="E64" s="103">
        <v>38643.300000000003</v>
      </c>
    </row>
    <row r="65" spans="1:5" x14ac:dyDescent="0.2">
      <c r="A65" s="83"/>
      <c r="B65" s="83"/>
      <c r="C65" s="83" t="s">
        <v>499</v>
      </c>
      <c r="D65" s="83"/>
      <c r="E65" s="103">
        <v>38642.300000000003</v>
      </c>
    </row>
    <row r="66" spans="1:5" x14ac:dyDescent="0.2">
      <c r="A66" s="83"/>
      <c r="B66" s="83"/>
      <c r="C66" s="83" t="s">
        <v>500</v>
      </c>
      <c r="D66" s="83"/>
      <c r="E66" s="103">
        <v>691659.03</v>
      </c>
    </row>
    <row r="67" spans="1:5" x14ac:dyDescent="0.2">
      <c r="A67" s="83"/>
      <c r="B67" s="83"/>
      <c r="C67" s="83" t="s">
        <v>501</v>
      </c>
      <c r="D67" s="83"/>
      <c r="E67" s="103">
        <v>691655.59</v>
      </c>
    </row>
    <row r="68" spans="1:5" ht="13.5" thickBot="1" x14ac:dyDescent="0.25">
      <c r="A68" s="83"/>
      <c r="B68" s="83"/>
      <c r="C68" s="83" t="s">
        <v>387</v>
      </c>
      <c r="D68" s="83"/>
      <c r="E68" s="103">
        <v>172124.76</v>
      </c>
    </row>
    <row r="69" spans="1:5" ht="13.5" thickBot="1" x14ac:dyDescent="0.25">
      <c r="A69" s="83"/>
      <c r="B69" s="83" t="s">
        <v>331</v>
      </c>
      <c r="C69" s="83"/>
      <c r="D69" s="83"/>
      <c r="E69" s="105">
        <f>SUM(E57:E68)</f>
        <v>8450510.9199999999</v>
      </c>
    </row>
    <row r="70" spans="1:5" ht="13.5" thickBot="1" x14ac:dyDescent="0.25">
      <c r="A70" s="83" t="s">
        <v>388</v>
      </c>
      <c r="B70" s="83"/>
      <c r="C70" s="83"/>
      <c r="D70" s="83"/>
      <c r="E70" s="106">
        <f>ROUND(E35+E55+E69,5)</f>
        <v>8840673.7599999998</v>
      </c>
    </row>
    <row r="71" spans="1:5" ht="13.5" thickTop="1" x14ac:dyDescent="0.2"/>
    <row r="72" spans="1:5" x14ac:dyDescent="0.2">
      <c r="E72" s="108">
        <f>E34-E70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Tessa Neil</cp:lastModifiedBy>
  <cp:lastPrinted>2020-10-16T15:10:34Z</cp:lastPrinted>
  <dcterms:created xsi:type="dcterms:W3CDTF">2018-05-14T12:52:26Z</dcterms:created>
  <dcterms:modified xsi:type="dcterms:W3CDTF">2020-10-16T15:10:40Z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