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CCD3794A-9A17-4BB4-B8D2-8C3645498DF9}" xr6:coauthVersionLast="45" xr6:coauthVersionMax="45" xr10:uidLastSave="{00000000-0000-0000-0000-000000000000}"/>
  <bookViews>
    <workbookView xWindow="29475" yWindow="1650" windowWidth="21600" windowHeight="11835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St'!$A$1:$F$70</definedName>
    <definedName name="_xlnm.Print_Area" localSheetId="1">'Consolidated Balance Sheet'!$A$5:$AP$138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2" l="1"/>
  <c r="AP95" i="7" l="1"/>
  <c r="AN95" i="7"/>
  <c r="AL95" i="7"/>
  <c r="AJ95" i="7"/>
  <c r="AH95" i="7"/>
  <c r="AF95" i="7"/>
  <c r="P95" i="7"/>
  <c r="H95" i="7"/>
  <c r="F38" i="17"/>
  <c r="E14" i="14"/>
  <c r="AF115" i="7" l="1"/>
  <c r="AJ115" i="7" s="1"/>
  <c r="P115" i="7"/>
  <c r="AH115" i="7" s="1"/>
  <c r="B115" i="7"/>
  <c r="AP106" i="7"/>
  <c r="AF106" i="7"/>
  <c r="AJ106" i="7" s="1"/>
  <c r="B106" i="7"/>
  <c r="P106" i="7" s="1"/>
  <c r="AH106" i="7" s="1"/>
  <c r="B59" i="7"/>
  <c r="U140" i="1"/>
  <c r="U129" i="1"/>
  <c r="AL115" i="7" l="1"/>
  <c r="AN115" i="7"/>
  <c r="AP115" i="7" s="1"/>
  <c r="AL106" i="7"/>
  <c r="R35" i="12"/>
  <c r="R38" i="12"/>
  <c r="R17" i="12"/>
  <c r="R19" i="12"/>
  <c r="R55" i="12" l="1"/>
  <c r="R31" i="7"/>
  <c r="N154" i="7" l="1"/>
  <c r="L154" i="7"/>
  <c r="J154" i="7"/>
  <c r="H154" i="7"/>
  <c r="F154" i="7"/>
  <c r="D154" i="7"/>
  <c r="B154" i="7"/>
  <c r="B55" i="7"/>
  <c r="N128" i="7"/>
  <c r="F55" i="7" l="1"/>
  <c r="P55" i="7" s="1"/>
  <c r="AH55" i="7" s="1"/>
  <c r="AF55" i="7"/>
  <c r="AJ55" i="7" s="1"/>
  <c r="AN55" i="7" l="1"/>
  <c r="AP55" i="7" s="1"/>
  <c r="AL55" i="7"/>
  <c r="B28" i="7"/>
  <c r="B10" i="7"/>
  <c r="Z38" i="12" l="1"/>
  <c r="AF58" i="7" l="1"/>
  <c r="N58" i="7"/>
  <c r="P58" i="7" s="1"/>
  <c r="AH58" i="7" s="1"/>
  <c r="AF77" i="7"/>
  <c r="AJ77" i="7" s="1"/>
  <c r="B77" i="7"/>
  <c r="P77" i="7" s="1"/>
  <c r="AH77" i="7" s="1"/>
  <c r="AL58" i="7" l="1"/>
  <c r="AN58" i="7"/>
  <c r="AP58" i="7" s="1"/>
  <c r="AN77" i="7"/>
  <c r="AP77" i="7" s="1"/>
  <c r="AL77" i="7"/>
  <c r="T38" i="12"/>
  <c r="V38" i="12"/>
  <c r="X38" i="12"/>
  <c r="AB38" i="12"/>
  <c r="AD38" i="12"/>
  <c r="AD24" i="12"/>
  <c r="AB24" i="12"/>
  <c r="Z24" i="12"/>
  <c r="X24" i="12"/>
  <c r="V24" i="12"/>
  <c r="T24" i="12"/>
  <c r="R24" i="12"/>
  <c r="R62" i="7"/>
  <c r="AD54" i="12"/>
  <c r="AB54" i="12"/>
  <c r="Z54" i="12"/>
  <c r="X54" i="12"/>
  <c r="V54" i="12"/>
  <c r="T54" i="12"/>
  <c r="R54" i="12"/>
  <c r="AD37" i="12"/>
  <c r="AB37" i="12"/>
  <c r="Z37" i="12"/>
  <c r="X37" i="12"/>
  <c r="V37" i="12"/>
  <c r="T37" i="12"/>
  <c r="R37" i="12"/>
  <c r="AD36" i="12"/>
  <c r="AB36" i="12"/>
  <c r="Z36" i="12"/>
  <c r="X36" i="12"/>
  <c r="V36" i="12"/>
  <c r="T36" i="12"/>
  <c r="R36" i="12"/>
  <c r="AD35" i="12"/>
  <c r="AB35" i="12"/>
  <c r="Z35" i="12"/>
  <c r="X35" i="12"/>
  <c r="V35" i="12"/>
  <c r="T35" i="12"/>
  <c r="AD34" i="12"/>
  <c r="AB34" i="12"/>
  <c r="Z34" i="12"/>
  <c r="X34" i="12"/>
  <c r="V34" i="12"/>
  <c r="T34" i="12"/>
  <c r="R34" i="12"/>
  <c r="AD25" i="12"/>
  <c r="AB25" i="12"/>
  <c r="Z25" i="12"/>
  <c r="X25" i="12"/>
  <c r="V25" i="12"/>
  <c r="T25" i="12"/>
  <c r="R25" i="12"/>
  <c r="AD20" i="12"/>
  <c r="AD19" i="12"/>
  <c r="AD18" i="12"/>
  <c r="AD17" i="12"/>
  <c r="AB20" i="12"/>
  <c r="AB19" i="12"/>
  <c r="AB18" i="12"/>
  <c r="AB17" i="12"/>
  <c r="Z20" i="12"/>
  <c r="Z19" i="12"/>
  <c r="Z18" i="12"/>
  <c r="Z17" i="12"/>
  <c r="X20" i="12"/>
  <c r="X19" i="12"/>
  <c r="X18" i="12"/>
  <c r="X17" i="12"/>
  <c r="V20" i="12"/>
  <c r="V19" i="12"/>
  <c r="V18" i="12"/>
  <c r="V17" i="12"/>
  <c r="T20" i="12"/>
  <c r="T19" i="12"/>
  <c r="T18" i="12"/>
  <c r="T17" i="12"/>
  <c r="R18" i="12"/>
  <c r="AB16" i="12"/>
  <c r="Z16" i="12"/>
  <c r="X16" i="12"/>
  <c r="V16" i="12"/>
  <c r="T16" i="12"/>
  <c r="R16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0" i="7" l="1"/>
  <c r="J40" i="7" l="1"/>
  <c r="F36" i="15" l="1"/>
  <c r="S18" i="6"/>
  <c r="AK110" i="7"/>
  <c r="AI110" i="7"/>
  <c r="P70" i="7"/>
  <c r="AH70" i="7" s="1"/>
  <c r="AF70" i="7" l="1"/>
  <c r="AJ70" i="7" s="1"/>
  <c r="AL70" i="7" s="1"/>
  <c r="F37" i="15"/>
  <c r="U117" i="4"/>
  <c r="F9" i="7" l="1"/>
  <c r="F92" i="10" l="1"/>
  <c r="F24" i="15"/>
  <c r="U43" i="5" l="1"/>
  <c r="N11" i="7" l="1"/>
  <c r="B94" i="7"/>
  <c r="B85" i="7"/>
  <c r="AF94" i="7" l="1"/>
  <c r="AJ94" i="7" s="1"/>
  <c r="F94" i="7"/>
  <c r="P94" i="7" s="1"/>
  <c r="AH94" i="7" s="1"/>
  <c r="AN94" i="7" l="1"/>
  <c r="AP94" i="7" s="1"/>
  <c r="AL94" i="7"/>
  <c r="F10" i="9"/>
  <c r="AF129" i="7" l="1"/>
  <c r="AF130" i="7"/>
  <c r="AF131" i="7"/>
  <c r="AF132" i="7"/>
  <c r="AF133" i="7"/>
  <c r="AF134" i="7"/>
  <c r="AF135" i="7"/>
  <c r="AF79" i="7"/>
  <c r="AF85" i="7"/>
  <c r="AF93" i="7"/>
  <c r="AF105" i="7"/>
  <c r="AF107" i="7"/>
  <c r="AF108" i="7"/>
  <c r="AF57" i="7"/>
  <c r="AF59" i="7"/>
  <c r="AF39" i="7"/>
  <c r="AF25" i="7"/>
  <c r="AJ25" i="7" s="1"/>
  <c r="B86" i="7" l="1"/>
  <c r="B73" i="7"/>
  <c r="F73" i="7"/>
  <c r="U45" i="6" l="1"/>
  <c r="AF28" i="7"/>
  <c r="AJ28" i="7" s="1"/>
  <c r="AF27" i="7"/>
  <c r="AJ27" i="7" s="1"/>
  <c r="AF30" i="7"/>
  <c r="AJ30" i="7" s="1"/>
  <c r="U58" i="4"/>
  <c r="J57" i="7" l="1"/>
  <c r="N9" i="7"/>
  <c r="E17" i="14"/>
  <c r="F17" i="11"/>
  <c r="F23" i="16" l="1"/>
  <c r="U129" i="4"/>
  <c r="B57" i="7" l="1"/>
  <c r="P57" i="7" s="1"/>
  <c r="AH57" i="7" s="1"/>
  <c r="AN57" i="7" s="1"/>
  <c r="AP57" i="7" s="1"/>
  <c r="B103" i="7"/>
  <c r="U142" i="1"/>
  <c r="U59" i="1"/>
  <c r="AL57" i="7" l="1"/>
  <c r="J60" i="7"/>
  <c r="J13" i="7"/>
  <c r="J11" i="7"/>
  <c r="F43" i="8"/>
  <c r="F14" i="8"/>
  <c r="F37" i="16" l="1"/>
  <c r="F43" i="9"/>
  <c r="AF29" i="7"/>
  <c r="AJ29" i="7" s="1"/>
  <c r="N40" i="7" l="1"/>
  <c r="L103" i="7"/>
  <c r="L147" i="7" s="1"/>
  <c r="D18" i="7"/>
  <c r="D132" i="7"/>
  <c r="D135" i="7"/>
  <c r="D134" i="7"/>
  <c r="D133" i="7"/>
  <c r="D131" i="7"/>
  <c r="U66" i="2"/>
  <c r="F18" i="10" l="1"/>
  <c r="AF98" i="7"/>
  <c r="AF104" i="7"/>
  <c r="N61" i="7" l="1"/>
  <c r="N93" i="7"/>
  <c r="E69" i="14"/>
  <c r="E33" i="14"/>
  <c r="F87" i="7"/>
  <c r="B87" i="7"/>
  <c r="B130" i="7"/>
  <c r="AP107" i="7"/>
  <c r="AJ107" i="7"/>
  <c r="B107" i="7"/>
  <c r="P107" i="7" s="1"/>
  <c r="AH107" i="7" s="1"/>
  <c r="U155" i="1"/>
  <c r="U157" i="1" s="1"/>
  <c r="AL107" i="7" l="1"/>
  <c r="AF109" i="7"/>
  <c r="F40" i="7" l="1"/>
  <c r="U48" i="3"/>
  <c r="U19" i="3"/>
  <c r="D13" i="7"/>
  <c r="U23" i="2"/>
  <c r="N92" i="7" l="1"/>
  <c r="AP28" i="7"/>
  <c r="P28" i="7"/>
  <c r="AH28" i="7" s="1"/>
  <c r="AP27" i="7"/>
  <c r="B27" i="7"/>
  <c r="P27" i="7" s="1"/>
  <c r="AH27" i="7" s="1"/>
  <c r="AJ108" i="7"/>
  <c r="AP108" i="7"/>
  <c r="B108" i="7"/>
  <c r="P108" i="7" s="1"/>
  <c r="AH108" i="7" s="1"/>
  <c r="AL27" i="7" l="1"/>
  <c r="AL28" i="7"/>
  <c r="AL108" i="7"/>
  <c r="AJ85" i="7"/>
  <c r="J85" i="7"/>
  <c r="P85" i="7" s="1"/>
  <c r="AH85" i="7" s="1"/>
  <c r="J103" i="7"/>
  <c r="F66" i="8"/>
  <c r="AN85" i="7" l="1"/>
  <c r="AP85" i="7" s="1"/>
  <c r="AL85" i="7"/>
  <c r="F71" i="10" l="1"/>
  <c r="J72" i="7"/>
  <c r="N54" i="12" l="1"/>
  <c r="AJ93" i="7"/>
  <c r="P93" i="7"/>
  <c r="AH93" i="7" s="1"/>
  <c r="N38" i="12" l="1"/>
  <c r="AN93" i="7"/>
  <c r="AP93" i="7" s="1"/>
  <c r="AL93" i="7"/>
  <c r="U20" i="5" l="1"/>
  <c r="AJ59" i="7"/>
  <c r="P59" i="7"/>
  <c r="AH59" i="7" s="1"/>
  <c r="AF26" i="7"/>
  <c r="AJ26" i="7" s="1"/>
  <c r="AF97" i="7"/>
  <c r="AF96" i="7"/>
  <c r="AF91" i="7"/>
  <c r="AF90" i="7"/>
  <c r="AL59" i="7" l="1"/>
  <c r="AN59" i="7"/>
  <c r="AP59" i="7" s="1"/>
  <c r="D80" i="7"/>
  <c r="H72" i="7" l="1"/>
  <c r="B74" i="7" l="1"/>
  <c r="AF102" i="7" l="1"/>
  <c r="AF71" i="7" l="1"/>
  <c r="F31" i="7"/>
  <c r="AJ79" i="7" l="1"/>
  <c r="B79" i="7"/>
  <c r="P79" i="7" s="1"/>
  <c r="AH79" i="7" s="1"/>
  <c r="B29" i="7"/>
  <c r="AL79" i="7" l="1"/>
  <c r="AN79" i="7"/>
  <c r="AP79" i="7" s="1"/>
  <c r="D86" i="7"/>
  <c r="AB41" i="12" l="1"/>
  <c r="Z41" i="12"/>
  <c r="V41" i="12"/>
  <c r="L41" i="12"/>
  <c r="N19" i="12"/>
  <c r="L19" i="12"/>
  <c r="J19" i="12"/>
  <c r="H19" i="12"/>
  <c r="F19" i="12"/>
  <c r="D19" i="12"/>
  <c r="AF19" i="12" l="1"/>
  <c r="AJ19" i="12" s="1"/>
  <c r="AF19" i="7"/>
  <c r="AJ19" i="7" s="1"/>
  <c r="F29" i="10" l="1"/>
  <c r="B78" i="7" l="1"/>
  <c r="AP105" i="7"/>
  <c r="AJ105" i="7"/>
  <c r="B105" i="7"/>
  <c r="P105" i="7" s="1"/>
  <c r="AH105" i="7" s="1"/>
  <c r="B39" i="7"/>
  <c r="P39" i="7" s="1"/>
  <c r="AH39" i="7" s="1"/>
  <c r="AJ39" i="7"/>
  <c r="B11" i="7"/>
  <c r="B146" i="7" s="1"/>
  <c r="B22" i="7"/>
  <c r="B7" i="7"/>
  <c r="AL105" i="7" l="1"/>
  <c r="AP39" i="7"/>
  <c r="AL39" i="7"/>
  <c r="F11" i="7"/>
  <c r="D88" i="7" l="1"/>
  <c r="L135" i="7" l="1"/>
  <c r="L134" i="7"/>
  <c r="L133" i="7"/>
  <c r="N103" i="7" l="1"/>
  <c r="N54" i="7"/>
  <c r="N41" i="12" l="1"/>
  <c r="N147" i="7"/>
  <c r="C146" i="7"/>
  <c r="E146" i="7"/>
  <c r="G146" i="7"/>
  <c r="H146" i="7"/>
  <c r="I146" i="7"/>
  <c r="J146" i="7"/>
  <c r="K146" i="7"/>
  <c r="M146" i="7"/>
  <c r="C147" i="7"/>
  <c r="E147" i="7"/>
  <c r="G147" i="7"/>
  <c r="I147" i="7"/>
  <c r="K147" i="7"/>
  <c r="M147" i="7"/>
  <c r="D103" i="7"/>
  <c r="D147" i="7" s="1"/>
  <c r="D41" i="12" l="1"/>
  <c r="D72" i="7" l="1"/>
  <c r="D74" i="7"/>
  <c r="D82" i="7"/>
  <c r="U51" i="2" l="1"/>
  <c r="N146" i="7" l="1"/>
  <c r="H103" i="7"/>
  <c r="H147" i="7" s="1"/>
  <c r="F146" i="7"/>
  <c r="H41" i="12" l="1"/>
  <c r="AF128" i="7" l="1"/>
  <c r="F128" i="7"/>
  <c r="H37" i="7" l="1"/>
  <c r="H40" i="7"/>
  <c r="F22" i="17"/>
  <c r="F31" i="16" l="1"/>
  <c r="F13" i="16"/>
  <c r="AP25" i="7" l="1"/>
  <c r="AP30" i="7"/>
  <c r="AP29" i="7"/>
  <c r="AP26" i="7"/>
  <c r="V31" i="7"/>
  <c r="P30" i="7"/>
  <c r="AH30" i="7" s="1"/>
  <c r="AL30" i="7" l="1"/>
  <c r="F103" i="7"/>
  <c r="F147" i="7" s="1"/>
  <c r="U54" i="3"/>
  <c r="U55" i="3" s="1"/>
  <c r="F41" i="12" l="1"/>
  <c r="F43" i="16"/>
  <c r="F38" i="16"/>
  <c r="F39" i="16" s="1"/>
  <c r="F16" i="16"/>
  <c r="N14" i="12"/>
  <c r="L126" i="7"/>
  <c r="L157" i="7" s="1"/>
  <c r="AF54" i="12"/>
  <c r="AJ54" i="12" s="1"/>
  <c r="L54" i="12"/>
  <c r="J54" i="12"/>
  <c r="H54" i="12"/>
  <c r="F54" i="12"/>
  <c r="D54" i="12"/>
  <c r="K54" i="12"/>
  <c r="I54" i="12"/>
  <c r="G54" i="12"/>
  <c r="E54" i="12"/>
  <c r="C54" i="12"/>
  <c r="AP128" i="7"/>
  <c r="AJ128" i="7"/>
  <c r="B36" i="12"/>
  <c r="B128" i="7"/>
  <c r="B54" i="12" s="1"/>
  <c r="B72" i="7"/>
  <c r="B56" i="7"/>
  <c r="P56" i="7" s="1"/>
  <c r="AH56" i="7" s="1"/>
  <c r="B54" i="7"/>
  <c r="B51" i="7"/>
  <c r="B48" i="7"/>
  <c r="P48" i="7" s="1"/>
  <c r="AH48" i="7" s="1"/>
  <c r="B47" i="7"/>
  <c r="P47" i="7" s="1"/>
  <c r="P29" i="7"/>
  <c r="AH29" i="7" s="1"/>
  <c r="B9" i="7"/>
  <c r="B12" i="7"/>
  <c r="B37" i="7"/>
  <c r="B34" i="7"/>
  <c r="B25" i="7"/>
  <c r="P25" i="7" s="1"/>
  <c r="AH25" i="7" s="1"/>
  <c r="H151" i="7"/>
  <c r="H152" i="7" s="1"/>
  <c r="D127" i="7"/>
  <c r="D126" i="7"/>
  <c r="D157" i="7" s="1"/>
  <c r="H80" i="7"/>
  <c r="H37" i="12" s="1"/>
  <c r="F127" i="7"/>
  <c r="F126" i="7"/>
  <c r="F157" i="7" s="1"/>
  <c r="F72" i="7"/>
  <c r="F10" i="7"/>
  <c r="F13" i="12" s="1"/>
  <c r="J41" i="12"/>
  <c r="J114" i="7"/>
  <c r="J46" i="12" s="1"/>
  <c r="J124" i="7"/>
  <c r="J52" i="12" s="1"/>
  <c r="J86" i="7"/>
  <c r="H126" i="7"/>
  <c r="H157" i="7" s="1"/>
  <c r="H127" i="7"/>
  <c r="H82" i="7"/>
  <c r="F44" i="17"/>
  <c r="F30" i="17"/>
  <c r="F16" i="17"/>
  <c r="H9" i="7" s="1"/>
  <c r="H12" i="12" s="1"/>
  <c r="F13" i="17"/>
  <c r="H7" i="7" s="1"/>
  <c r="H10" i="12" s="1"/>
  <c r="F38" i="9"/>
  <c r="X41" i="12"/>
  <c r="F60" i="9"/>
  <c r="F61" i="9" s="1"/>
  <c r="U78" i="4"/>
  <c r="F77" i="11"/>
  <c r="AD55" i="12"/>
  <c r="AD52" i="12"/>
  <c r="AD39" i="12"/>
  <c r="AD28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7" i="12"/>
  <c r="N36" i="12"/>
  <c r="N35" i="12"/>
  <c r="N34" i="12"/>
  <c r="N28" i="12"/>
  <c r="N18" i="12"/>
  <c r="N17" i="12"/>
  <c r="N16" i="12"/>
  <c r="N15" i="12"/>
  <c r="N13" i="12"/>
  <c r="N12" i="12"/>
  <c r="N11" i="12"/>
  <c r="F54" i="15"/>
  <c r="F44" i="15"/>
  <c r="F31" i="15"/>
  <c r="F6" i="15"/>
  <c r="F10" i="15" s="1"/>
  <c r="P130" i="7"/>
  <c r="AH130" i="7" s="1"/>
  <c r="P113" i="7"/>
  <c r="AH113" i="7" s="1"/>
  <c r="P74" i="7"/>
  <c r="AH74" i="7" s="1"/>
  <c r="P87" i="7"/>
  <c r="AH87" i="7" s="1"/>
  <c r="N41" i="7"/>
  <c r="N20" i="12" s="1"/>
  <c r="P22" i="7"/>
  <c r="AH22" i="7" s="1"/>
  <c r="N127" i="7"/>
  <c r="N126" i="7"/>
  <c r="N157" i="7" s="1"/>
  <c r="N118" i="7"/>
  <c r="N117" i="7"/>
  <c r="N116" i="7"/>
  <c r="N114" i="7"/>
  <c r="N151" i="7"/>
  <c r="N60" i="7"/>
  <c r="N46" i="7"/>
  <c r="N31" i="7"/>
  <c r="AD31" i="7"/>
  <c r="AD43" i="7" s="1"/>
  <c r="AJ109" i="7"/>
  <c r="AJ90" i="7"/>
  <c r="AJ91" i="7"/>
  <c r="AJ96" i="7"/>
  <c r="AJ97" i="7"/>
  <c r="AJ98" i="7"/>
  <c r="AJ104" i="7"/>
  <c r="AJ71" i="7"/>
  <c r="AD45" i="12"/>
  <c r="AD40" i="12"/>
  <c r="AD41" i="7"/>
  <c r="AD14" i="12"/>
  <c r="E54" i="14"/>
  <c r="E47" i="14"/>
  <c r="E48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9" i="12"/>
  <c r="V39" i="12"/>
  <c r="X39" i="12"/>
  <c r="Z39" i="12"/>
  <c r="AB39" i="12"/>
  <c r="T40" i="12"/>
  <c r="V40" i="12"/>
  <c r="X40" i="12"/>
  <c r="R40" i="12"/>
  <c r="H25" i="12"/>
  <c r="D28" i="12"/>
  <c r="F28" i="12"/>
  <c r="H28" i="12"/>
  <c r="J28" i="12"/>
  <c r="L28" i="12"/>
  <c r="T28" i="12"/>
  <c r="V28" i="12"/>
  <c r="X28" i="12"/>
  <c r="Z28" i="12"/>
  <c r="AB28" i="12"/>
  <c r="D40" i="12"/>
  <c r="F40" i="12"/>
  <c r="H40" i="12"/>
  <c r="B40" i="12"/>
  <c r="D39" i="12"/>
  <c r="F39" i="12"/>
  <c r="H39" i="12"/>
  <c r="J39" i="12"/>
  <c r="L39" i="12"/>
  <c r="D34" i="12"/>
  <c r="F34" i="12"/>
  <c r="H34" i="12"/>
  <c r="J34" i="12"/>
  <c r="L34" i="12"/>
  <c r="D37" i="12"/>
  <c r="D36" i="12"/>
  <c r="F36" i="12"/>
  <c r="H36" i="12"/>
  <c r="L36" i="12"/>
  <c r="H35" i="12"/>
  <c r="L35" i="12"/>
  <c r="AC12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4" i="12"/>
  <c r="AP12" i="12"/>
  <c r="AB46" i="12"/>
  <c r="AB45" i="12"/>
  <c r="L82" i="7"/>
  <c r="L38" i="12" s="1"/>
  <c r="L101" i="7"/>
  <c r="L40" i="12" s="1"/>
  <c r="L37" i="12"/>
  <c r="L61" i="7"/>
  <c r="L31" i="7"/>
  <c r="J31" i="7"/>
  <c r="H31" i="7"/>
  <c r="AB41" i="7"/>
  <c r="AB31" i="7"/>
  <c r="L41" i="7"/>
  <c r="L20" i="12" s="1"/>
  <c r="F84" i="11"/>
  <c r="F68" i="11"/>
  <c r="L114" i="7" s="1"/>
  <c r="L46" i="12" s="1"/>
  <c r="F64" i="11"/>
  <c r="F65" i="11" s="1"/>
  <c r="F54" i="11"/>
  <c r="F55" i="11" s="1"/>
  <c r="F26" i="11"/>
  <c r="L11" i="7"/>
  <c r="L146" i="7" s="1"/>
  <c r="F10" i="11"/>
  <c r="L7" i="7" s="1"/>
  <c r="L10" i="12" s="1"/>
  <c r="F85" i="10"/>
  <c r="F76" i="10"/>
  <c r="F65" i="10"/>
  <c r="F57" i="10"/>
  <c r="F58" i="10" s="1"/>
  <c r="F10" i="10"/>
  <c r="B64" i="7"/>
  <c r="P64" i="7" s="1"/>
  <c r="AH64" i="7" s="1"/>
  <c r="B102" i="7"/>
  <c r="B135" i="7"/>
  <c r="B134" i="7"/>
  <c r="B133" i="7"/>
  <c r="B129" i="7"/>
  <c r="P129" i="7" s="1"/>
  <c r="AH129" i="7" s="1"/>
  <c r="B127" i="7"/>
  <c r="B126" i="7"/>
  <c r="B125" i="7"/>
  <c r="P125" i="7" s="1"/>
  <c r="AH125" i="7" s="1"/>
  <c r="B124" i="7"/>
  <c r="B52" i="12" s="1"/>
  <c r="B118" i="7"/>
  <c r="B117" i="7"/>
  <c r="B116" i="7"/>
  <c r="B114" i="7"/>
  <c r="B109" i="7"/>
  <c r="P109" i="7" s="1"/>
  <c r="AH109" i="7" s="1"/>
  <c r="B104" i="7"/>
  <c r="B100" i="7"/>
  <c r="B39" i="12" s="1"/>
  <c r="B98" i="7"/>
  <c r="B97" i="7"/>
  <c r="P97" i="7" s="1"/>
  <c r="AH97" i="7" s="1"/>
  <c r="B96" i="7"/>
  <c r="P96" i="7" s="1"/>
  <c r="AH96" i="7" s="1"/>
  <c r="B91" i="7"/>
  <c r="P91" i="7" s="1"/>
  <c r="AH91" i="7" s="1"/>
  <c r="B90" i="7"/>
  <c r="P90" i="7" s="1"/>
  <c r="AH90" i="7" s="1"/>
  <c r="B89" i="7"/>
  <c r="P89" i="7" s="1"/>
  <c r="AH89" i="7" s="1"/>
  <c r="B88" i="7"/>
  <c r="B84" i="7"/>
  <c r="B83" i="7"/>
  <c r="P83" i="7" s="1"/>
  <c r="AH83" i="7" s="1"/>
  <c r="B82" i="7"/>
  <c r="B81" i="7"/>
  <c r="B80" i="7"/>
  <c r="B76" i="7"/>
  <c r="B75" i="7"/>
  <c r="B71" i="7"/>
  <c r="B34" i="12" s="1"/>
  <c r="B13" i="7"/>
  <c r="P13" i="7" s="1"/>
  <c r="AH13" i="7" s="1"/>
  <c r="J38" i="7"/>
  <c r="AJ135" i="7"/>
  <c r="AJ130" i="7"/>
  <c r="AF118" i="7"/>
  <c r="AF117" i="7"/>
  <c r="AF116" i="7"/>
  <c r="R41" i="12"/>
  <c r="AF100" i="7"/>
  <c r="AF88" i="7"/>
  <c r="AF82" i="7"/>
  <c r="R110" i="7"/>
  <c r="U144" i="4"/>
  <c r="U131" i="4"/>
  <c r="U75" i="4"/>
  <c r="P132" i="7"/>
  <c r="AH132" i="7" s="1"/>
  <c r="P131" i="7"/>
  <c r="AH131" i="7" s="1"/>
  <c r="F124" i="7"/>
  <c r="F52" i="12" s="1"/>
  <c r="F92" i="7"/>
  <c r="F88" i="7"/>
  <c r="F86" i="7"/>
  <c r="F84" i="7"/>
  <c r="F80" i="7"/>
  <c r="F37" i="12" s="1"/>
  <c r="F75" i="7"/>
  <c r="F54" i="7"/>
  <c r="F34" i="7"/>
  <c r="AJ132" i="7"/>
  <c r="AJ131" i="7"/>
  <c r="V52" i="12"/>
  <c r="U28" i="3"/>
  <c r="U33" i="3" s="1"/>
  <c r="U49" i="3"/>
  <c r="U65" i="3"/>
  <c r="U56" i="6"/>
  <c r="U46" i="6"/>
  <c r="U27" i="6"/>
  <c r="U19" i="6"/>
  <c r="U26" i="5"/>
  <c r="U51" i="5"/>
  <c r="U44" i="5"/>
  <c r="D99" i="7"/>
  <c r="P99" i="7" s="1"/>
  <c r="AH99" i="7" s="1"/>
  <c r="D35" i="12"/>
  <c r="U31" i="2"/>
  <c r="Z52" i="12"/>
  <c r="Z45" i="12"/>
  <c r="Z41" i="7"/>
  <c r="F71" i="9"/>
  <c r="F65" i="9"/>
  <c r="F11" i="9"/>
  <c r="J127" i="7"/>
  <c r="J126" i="7"/>
  <c r="J157" i="7" s="1"/>
  <c r="J7" i="7"/>
  <c r="J10" i="12" s="1"/>
  <c r="J78" i="7"/>
  <c r="J101" i="7"/>
  <c r="J88" i="7"/>
  <c r="J92" i="7"/>
  <c r="J80" i="7"/>
  <c r="J37" i="12" s="1"/>
  <c r="J76" i="7"/>
  <c r="J73" i="7"/>
  <c r="J61" i="7"/>
  <c r="J151" i="7" s="1"/>
  <c r="J152" i="7" s="1"/>
  <c r="J155" i="7" s="1"/>
  <c r="J34" i="7"/>
  <c r="Z31" i="7"/>
  <c r="Z43" i="7" s="1"/>
  <c r="X31" i="7"/>
  <c r="F77" i="8"/>
  <c r="F71" i="8"/>
  <c r="F67" i="8"/>
  <c r="F47" i="8"/>
  <c r="F8" i="8"/>
  <c r="F9" i="8" s="1"/>
  <c r="AP90" i="7"/>
  <c r="AP91" i="7"/>
  <c r="AP96" i="7"/>
  <c r="AP97" i="7"/>
  <c r="AP98" i="7"/>
  <c r="AP104" i="7"/>
  <c r="AP109" i="7"/>
  <c r="X119" i="7"/>
  <c r="AF54" i="7"/>
  <c r="AF49" i="7"/>
  <c r="AF48" i="7"/>
  <c r="F49" i="7"/>
  <c r="F51" i="7"/>
  <c r="F46" i="7"/>
  <c r="D51" i="7"/>
  <c r="D46" i="7"/>
  <c r="B60" i="7"/>
  <c r="B53" i="7"/>
  <c r="P53" i="7" s="1"/>
  <c r="AH53" i="7" s="1"/>
  <c r="B52" i="7"/>
  <c r="P52" i="7" s="1"/>
  <c r="AH52" i="7" s="1"/>
  <c r="B50" i="7"/>
  <c r="P50" i="7" s="1"/>
  <c r="AH50" i="7" s="1"/>
  <c r="B49" i="7"/>
  <c r="X62" i="7"/>
  <c r="X41" i="7"/>
  <c r="V119" i="7"/>
  <c r="T119" i="7"/>
  <c r="H119" i="7"/>
  <c r="F119" i="7"/>
  <c r="D119" i="7"/>
  <c r="AF22" i="7"/>
  <c r="AJ22" i="7" s="1"/>
  <c r="AF24" i="7"/>
  <c r="AJ24" i="7" s="1"/>
  <c r="AF23" i="7"/>
  <c r="AJ23" i="7" s="1"/>
  <c r="AF21" i="7"/>
  <c r="AJ21" i="7" s="1"/>
  <c r="AF18" i="7"/>
  <c r="AJ18" i="7" s="1"/>
  <c r="AF17" i="7"/>
  <c r="AJ17" i="7" s="1"/>
  <c r="H62" i="7"/>
  <c r="H24" i="12" s="1"/>
  <c r="F61" i="7"/>
  <c r="D61" i="7"/>
  <c r="D151" i="7" s="1"/>
  <c r="D152" i="7" s="1"/>
  <c r="B61" i="7"/>
  <c r="B26" i="7"/>
  <c r="D40" i="7"/>
  <c r="F37" i="7"/>
  <c r="D37" i="7"/>
  <c r="B36" i="7"/>
  <c r="P36" i="7" s="1"/>
  <c r="AH36" i="7" s="1"/>
  <c r="B35" i="7"/>
  <c r="B33" i="7"/>
  <c r="P33" i="7" s="1"/>
  <c r="AH33" i="7" s="1"/>
  <c r="F14" i="12"/>
  <c r="D11" i="7"/>
  <c r="D146" i="7" s="1"/>
  <c r="D16" i="7"/>
  <c r="D15" i="7"/>
  <c r="D14" i="7"/>
  <c r="B23" i="7"/>
  <c r="P23" i="7" s="1"/>
  <c r="AH23" i="7" s="1"/>
  <c r="B21" i="7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F7" i="7"/>
  <c r="D7" i="7"/>
  <c r="D10" i="12" s="1"/>
  <c r="B10" i="12"/>
  <c r="U53" i="2"/>
  <c r="B24" i="7"/>
  <c r="B18" i="12" s="1"/>
  <c r="U81" i="1"/>
  <c r="U84" i="1" s="1"/>
  <c r="U160" i="1" s="1"/>
  <c r="B46" i="7"/>
  <c r="B46" i="12" l="1"/>
  <c r="B38" i="12"/>
  <c r="B17" i="12"/>
  <c r="X43" i="7"/>
  <c r="AB43" i="7"/>
  <c r="L60" i="7"/>
  <c r="P60" i="7" s="1"/>
  <c r="AH60" i="7" s="1"/>
  <c r="AF20" i="7"/>
  <c r="AJ20" i="7" s="1"/>
  <c r="AL20" i="7" s="1"/>
  <c r="T110" i="7"/>
  <c r="V110" i="7"/>
  <c r="X42" i="12"/>
  <c r="X110" i="7"/>
  <c r="AB40" i="12"/>
  <c r="AB110" i="7"/>
  <c r="Z110" i="7"/>
  <c r="AF46" i="7"/>
  <c r="AJ46" i="7" s="1"/>
  <c r="F38" i="12"/>
  <c r="AF15" i="7"/>
  <c r="AJ15" i="7" s="1"/>
  <c r="AF51" i="7"/>
  <c r="AJ51" i="7" s="1"/>
  <c r="AF87" i="7"/>
  <c r="AJ87" i="7" s="1"/>
  <c r="AL87" i="7" s="1"/>
  <c r="AF12" i="12"/>
  <c r="AJ12" i="12" s="1"/>
  <c r="AF9" i="7"/>
  <c r="AJ9" i="7" s="1"/>
  <c r="AF101" i="7"/>
  <c r="AJ101" i="7" s="1"/>
  <c r="AF36" i="12"/>
  <c r="AJ36" i="12" s="1"/>
  <c r="AF78" i="7"/>
  <c r="AJ78" i="7" s="1"/>
  <c r="AF89" i="7"/>
  <c r="AJ89" i="7" s="1"/>
  <c r="AF76" i="7"/>
  <c r="AJ76" i="7" s="1"/>
  <c r="Z46" i="12"/>
  <c r="Z47" i="12" s="1"/>
  <c r="AF114" i="7"/>
  <c r="AF113" i="7"/>
  <c r="AJ113" i="7" s="1"/>
  <c r="AN113" i="7" s="1"/>
  <c r="AP113" i="7" s="1"/>
  <c r="U58" i="6"/>
  <c r="AF75" i="7"/>
  <c r="AJ75" i="7" s="1"/>
  <c r="AF84" i="7"/>
  <c r="AJ84" i="7" s="1"/>
  <c r="AF92" i="7"/>
  <c r="AJ92" i="7" s="1"/>
  <c r="AF73" i="7"/>
  <c r="AJ73" i="7" s="1"/>
  <c r="AF86" i="7"/>
  <c r="AJ86" i="7" s="1"/>
  <c r="AF37" i="7"/>
  <c r="AJ37" i="7" s="1"/>
  <c r="AF13" i="12"/>
  <c r="AJ13" i="12" s="1"/>
  <c r="AF10" i="7"/>
  <c r="AJ10" i="7" s="1"/>
  <c r="AF72" i="7"/>
  <c r="AF40" i="7"/>
  <c r="AJ40" i="7" s="1"/>
  <c r="AF34" i="7"/>
  <c r="AJ34" i="7" s="1"/>
  <c r="AF11" i="7"/>
  <c r="AJ11" i="7" s="1"/>
  <c r="AF126" i="7"/>
  <c r="AJ126" i="7" s="1"/>
  <c r="T41" i="12"/>
  <c r="AF99" i="7"/>
  <c r="AJ99" i="7" s="1"/>
  <c r="AF74" i="7"/>
  <c r="AJ74" i="7" s="1"/>
  <c r="AF16" i="7"/>
  <c r="AJ16" i="7" s="1"/>
  <c r="AF50" i="7"/>
  <c r="AJ50" i="7" s="1"/>
  <c r="AF125" i="7"/>
  <c r="AJ125" i="7" s="1"/>
  <c r="AF47" i="7"/>
  <c r="AJ47" i="7" s="1"/>
  <c r="AF52" i="7"/>
  <c r="AJ52" i="7" s="1"/>
  <c r="AF53" i="7"/>
  <c r="AJ53" i="7" s="1"/>
  <c r="R52" i="12"/>
  <c r="AF52" i="12" s="1"/>
  <c r="AJ52" i="12" s="1"/>
  <c r="AF124" i="7"/>
  <c r="AJ124" i="7" s="1"/>
  <c r="AF83" i="7"/>
  <c r="AJ83" i="7" s="1"/>
  <c r="AF81" i="7"/>
  <c r="AJ81" i="7" s="1"/>
  <c r="AF37" i="12"/>
  <c r="AJ37" i="12" s="1"/>
  <c r="AF80" i="7"/>
  <c r="AJ80" i="7" s="1"/>
  <c r="R28" i="12"/>
  <c r="AF28" i="12" s="1"/>
  <c r="AJ28" i="12" s="1"/>
  <c r="AF64" i="7"/>
  <c r="AJ64" i="7" s="1"/>
  <c r="AL64" i="7" s="1"/>
  <c r="AF25" i="12"/>
  <c r="AJ25" i="12" s="1"/>
  <c r="AF61" i="7"/>
  <c r="AJ61" i="7" s="1"/>
  <c r="AF56" i="7"/>
  <c r="AF15" i="12"/>
  <c r="AJ15" i="12" s="1"/>
  <c r="AF12" i="7"/>
  <c r="AJ12" i="7" s="1"/>
  <c r="AF16" i="12"/>
  <c r="AJ16" i="12" s="1"/>
  <c r="AF13" i="7"/>
  <c r="AJ13" i="7" s="1"/>
  <c r="AN13" i="7" s="1"/>
  <c r="AP13" i="7" s="1"/>
  <c r="AF38" i="7"/>
  <c r="AJ38" i="7" s="1"/>
  <c r="AF36" i="7"/>
  <c r="AJ36" i="7" s="1"/>
  <c r="AF35" i="7"/>
  <c r="AJ35" i="7" s="1"/>
  <c r="AF33" i="7"/>
  <c r="AF14" i="7"/>
  <c r="AF8" i="7"/>
  <c r="AJ8" i="7" s="1"/>
  <c r="F48" i="8"/>
  <c r="D31" i="7"/>
  <c r="X66" i="7"/>
  <c r="AD10" i="12"/>
  <c r="AD21" i="12" s="1"/>
  <c r="Z21" i="12"/>
  <c r="P21" i="7"/>
  <c r="AH21" i="7" s="1"/>
  <c r="AL21" i="7" s="1"/>
  <c r="B31" i="7"/>
  <c r="B25" i="12"/>
  <c r="B151" i="7"/>
  <c r="J36" i="12"/>
  <c r="P36" i="12" s="1"/>
  <c r="AH36" i="12" s="1"/>
  <c r="J147" i="7"/>
  <c r="F44" i="16"/>
  <c r="AF7" i="7"/>
  <c r="AJ7" i="7" s="1"/>
  <c r="F19" i="10"/>
  <c r="F59" i="10" s="1"/>
  <c r="P81" i="7"/>
  <c r="AH81" i="7" s="1"/>
  <c r="E55" i="14"/>
  <c r="E70" i="14" s="1"/>
  <c r="J38" i="12"/>
  <c r="F44" i="9"/>
  <c r="J41" i="7"/>
  <c r="J20" i="12" s="1"/>
  <c r="J21" i="12" s="1"/>
  <c r="U54" i="5"/>
  <c r="L47" i="12"/>
  <c r="L25" i="12"/>
  <c r="L151" i="7"/>
  <c r="L152" i="7" s="1"/>
  <c r="L155" i="7" s="1"/>
  <c r="U147" i="4"/>
  <c r="B35" i="12"/>
  <c r="B11" i="12"/>
  <c r="P11" i="12" s="1"/>
  <c r="AH11" i="12" s="1"/>
  <c r="F97" i="10"/>
  <c r="F38" i="15"/>
  <c r="F45" i="15" s="1"/>
  <c r="F55" i="15" s="1"/>
  <c r="AL90" i="7"/>
  <c r="B147" i="7"/>
  <c r="B41" i="12"/>
  <c r="P35" i="7"/>
  <c r="AH35" i="7" s="1"/>
  <c r="B19" i="12"/>
  <c r="F72" i="10"/>
  <c r="F77" i="10" s="1"/>
  <c r="P98" i="7"/>
  <c r="AH98" i="7" s="1"/>
  <c r="AL98" i="7" s="1"/>
  <c r="F92" i="11"/>
  <c r="L127" i="7"/>
  <c r="P127" i="7" s="1"/>
  <c r="AH127" i="7" s="1"/>
  <c r="AJ102" i="7"/>
  <c r="AB62" i="7"/>
  <c r="P146" i="7"/>
  <c r="F72" i="8"/>
  <c r="F78" i="8" s="1"/>
  <c r="F69" i="11"/>
  <c r="AL96" i="7"/>
  <c r="N152" i="7"/>
  <c r="N155" i="7" s="1"/>
  <c r="AN22" i="7"/>
  <c r="AP22" i="7" s="1"/>
  <c r="J136" i="7"/>
  <c r="T47" i="12"/>
  <c r="AJ116" i="7"/>
  <c r="AC21" i="12"/>
  <c r="P10" i="7"/>
  <c r="AH10" i="7" s="1"/>
  <c r="F62" i="7"/>
  <c r="F41" i="7"/>
  <c r="F20" i="12" s="1"/>
  <c r="P101" i="7"/>
  <c r="AH101" i="7" s="1"/>
  <c r="AJ117" i="7"/>
  <c r="Z62" i="7"/>
  <c r="Z26" i="12" s="1"/>
  <c r="F10" i="12"/>
  <c r="F53" i="12"/>
  <c r="J40" i="12"/>
  <c r="P40" i="12" s="1"/>
  <c r="AH40" i="12" s="1"/>
  <c r="N7" i="7"/>
  <c r="N10" i="12" s="1"/>
  <c r="N21" i="12" s="1"/>
  <c r="E19" i="14"/>
  <c r="E34" i="14" s="1"/>
  <c r="U27" i="5"/>
  <c r="B14" i="12"/>
  <c r="U67" i="3"/>
  <c r="D53" i="12"/>
  <c r="D56" i="12" s="1"/>
  <c r="D38" i="12"/>
  <c r="P92" i="7"/>
  <c r="AH92" i="7" s="1"/>
  <c r="U33" i="2"/>
  <c r="F39" i="17"/>
  <c r="F40" i="17" s="1"/>
  <c r="F45" i="17" s="1"/>
  <c r="H53" i="12"/>
  <c r="H56" i="12" s="1"/>
  <c r="P84" i="7"/>
  <c r="AH84" i="7" s="1"/>
  <c r="L14" i="12"/>
  <c r="L21" i="12" s="1"/>
  <c r="N42" i="12"/>
  <c r="AB119" i="7"/>
  <c r="L119" i="7"/>
  <c r="U28" i="6"/>
  <c r="D47" i="12"/>
  <c r="L110" i="7"/>
  <c r="F18" i="11"/>
  <c r="F56" i="11" s="1"/>
  <c r="F23" i="17"/>
  <c r="F24" i="17" s="1"/>
  <c r="P38" i="7"/>
  <c r="AH38" i="7" s="1"/>
  <c r="P118" i="7"/>
  <c r="AH118" i="7" s="1"/>
  <c r="N53" i="12"/>
  <c r="N56" i="12" s="1"/>
  <c r="F24" i="16"/>
  <c r="F25" i="16" s="1"/>
  <c r="N110" i="7"/>
  <c r="P71" i="7"/>
  <c r="AH71" i="7" s="1"/>
  <c r="AL71" i="7" s="1"/>
  <c r="J62" i="7"/>
  <c r="J24" i="12" s="1"/>
  <c r="AJ134" i="7"/>
  <c r="P114" i="7"/>
  <c r="AH114" i="7" s="1"/>
  <c r="F47" i="12"/>
  <c r="F66" i="9"/>
  <c r="F72" i="9" s="1"/>
  <c r="H41" i="7"/>
  <c r="H20" i="12" s="1"/>
  <c r="H21" i="12" s="1"/>
  <c r="H136" i="7"/>
  <c r="D136" i="7"/>
  <c r="U80" i="4"/>
  <c r="R43" i="7"/>
  <c r="AJ88" i="7"/>
  <c r="V53" i="12"/>
  <c r="Z53" i="12"/>
  <c r="Z56" i="12" s="1"/>
  <c r="Z40" i="12"/>
  <c r="AD136" i="7"/>
  <c r="F25" i="15"/>
  <c r="T62" i="7"/>
  <c r="T26" i="12" s="1"/>
  <c r="J119" i="7"/>
  <c r="AB47" i="12"/>
  <c r="D41" i="7"/>
  <c r="D20" i="12" s="1"/>
  <c r="R41" i="7"/>
  <c r="R20" i="12" s="1"/>
  <c r="X136" i="7"/>
  <c r="P100" i="7"/>
  <c r="AH100" i="7" s="1"/>
  <c r="P15" i="7"/>
  <c r="AH15" i="7" s="1"/>
  <c r="AJ118" i="7"/>
  <c r="AF34" i="12"/>
  <c r="AJ34" i="12" s="1"/>
  <c r="J47" i="12"/>
  <c r="X47" i="12"/>
  <c r="L42" i="12"/>
  <c r="H26" i="12"/>
  <c r="V47" i="12"/>
  <c r="N46" i="12"/>
  <c r="N47" i="12" s="1"/>
  <c r="T136" i="7"/>
  <c r="P34" i="7"/>
  <c r="AH34" i="7" s="1"/>
  <c r="T41" i="7"/>
  <c r="AL109" i="7"/>
  <c r="P135" i="7"/>
  <c r="AH135" i="7" s="1"/>
  <c r="J110" i="7"/>
  <c r="L43" i="7"/>
  <c r="T31" i="7"/>
  <c r="AJ49" i="7"/>
  <c r="R119" i="7"/>
  <c r="V55" i="12"/>
  <c r="AL91" i="7"/>
  <c r="H155" i="7"/>
  <c r="AL29" i="7"/>
  <c r="D62" i="7"/>
  <c r="D24" i="12" s="1"/>
  <c r="AD53" i="12"/>
  <c r="AD56" i="12" s="1"/>
  <c r="D25" i="12"/>
  <c r="H110" i="7"/>
  <c r="H121" i="7" s="1"/>
  <c r="AF18" i="12"/>
  <c r="AJ18" i="12" s="1"/>
  <c r="P14" i="7"/>
  <c r="AH14" i="7" s="1"/>
  <c r="AN18" i="7"/>
  <c r="AP18" i="7" s="1"/>
  <c r="D14" i="12"/>
  <c r="P37" i="7"/>
  <c r="AH37" i="7" s="1"/>
  <c r="V62" i="7"/>
  <c r="V26" i="12" s="1"/>
  <c r="Z136" i="7"/>
  <c r="P102" i="7"/>
  <c r="AH102" i="7" s="1"/>
  <c r="P124" i="7"/>
  <c r="AH124" i="7" s="1"/>
  <c r="N136" i="7"/>
  <c r="X53" i="12"/>
  <c r="X56" i="12" s="1"/>
  <c r="P12" i="7"/>
  <c r="AH12" i="7" s="1"/>
  <c r="B15" i="12"/>
  <c r="P15" i="12" s="1"/>
  <c r="AH15" i="12" s="1"/>
  <c r="AL22" i="7"/>
  <c r="AL19" i="7"/>
  <c r="P73" i="7"/>
  <c r="AH73" i="7" s="1"/>
  <c r="J35" i="12"/>
  <c r="V136" i="7"/>
  <c r="R39" i="12"/>
  <c r="AF39" i="12" s="1"/>
  <c r="AJ39" i="12" s="1"/>
  <c r="AJ100" i="7"/>
  <c r="AA21" i="12"/>
  <c r="X26" i="12"/>
  <c r="P103" i="7"/>
  <c r="AH103" i="7" s="1"/>
  <c r="P9" i="7"/>
  <c r="AH9" i="7" s="1"/>
  <c r="Z119" i="7"/>
  <c r="H42" i="12"/>
  <c r="T53" i="12"/>
  <c r="T56" i="12" s="1"/>
  <c r="P40" i="7"/>
  <c r="AH40" i="7" s="1"/>
  <c r="F151" i="7"/>
  <c r="F152" i="7" s="1"/>
  <c r="F155" i="7" s="1"/>
  <c r="F25" i="12"/>
  <c r="AN130" i="7"/>
  <c r="AP130" i="7" s="1"/>
  <c r="AL130" i="7"/>
  <c r="P82" i="7"/>
  <c r="AH82" i="7" s="1"/>
  <c r="P134" i="7"/>
  <c r="AH134" i="7" s="1"/>
  <c r="Y21" i="12"/>
  <c r="W21" i="12"/>
  <c r="AD62" i="7"/>
  <c r="P13" i="12"/>
  <c r="AH13" i="12" s="1"/>
  <c r="H47" i="12"/>
  <c r="V41" i="7"/>
  <c r="V43" i="7" s="1"/>
  <c r="P45" i="12"/>
  <c r="AH45" i="12" s="1"/>
  <c r="P18" i="12"/>
  <c r="AH18" i="12" s="1"/>
  <c r="AJ133" i="7"/>
  <c r="N25" i="12"/>
  <c r="R45" i="12"/>
  <c r="R53" i="12"/>
  <c r="P76" i="7"/>
  <c r="AH76" i="7" s="1"/>
  <c r="N119" i="7"/>
  <c r="P54" i="12"/>
  <c r="AH54" i="12" s="1"/>
  <c r="AL54" i="12" s="1"/>
  <c r="R46" i="12"/>
  <c r="P116" i="7"/>
  <c r="AH116" i="7" s="1"/>
  <c r="AE21" i="12"/>
  <c r="AL18" i="7"/>
  <c r="P8" i="7"/>
  <c r="AH8" i="7" s="1"/>
  <c r="P75" i="7"/>
  <c r="AH75" i="7" s="1"/>
  <c r="P88" i="7"/>
  <c r="AH88" i="7" s="1"/>
  <c r="P128" i="7"/>
  <c r="AH128" i="7" s="1"/>
  <c r="AL128" i="7" s="1"/>
  <c r="P51" i="7"/>
  <c r="AH51" i="7" s="1"/>
  <c r="P24" i="7"/>
  <c r="F136" i="7"/>
  <c r="F55" i="12"/>
  <c r="P49" i="7"/>
  <c r="AH49" i="7" s="1"/>
  <c r="AN131" i="7"/>
  <c r="AP131" i="7" s="1"/>
  <c r="AL131" i="7"/>
  <c r="AL132" i="7"/>
  <c r="AN132" i="7"/>
  <c r="AP132" i="7" s="1"/>
  <c r="P46" i="7"/>
  <c r="AH46" i="7" s="1"/>
  <c r="P61" i="7"/>
  <c r="AH61" i="7" s="1"/>
  <c r="P54" i="7"/>
  <c r="AH54" i="7" s="1"/>
  <c r="P86" i="7"/>
  <c r="AH86" i="7" s="1"/>
  <c r="P80" i="7"/>
  <c r="AH80" i="7" s="1"/>
  <c r="F110" i="7"/>
  <c r="F121" i="7" s="1"/>
  <c r="F35" i="12"/>
  <c r="U69" i="2"/>
  <c r="P126" i="7"/>
  <c r="AN19" i="7"/>
  <c r="AP19" i="7" s="1"/>
  <c r="P11" i="7"/>
  <c r="AH11" i="7" s="1"/>
  <c r="B16" i="12"/>
  <c r="P16" i="12" s="1"/>
  <c r="AH16" i="12" s="1"/>
  <c r="AN23" i="7"/>
  <c r="AP23" i="7" s="1"/>
  <c r="AL23" i="7"/>
  <c r="B62" i="7"/>
  <c r="B24" i="12" s="1"/>
  <c r="P78" i="7"/>
  <c r="AH78" i="7" s="1"/>
  <c r="B55" i="12"/>
  <c r="B41" i="7"/>
  <c r="AH47" i="7"/>
  <c r="AL17" i="7"/>
  <c r="AN17" i="7"/>
  <c r="AP17" i="7" s="1"/>
  <c r="B110" i="7"/>
  <c r="B136" i="7"/>
  <c r="B53" i="12"/>
  <c r="B28" i="12"/>
  <c r="P28" i="12" s="1"/>
  <c r="AH28" i="12" s="1"/>
  <c r="P72" i="7"/>
  <c r="AH72" i="7" s="1"/>
  <c r="P133" i="7"/>
  <c r="AH133" i="7" s="1"/>
  <c r="B12" i="12"/>
  <c r="P12" i="12" s="1"/>
  <c r="AH12" i="12" s="1"/>
  <c r="B119" i="7"/>
  <c r="P117" i="7"/>
  <c r="J53" i="12"/>
  <c r="J56" i="12" s="1"/>
  <c r="J25" i="12"/>
  <c r="P26" i="7"/>
  <c r="AJ82" i="7"/>
  <c r="AJ48" i="7"/>
  <c r="AD46" i="12"/>
  <c r="AD119" i="7"/>
  <c r="D110" i="7"/>
  <c r="P16" i="7"/>
  <c r="AH16" i="7" s="1"/>
  <c r="D17" i="12"/>
  <c r="AJ54" i="7"/>
  <c r="P34" i="12"/>
  <c r="P52" i="12"/>
  <c r="AJ129" i="7"/>
  <c r="R136" i="7"/>
  <c r="P104" i="7"/>
  <c r="AH104" i="7" s="1"/>
  <c r="AL104" i="7" s="1"/>
  <c r="B37" i="12"/>
  <c r="AL97" i="7"/>
  <c r="AL25" i="7"/>
  <c r="P39" i="12"/>
  <c r="AH39" i="12" s="1"/>
  <c r="N62" i="7"/>
  <c r="D155" i="7"/>
  <c r="T43" i="7" l="1"/>
  <c r="L62" i="7"/>
  <c r="L24" i="12" s="1"/>
  <c r="B20" i="12"/>
  <c r="P20" i="12" s="1"/>
  <c r="AH20" i="12" s="1"/>
  <c r="B43" i="7"/>
  <c r="B66" i="7" s="1"/>
  <c r="AF40" i="12"/>
  <c r="AJ40" i="12" s="1"/>
  <c r="AN40" i="12" s="1"/>
  <c r="AP40" i="12" s="1"/>
  <c r="AH110" i="7"/>
  <c r="AD41" i="12"/>
  <c r="AD42" i="12" s="1"/>
  <c r="AD110" i="7"/>
  <c r="AD138" i="7" s="1"/>
  <c r="V60" i="6"/>
  <c r="AB42" i="12"/>
  <c r="AB49" i="12" s="1"/>
  <c r="AF103" i="7"/>
  <c r="AJ103" i="7" s="1"/>
  <c r="AN103" i="7" s="1"/>
  <c r="AP103" i="7" s="1"/>
  <c r="V150" i="4"/>
  <c r="AF14" i="12"/>
  <c r="AJ14" i="12" s="1"/>
  <c r="AF11" i="12"/>
  <c r="AJ11" i="12" s="1"/>
  <c r="AN11" i="12" s="1"/>
  <c r="AP11" i="12" s="1"/>
  <c r="AN21" i="7"/>
  <c r="AP21" i="7" s="1"/>
  <c r="AH41" i="7"/>
  <c r="AH26" i="7"/>
  <c r="AL26" i="7" s="1"/>
  <c r="AH24" i="7"/>
  <c r="AL24" i="7" s="1"/>
  <c r="X21" i="12"/>
  <c r="X30" i="12" s="1"/>
  <c r="AF60" i="7"/>
  <c r="AJ60" i="7" s="1"/>
  <c r="AN60" i="7" s="1"/>
  <c r="AP60" i="7" s="1"/>
  <c r="AF119" i="7"/>
  <c r="AL89" i="7"/>
  <c r="AN89" i="7"/>
  <c r="AP89" i="7" s="1"/>
  <c r="AL99" i="7"/>
  <c r="AN99" i="7"/>
  <c r="AP99" i="7" s="1"/>
  <c r="AN74" i="7"/>
  <c r="AP74" i="7" s="1"/>
  <c r="AL74" i="7"/>
  <c r="AN52" i="7"/>
  <c r="AP52" i="7" s="1"/>
  <c r="AL52" i="7"/>
  <c r="AN125" i="7"/>
  <c r="AP125" i="7" s="1"/>
  <c r="AL125" i="7"/>
  <c r="AN53" i="7"/>
  <c r="AP53" i="7" s="1"/>
  <c r="AL53" i="7"/>
  <c r="AL50" i="7"/>
  <c r="AN50" i="7"/>
  <c r="AP50" i="7" s="1"/>
  <c r="AN83" i="7"/>
  <c r="AP83" i="7" s="1"/>
  <c r="AL83" i="7"/>
  <c r="AN81" i="7"/>
  <c r="AP81" i="7" s="1"/>
  <c r="AJ56" i="7"/>
  <c r="AN36" i="7"/>
  <c r="AP36" i="7" s="1"/>
  <c r="AL36" i="7"/>
  <c r="AN35" i="7"/>
  <c r="AP35" i="7" s="1"/>
  <c r="AF41" i="7"/>
  <c r="AJ33" i="7"/>
  <c r="AL33" i="7" s="1"/>
  <c r="AJ14" i="7"/>
  <c r="AJ31" i="7" s="1"/>
  <c r="AF31" i="7"/>
  <c r="AB21" i="12"/>
  <c r="AB66" i="7"/>
  <c r="T66" i="7"/>
  <c r="R66" i="7"/>
  <c r="AL81" i="7"/>
  <c r="J43" i="7"/>
  <c r="J66" i="7" s="1"/>
  <c r="P19" i="12"/>
  <c r="AH19" i="12" s="1"/>
  <c r="L66" i="7"/>
  <c r="L26" i="12"/>
  <c r="L30" i="12" s="1"/>
  <c r="N43" i="7"/>
  <c r="N66" i="7" s="1"/>
  <c r="F98" i="10"/>
  <c r="L136" i="7"/>
  <c r="L138" i="7" s="1"/>
  <c r="L49" i="12"/>
  <c r="P147" i="7"/>
  <c r="P148" i="7" s="1"/>
  <c r="AN20" i="7"/>
  <c r="AP20" i="7" s="1"/>
  <c r="AL35" i="7"/>
  <c r="L121" i="7"/>
  <c r="AN64" i="7"/>
  <c r="AP64" i="7" s="1"/>
  <c r="F43" i="7"/>
  <c r="F66" i="7" s="1"/>
  <c r="F93" i="11"/>
  <c r="F95" i="11" s="1"/>
  <c r="J138" i="7"/>
  <c r="J140" i="7" s="1"/>
  <c r="AL84" i="7"/>
  <c r="AB121" i="7"/>
  <c r="B152" i="7"/>
  <c r="B155" i="7" s="1"/>
  <c r="P151" i="7"/>
  <c r="AL116" i="7"/>
  <c r="AN102" i="7"/>
  <c r="AP102" i="7" s="1"/>
  <c r="F57" i="15"/>
  <c r="AL134" i="7"/>
  <c r="L53" i="12"/>
  <c r="L56" i="12" s="1"/>
  <c r="L58" i="12" s="1"/>
  <c r="AN78" i="7"/>
  <c r="AP78" i="7" s="1"/>
  <c r="AN101" i="7"/>
  <c r="AP101" i="7" s="1"/>
  <c r="P10" i="12"/>
  <c r="AH10" i="12" s="1"/>
  <c r="F21" i="12"/>
  <c r="P7" i="7"/>
  <c r="AH7" i="7" s="1"/>
  <c r="H30" i="12"/>
  <c r="AL101" i="7"/>
  <c r="AN38" i="7"/>
  <c r="AP38" i="7" s="1"/>
  <c r="AL38" i="7"/>
  <c r="AN10" i="7"/>
  <c r="AP10" i="7" s="1"/>
  <c r="T138" i="7"/>
  <c r="F56" i="12"/>
  <c r="AN118" i="7"/>
  <c r="AP118" i="7" s="1"/>
  <c r="Z30" i="12"/>
  <c r="R121" i="7"/>
  <c r="AL86" i="7"/>
  <c r="AL16" i="12"/>
  <c r="AN34" i="7"/>
  <c r="AP34" i="7" s="1"/>
  <c r="AN87" i="7"/>
  <c r="AP87" i="7" s="1"/>
  <c r="AN124" i="7"/>
  <c r="AP124" i="7" s="1"/>
  <c r="Z66" i="7"/>
  <c r="V56" i="5"/>
  <c r="AL102" i="7"/>
  <c r="AN84" i="7"/>
  <c r="AP84" i="7" s="1"/>
  <c r="V72" i="2"/>
  <c r="J121" i="7"/>
  <c r="E72" i="14"/>
  <c r="N121" i="7"/>
  <c r="F46" i="16"/>
  <c r="F74" i="9"/>
  <c r="AL12" i="7"/>
  <c r="AN88" i="7"/>
  <c r="AP88" i="7" s="1"/>
  <c r="AL10" i="7"/>
  <c r="AL13" i="7"/>
  <c r="U69" i="3"/>
  <c r="D42" i="12"/>
  <c r="D49" i="12" s="1"/>
  <c r="AL92" i="7"/>
  <c r="D26" i="12"/>
  <c r="F47" i="17"/>
  <c r="H43" i="7"/>
  <c r="H66" i="7" s="1"/>
  <c r="P14" i="12"/>
  <c r="AH14" i="12" s="1"/>
  <c r="AH126" i="7"/>
  <c r="AH136" i="7" s="1"/>
  <c r="AL124" i="7"/>
  <c r="AN134" i="7"/>
  <c r="AP134" i="7" s="1"/>
  <c r="AN9" i="7"/>
  <c r="AP9" i="7" s="1"/>
  <c r="P55" i="12"/>
  <c r="AH55" i="12" s="1"/>
  <c r="Z138" i="7"/>
  <c r="J42" i="12"/>
  <c r="J49" i="12" s="1"/>
  <c r="X49" i="12"/>
  <c r="F42" i="12"/>
  <c r="F49" i="12" s="1"/>
  <c r="AN86" i="7"/>
  <c r="AP86" i="7" s="1"/>
  <c r="V56" i="12"/>
  <c r="AN49" i="7"/>
  <c r="AP49" i="7" s="1"/>
  <c r="AL34" i="7"/>
  <c r="AL15" i="7"/>
  <c r="AN8" i="7"/>
  <c r="AP8" i="7" s="1"/>
  <c r="Z42" i="12"/>
  <c r="Z49" i="12" s="1"/>
  <c r="AN76" i="7"/>
  <c r="AP76" i="7" s="1"/>
  <c r="AL118" i="7"/>
  <c r="AN15" i="7"/>
  <c r="AP15" i="7" s="1"/>
  <c r="P31" i="7"/>
  <c r="AN15" i="12"/>
  <c r="AP15" i="12" s="1"/>
  <c r="AL15" i="12"/>
  <c r="AL9" i="7"/>
  <c r="AL113" i="7"/>
  <c r="D43" i="7"/>
  <c r="D66" i="7" s="1"/>
  <c r="AL76" i="7"/>
  <c r="AN18" i="12"/>
  <c r="AP18" i="12" s="1"/>
  <c r="AL100" i="7"/>
  <c r="AL73" i="7"/>
  <c r="AN37" i="7"/>
  <c r="AP37" i="7" s="1"/>
  <c r="N58" i="12"/>
  <c r="T21" i="12"/>
  <c r="T30" i="12" s="1"/>
  <c r="AN92" i="7"/>
  <c r="AP92" i="7" s="1"/>
  <c r="AL61" i="7"/>
  <c r="AL40" i="7"/>
  <c r="D21" i="12"/>
  <c r="AN116" i="7"/>
  <c r="AP116" i="7" s="1"/>
  <c r="AL37" i="7"/>
  <c r="P35" i="12"/>
  <c r="AH35" i="12" s="1"/>
  <c r="AL11" i="7"/>
  <c r="AL80" i="7"/>
  <c r="H138" i="7"/>
  <c r="AL18" i="12"/>
  <c r="N49" i="12"/>
  <c r="AF17" i="12"/>
  <c r="AJ17" i="12" s="1"/>
  <c r="AN61" i="7"/>
  <c r="AP61" i="7" s="1"/>
  <c r="H49" i="12"/>
  <c r="H58" i="12"/>
  <c r="AN100" i="7"/>
  <c r="AP100" i="7" s="1"/>
  <c r="V66" i="7"/>
  <c r="AN73" i="7"/>
  <c r="AP73" i="7" s="1"/>
  <c r="AL12" i="12"/>
  <c r="AN12" i="7"/>
  <c r="AP12" i="7" s="1"/>
  <c r="AN40" i="7"/>
  <c r="AP40" i="7" s="1"/>
  <c r="AL8" i="7"/>
  <c r="AF45" i="12"/>
  <c r="AJ45" i="12" s="1"/>
  <c r="R47" i="12"/>
  <c r="N138" i="7"/>
  <c r="N140" i="7" s="1"/>
  <c r="Z121" i="7"/>
  <c r="P41" i="12"/>
  <c r="AH41" i="12" s="1"/>
  <c r="AD66" i="7"/>
  <c r="AD26" i="12"/>
  <c r="AD30" i="12" s="1"/>
  <c r="P25" i="12"/>
  <c r="AH25" i="12" s="1"/>
  <c r="AL25" i="12" s="1"/>
  <c r="R138" i="7"/>
  <c r="R60" i="12" s="1"/>
  <c r="AL13" i="12"/>
  <c r="T42" i="12"/>
  <c r="T58" i="12" s="1"/>
  <c r="P41" i="7"/>
  <c r="AN133" i="7"/>
  <c r="AP133" i="7" s="1"/>
  <c r="AN46" i="7"/>
  <c r="AP46" i="7" s="1"/>
  <c r="X121" i="7"/>
  <c r="X138" i="7"/>
  <c r="X139" i="7" s="1"/>
  <c r="AL88" i="7"/>
  <c r="AN51" i="7"/>
  <c r="AP51" i="7" s="1"/>
  <c r="AL51" i="7"/>
  <c r="AH62" i="7"/>
  <c r="AL46" i="7"/>
  <c r="P62" i="7"/>
  <c r="AL49" i="7"/>
  <c r="AN54" i="7"/>
  <c r="AP54" i="7" s="1"/>
  <c r="P38" i="12"/>
  <c r="AH38" i="12" s="1"/>
  <c r="AL133" i="7"/>
  <c r="F138" i="7"/>
  <c r="F140" i="7" s="1"/>
  <c r="AN80" i="7"/>
  <c r="AP80" i="7" s="1"/>
  <c r="AN11" i="7"/>
  <c r="AP11" i="7" s="1"/>
  <c r="B56" i="12"/>
  <c r="AL78" i="7"/>
  <c r="AN16" i="12"/>
  <c r="AP16" i="12" s="1"/>
  <c r="P136" i="7"/>
  <c r="B47" i="12"/>
  <c r="P46" i="12"/>
  <c r="AH117" i="7"/>
  <c r="P119" i="7"/>
  <c r="B121" i="7"/>
  <c r="B138" i="7"/>
  <c r="AL47" i="7"/>
  <c r="AN47" i="7"/>
  <c r="AP47" i="7" s="1"/>
  <c r="F80" i="8"/>
  <c r="J26" i="12"/>
  <c r="J30" i="12" s="1"/>
  <c r="N24" i="12"/>
  <c r="N26" i="12" s="1"/>
  <c r="N30" i="12" s="1"/>
  <c r="AF55" i="12"/>
  <c r="AJ55" i="12" s="1"/>
  <c r="R56" i="12"/>
  <c r="AL82" i="7"/>
  <c r="AN82" i="7"/>
  <c r="AP82" i="7" s="1"/>
  <c r="V42" i="12"/>
  <c r="AF35" i="12"/>
  <c r="AN13" i="12"/>
  <c r="AP13" i="12" s="1"/>
  <c r="AL39" i="12"/>
  <c r="AN39" i="12"/>
  <c r="AP39" i="12" s="1"/>
  <c r="P37" i="12"/>
  <c r="AH37" i="12" s="1"/>
  <c r="B42" i="12"/>
  <c r="AN129" i="7"/>
  <c r="AP129" i="7" s="1"/>
  <c r="AL129" i="7"/>
  <c r="AJ114" i="7"/>
  <c r="P110" i="7"/>
  <c r="AL36" i="12"/>
  <c r="AN36" i="12"/>
  <c r="AP36" i="12" s="1"/>
  <c r="T121" i="7"/>
  <c r="R21" i="12"/>
  <c r="AB26" i="12"/>
  <c r="AL135" i="7"/>
  <c r="AN135" i="7"/>
  <c r="AP135" i="7" s="1"/>
  <c r="D138" i="7"/>
  <c r="D121" i="7"/>
  <c r="X58" i="12"/>
  <c r="AH34" i="12"/>
  <c r="AL16" i="7"/>
  <c r="AN16" i="7"/>
  <c r="AP16" i="7" s="1"/>
  <c r="AL75" i="7"/>
  <c r="AN75" i="7"/>
  <c r="AP75" i="7" s="1"/>
  <c r="V121" i="7"/>
  <c r="V138" i="7"/>
  <c r="F24" i="12"/>
  <c r="F26" i="12" s="1"/>
  <c r="AH52" i="12"/>
  <c r="B26" i="12"/>
  <c r="AD47" i="12"/>
  <c r="AF46" i="12"/>
  <c r="AN48" i="7"/>
  <c r="AP48" i="7" s="1"/>
  <c r="AL48" i="7"/>
  <c r="AN28" i="12"/>
  <c r="AP28" i="12" s="1"/>
  <c r="AL28" i="12"/>
  <c r="AF38" i="12"/>
  <c r="AJ38" i="12" s="1"/>
  <c r="R42" i="12"/>
  <c r="AJ72" i="7"/>
  <c r="P17" i="12"/>
  <c r="AH17" i="12" s="1"/>
  <c r="AL54" i="7"/>
  <c r="B21" i="12" l="1"/>
  <c r="AF41" i="12"/>
  <c r="AJ41" i="12" s="1"/>
  <c r="AL40" i="12"/>
  <c r="P43" i="7"/>
  <c r="P66" i="7" s="1"/>
  <c r="AF43" i="7"/>
  <c r="AJ110" i="7"/>
  <c r="AN110" i="7" s="1"/>
  <c r="AP110" i="7" s="1"/>
  <c r="AF110" i="7"/>
  <c r="AF121" i="7" s="1"/>
  <c r="AN41" i="12"/>
  <c r="AP41" i="12" s="1"/>
  <c r="AN14" i="7"/>
  <c r="AP14" i="7" s="1"/>
  <c r="AL11" i="12"/>
  <c r="AD121" i="7"/>
  <c r="AN24" i="7"/>
  <c r="AP24" i="7" s="1"/>
  <c r="AL103" i="7"/>
  <c r="AL14" i="12"/>
  <c r="AH31" i="7"/>
  <c r="AH43" i="7" s="1"/>
  <c r="AF62" i="7"/>
  <c r="AL14" i="7"/>
  <c r="AL31" i="7" s="1"/>
  <c r="AB30" i="12"/>
  <c r="AF10" i="12"/>
  <c r="AJ10" i="12" s="1"/>
  <c r="AN10" i="12" s="1"/>
  <c r="AP10" i="12" s="1"/>
  <c r="AF127" i="7"/>
  <c r="AF136" i="7" s="1"/>
  <c r="AJ41" i="7"/>
  <c r="AN41" i="7" s="1"/>
  <c r="AP41" i="7" s="1"/>
  <c r="AL56" i="7"/>
  <c r="AN56" i="7"/>
  <c r="AP56" i="7" s="1"/>
  <c r="AN7" i="7"/>
  <c r="AP7" i="7" s="1"/>
  <c r="B139" i="7"/>
  <c r="J139" i="7"/>
  <c r="H60" i="12"/>
  <c r="F100" i="10"/>
  <c r="R139" i="7"/>
  <c r="D139" i="7"/>
  <c r="D140" i="7"/>
  <c r="N60" i="12"/>
  <c r="L60" i="12"/>
  <c r="AN19" i="12"/>
  <c r="AP19" i="12" s="1"/>
  <c r="AL19" i="12"/>
  <c r="B140" i="7"/>
  <c r="V139" i="7"/>
  <c r="Z139" i="7"/>
  <c r="V60" i="12"/>
  <c r="T139" i="7"/>
  <c r="T60" i="12"/>
  <c r="T61" i="12" s="1"/>
  <c r="X60" i="12"/>
  <c r="X61" i="12" s="1"/>
  <c r="Z60" i="12"/>
  <c r="AD60" i="12"/>
  <c r="L140" i="7"/>
  <c r="H140" i="7"/>
  <c r="H139" i="7"/>
  <c r="R58" i="12"/>
  <c r="R49" i="12"/>
  <c r="AB53" i="12"/>
  <c r="AB56" i="12" s="1"/>
  <c r="AB58" i="12" s="1"/>
  <c r="AB136" i="7"/>
  <c r="AB138" i="7" s="1"/>
  <c r="AJ62" i="7"/>
  <c r="AN62" i="7" s="1"/>
  <c r="AP62" i="7" s="1"/>
  <c r="AL60" i="7"/>
  <c r="P53" i="12"/>
  <c r="AH53" i="12" s="1"/>
  <c r="AH56" i="12" s="1"/>
  <c r="D30" i="12"/>
  <c r="F30" i="12"/>
  <c r="AL7" i="7"/>
  <c r="H59" i="12"/>
  <c r="X59" i="12"/>
  <c r="F139" i="7"/>
  <c r="N139" i="7"/>
  <c r="D58" i="12"/>
  <c r="J58" i="12"/>
  <c r="J60" i="12" s="1"/>
  <c r="N59" i="12"/>
  <c r="F58" i="12"/>
  <c r="AN14" i="12"/>
  <c r="AP14" i="12" s="1"/>
  <c r="AL126" i="7"/>
  <c r="AN126" i="7"/>
  <c r="AP126" i="7" s="1"/>
  <c r="L62" i="12"/>
  <c r="AL41" i="7"/>
  <c r="L139" i="7"/>
  <c r="T59" i="12"/>
  <c r="Z58" i="12"/>
  <c r="AN25" i="12"/>
  <c r="AP25" i="12" s="1"/>
  <c r="T49" i="12"/>
  <c r="L59" i="12"/>
  <c r="H62" i="12"/>
  <c r="AL41" i="12"/>
  <c r="N62" i="12"/>
  <c r="AN45" i="12"/>
  <c r="AP45" i="12" s="1"/>
  <c r="AL45" i="12"/>
  <c r="AD139" i="7"/>
  <c r="AF20" i="12"/>
  <c r="V21" i="12"/>
  <c r="V30" i="12" s="1"/>
  <c r="B49" i="12"/>
  <c r="P42" i="12"/>
  <c r="P121" i="7"/>
  <c r="B58" i="12"/>
  <c r="B59" i="12" s="1"/>
  <c r="AL117" i="7"/>
  <c r="AN117" i="7"/>
  <c r="AP117" i="7" s="1"/>
  <c r="AH119" i="7"/>
  <c r="AH138" i="7" s="1"/>
  <c r="P47" i="12"/>
  <c r="AH46" i="12"/>
  <c r="AH47" i="12" s="1"/>
  <c r="AH21" i="12"/>
  <c r="P138" i="7"/>
  <c r="P140" i="7" s="1"/>
  <c r="AN72" i="7"/>
  <c r="AP72" i="7" s="1"/>
  <c r="AL72" i="7"/>
  <c r="AN17" i="12"/>
  <c r="AP17" i="12" s="1"/>
  <c r="AL17" i="12"/>
  <c r="AN38" i="12"/>
  <c r="AP38" i="12" s="1"/>
  <c r="AL38" i="12"/>
  <c r="AF47" i="12"/>
  <c r="AJ46" i="12"/>
  <c r="B27" i="12"/>
  <c r="B30" i="12"/>
  <c r="AL34" i="12"/>
  <c r="AH42" i="12"/>
  <c r="P21" i="12"/>
  <c r="AL114" i="7"/>
  <c r="AJ119" i="7"/>
  <c r="AN114" i="7"/>
  <c r="AP114" i="7" s="1"/>
  <c r="AJ35" i="12"/>
  <c r="AN55" i="12"/>
  <c r="AP55" i="12" s="1"/>
  <c r="AL55" i="12"/>
  <c r="AD49" i="12"/>
  <c r="AD58" i="12"/>
  <c r="P24" i="12"/>
  <c r="AF24" i="12"/>
  <c r="R26" i="12"/>
  <c r="R30" i="12" s="1"/>
  <c r="AN52" i="12"/>
  <c r="AP52" i="12" s="1"/>
  <c r="AL52" i="12"/>
  <c r="AN37" i="12"/>
  <c r="AP37" i="12" s="1"/>
  <c r="AL37" i="12"/>
  <c r="V49" i="12"/>
  <c r="V58" i="12"/>
  <c r="AF42" i="12" l="1"/>
  <c r="AF49" i="12" s="1"/>
  <c r="R59" i="12"/>
  <c r="R61" i="12"/>
  <c r="AL43" i="7"/>
  <c r="AL110" i="7"/>
  <c r="AF138" i="7"/>
  <c r="AF43" i="12"/>
  <c r="AN31" i="7"/>
  <c r="AP31" i="7" s="1"/>
  <c r="AF66" i="7"/>
  <c r="AL10" i="12"/>
  <c r="AJ43" i="7"/>
  <c r="AJ66" i="7" s="1"/>
  <c r="AJ127" i="7"/>
  <c r="AL62" i="7"/>
  <c r="D60" i="12"/>
  <c r="F60" i="12"/>
  <c r="B60" i="12"/>
  <c r="Z61" i="12"/>
  <c r="V61" i="12"/>
  <c r="AD61" i="12"/>
  <c r="AD59" i="12"/>
  <c r="AB139" i="7"/>
  <c r="AB60" i="12"/>
  <c r="AB61" i="12" s="1"/>
  <c r="Z59" i="12"/>
  <c r="P56" i="12"/>
  <c r="P58" i="12" s="1"/>
  <c r="P62" i="12" s="1"/>
  <c r="AB59" i="12"/>
  <c r="AF53" i="12"/>
  <c r="AJ53" i="12" s="1"/>
  <c r="AJ56" i="12" s="1"/>
  <c r="D59" i="12"/>
  <c r="F59" i="12"/>
  <c r="J59" i="12"/>
  <c r="J62" i="12"/>
  <c r="D62" i="12"/>
  <c r="F62" i="12"/>
  <c r="B62" i="12"/>
  <c r="V59" i="12"/>
  <c r="AJ20" i="12"/>
  <c r="AF21" i="12"/>
  <c r="AL119" i="7"/>
  <c r="AH121" i="7"/>
  <c r="P139" i="7"/>
  <c r="P49" i="12"/>
  <c r="AH58" i="12"/>
  <c r="AF26" i="12"/>
  <c r="AJ24" i="12"/>
  <c r="AJ26" i="12" s="1"/>
  <c r="AN35" i="12"/>
  <c r="AP35" i="12" s="1"/>
  <c r="AL35" i="12"/>
  <c r="AL42" i="12" s="1"/>
  <c r="AJ42" i="12"/>
  <c r="AH49" i="12"/>
  <c r="AN119" i="7"/>
  <c r="AP119" i="7" s="1"/>
  <c r="AJ121" i="7"/>
  <c r="AQ21" i="12"/>
  <c r="AH24" i="12"/>
  <c r="P26" i="12"/>
  <c r="P30" i="12" s="1"/>
  <c r="AQ43" i="7"/>
  <c r="AH66" i="7"/>
  <c r="AH139" i="7" s="1"/>
  <c r="AJ47" i="12"/>
  <c r="AL46" i="12"/>
  <c r="AL47" i="12" s="1"/>
  <c r="AN46" i="12"/>
  <c r="AP46" i="12" s="1"/>
  <c r="AF139" i="7" l="1"/>
  <c r="AN43" i="7"/>
  <c r="AP43" i="7" s="1"/>
  <c r="AL127" i="7"/>
  <c r="AL136" i="7" s="1"/>
  <c r="AL138" i="7" s="1"/>
  <c r="AN127" i="7"/>
  <c r="AP127" i="7" s="1"/>
  <c r="AJ136" i="7"/>
  <c r="AL66" i="7"/>
  <c r="P60" i="12"/>
  <c r="P59" i="12"/>
  <c r="AN56" i="12"/>
  <c r="AP56" i="12" s="1"/>
  <c r="AJ58" i="12"/>
  <c r="AN58" i="12" s="1"/>
  <c r="AN53" i="12"/>
  <c r="AP53" i="12" s="1"/>
  <c r="AF56" i="12"/>
  <c r="AF58" i="12" s="1"/>
  <c r="AF62" i="12" s="1"/>
  <c r="AL53" i="12"/>
  <c r="AL56" i="12" s="1"/>
  <c r="AL58" i="12" s="1"/>
  <c r="AN121" i="7"/>
  <c r="AP121" i="7" s="1"/>
  <c r="AL121" i="7"/>
  <c r="AL20" i="12"/>
  <c r="AL21" i="12" s="1"/>
  <c r="AJ21" i="12"/>
  <c r="AN21" i="12" s="1"/>
  <c r="AP21" i="12" s="1"/>
  <c r="AN20" i="12"/>
  <c r="AP20" i="12" s="1"/>
  <c r="AJ49" i="12"/>
  <c r="AN49" i="12" s="1"/>
  <c r="AP49" i="12" s="1"/>
  <c r="AF30" i="12"/>
  <c r="AL49" i="12"/>
  <c r="AN47" i="12"/>
  <c r="AP47" i="12" s="1"/>
  <c r="AN66" i="7"/>
  <c r="AP66" i="7" s="1"/>
  <c r="AH26" i="12"/>
  <c r="AL24" i="12"/>
  <c r="AL26" i="12" s="1"/>
  <c r="AN24" i="12"/>
  <c r="AP24" i="12" s="1"/>
  <c r="AN42" i="12"/>
  <c r="AP42" i="12" s="1"/>
  <c r="AN136" i="7" l="1"/>
  <c r="AP136" i="7" s="1"/>
  <c r="AJ138" i="7"/>
  <c r="AL61" i="12"/>
  <c r="AL139" i="7"/>
  <c r="AJ30" i="12"/>
  <c r="AJ59" i="12" s="1"/>
  <c r="AF59" i="12"/>
  <c r="AL30" i="12"/>
  <c r="AL59" i="12" s="1"/>
  <c r="AN26" i="12"/>
  <c r="AP26" i="12" s="1"/>
  <c r="AH30" i="12"/>
  <c r="AH59" i="12" s="1"/>
  <c r="AP58" i="12"/>
  <c r="AJ139" i="7" l="1"/>
  <c r="AN138" i="7"/>
  <c r="AN30" i="12"/>
  <c r="AN139" i="7" l="1"/>
  <c r="AP138" i="7"/>
  <c r="AP139" i="7" s="1"/>
  <c r="AP30" i="12"/>
  <c r="AP59" i="12" s="1"/>
  <c r="AN59" i="12"/>
  <c r="P154" i="7" l="1"/>
  <c r="B157" i="7" l="1"/>
</calcChain>
</file>

<file path=xl/sharedStrings.xml><?xml version="1.0" encoding="utf-8"?>
<sst xmlns="http://schemas.openxmlformats.org/spreadsheetml/2006/main" count="1875" uniqueCount="742">
  <si>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</si>
  <si>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</si>
  <si>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</si>
  <si>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</si>
  <si>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</si>
  <si>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</si>
  <si>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</si>
  <si>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</si>
  <si>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</si>
  <si>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</si>
  <si>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</si>
  <si>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</si>
  <si>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</si>
  <si>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</si>
  <si>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</si>
  <si>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</si>
  <si>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</si>
  <si>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</si>
  <si>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</si>
  <si>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</si>
  <si>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</si>
  <si>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</si>
  <si>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</si>
  <si>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</si>
  <si>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</si>
  <si>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</si>
  <si>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</si>
  <si>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</si>
  <si>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</si>
  <si>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</si>
  <si>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</si>
  <si>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</si>
  <si>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</si>
  <si>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</si>
  <si>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</si>
  <si>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</si>
  <si>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</si>
  <si>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</si>
  <si>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</si>
  <si>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</si>
  <si>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</si>
  <si>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</si>
  <si>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</si>
  <si>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</si>
  <si>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</si>
  <si>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</si>
  <si>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</si>
  <si>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</si>
  <si>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</si>
  <si>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</si>
  <si>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</si>
  <si>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</si>
  <si>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</si>
  <si>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</si>
  <si>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</si>
  <si>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</si>
  <si>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</si>
  <si>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</si>
  <si>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</si>
  <si>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</si>
  <si>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</si>
  <si>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</si>
  <si>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</si>
  <si>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</si>
  <si>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</si>
  <si>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</si>
  <si>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</si>
  <si>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</si>
  <si>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</si>
  <si>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</si>
  <si>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</si>
  <si>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</si>
  <si>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</si>
  <si>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</si>
  <si>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</si>
  <si>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</si>
  <si>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</si>
  <si>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</si>
  <si>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</si>
  <si>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</si>
  <si>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</si>
  <si>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</si>
  <si>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</si>
  <si>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</si>
  <si>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</si>
  <si>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</si>
  <si>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</si>
  <si>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</si>
  <si>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</si>
  <si>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</si>
  <si>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</si>
  <si>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</si>
  <si>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</si>
  <si>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</si>
  <si>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</si>
  <si>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</si>
  <si>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</si>
  <si>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</si>
  <si>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</si>
  <si>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</si>
  <si>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</si>
  <si>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</si>
  <si>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</si>
  <si>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</si>
  <si>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</si>
  <si>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</si>
  <si>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</si>
  <si>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</si>
  <si>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</si>
  <si>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</si>
  <si>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</si>
  <si>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</si>
  <si>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</si>
  <si>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</si>
  <si>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</si>
  <si>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</si>
  <si>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</si>
  <si>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</si>
  <si>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</si>
  <si>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</si>
  <si>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</si>
  <si>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</si>
  <si>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</si>
  <si>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</si>
  <si>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</si>
  <si>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</si>
  <si>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</si>
  <si>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</si>
  <si>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</si>
  <si>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</si>
  <si>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</si>
  <si>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</si>
  <si>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</si>
  <si>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</si>
  <si>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</si>
  <si>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</si>
  <si>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</si>
  <si>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</si>
  <si>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</si>
  <si>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</si>
  <si>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</si>
  <si>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</si>
  <si>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</si>
  <si>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</si>
  <si>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</si>
  <si>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</si>
  <si>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</si>
  <si>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</si>
  <si>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</si>
  <si>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</si>
  <si>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</si>
  <si>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</si>
  <si>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</si>
  <si>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</si>
  <si>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</si>
  <si>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</si>
  <si>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</si>
  <si>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</si>
  <si>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</si>
  <si>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</si>
  <si>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</si>
  <si>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</si>
  <si>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</si>
  <si>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</si>
  <si>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</si>
  <si>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</si>
  <si>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</si>
  <si>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</si>
  <si>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</si>
  <si>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</si>
  <si>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</si>
  <si>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</si>
  <si>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</si>
  <si>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</si>
  <si>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</si>
  <si>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</si>
  <si>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</si>
  <si>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</si>
  <si>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</si>
  <si>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</si>
  <si>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</si>
  <si>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</si>
  <si>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</si>
  <si>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</si>
  <si>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</si>
  <si>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</si>
  <si>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</si>
  <si>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</si>
  <si>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</si>
  <si>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</si>
  <si>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</si>
  <si>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</si>
  <si>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</si>
  <si>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</si>
  <si>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</si>
  <si>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</si>
  <si>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</si>
  <si>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</si>
  <si>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</si>
  <si>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</si>
  <si>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</si>
  <si>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</si>
  <si>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</si>
  <si>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</si>
  <si>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</si>
  <si>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</si>
  <si>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</si>
  <si>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</si>
  <si>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</si>
  <si>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</si>
  <si>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</si>
  <si>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</si>
  <si>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</si>
  <si>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</si>
  <si>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</si>
  <si>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</si>
  <si>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</si>
  <si>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</si>
  <si>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</si>
  <si>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</si>
  <si>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</si>
  <si>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</si>
  <si>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</si>
  <si>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</si>
  <si>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</si>
  <si>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</si>
  <si>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</si>
  <si>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</si>
  <si>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</si>
  <si>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</si>
  <si>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</si>
  <si>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</si>
  <si>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</si>
  <si>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</si>
  <si>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</si>
  <si>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</si>
  <si>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</si>
  <si>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</si>
  <si>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</si>
  <si>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</si>
  <si>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</si>
  <si>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</si>
  <si>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</si>
  <si>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</si>
  <si>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</si>
  <si>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</si>
  <si>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</si>
  <si>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</si>
  <si>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</si>
  <si>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</si>
  <si>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</si>
  <si>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</si>
  <si>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</si>
  <si>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</si>
  <si>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</si>
  <si>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</si>
  <si>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</si>
  <si>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</si>
  <si>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</si>
  <si>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</si>
  <si>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</si>
  <si>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</si>
  <si>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</si>
  <si>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</si>
  <si>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</si>
  <si>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</si>
  <si>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</si>
  <si>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</si>
  <si>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</si>
  <si>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</si>
  <si>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</si>
  <si>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</si>
  <si>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</si>
  <si>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</si>
  <si>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</si>
  <si>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</si>
  <si>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</si>
  <si>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</si>
  <si>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</si>
  <si>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</si>
  <si>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</si>
  <si>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</si>
  <si>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</si>
  <si>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</si>
  <si>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</si>
  <si>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</si>
  <si>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</si>
  <si>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</si>
  <si>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</si>
  <si>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</si>
  <si>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</si>
  <si>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</si>
  <si>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</si>
  <si>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</si>
  <si>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</si>
  <si>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</si>
  <si>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</si>
  <si>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</si>
  <si>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</si>
  <si>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</si>
  <si>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</si>
  <si>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</si>
  <si>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</si>
  <si>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</si>
  <si>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</si>
  <si>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</si>
  <si>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</si>
  <si>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</si>
  <si>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</si>
  <si>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</si>
  <si>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</si>
  <si>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</si>
  <si>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</si>
  <si>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</si>
  <si>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</si>
  <si>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</si>
  <si>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</si>
  <si>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</si>
  <si>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</si>
  <si>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</si>
  <si>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</si>
  <si>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</si>
  <si>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</si>
  <si>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</si>
  <si>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</si>
  <si>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</si>
  <si>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</si>
  <si>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</si>
  <si>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</si>
  <si>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</si>
  <si>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</si>
  <si>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</si>
  <si>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</si>
  <si>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</si>
  <si>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</si>
  <si>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</si>
  <si>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</si>
  <si>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</si>
  <si>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</si>
  <si>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</si>
  <si>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</si>
  <si>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</si>
  <si>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</si>
  <si>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</si>
  <si>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</si>
  <si>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</si>
  <si>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</si>
  <si>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</si>
  <si>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</si>
  <si>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</si>
  <si>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</si>
  <si>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</si>
  <si>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</si>
  <si>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</si>
  <si>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</si>
  <si>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</si>
  <si>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</si>
  <si>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</si>
  <si>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</si>
  <si>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</si>
  <si>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</si>
  <si>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</si>
  <si>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</si>
  <si>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</si>
  <si>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</si>
  <si>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</si>
  <si>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</si>
  <si>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</si>
  <si>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</si>
  <si>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</si>
  <si>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</si>
  <si>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</si>
  <si>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</si>
  <si>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</si>
  <si>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</si>
  <si>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</si>
  <si>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</si>
  <si>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</si>
  <si>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</si>
  <si>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</si>
  <si>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</si>
  <si>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</si>
  <si>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</si>
  <si>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</si>
  <si>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</si>
  <si>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</si>
  <si>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</si>
  <si>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</si>
  <si>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</si>
  <si>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</si>
  <si>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</si>
  <si>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</si>
  <si>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</si>
  <si>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</si>
  <si>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</si>
  <si>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</si>
  <si>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</si>
  <si>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</si>
  <si>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</si>
  <si>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</si>
  <si>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</si>
  <si>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</si>
  <si>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</si>
  <si>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</si>
  <si>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</si>
  <si>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</si>
  <si>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</si>
  <si>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</si>
  <si>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</si>
  <si>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</si>
  <si>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</si>
  <si>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</si>
  <si>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</si>
  <si>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</si>
  <si>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</si>
  <si>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</si>
  <si>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</si>
  <si>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</si>
  <si>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</si>
  <si>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</si>
  <si>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</si>
  <si>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</si>
  <si>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</si>
  <si>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</si>
  <si>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</si>
  <si>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</si>
  <si>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</si>
  <si>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</si>
  <si>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</si>
  <si>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</si>
  <si>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</si>
  <si>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</si>
  <si>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</si>
  <si>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</si>
  <si>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</si>
  <si>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</si>
  <si>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</si>
  <si>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</si>
  <si>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</si>
  <si>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</si>
  <si>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</si>
  <si>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</si>
  <si>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</si>
  <si>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</si>
  <si>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</si>
  <si>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</si>
  <si>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</si>
  <si>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</si>
  <si>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</si>
  <si>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</si>
  <si>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</si>
  <si>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</si>
  <si>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</si>
  <si>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</si>
  <si>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</si>
  <si>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</si>
  <si>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</si>
  <si>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</si>
  <si>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</si>
  <si>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</si>
  <si>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</si>
  <si>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</si>
  <si>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</si>
  <si>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</si>
  <si>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</si>
  <si>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</si>
  <si>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</si>
  <si>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</si>
  <si>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</si>
  <si>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</si>
  <si>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</si>
  <si>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</si>
  <si>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</si>
  <si>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</si>
  <si>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</si>
  <si>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</si>
  <si>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</si>
  <si>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</si>
  <si>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</si>
  <si>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</si>
  <si>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</si>
  <si>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</si>
  <si>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</si>
  <si>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</si>
  <si>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</si>
  <si>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</si>
  <si>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</si>
  <si>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</si>
  <si>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</si>
  <si>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</si>
  <si>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</si>
  <si>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</si>
  <si>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</si>
  <si>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</si>
  <si>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</si>
  <si>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</si>
  <si>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</si>
  <si>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</si>
  <si>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</si>
  <si>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</si>
  <si>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</si>
  <si>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</si>
  <si>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</si>
  <si>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</si>
  <si>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</si>
  <si>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</si>
  <si>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</si>
  <si>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</si>
  <si>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</si>
  <si>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</si>
  <si>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</si>
  <si>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</si>
  <si>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</si>
  <si>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</si>
  <si>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</si>
  <si>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</si>
  <si>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</si>
  <si>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</si>
  <si>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</si>
  <si>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</si>
  <si>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</si>
  <si>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</si>
  <si>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</si>
  <si>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</si>
  <si>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</si>
  <si>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</si>
  <si>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</si>
  <si>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</si>
  <si>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</si>
  <si>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</si>
  <si>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</si>
  <si>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</si>
  <si>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</si>
  <si>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</si>
  <si>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</si>
  <si>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</si>
  <si>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</si>
  <si>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</si>
  <si>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</si>
  <si>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</si>
  <si>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</si>
  <si>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</si>
  <si>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</si>
  <si>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</si>
  <si>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</si>
  <si>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</si>
  <si>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</si>
  <si>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</si>
  <si>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</si>
  <si>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</si>
  <si>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</si>
  <si>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</si>
  <si>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</si>
  <si>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</si>
  <si>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</si>
  <si>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</si>
  <si>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</si>
  <si>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</si>
  <si>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</si>
  <si>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</si>
  <si>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</si>
  <si>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</si>
  <si>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</si>
  <si>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</si>
  <si>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</si>
  <si>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</si>
  <si>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</si>
  <si>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</si>
  <si>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</si>
  <si>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</si>
  <si>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</si>
  <si>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</si>
  <si>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</si>
  <si>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</si>
  <si>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</si>
  <si>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</si>
  <si>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</si>
  <si>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</si>
  <si>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</si>
  <si>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</si>
  <si>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</si>
  <si>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</si>
  <si>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</si>
  <si>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</si>
  <si>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</si>
  <si>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</si>
  <si>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</si>
  <si>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</si>
  <si>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</si>
  <si>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</si>
  <si>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</si>
  <si>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</si>
  <si>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</si>
  <si>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</si>
  <si>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</si>
  <si>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</si>
  <si>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</si>
  <si>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</si>
  <si>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</si>
  <si>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</si>
  <si>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</si>
  <si>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</si>
  <si>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</si>
  <si>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</si>
  <si>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</si>
  <si>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</si>
  <si>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</si>
  <si>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</si>
  <si>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</si>
  <si>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</si>
  <si>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</si>
  <si>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</si>
  <si>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</si>
  <si>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</si>
  <si>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</si>
  <si>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</si>
  <si>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</si>
  <si>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</si>
  <si>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</si>
  <si>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</si>
  <si>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</si>
  <si>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</si>
  <si>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</si>
  <si>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</si>
  <si>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</si>
  <si>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</si>
  <si>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</si>
  <si>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</si>
  <si>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</si>
  <si>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</si>
  <si>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</si>
  <si>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</si>
  <si>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</si>
  <si>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</si>
  <si>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</si>
  <si>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</si>
  <si>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</si>
  <si>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</si>
  <si>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</si>
  <si>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</si>
  <si>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</si>
  <si>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</si>
  <si>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</si>
  <si>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</si>
  <si>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</si>
  <si>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</si>
  <si>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</si>
  <si>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</si>
  <si>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</si>
  <si>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</si>
  <si>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</si>
  <si>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</si>
  <si>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</si>
  <si>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</si>
  <si>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</si>
  <si>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</si>
  <si>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</si>
  <si>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</si>
  <si>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</si>
  <si>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</si>
  <si>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</si>
  <si>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</si>
  <si>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</si>
  <si>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</si>
  <si>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</si>
  <si>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</si>
  <si>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</si>
  <si>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</si>
  <si>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</si>
  <si>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</si>
  <si>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</si>
  <si>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</si>
  <si>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</si>
  <si>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</si>
  <si>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</si>
  <si>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</si>
  <si>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</si>
  <si>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</si>
  <si>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</si>
  <si>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</si>
  <si>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</si>
  <si>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</si>
  <si>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</si>
  <si>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</si>
  <si>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</si>
  <si>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</si>
  <si>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</si>
  <si>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</si>
  <si>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</si>
  <si>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</si>
  <si>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</si>
  <si>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</si>
  <si>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</si>
  <si>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</si>
  <si>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</si>
  <si>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</si>
  <si>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</si>
  <si>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</si>
  <si>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</si>
  <si>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</si>
  <si>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</si>
  <si>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</si>
  <si>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</si>
  <si>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</si>
  <si>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</si>
  <si>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</si>
  <si>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</si>
  <si>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</si>
  <si>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</si>
  <si>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</si>
  <si>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</si>
  <si>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</si>
  <si>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</si>
  <si>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</si>
  <si>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</si>
  <si>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</si>
  <si>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</si>
  <si>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</si>
  <si>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</si>
  <si>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</si>
  <si>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</si>
  <si>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</si>
  <si>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</si>
  <si>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</si>
  <si>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</si>
  <si>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</si>
  <si>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</si>
  <si>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As of 4/30/2020</t>
  </si>
  <si>
    <t>For Period 4/30/2020 &amp; 4/30/2019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</si>
  <si>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</si>
  <si>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</si>
  <si>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</si>
  <si>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</si>
  <si>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</si>
  <si>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</si>
  <si>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</si>
  <si>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As of 5/31/2019</t>
  </si>
  <si>
    <t>As of 5/31/2020</t>
  </si>
  <si>
    <t>5/31/20</t>
  </si>
  <si>
    <t>CNT Lending 5/31/2020</t>
  </si>
  <si>
    <t>2250 - Accrued Commisions</t>
  </si>
  <si>
    <t xml:space="preserve">     Accrued Expenses - Commissions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</si>
</sst>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06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Balance Sheet"/>
    </sheetNames>
    <sheetDataSet>
      <sheetData sheetId="0">
        <row r="72">
          <cell r="R72">
            <v>22469121.140000001</v>
          </cell>
        </row>
        <row r="74">
          <cell r="R74">
            <v>281.45999999999998</v>
          </cell>
        </row>
        <row r="75">
          <cell r="R75">
            <v>441.6</v>
          </cell>
        </row>
        <row r="76">
          <cell r="R76">
            <v>7896.72</v>
          </cell>
        </row>
        <row r="81">
          <cell r="R81">
            <v>5473.8</v>
          </cell>
        </row>
        <row r="82">
          <cell r="R82">
            <v>184073.19</v>
          </cell>
        </row>
        <row r="83">
          <cell r="R83">
            <v>5550.14</v>
          </cell>
        </row>
        <row r="84">
          <cell r="R84">
            <v>45309.97</v>
          </cell>
        </row>
        <row r="85">
          <cell r="R85">
            <v>0</v>
          </cell>
        </row>
        <row r="86">
          <cell r="R86">
            <v>166197.89000000001</v>
          </cell>
        </row>
        <row r="87">
          <cell r="R87">
            <v>22639</v>
          </cell>
        </row>
        <row r="88">
          <cell r="R88">
            <v>51727.99</v>
          </cell>
        </row>
        <row r="89">
          <cell r="R89">
            <v>0</v>
          </cell>
        </row>
        <row r="90">
          <cell r="R90">
            <v>2296.5300000000002</v>
          </cell>
        </row>
        <row r="91">
          <cell r="R91">
            <v>1031.47</v>
          </cell>
        </row>
        <row r="92">
          <cell r="R92">
            <v>0</v>
          </cell>
        </row>
        <row r="93">
          <cell r="R93">
            <v>0</v>
          </cell>
        </row>
        <row r="94">
          <cell r="R94">
            <v>0</v>
          </cell>
        </row>
        <row r="95">
          <cell r="R95">
            <v>-3940.35</v>
          </cell>
        </row>
        <row r="96">
          <cell r="R96">
            <v>0</v>
          </cell>
        </row>
        <row r="97">
          <cell r="R97">
            <v>0</v>
          </cell>
        </row>
        <row r="98">
          <cell r="R98">
            <v>0</v>
          </cell>
        </row>
        <row r="104">
          <cell r="R104">
            <v>12076.25</v>
          </cell>
        </row>
        <row r="105">
          <cell r="R105">
            <v>3989.82</v>
          </cell>
        </row>
        <row r="106">
          <cell r="R106">
            <v>756</v>
          </cell>
        </row>
        <row r="107">
          <cell r="R107">
            <v>8310.11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  <row r="65">
          <cell r="B65">
            <v>319429.12</v>
          </cell>
          <cell r="C65">
            <v>1254.8700000000001</v>
          </cell>
          <cell r="D65">
            <v>40113.81</v>
          </cell>
          <cell r="E65">
            <v>0</v>
          </cell>
          <cell r="F65">
            <v>25242.090000000004</v>
          </cell>
          <cell r="G65">
            <v>27755.820000000003</v>
          </cell>
          <cell r="H65">
            <v>43639.26</v>
          </cell>
        </row>
        <row r="175">
          <cell r="B175">
            <v>4737181.4799995031</v>
          </cell>
          <cell r="C175">
            <v>13131.729999999341</v>
          </cell>
          <cell r="D175">
            <v>833807.64000000013</v>
          </cell>
          <cell r="E175">
            <v>11962.270000000002</v>
          </cell>
          <cell r="F175">
            <v>47664.52</v>
          </cell>
          <cell r="G175">
            <v>50343.67</v>
          </cell>
          <cell r="H175">
            <v>58548.25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3"/>
  <sheetViews>
    <sheetView zoomScale="70" zoomScaleNormal="70" workbookViewId="0">
      <pane ySplit="7" topLeftCell="A47" activePane="bottomLeft" state="frozen"/>
      <selection activeCell="D162" sqref="D162"/>
      <selection pane="bottomLeft" activeCell="E75" sqref="E75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3" t="s">
        <v>480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42" ht="24.95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42" ht="24.9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42" s="29" customFormat="1" ht="31.5" x14ac:dyDescent="0.2">
      <c r="A4" s="152" t="s">
        <v>474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 t="s">
        <v>474</v>
      </c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 t="s">
        <v>474</v>
      </c>
      <c r="AH4" s="152"/>
      <c r="AI4" s="152"/>
      <c r="AJ4" s="152"/>
      <c r="AK4" s="152"/>
      <c r="AL4" s="152"/>
      <c r="AM4" s="152"/>
      <c r="AN4" s="152"/>
      <c r="AO4" s="37"/>
      <c r="AP4" s="28"/>
    </row>
    <row r="5" spans="1:42" s="29" customFormat="1" ht="31.5" x14ac:dyDescent="0.2">
      <c r="A5" s="152" t="s">
        <v>718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>
        <v>43555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 t="s">
        <v>251</v>
      </c>
      <c r="AH5" s="152"/>
      <c r="AI5" s="152"/>
      <c r="AJ5" s="152"/>
      <c r="AK5" s="152"/>
      <c r="AL5" s="152"/>
      <c r="AM5" s="152"/>
      <c r="AN5" s="152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2" t="s">
        <v>719</v>
      </c>
      <c r="AH6" s="152"/>
      <c r="AI6" s="152"/>
      <c r="AJ6" s="152"/>
      <c r="AK6" s="152"/>
      <c r="AL6" s="152"/>
      <c r="AM6" s="152"/>
      <c r="AN6" s="152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31284615.789999999</v>
      </c>
      <c r="C10" s="12"/>
      <c r="D10" s="12">
        <f>'Consolidated Balance Sheet'!D7</f>
        <v>360346.45</v>
      </c>
      <c r="E10" s="12"/>
      <c r="F10" s="12">
        <f>'Consolidated Balance Sheet'!F7</f>
        <v>358857.12</v>
      </c>
      <c r="G10" s="12"/>
      <c r="H10" s="12">
        <f>'Consolidated Balance Sheet'!H7</f>
        <v>22981.27</v>
      </c>
      <c r="I10" s="12"/>
      <c r="J10" s="12">
        <f>'Consolidated Balance Sheet'!J7</f>
        <v>201210.91</v>
      </c>
      <c r="K10" s="12"/>
      <c r="L10" s="12">
        <f>'Consolidated Balance Sheet'!L7</f>
        <v>601961.68999999994</v>
      </c>
      <c r="N10" s="12">
        <f>'Consolidated Balance Sheet'!N7</f>
        <v>195525.77</v>
      </c>
      <c r="P10" s="12">
        <f>SUM(B10:N10)</f>
        <v>33025499</v>
      </c>
      <c r="Q10" s="11" t="s">
        <v>246</v>
      </c>
      <c r="R10" s="54">
        <f>'Consolidated Balance Sheet'!R7</f>
        <v>5855027.9600000009</v>
      </c>
      <c r="S10" s="12"/>
      <c r="T10" s="54">
        <f>'Consolidated Balance Sheet'!T7</f>
        <v>245460.98</v>
      </c>
      <c r="U10" s="12"/>
      <c r="V10" s="54">
        <f>'Consolidated Balance Sheet'!V7</f>
        <v>363058.4</v>
      </c>
      <c r="W10" s="12"/>
      <c r="X10" s="54">
        <f>'Consolidated Balance Sheet'!X7</f>
        <v>1000</v>
      </c>
      <c r="Y10" s="12"/>
      <c r="Z10" s="54">
        <f>'Consolidated Balance Sheet'!Z7</f>
        <v>266258.82999999996</v>
      </c>
      <c r="AA10" s="12"/>
      <c r="AB10" s="54">
        <f>'Consolidated Balance Sheet'!AB7</f>
        <v>138930.35</v>
      </c>
      <c r="AC10" s="12">
        <f>'Consolidated Balance Sheet'!AC7</f>
        <v>0</v>
      </c>
      <c r="AD10" s="54">
        <f>'Consolidated Balance Sheet'!AD7</f>
        <v>102069.62</v>
      </c>
      <c r="AE10" s="12">
        <f>'Consolidated Balance Sheet'!AE7</f>
        <v>0</v>
      </c>
      <c r="AF10" s="12">
        <f>SUM(R10:AD10)</f>
        <v>6971806.1400000015</v>
      </c>
      <c r="AG10" s="11" t="s">
        <v>246</v>
      </c>
      <c r="AH10" s="12">
        <f>P10</f>
        <v>33025499</v>
      </c>
      <c r="AI10" s="12"/>
      <c r="AJ10" s="12">
        <f>AF10</f>
        <v>6971806.1400000015</v>
      </c>
      <c r="AK10" s="12"/>
      <c r="AL10" s="12">
        <f t="shared" ref="AL10:AL18" si="0">AH10-AJ10</f>
        <v>26053692.859999999</v>
      </c>
      <c r="AM10" s="12"/>
      <c r="AN10" s="13">
        <f>AH10/AJ10</f>
        <v>4.7370076472034537</v>
      </c>
      <c r="AO10" s="13"/>
      <c r="AP10" s="14">
        <f t="shared" ref="AP10:AP18" si="1">AN10-1</f>
        <v>3.7370076472034537</v>
      </c>
    </row>
    <row r="11" spans="1:42" s="9" customFormat="1" ht="24.95" customHeight="1" x14ac:dyDescent="0.2">
      <c r="A11" s="9" t="s">
        <v>247</v>
      </c>
      <c r="B11" s="12">
        <f>'Consolidated Balance Sheet'!B8</f>
        <v>56135096.590000004</v>
      </c>
      <c r="C11" s="12"/>
      <c r="D11" s="12">
        <f>'Consolidated Balance Sheet'!D8</f>
        <v>22843.74</v>
      </c>
      <c r="E11" s="12"/>
      <c r="F11" s="12">
        <f>'Consolidated Balance Sheet'!F8</f>
        <v>9213.5400000000009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0" si="2">SUM(B11:N11)</f>
        <v>56167153.870000005</v>
      </c>
      <c r="Q11" s="9" t="s">
        <v>247</v>
      </c>
      <c r="R11" s="54">
        <f>'Consolidated Balance Sheet'!R8</f>
        <v>7160144.5199999996</v>
      </c>
      <c r="S11" s="12"/>
      <c r="T11" s="54">
        <f>'Consolidated Balance Sheet'!T8</f>
        <v>342880.7</v>
      </c>
      <c r="U11" s="12"/>
      <c r="V11" s="54">
        <f>'Consolidated Balance Sheet'!V8</f>
        <v>127732.41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0" si="3">SUM(R11:AD11)</f>
        <v>7630757.6299999999</v>
      </c>
      <c r="AG11" s="9" t="s">
        <v>247</v>
      </c>
      <c r="AH11" s="12">
        <f t="shared" ref="AH11:AH18" si="4">P11</f>
        <v>56167153.870000005</v>
      </c>
      <c r="AI11" s="12"/>
      <c r="AJ11" s="12">
        <f t="shared" ref="AJ11:AJ18" si="5">AF11</f>
        <v>7630757.6299999999</v>
      </c>
      <c r="AK11" s="12"/>
      <c r="AL11" s="12">
        <f t="shared" si="0"/>
        <v>48536396.240000002</v>
      </c>
      <c r="AM11" s="12"/>
      <c r="AN11" s="13">
        <f>AH11/AJ11</f>
        <v>7.3606261125607269</v>
      </c>
      <c r="AO11" s="13"/>
      <c r="AP11" s="14">
        <f t="shared" si="1"/>
        <v>6.3606261125607269</v>
      </c>
    </row>
    <row r="12" spans="1:42" s="9" customFormat="1" ht="24.95" customHeight="1" x14ac:dyDescent="0.2">
      <c r="A12" s="9" t="s">
        <v>254</v>
      </c>
      <c r="B12" s="12">
        <f>'Consolidated Balance Sheet'!B9</f>
        <v>93409.88</v>
      </c>
      <c r="C12" s="12"/>
      <c r="D12" s="12">
        <f>'Consolidated Balance Sheet'!D9</f>
        <v>0</v>
      </c>
      <c r="E12" s="12"/>
      <c r="F12" s="12">
        <f>'Consolidated Balance Sheet'!F9</f>
        <v>0</v>
      </c>
      <c r="G12" s="12"/>
      <c r="H12" s="12">
        <f>'Consolidated Balance Sheet'!H9</f>
        <v>875853.7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969263.58</v>
      </c>
      <c r="Q12" s="9" t="s">
        <v>254</v>
      </c>
      <c r="R12" s="54">
        <f>'Consolidated Balance Sheet'!R9</f>
        <v>69409.19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694517.76000000001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763926.95</v>
      </c>
      <c r="AG12" s="9" t="s">
        <v>254</v>
      </c>
      <c r="AH12" s="12">
        <f t="shared" si="4"/>
        <v>969263.58</v>
      </c>
      <c r="AI12" s="12"/>
      <c r="AJ12" s="12">
        <f t="shared" si="5"/>
        <v>763926.95</v>
      </c>
      <c r="AK12" s="12"/>
      <c r="AL12" s="12">
        <f t="shared" si="0"/>
        <v>205336.63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Sheet'!B10</f>
        <v>780</v>
      </c>
      <c r="C13" s="12"/>
      <c r="D13" s="12">
        <f>'Consolidated Balance Sheet'!D10</f>
        <v>0</v>
      </c>
      <c r="E13" s="12"/>
      <c r="F13" s="12">
        <f>'Consolidated Balance Sheet'!F10</f>
        <v>0</v>
      </c>
      <c r="G13" s="12"/>
      <c r="H13" s="12">
        <f>'Consolidated Balance Sheet'!H10</f>
        <v>0</v>
      </c>
      <c r="I13" s="12"/>
      <c r="J13" s="12">
        <f>'Consolidated Balance Sheet'!J10</f>
        <v>0</v>
      </c>
      <c r="K13" s="12"/>
      <c r="L13" s="12">
        <f>'Consolidated Balance Sheet'!L10</f>
        <v>0</v>
      </c>
      <c r="N13" s="12">
        <f>'Consolidated Balance Sheet'!N10</f>
        <v>0</v>
      </c>
      <c r="P13" s="12">
        <f t="shared" si="2"/>
        <v>780</v>
      </c>
      <c r="Q13" s="9" t="s">
        <v>255</v>
      </c>
      <c r="R13" s="54">
        <f>'Consolidated Balance Sheet'!R10</f>
        <v>0</v>
      </c>
      <c r="S13" s="12"/>
      <c r="T13" s="54">
        <f>'Consolidated Balance Sheet'!T10</f>
        <v>0</v>
      </c>
      <c r="U13" s="12"/>
      <c r="V13" s="54">
        <f>'Consolidated Balance Sheet'!V10</f>
        <v>100513.53</v>
      </c>
      <c r="W13" s="12"/>
      <c r="X13" s="54">
        <f>'Consolidated Balance Sheet'!X10</f>
        <v>0</v>
      </c>
      <c r="Y13" s="12"/>
      <c r="Z13" s="54">
        <f>'Consolidated Balance Sheet'!Z10</f>
        <v>0</v>
      </c>
      <c r="AA13" s="12"/>
      <c r="AB13" s="54">
        <f>'Consolidated Balance Sheet'!AB10</f>
        <v>0</v>
      </c>
      <c r="AC13" s="12"/>
      <c r="AD13" s="54">
        <f>'Consolidated Balance Sheet'!AD10</f>
        <v>0</v>
      </c>
      <c r="AE13" s="12"/>
      <c r="AF13" s="12">
        <f t="shared" si="3"/>
        <v>100513.53</v>
      </c>
      <c r="AG13" s="9" t="s">
        <v>255</v>
      </c>
      <c r="AH13" s="12">
        <f t="shared" si="4"/>
        <v>780</v>
      </c>
      <c r="AI13" s="12"/>
      <c r="AJ13" s="12">
        <f t="shared" si="5"/>
        <v>100513.53</v>
      </c>
      <c r="AK13" s="12"/>
      <c r="AL13" s="12">
        <f t="shared" si="0"/>
        <v>-99733.53</v>
      </c>
      <c r="AM13" s="12"/>
      <c r="AN13" s="13">
        <f t="shared" ref="AN13:AN21" si="6">AH13/AJ13</f>
        <v>7.7601493052726336E-3</v>
      </c>
      <c r="AO13" s="13"/>
      <c r="AP13" s="14">
        <f t="shared" si="1"/>
        <v>-0.99223985069472742</v>
      </c>
    </row>
    <row r="14" spans="1:42" s="9" customFormat="1" ht="24.95" customHeight="1" x14ac:dyDescent="0.2">
      <c r="A14" s="9" t="s">
        <v>256</v>
      </c>
      <c r="B14" s="12">
        <f>'Consolidated Balance Sheet'!B11</f>
        <v>647525.96</v>
      </c>
      <c r="C14" s="12"/>
      <c r="D14" s="12">
        <f>'Consolidated Balance Sheet'!D11</f>
        <v>0</v>
      </c>
      <c r="E14" s="12"/>
      <c r="F14" s="12">
        <f>'Consolidated Balance Sheet'!F11</f>
        <v>0</v>
      </c>
      <c r="G14" s="12"/>
      <c r="H14" s="12">
        <f>'Consolidated Balance Sheet'!H11</f>
        <v>0</v>
      </c>
      <c r="I14" s="12"/>
      <c r="J14" s="12">
        <f>'Consolidated Balance Sheet'!J11</f>
        <v>200000</v>
      </c>
      <c r="K14" s="12"/>
      <c r="L14" s="12">
        <f>'Consolidated Balance Sheet'!L11</f>
        <v>1652601.93</v>
      </c>
      <c r="N14" s="12">
        <f>'Consolidated Balance Sheet'!N11</f>
        <v>784437.5</v>
      </c>
      <c r="P14" s="12">
        <f t="shared" si="2"/>
        <v>3284565.3899999997</v>
      </c>
      <c r="Q14" s="9" t="s">
        <v>256</v>
      </c>
      <c r="R14" s="54">
        <f>'Consolidated Balance Sheet'!R11</f>
        <v>623704.68999999983</v>
      </c>
      <c r="S14" s="12"/>
      <c r="T14" s="54">
        <f>'Consolidated Balance Sheet'!T11</f>
        <v>480000</v>
      </c>
      <c r="U14" s="12"/>
      <c r="V14" s="54">
        <f>'Consolidated Balance Sheet'!V11</f>
        <v>4900000</v>
      </c>
      <c r="W14" s="12"/>
      <c r="X14" s="54">
        <f>'Consolidated Balance Sheet'!X11</f>
        <v>0</v>
      </c>
      <c r="Y14" s="12"/>
      <c r="Z14" s="54">
        <f>'Consolidated Balance Sheet'!Z11</f>
        <v>250000</v>
      </c>
      <c r="AA14" s="12"/>
      <c r="AB14" s="54">
        <f>'Consolidated Balance Sheet'!AB11</f>
        <v>1800863.79</v>
      </c>
      <c r="AC14" s="12"/>
      <c r="AD14" s="54">
        <f>'Consolidated Balance Sheet'!AD11</f>
        <v>32500</v>
      </c>
      <c r="AE14" s="12"/>
      <c r="AF14" s="12">
        <f t="shared" si="3"/>
        <v>8087068.4799999995</v>
      </c>
      <c r="AG14" s="9" t="s">
        <v>256</v>
      </c>
      <c r="AH14" s="12">
        <f t="shared" si="4"/>
        <v>3284565.3899999997</v>
      </c>
      <c r="AI14" s="12"/>
      <c r="AJ14" s="12">
        <f t="shared" si="5"/>
        <v>8087068.4799999995</v>
      </c>
      <c r="AK14" s="12"/>
      <c r="AL14" s="12">
        <f t="shared" si="0"/>
        <v>-4802503.09</v>
      </c>
      <c r="AM14" s="12"/>
      <c r="AN14" s="13">
        <f t="shared" si="6"/>
        <v>0.4061503124553732</v>
      </c>
      <c r="AO14" s="13"/>
      <c r="AP14" s="14">
        <f t="shared" si="1"/>
        <v>-0.59384968754462686</v>
      </c>
    </row>
    <row r="15" spans="1:42" s="9" customFormat="1" ht="24.95" customHeight="1" x14ac:dyDescent="0.2">
      <c r="A15" s="9" t="s">
        <v>257</v>
      </c>
      <c r="B15" s="12">
        <f>'Consolidated Balance Sheet'!B12</f>
        <v>1859221.5699999998</v>
      </c>
      <c r="C15" s="12"/>
      <c r="D15" s="12">
        <f>'Consolidated Balance Sheet'!D12</f>
        <v>0</v>
      </c>
      <c r="E15" s="12"/>
      <c r="F15" s="12">
        <f>'Consolidated Balance Sheet'!F12</f>
        <v>0</v>
      </c>
      <c r="G15" s="12"/>
      <c r="H15" s="12">
        <f>'Consolidated Balance Sheet'!H12</f>
        <v>0</v>
      </c>
      <c r="I15" s="12"/>
      <c r="J15" s="12">
        <f>'Consolidated Balance Sheet'!J12</f>
        <v>0</v>
      </c>
      <c r="K15" s="12"/>
      <c r="L15" s="12">
        <f>'Consolidated Balance Sheet'!L12</f>
        <v>0</v>
      </c>
      <c r="N15" s="12">
        <f>'Consolidated Balance Sheet'!N12</f>
        <v>0</v>
      </c>
      <c r="P15" s="12">
        <f t="shared" si="2"/>
        <v>1859221.5699999998</v>
      </c>
      <c r="Q15" s="9" t="s">
        <v>257</v>
      </c>
      <c r="R15" s="54">
        <f>'Consolidated Balance Sheet'!R12</f>
        <v>-359716.83999999997</v>
      </c>
      <c r="S15" s="12"/>
      <c r="T15" s="54">
        <f>'Consolidated Balance Sheet'!T12</f>
        <v>0</v>
      </c>
      <c r="U15" s="12"/>
      <c r="V15" s="54">
        <f>'Consolidated Balance Sheet'!V12</f>
        <v>0</v>
      </c>
      <c r="W15" s="12"/>
      <c r="X15" s="54">
        <f>'Consolidated Balance Sheet'!X12</f>
        <v>0</v>
      </c>
      <c r="Y15" s="12"/>
      <c r="Z15" s="54">
        <f>'Consolidated Balance Sheet'!Z12</f>
        <v>0</v>
      </c>
      <c r="AA15" s="12"/>
      <c r="AB15" s="54">
        <f>'Consolidated Balance Sheet'!AB12</f>
        <v>0</v>
      </c>
      <c r="AC15" s="12"/>
      <c r="AD15" s="54">
        <f>'Consolidated Balance Sheet'!AD12</f>
        <v>0</v>
      </c>
      <c r="AE15" s="12"/>
      <c r="AF15" s="12">
        <f t="shared" si="3"/>
        <v>-359716.83999999997</v>
      </c>
      <c r="AG15" s="9" t="s">
        <v>257</v>
      </c>
      <c r="AH15" s="12">
        <f t="shared" si="4"/>
        <v>1859221.5699999998</v>
      </c>
      <c r="AI15" s="12"/>
      <c r="AJ15" s="12">
        <f t="shared" si="5"/>
        <v>-359716.83999999997</v>
      </c>
      <c r="AK15" s="12"/>
      <c r="AL15" s="12">
        <f t="shared" si="0"/>
        <v>2218938.4099999997</v>
      </c>
      <c r="AM15" s="12"/>
      <c r="AN15" s="13">
        <f t="shared" si="6"/>
        <v>-5.1685697283452177</v>
      </c>
      <c r="AO15" s="13"/>
      <c r="AP15" s="14">
        <f t="shared" si="1"/>
        <v>-6.1685697283452177</v>
      </c>
    </row>
    <row r="16" spans="1:42" s="9" customFormat="1" ht="24.95" customHeight="1" x14ac:dyDescent="0.2">
      <c r="A16" s="15" t="s">
        <v>258</v>
      </c>
      <c r="B16" s="12">
        <f>'Consolidated Balance Sheet'!B13</f>
        <v>-996784.02</v>
      </c>
      <c r="C16" s="12"/>
      <c r="D16" s="12">
        <f>'Consolidated Balance Sheet'!D13</f>
        <v>0</v>
      </c>
      <c r="E16" s="12"/>
      <c r="F16" s="12">
        <f>'Consolidated Balance Sheet'!F13</f>
        <v>0</v>
      </c>
      <c r="G16" s="12"/>
      <c r="H16" s="12">
        <f>'Consolidated Balance Sheet'!H13</f>
        <v>0</v>
      </c>
      <c r="I16" s="12"/>
      <c r="J16" s="12">
        <f>'Consolidated Balance Sheet'!J13</f>
        <v>0</v>
      </c>
      <c r="K16" s="12"/>
      <c r="L16" s="12">
        <f>'Consolidated Balance Sheet'!L13</f>
        <v>0</v>
      </c>
      <c r="M16" s="12"/>
      <c r="N16" s="12">
        <f>'Consolidated Balance Sheet'!N13</f>
        <v>0</v>
      </c>
      <c r="O16" s="12"/>
      <c r="P16" s="12">
        <f t="shared" si="2"/>
        <v>-996784.02</v>
      </c>
      <c r="Q16" s="15" t="s">
        <v>258</v>
      </c>
      <c r="R16" s="54">
        <f>'Consolidated Balance Sheet'!R13</f>
        <v>309806.02</v>
      </c>
      <c r="S16" s="12"/>
      <c r="T16" s="54">
        <f>'Consolidated Balance Sheet'!T13</f>
        <v>0</v>
      </c>
      <c r="U16" s="12"/>
      <c r="V16" s="54">
        <f>'Consolidated Balance Sheet'!V13</f>
        <v>0</v>
      </c>
      <c r="W16" s="12"/>
      <c r="X16" s="54">
        <f>'Consolidated Balance Sheet'!X13</f>
        <v>0</v>
      </c>
      <c r="Y16" s="12"/>
      <c r="Z16" s="54">
        <f>'Consolidated Balance Sheet'!Z13</f>
        <v>1070</v>
      </c>
      <c r="AA16" s="12"/>
      <c r="AB16" s="54">
        <f>'Consolidated Balance Sheet'!AB13</f>
        <v>0</v>
      </c>
      <c r="AC16" s="12"/>
      <c r="AD16" s="54">
        <f>'Consolidated Balance Sheet'!AD13</f>
        <v>0</v>
      </c>
      <c r="AE16" s="12"/>
      <c r="AF16" s="12">
        <f t="shared" si="3"/>
        <v>310876.02</v>
      </c>
      <c r="AG16" s="15" t="s">
        <v>258</v>
      </c>
      <c r="AH16" s="12">
        <f t="shared" si="4"/>
        <v>-996784.02</v>
      </c>
      <c r="AI16" s="12"/>
      <c r="AJ16" s="12">
        <f t="shared" si="5"/>
        <v>310876.02</v>
      </c>
      <c r="AK16" s="12"/>
      <c r="AL16" s="12">
        <f t="shared" si="0"/>
        <v>-1307660.04</v>
      </c>
      <c r="AM16" s="12"/>
      <c r="AN16" s="13">
        <f t="shared" si="6"/>
        <v>-3.2063715303612028</v>
      </c>
      <c r="AO16" s="13"/>
      <c r="AP16" s="14">
        <f t="shared" si="1"/>
        <v>-4.2063715303612028</v>
      </c>
    </row>
    <row r="17" spans="1:43" s="9" customFormat="1" ht="24.95" customHeight="1" x14ac:dyDescent="0.2">
      <c r="A17" s="9" t="s">
        <v>475</v>
      </c>
      <c r="B17" s="12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Sheet'!B29+CNT!S52+CNT!S54+CNT!S53</f>
        <v>-12857616.040000003</v>
      </c>
      <c r="C17" s="12"/>
      <c r="D17" s="12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Sheet'!D29</f>
        <v>0</v>
      </c>
      <c r="E17" s="12"/>
      <c r="F17" s="12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Sheet'!F29</f>
        <v>0</v>
      </c>
      <c r="G17" s="12"/>
      <c r="H17" s="12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Sheet'!H29</f>
        <v>0</v>
      </c>
      <c r="I17" s="12"/>
      <c r="J17" s="12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Sheet'!J29</f>
        <v>0</v>
      </c>
      <c r="K17" s="12"/>
      <c r="L17" s="12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Sheet'!L29</f>
        <v>0</v>
      </c>
      <c r="N17" s="12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Sheet'!N29</f>
        <v>0</v>
      </c>
      <c r="P17" s="12">
        <f t="shared" si="2"/>
        <v>-12857616.040000003</v>
      </c>
      <c r="Q17" s="9" t="s">
        <v>475</v>
      </c>
      <c r="R17" s="54">
        <f>SUM('Consolidated Balance Sheet'!R14:R23)+SUM('Consolidated Balance Sheet'!R25:R30)</f>
        <v>15718928.520000029</v>
      </c>
      <c r="S17" s="12"/>
      <c r="T17" s="54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Sheet'!T29</f>
        <v>30981.1</v>
      </c>
      <c r="U17" s="12"/>
      <c r="V17" s="54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Sheet'!V29</f>
        <v>0</v>
      </c>
      <c r="W17" s="12"/>
      <c r="X17" s="54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Sheet'!X29</f>
        <v>0</v>
      </c>
      <c r="Y17" s="12"/>
      <c r="Z17" s="54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Sheet'!Z29</f>
        <v>0</v>
      </c>
      <c r="AA17" s="12"/>
      <c r="AB17" s="54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Sheet'!AB29</f>
        <v>0</v>
      </c>
      <c r="AC17" s="12"/>
      <c r="AD17" s="54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Sheet'!AD29</f>
        <v>0</v>
      </c>
      <c r="AE17" s="12"/>
      <c r="AF17" s="12">
        <f t="shared" si="3"/>
        <v>15749909.620000029</v>
      </c>
      <c r="AG17" s="9" t="s">
        <v>475</v>
      </c>
      <c r="AH17" s="12">
        <f t="shared" si="4"/>
        <v>-12857616.040000003</v>
      </c>
      <c r="AI17" s="12"/>
      <c r="AJ17" s="12">
        <f t="shared" si="5"/>
        <v>15749909.620000029</v>
      </c>
      <c r="AK17" s="12"/>
      <c r="AL17" s="12">
        <f t="shared" si="0"/>
        <v>-28607525.660000034</v>
      </c>
      <c r="AM17" s="12"/>
      <c r="AN17" s="13">
        <f t="shared" si="6"/>
        <v>-0.81636125858606545</v>
      </c>
      <c r="AO17" s="13"/>
      <c r="AP17" s="14">
        <f t="shared" si="1"/>
        <v>-1.8163612585860656</v>
      </c>
    </row>
    <row r="18" spans="1:43" s="9" customFormat="1" ht="24.95" customHeight="1" x14ac:dyDescent="0.2">
      <c r="A18" s="9" t="s">
        <v>594</v>
      </c>
      <c r="B18" s="12">
        <f>'Consolidated Balance Sheet'!B24</f>
        <v>-30081777.469999999</v>
      </c>
      <c r="C18" s="12"/>
      <c r="D18" s="12">
        <f>'Consolidated Balance Sheet'!D24</f>
        <v>0</v>
      </c>
      <c r="E18" s="12"/>
      <c r="F18" s="12">
        <f>'Consolidated Balance Sheet'!F24</f>
        <v>0</v>
      </c>
      <c r="G18" s="12"/>
      <c r="H18" s="12">
        <f>'Consolidated Balance Sheet'!H24</f>
        <v>0</v>
      </c>
      <c r="I18" s="12"/>
      <c r="J18" s="12">
        <f>'Consolidated Balance Sheet'!J24</f>
        <v>0</v>
      </c>
      <c r="K18" s="12"/>
      <c r="L18" s="12">
        <f>'Consolidated Balance Sheet'!L24</f>
        <v>0</v>
      </c>
      <c r="N18" s="12">
        <f>'Consolidated Balance Sheet'!N24</f>
        <v>0</v>
      </c>
      <c r="P18" s="12">
        <f t="shared" si="2"/>
        <v>-30081777.469999999</v>
      </c>
      <c r="Q18" s="9" t="s">
        <v>594</v>
      </c>
      <c r="R18" s="54">
        <f>'Consolidated Balance Sheet'!R24</f>
        <v>-20471810.41</v>
      </c>
      <c r="S18" s="12"/>
      <c r="T18" s="54">
        <f>'Consolidated Balance Sheet'!T24</f>
        <v>0</v>
      </c>
      <c r="U18" s="12"/>
      <c r="V18" s="54">
        <f>'Consolidated Balance Sheet'!V24</f>
        <v>0</v>
      </c>
      <c r="W18" s="12"/>
      <c r="X18" s="54">
        <f>'Consolidated Balance Sheet'!X24</f>
        <v>0</v>
      </c>
      <c r="Y18" s="12"/>
      <c r="Z18" s="54">
        <f>'Consolidated Balance Sheet'!Z24</f>
        <v>0</v>
      </c>
      <c r="AA18" s="12"/>
      <c r="AB18" s="54">
        <f>'Consolidated Balance Sheet'!AB24</f>
        <v>0</v>
      </c>
      <c r="AC18" s="12"/>
      <c r="AD18" s="54">
        <f>'Consolidated Balance Sheet'!AD24</f>
        <v>0</v>
      </c>
      <c r="AE18" s="12"/>
      <c r="AF18" s="12">
        <f t="shared" si="3"/>
        <v>-20471810.41</v>
      </c>
      <c r="AG18" s="9" t="s">
        <v>594</v>
      </c>
      <c r="AH18" s="12">
        <f t="shared" si="4"/>
        <v>-30081777.469999999</v>
      </c>
      <c r="AI18" s="12"/>
      <c r="AJ18" s="12">
        <f t="shared" si="5"/>
        <v>-20471810.41</v>
      </c>
      <c r="AK18" s="12"/>
      <c r="AL18" s="12">
        <f t="shared" si="0"/>
        <v>-9609967.0599999987</v>
      </c>
      <c r="AM18" s="12"/>
      <c r="AN18" s="13">
        <f t="shared" si="6"/>
        <v>1.4694243873666275</v>
      </c>
      <c r="AO18" s="13"/>
      <c r="AP18" s="14">
        <f t="shared" si="1"/>
        <v>0.4694243873666275</v>
      </c>
    </row>
    <row r="19" spans="1:43" s="9" customFormat="1" ht="24.95" customHeight="1" x14ac:dyDescent="0.2">
      <c r="A19" s="9" t="s">
        <v>270</v>
      </c>
      <c r="B19" s="12">
        <f>'Consolidated Balance Sheet'!B35</f>
        <v>11735738.35</v>
      </c>
      <c r="C19" s="12"/>
      <c r="D19" s="12">
        <f>'Consolidated Balance Sheet'!D25</f>
        <v>0</v>
      </c>
      <c r="E19" s="12"/>
      <c r="F19" s="12">
        <f>'Consolidated Balance Sheet'!F25</f>
        <v>0</v>
      </c>
      <c r="G19" s="12"/>
      <c r="H19" s="12">
        <f>'Consolidated Balance Sheet'!H25</f>
        <v>0</v>
      </c>
      <c r="I19" s="12"/>
      <c r="J19" s="12">
        <f>'Consolidated Balance Sheet'!J25</f>
        <v>0</v>
      </c>
      <c r="K19" s="12"/>
      <c r="L19" s="12">
        <f>'Consolidated Balance Sheet'!L25</f>
        <v>0</v>
      </c>
      <c r="N19" s="12">
        <f>'Consolidated Balance Sheet'!N25</f>
        <v>0</v>
      </c>
      <c r="P19" s="12">
        <f>SUM(B19:N19)</f>
        <v>11735738.35</v>
      </c>
      <c r="Q19" s="9" t="s">
        <v>270</v>
      </c>
      <c r="R19" s="54">
        <f>'Consolidated Balance Sheet'!R35</f>
        <v>27952927.030000001</v>
      </c>
      <c r="S19" s="12"/>
      <c r="T19" s="54">
        <f>'Consolidated Balance Sheet'!T35</f>
        <v>0</v>
      </c>
      <c r="U19" s="12"/>
      <c r="V19" s="54">
        <f>'Consolidated Balance Sheet'!V35</f>
        <v>0</v>
      </c>
      <c r="W19" s="12"/>
      <c r="X19" s="54">
        <f>'Consolidated Balance Sheet'!X35</f>
        <v>0</v>
      </c>
      <c r="Y19" s="12"/>
      <c r="Z19" s="54">
        <f>'Consolidated Balance Sheet'!Z35</f>
        <v>0</v>
      </c>
      <c r="AA19" s="12"/>
      <c r="AB19" s="54">
        <f>'Consolidated Balance Sheet'!AB35</f>
        <v>0</v>
      </c>
      <c r="AC19" s="12"/>
      <c r="AD19" s="54">
        <f>'Consolidated Balance Sheet'!AD35</f>
        <v>0</v>
      </c>
      <c r="AE19" s="12"/>
      <c r="AF19" s="12">
        <f t="shared" ref="AF19" si="7">SUM(R19:AD19)</f>
        <v>27952927.030000001</v>
      </c>
      <c r="AG19" s="9" t="s">
        <v>270</v>
      </c>
      <c r="AH19" s="12">
        <f t="shared" ref="AH19" si="8">P19</f>
        <v>11735738.35</v>
      </c>
      <c r="AI19" s="12"/>
      <c r="AJ19" s="12">
        <f t="shared" ref="AJ19" si="9">AF19</f>
        <v>27952927.030000001</v>
      </c>
      <c r="AK19" s="12"/>
      <c r="AL19" s="12">
        <f t="shared" ref="AL19" si="10">AH19-AJ19</f>
        <v>-16217188.680000002</v>
      </c>
      <c r="AM19" s="12"/>
      <c r="AN19" s="13">
        <f t="shared" ref="AN19" si="11">AH19/AJ19</f>
        <v>0.41983933694689002</v>
      </c>
      <c r="AO19" s="13"/>
      <c r="AP19" s="14">
        <f t="shared" ref="AP19" si="12">AN19-1</f>
        <v>-0.58016066305310998</v>
      </c>
    </row>
    <row r="20" spans="1:43" s="9" customFormat="1" ht="24.95" customHeight="1" x14ac:dyDescent="0.2">
      <c r="A20" s="9" t="s">
        <v>274</v>
      </c>
      <c r="B20" s="16">
        <f>'Consolidated Balance Sheet'!B41-'Consolidated Balance Sheet'!B35</f>
        <v>702605.98000000231</v>
      </c>
      <c r="C20" s="16"/>
      <c r="D20" s="16">
        <f>'Consolidated Balance Sheet'!D41</f>
        <v>3669</v>
      </c>
      <c r="E20" s="16"/>
      <c r="F20" s="16">
        <f>'Consolidated Balance Sheet'!F41</f>
        <v>3669</v>
      </c>
      <c r="G20" s="16"/>
      <c r="H20" s="16">
        <f>'Consolidated Balance Sheet'!H41</f>
        <v>1228</v>
      </c>
      <c r="I20" s="16"/>
      <c r="J20" s="16">
        <f>'Consolidated Balance Sheet'!J41</f>
        <v>13481.92</v>
      </c>
      <c r="K20" s="16"/>
      <c r="L20" s="16">
        <f>'Consolidated Balance Sheet'!L41</f>
        <v>0</v>
      </c>
      <c r="M20" s="16"/>
      <c r="N20" s="16">
        <f>'Consolidated Balance Sheet'!N41</f>
        <v>0</v>
      </c>
      <c r="O20" s="16"/>
      <c r="P20" s="16">
        <f t="shared" si="2"/>
        <v>724653.90000000235</v>
      </c>
      <c r="Q20" s="9" t="s">
        <v>274</v>
      </c>
      <c r="R20" s="55">
        <f>'Consolidated Balance Sheet'!R41-'Consolidated Balance Sheet'!R35</f>
        <v>737603.71000000089</v>
      </c>
      <c r="S20" s="16"/>
      <c r="T20" s="55">
        <f>'Consolidated Balance Sheet'!T33+'Consolidated Balance Sheet'!T34+'Consolidated Balance Sheet'!T36+'Consolidated Balance Sheet'!T37+'Consolidated Balance Sheet'!T38+'Consolidated Balance Sheet'!T39+'Consolidated Balance Sheet'!T40</f>
        <v>9572.49</v>
      </c>
      <c r="U20" s="16"/>
      <c r="V20" s="55">
        <f>'Consolidated Balance Sheet'!V33+'Consolidated Balance Sheet'!V34+'Consolidated Balance Sheet'!V36+'Consolidated Balance Sheet'!V37+'Consolidated Balance Sheet'!V38+'Consolidated Balance Sheet'!V39+'Consolidated Balance Sheet'!V40</f>
        <v>207783.9</v>
      </c>
      <c r="W20" s="16"/>
      <c r="X20" s="55">
        <f>'Consolidated Balance Sheet'!X33+'Consolidated Balance Sheet'!X34+'Consolidated Balance Sheet'!X36+'Consolidated Balance Sheet'!X37+'Consolidated Balance Sheet'!X38+'Consolidated Balance Sheet'!X39+'Consolidated Balance Sheet'!X40</f>
        <v>2893.5</v>
      </c>
      <c r="Y20" s="16"/>
      <c r="Z20" s="55">
        <f>'Consolidated Balance Sheet'!Z33+'Consolidated Balance Sheet'!Z34+'Consolidated Balance Sheet'!Z36+'Consolidated Balance Sheet'!Z37+'Consolidated Balance Sheet'!Z38+'Consolidated Balance Sheet'!Z39+'Consolidated Balance Sheet'!Z40</f>
        <v>12563.32</v>
      </c>
      <c r="AA20" s="16"/>
      <c r="AB20" s="55">
        <f>'Consolidated Balance Sheet'!AB33+'Consolidated Balance Sheet'!AB34+'Consolidated Balance Sheet'!AB36+'Consolidated Balance Sheet'!AB37+'Consolidated Balance Sheet'!AB38+'Consolidated Balance Sheet'!AB39+'Consolidated Balance Sheet'!AB40</f>
        <v>0</v>
      </c>
      <c r="AC20" s="16"/>
      <c r="AD20" s="55">
        <f>'Consolidated Balance Sheet'!AD33+'Consolidated Balance Sheet'!AD34+'Consolidated Balance Sheet'!AD36+'Consolidated Balance Sheet'!AD37+'Consolidated Balance Sheet'!AD38+'Consolidated Balance Sheet'!AD39+'Consolidated Balance Sheet'!AD40</f>
        <v>2625</v>
      </c>
      <c r="AE20" s="16"/>
      <c r="AF20" s="16">
        <f t="shared" si="3"/>
        <v>973041.92000000086</v>
      </c>
      <c r="AG20" s="9" t="s">
        <v>274</v>
      </c>
      <c r="AH20" s="16">
        <f>P20</f>
        <v>724653.90000000235</v>
      </c>
      <c r="AI20" s="16"/>
      <c r="AJ20" s="16">
        <f>AF20</f>
        <v>973041.92000000086</v>
      </c>
      <c r="AK20" s="16"/>
      <c r="AL20" s="16">
        <f>AH20-AJ20</f>
        <v>-248388.01999999851</v>
      </c>
      <c r="AM20" s="12"/>
      <c r="AN20" s="13">
        <f t="shared" si="6"/>
        <v>0.74473040174877736</v>
      </c>
      <c r="AO20" s="13"/>
      <c r="AP20" s="14">
        <f>AN20-1</f>
        <v>-0.25526959825122264</v>
      </c>
    </row>
    <row r="21" spans="1:43" s="9" customFormat="1" ht="24.95" customHeight="1" x14ac:dyDescent="0.2">
      <c r="A21" s="20" t="s">
        <v>275</v>
      </c>
      <c r="B21" s="12">
        <f>SUM(B10:B20)</f>
        <v>58522816.589999981</v>
      </c>
      <c r="C21" s="12"/>
      <c r="D21" s="12">
        <f>SUM(D10:D20)</f>
        <v>386859.19</v>
      </c>
      <c r="E21" s="12"/>
      <c r="F21" s="12">
        <f>SUM(F10:F20)</f>
        <v>371739.66</v>
      </c>
      <c r="G21" s="12"/>
      <c r="H21" s="12">
        <f>SUM(H10:H20)</f>
        <v>900062.97</v>
      </c>
      <c r="I21" s="12"/>
      <c r="J21" s="12">
        <f>SUM(J10:J20)</f>
        <v>414692.83</v>
      </c>
      <c r="K21" s="12"/>
      <c r="L21" s="12">
        <f>SUM(L10:L20)</f>
        <v>2254563.62</v>
      </c>
      <c r="M21" s="12"/>
      <c r="N21" s="12">
        <f>SUM(N10:N20)</f>
        <v>979963.27</v>
      </c>
      <c r="O21" s="12"/>
      <c r="P21" s="12">
        <f>SUM(P10:P20)</f>
        <v>63830698.130000003</v>
      </c>
      <c r="Q21" s="20" t="s">
        <v>275</v>
      </c>
      <c r="R21" s="54">
        <f>SUM(R10:R20)</f>
        <v>37596024.39000003</v>
      </c>
      <c r="S21" s="12"/>
      <c r="T21" s="54">
        <f>SUM(T10:T20)</f>
        <v>1108895.2700000003</v>
      </c>
      <c r="U21" s="12"/>
      <c r="V21" s="54">
        <f t="shared" ref="V21:AF21" si="13">SUM(V10:V20)</f>
        <v>5699088.2400000002</v>
      </c>
      <c r="W21" s="12">
        <f t="shared" si="13"/>
        <v>0</v>
      </c>
      <c r="X21" s="54">
        <f t="shared" si="13"/>
        <v>698411.26</v>
      </c>
      <c r="Y21" s="12">
        <f t="shared" si="13"/>
        <v>0</v>
      </c>
      <c r="Z21" s="54">
        <f t="shared" si="13"/>
        <v>529892.14999999991</v>
      </c>
      <c r="AA21" s="12">
        <f t="shared" si="13"/>
        <v>0</v>
      </c>
      <c r="AB21" s="54">
        <f t="shared" si="13"/>
        <v>1939794.1400000001</v>
      </c>
      <c r="AC21" s="12">
        <f t="shared" si="13"/>
        <v>0</v>
      </c>
      <c r="AD21" s="54">
        <f t="shared" si="13"/>
        <v>137194.62</v>
      </c>
      <c r="AE21" s="12">
        <f t="shared" si="13"/>
        <v>0</v>
      </c>
      <c r="AF21" s="12">
        <f t="shared" si="13"/>
        <v>47709300.070000038</v>
      </c>
      <c r="AG21" s="20" t="s">
        <v>275</v>
      </c>
      <c r="AH21" s="12">
        <f>SUM(AH10:AH20)</f>
        <v>63830698.130000003</v>
      </c>
      <c r="AI21" s="12"/>
      <c r="AJ21" s="12">
        <f>SUM(AJ10:AJ20)</f>
        <v>47709300.070000038</v>
      </c>
      <c r="AK21" s="12"/>
      <c r="AL21" s="12">
        <f>SUM(AL10:AL20)</f>
        <v>16121398.059999943</v>
      </c>
      <c r="AM21" s="12"/>
      <c r="AN21" s="13">
        <f t="shared" si="6"/>
        <v>1.3379089199872212</v>
      </c>
      <c r="AO21" s="13"/>
      <c r="AP21" s="14">
        <f>AN21-1</f>
        <v>0.33790891998722117</v>
      </c>
      <c r="AQ21" s="22">
        <f>AH21-P21</f>
        <v>0</v>
      </c>
    </row>
    <row r="22" spans="1:43" s="9" customFormat="1" ht="24.95" customHeight="1" x14ac:dyDescent="0.2">
      <c r="B22" s="12"/>
      <c r="C22" s="12"/>
      <c r="D22" s="12"/>
      <c r="E22" s="12"/>
      <c r="F22" s="12"/>
      <c r="G22" s="12"/>
      <c r="P22" s="10"/>
      <c r="R22" s="60"/>
      <c r="S22" s="10"/>
      <c r="T22" s="60"/>
      <c r="U22" s="10"/>
      <c r="V22" s="60"/>
      <c r="W22" s="10"/>
      <c r="X22" s="60"/>
      <c r="Y22" s="10"/>
      <c r="Z22" s="60"/>
      <c r="AA22" s="10"/>
      <c r="AB22" s="60"/>
      <c r="AC22" s="10"/>
      <c r="AD22" s="60"/>
      <c r="AE22" s="10"/>
      <c r="AF22" s="10"/>
      <c r="AN22" s="10"/>
      <c r="AO22" s="10"/>
      <c r="AP22" s="19"/>
    </row>
    <row r="23" spans="1:43" s="9" customFormat="1" ht="24.95" customHeight="1" x14ac:dyDescent="0.2">
      <c r="A23" s="8" t="s">
        <v>276</v>
      </c>
      <c r="B23" s="12"/>
      <c r="C23" s="12"/>
      <c r="D23" s="12"/>
      <c r="E23" s="12"/>
      <c r="F23" s="12"/>
      <c r="G23" s="12"/>
      <c r="P23" s="10"/>
      <c r="Q23" s="8" t="s">
        <v>276</v>
      </c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G23" s="8" t="s">
        <v>276</v>
      </c>
      <c r="AN23" s="10"/>
      <c r="AO23" s="10"/>
      <c r="AP23" s="19"/>
    </row>
    <row r="24" spans="1:43" s="9" customFormat="1" ht="24.95" customHeight="1" x14ac:dyDescent="0.2">
      <c r="A24" s="9" t="s">
        <v>476</v>
      </c>
      <c r="B24" s="12">
        <f>'Consolidated Balance Sheet'!B62+-'Consolidated Balance Sheet'!B61</f>
        <v>17933530.59</v>
      </c>
      <c r="C24" s="12"/>
      <c r="D24" s="12">
        <f>'Consolidated Balance Sheet'!D62+-'Consolidated Balance Sheet'!D61</f>
        <v>28814.959999999999</v>
      </c>
      <c r="E24" s="12"/>
      <c r="F24" s="12">
        <f>'Consolidated Balance Sheet'!F62+-'Consolidated Balance Sheet'!F61</f>
        <v>28814.959999999999</v>
      </c>
      <c r="G24" s="12"/>
      <c r="H24" s="12">
        <f>'Consolidated Balance Sheet'!H62+-'Consolidated Balance Sheet'!H61</f>
        <v>0</v>
      </c>
      <c r="I24" s="12"/>
      <c r="J24" s="12">
        <f>'Consolidated Balance Sheet'!J62+-'Consolidated Balance Sheet'!J61</f>
        <v>4202772.2299999995</v>
      </c>
      <c r="K24" s="12"/>
      <c r="L24" s="12">
        <f>'Consolidated Balance Sheet'!L62+-'Consolidated Balance Sheet'!L61</f>
        <v>4810642.5599999996</v>
      </c>
      <c r="N24" s="12">
        <f>'Consolidated Balance Sheet'!N62+-'Consolidated Balance Sheet'!N61</f>
        <v>9043616.4100000001</v>
      </c>
      <c r="P24" s="12">
        <f>SUM(B24:N24)</f>
        <v>36048191.710000001</v>
      </c>
      <c r="Q24" s="9" t="s">
        <v>476</v>
      </c>
      <c r="R24" s="54">
        <f>SUM('Consolidated Balance Sheet'!R46:R60)</f>
        <v>17540292.199999999</v>
      </c>
      <c r="S24" s="12"/>
      <c r="T24" s="54">
        <f>SUM('Consolidated Balance Sheet'!T46:T60)</f>
        <v>28814.959999999999</v>
      </c>
      <c r="U24" s="12"/>
      <c r="V24" s="54">
        <f>SUM('Consolidated Balance Sheet'!V46:V60)</f>
        <v>1054605.6400000001</v>
      </c>
      <c r="W24" s="12"/>
      <c r="X24" s="54">
        <f>SUM('Consolidated Balance Sheet'!X46:X60)</f>
        <v>0</v>
      </c>
      <c r="Y24" s="12"/>
      <c r="Z24" s="54">
        <f>SUM('Consolidated Balance Sheet'!Z46:Z60)</f>
        <v>4093975.1899999995</v>
      </c>
      <c r="AA24" s="12"/>
      <c r="AB24" s="54">
        <f>SUM('Consolidated Balance Sheet'!AB46:AB60)</f>
        <v>4810642.5600000005</v>
      </c>
      <c r="AC24" s="12"/>
      <c r="AD24" s="54">
        <f>SUM('Consolidated Balance Sheet'!AD46:AD60)</f>
        <v>9244680.4399999995</v>
      </c>
      <c r="AE24" s="12"/>
      <c r="AF24" s="12">
        <f>SUM(R24:AD24)</f>
        <v>36773010.990000002</v>
      </c>
      <c r="AG24" s="9" t="s">
        <v>476</v>
      </c>
      <c r="AH24" s="12">
        <f>P24</f>
        <v>36048191.710000001</v>
      </c>
      <c r="AI24" s="12"/>
      <c r="AJ24" s="12">
        <f>AF24</f>
        <v>36773010.990000002</v>
      </c>
      <c r="AK24" s="12"/>
      <c r="AL24" s="12">
        <f>AH24-AJ24</f>
        <v>-724819.28000000119</v>
      </c>
      <c r="AM24" s="12"/>
      <c r="AN24" s="13">
        <f t="shared" ref="AN24:AN30" si="14">AH24/AJ24</f>
        <v>0.980289368194595</v>
      </c>
      <c r="AO24" s="13"/>
      <c r="AP24" s="14">
        <f t="shared" ref="AP24:AP30" si="15">AN24-1</f>
        <v>-1.9710631805404999E-2</v>
      </c>
    </row>
    <row r="25" spans="1:43" s="9" customFormat="1" ht="24.95" customHeight="1" x14ac:dyDescent="0.2">
      <c r="A25" s="9" t="s">
        <v>522</v>
      </c>
      <c r="B25" s="16">
        <f>'Consolidated Balance Sheet'!B61</f>
        <v>-9546392.1899999995</v>
      </c>
      <c r="C25" s="16"/>
      <c r="D25" s="16">
        <f>'Consolidated Balance Sheet'!D61</f>
        <v>-19436.25</v>
      </c>
      <c r="E25" s="16"/>
      <c r="F25" s="16">
        <f>'Consolidated Balance Sheet'!F61</f>
        <v>-19854.54</v>
      </c>
      <c r="G25" s="16"/>
      <c r="H25" s="16">
        <f>'Consolidated Balance Sheet'!H61</f>
        <v>0</v>
      </c>
      <c r="I25" s="16"/>
      <c r="J25" s="16">
        <f>'Consolidated Balance Sheet'!J61</f>
        <v>-2587991.92</v>
      </c>
      <c r="K25" s="16"/>
      <c r="L25" s="16">
        <f>'Consolidated Balance Sheet'!L61</f>
        <v>-1603257.42</v>
      </c>
      <c r="M25" s="17"/>
      <c r="N25" s="16">
        <f>'Consolidated Balance Sheet'!N61</f>
        <v>-1338653.5</v>
      </c>
      <c r="O25" s="17"/>
      <c r="P25" s="16">
        <f>SUM(B25:N25)</f>
        <v>-15115585.819999998</v>
      </c>
      <c r="Q25" s="9" t="s">
        <v>522</v>
      </c>
      <c r="R25" s="55">
        <f>'Consolidated Balance Sheet'!R61</f>
        <v>-8310212.9699999997</v>
      </c>
      <c r="S25" s="16"/>
      <c r="T25" s="55">
        <f>'Consolidated Balance Sheet'!T61</f>
        <v>-14835.06</v>
      </c>
      <c r="U25" s="16"/>
      <c r="V25" s="55">
        <f>'Consolidated Balance Sheet'!V61</f>
        <v>-657106.23</v>
      </c>
      <c r="W25" s="16"/>
      <c r="X25" s="55">
        <f>'Consolidated Balance Sheet'!X61</f>
        <v>0</v>
      </c>
      <c r="Y25" s="16"/>
      <c r="Z25" s="55">
        <f>'Consolidated Balance Sheet'!Z61</f>
        <v>-2483650.1</v>
      </c>
      <c r="AA25" s="16"/>
      <c r="AB25" s="55">
        <f>'Consolidated Balance Sheet'!AB61</f>
        <v>-1492444.37</v>
      </c>
      <c r="AC25" s="16"/>
      <c r="AD25" s="55">
        <f>'Consolidated Balance Sheet'!AD61</f>
        <v>-1183512.26</v>
      </c>
      <c r="AE25" s="16"/>
      <c r="AF25" s="16">
        <f>SUM(R25:AD25)</f>
        <v>-14141760.99</v>
      </c>
      <c r="AG25" s="9" t="s">
        <v>522</v>
      </c>
      <c r="AH25" s="16">
        <f>P25</f>
        <v>-15115585.819999998</v>
      </c>
      <c r="AI25" s="16"/>
      <c r="AJ25" s="16">
        <f>AF25</f>
        <v>-14141760.99</v>
      </c>
      <c r="AK25" s="16"/>
      <c r="AL25" s="16">
        <f>AH25-AJ25</f>
        <v>-973824.82999999821</v>
      </c>
      <c r="AM25" s="12"/>
      <c r="AN25" s="13">
        <f t="shared" si="14"/>
        <v>1.0688616382845542</v>
      </c>
      <c r="AO25" s="13"/>
      <c r="AP25" s="14">
        <f t="shared" si="15"/>
        <v>6.8861638284554161E-2</v>
      </c>
    </row>
    <row r="26" spans="1:43" s="9" customFormat="1" ht="24.95" customHeight="1" x14ac:dyDescent="0.2">
      <c r="A26" s="20" t="s">
        <v>334</v>
      </c>
      <c r="B26" s="12">
        <f>SUM(B24:B25)</f>
        <v>8387138.4000000004</v>
      </c>
      <c r="C26" s="12"/>
      <c r="D26" s="12">
        <f>SUM(D24:D25)</f>
        <v>9378.7099999999991</v>
      </c>
      <c r="E26" s="12"/>
      <c r="F26" s="12">
        <f>SUM(F24:F25)</f>
        <v>8960.4199999999983</v>
      </c>
      <c r="G26" s="12"/>
      <c r="H26" s="12">
        <f>SUM(H24:H25)</f>
        <v>0</v>
      </c>
      <c r="I26" s="12"/>
      <c r="J26" s="12">
        <f>SUM(J24:J25)</f>
        <v>1614780.3099999996</v>
      </c>
      <c r="K26" s="12"/>
      <c r="L26" s="12">
        <f>SUM(L24:L25)</f>
        <v>3207385.1399999997</v>
      </c>
      <c r="M26" s="12"/>
      <c r="N26" s="12">
        <f>SUM(N24:N25)</f>
        <v>7704962.9100000001</v>
      </c>
      <c r="O26" s="12"/>
      <c r="P26" s="12">
        <f>SUM(P24:P25)</f>
        <v>20932605.890000001</v>
      </c>
      <c r="Q26" s="20" t="s">
        <v>334</v>
      </c>
      <c r="R26" s="54">
        <f>SUM(R24:R25)</f>
        <v>9230079.2300000004</v>
      </c>
      <c r="S26" s="12"/>
      <c r="T26" s="54">
        <f>SUM(T24:T25)</f>
        <v>13979.9</v>
      </c>
      <c r="U26" s="12"/>
      <c r="V26" s="54">
        <f>SUM(V24:V25)</f>
        <v>397499.41000000015</v>
      </c>
      <c r="W26" s="12"/>
      <c r="X26" s="54">
        <f>SUM(X24:X25)</f>
        <v>0</v>
      </c>
      <c r="Y26" s="12"/>
      <c r="Z26" s="54">
        <f>SUM(Z24:Z25)</f>
        <v>1610325.0899999994</v>
      </c>
      <c r="AA26" s="12"/>
      <c r="AB26" s="54">
        <f>SUM(AB24:AB25)</f>
        <v>3318198.1900000004</v>
      </c>
      <c r="AC26" s="12"/>
      <c r="AD26" s="54">
        <f>SUM(AD24:AD25)</f>
        <v>8061168.1799999997</v>
      </c>
      <c r="AE26" s="12"/>
      <c r="AF26" s="12">
        <f>SUM(AF24:AF25)</f>
        <v>22631250</v>
      </c>
      <c r="AG26" s="20" t="s">
        <v>334</v>
      </c>
      <c r="AH26" s="22">
        <f>SUM(AH24:AH25)</f>
        <v>20932605.890000001</v>
      </c>
      <c r="AI26" s="22"/>
      <c r="AJ26" s="22">
        <f>SUM(AJ24:AJ25)</f>
        <v>22631250</v>
      </c>
      <c r="AK26" s="22"/>
      <c r="AL26" s="22">
        <f>SUM(AL24:AL25)</f>
        <v>-1698644.1099999994</v>
      </c>
      <c r="AM26" s="22"/>
      <c r="AN26" s="13">
        <f t="shared" si="14"/>
        <v>0.92494254139740406</v>
      </c>
      <c r="AO26" s="13"/>
      <c r="AP26" s="14">
        <f t="shared" si="15"/>
        <v>-7.5057458602595939E-2</v>
      </c>
    </row>
    <row r="27" spans="1:43" s="9" customFormat="1" ht="24.95" customHeight="1" x14ac:dyDescent="0.2">
      <c r="A27" s="20"/>
      <c r="B27" s="12">
        <f>B26-'Consolidated Balance Sheet'!B62</f>
        <v>0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0"/>
      <c r="R27" s="54"/>
      <c r="S27" s="12"/>
      <c r="T27" s="54"/>
      <c r="U27" s="12"/>
      <c r="V27" s="54"/>
      <c r="W27" s="12"/>
      <c r="X27" s="54"/>
      <c r="Y27" s="12"/>
      <c r="Z27" s="54"/>
      <c r="AA27" s="12"/>
      <c r="AB27" s="54"/>
      <c r="AC27" s="12"/>
      <c r="AD27" s="54"/>
      <c r="AE27" s="12"/>
      <c r="AF27" s="12"/>
      <c r="AG27" s="20"/>
      <c r="AH27" s="22"/>
      <c r="AI27" s="22"/>
      <c r="AJ27" s="22"/>
      <c r="AK27" s="22"/>
      <c r="AL27" s="22"/>
      <c r="AM27" s="22"/>
      <c r="AN27" s="13"/>
      <c r="AO27" s="10"/>
      <c r="AP27" s="14"/>
    </row>
    <row r="28" spans="1:43" s="9" customFormat="1" ht="24.95" customHeight="1" x14ac:dyDescent="0.2">
      <c r="A28" s="9" t="s">
        <v>406</v>
      </c>
      <c r="B28" s="12">
        <f>'Consolidated Balance Sheet'!B64</f>
        <v>0</v>
      </c>
      <c r="C28" s="12"/>
      <c r="D28" s="12">
        <f>'Consolidated Balance Sheet'!D64</f>
        <v>0</v>
      </c>
      <c r="E28" s="12"/>
      <c r="F28" s="12">
        <f>'Consolidated Balance Sheet'!F64</f>
        <v>0</v>
      </c>
      <c r="G28" s="12"/>
      <c r="H28" s="12">
        <f>'Consolidated Balance Sheet'!H64</f>
        <v>0</v>
      </c>
      <c r="I28" s="12"/>
      <c r="J28" s="12">
        <f>'Consolidated Balance Sheet'!J64</f>
        <v>0</v>
      </c>
      <c r="K28" s="12"/>
      <c r="L28" s="12">
        <f>'Consolidated Balance Sheet'!L64</f>
        <v>0</v>
      </c>
      <c r="M28" s="12"/>
      <c r="N28" s="12">
        <f>'Consolidated Balance Sheet'!N64</f>
        <v>0</v>
      </c>
      <c r="O28" s="12"/>
      <c r="P28" s="12">
        <f>SUM(B28:N28)</f>
        <v>0</v>
      </c>
      <c r="Q28" s="9" t="s">
        <v>406</v>
      </c>
      <c r="R28" s="54">
        <f>'Consolidated Balance Sheet'!R64</f>
        <v>333.25</v>
      </c>
      <c r="S28" s="12"/>
      <c r="T28" s="54">
        <f>'Consolidated Balance Sheet'!T64</f>
        <v>0</v>
      </c>
      <c r="U28" s="12"/>
      <c r="V28" s="54">
        <f>'Consolidated Balance Sheet'!V64</f>
        <v>0</v>
      </c>
      <c r="W28" s="12"/>
      <c r="X28" s="54">
        <f>'Consolidated Balance Sheet'!X64</f>
        <v>0</v>
      </c>
      <c r="Y28" s="12"/>
      <c r="Z28" s="54">
        <f>'Consolidated Balance Sheet'!Z64</f>
        <v>0</v>
      </c>
      <c r="AA28" s="12"/>
      <c r="AB28" s="54">
        <f>'Consolidated Balance Sheet'!AB64</f>
        <v>0</v>
      </c>
      <c r="AC28" s="12"/>
      <c r="AD28" s="54">
        <f>'Consolidated Balance Sheet'!AD64</f>
        <v>0</v>
      </c>
      <c r="AE28" s="12"/>
      <c r="AF28" s="12">
        <f>SUM(R28:AD28)</f>
        <v>333.25</v>
      </c>
      <c r="AG28" s="9" t="s">
        <v>406</v>
      </c>
      <c r="AH28" s="22">
        <f>P28</f>
        <v>0</v>
      </c>
      <c r="AI28" s="12"/>
      <c r="AJ28" s="12">
        <f>AF28</f>
        <v>333.25</v>
      </c>
      <c r="AK28" s="12"/>
      <c r="AL28" s="22">
        <f>AH28-AJ28</f>
        <v>-333.25</v>
      </c>
      <c r="AM28" s="12"/>
      <c r="AN28" s="13">
        <f t="shared" si="14"/>
        <v>0</v>
      </c>
      <c r="AO28" s="13"/>
      <c r="AP28" s="14">
        <f t="shared" si="15"/>
        <v>-1</v>
      </c>
    </row>
    <row r="29" spans="1:43" s="9" customFormat="1" ht="24.95" customHeight="1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R29" s="54"/>
      <c r="S29" s="12"/>
      <c r="T29" s="54"/>
      <c r="U29" s="12"/>
      <c r="V29" s="54"/>
      <c r="W29" s="12"/>
      <c r="X29" s="54"/>
      <c r="Y29" s="12"/>
      <c r="Z29" s="54"/>
      <c r="AA29" s="12"/>
      <c r="AB29" s="54"/>
      <c r="AC29" s="12"/>
      <c r="AD29" s="54"/>
      <c r="AE29" s="12"/>
      <c r="AF29" s="12"/>
      <c r="AH29" s="22"/>
      <c r="AI29" s="12"/>
      <c r="AJ29" s="12"/>
      <c r="AK29" s="12"/>
      <c r="AL29" s="12"/>
      <c r="AM29" s="12"/>
      <c r="AN29" s="13"/>
      <c r="AO29" s="13"/>
      <c r="AP29" s="14"/>
    </row>
    <row r="30" spans="1:43" s="9" customFormat="1" ht="24.95" customHeight="1" thickBot="1" x14ac:dyDescent="0.25">
      <c r="A30" s="8" t="s">
        <v>289</v>
      </c>
      <c r="B30" s="23">
        <f>B28+B26+B21</f>
        <v>66909954.98999998</v>
      </c>
      <c r="C30" s="23"/>
      <c r="D30" s="23">
        <f>SUM(D26,D21,D28)</f>
        <v>396237.9</v>
      </c>
      <c r="E30" s="23"/>
      <c r="F30" s="23">
        <f>SUM(F26,F21,F28)</f>
        <v>380700.07999999996</v>
      </c>
      <c r="G30" s="23"/>
      <c r="H30" s="23">
        <f>SUM(H26,H21,H28)</f>
        <v>900062.97</v>
      </c>
      <c r="I30" s="23"/>
      <c r="J30" s="23">
        <f>SUM(J26,J21,J28)</f>
        <v>2029473.1399999997</v>
      </c>
      <c r="K30" s="23"/>
      <c r="L30" s="23">
        <f>SUM(L26,L21,L28)</f>
        <v>5461948.7599999998</v>
      </c>
      <c r="M30" s="23"/>
      <c r="N30" s="23">
        <f>SUM(N26,N21,N28)</f>
        <v>8684926.1799999997</v>
      </c>
      <c r="O30" s="23"/>
      <c r="P30" s="23">
        <f>SUM(P26,P21,P28)</f>
        <v>84763304.020000011</v>
      </c>
      <c r="Q30" s="8" t="s">
        <v>289</v>
      </c>
      <c r="R30" s="57">
        <f>SUM(R26,R21,R28)</f>
        <v>46826436.870000035</v>
      </c>
      <c r="S30" s="23"/>
      <c r="T30" s="57">
        <f>SUM(T26,T21,T28)</f>
        <v>1122875.1700000002</v>
      </c>
      <c r="U30" s="23"/>
      <c r="V30" s="57">
        <f>SUM(V26,V21,V28)</f>
        <v>6096587.6500000004</v>
      </c>
      <c r="W30" s="23"/>
      <c r="X30" s="57">
        <f>SUM(X26,X21,X28)</f>
        <v>698411.26</v>
      </c>
      <c r="Y30" s="23"/>
      <c r="Z30" s="57">
        <f>SUM(Z26,Z21,Z28)</f>
        <v>2140217.2399999993</v>
      </c>
      <c r="AA30" s="23"/>
      <c r="AB30" s="57">
        <f>SUM(AB26,AB21,AB28)</f>
        <v>5257992.33</v>
      </c>
      <c r="AC30" s="23"/>
      <c r="AD30" s="57">
        <f>SUM(AD26,AD21,AD28)</f>
        <v>8198362.7999999998</v>
      </c>
      <c r="AE30" s="23"/>
      <c r="AF30" s="23">
        <f>SUM(AF26,AF21,AF28)</f>
        <v>70340883.320000038</v>
      </c>
      <c r="AG30" s="8" t="s">
        <v>289</v>
      </c>
      <c r="AH30" s="23">
        <f>SUM(AH26,AH21,AH28)</f>
        <v>84763304.020000011</v>
      </c>
      <c r="AI30" s="23"/>
      <c r="AJ30" s="23">
        <f>SUM(AJ26,AJ21,AJ28)</f>
        <v>70340883.320000038</v>
      </c>
      <c r="AK30" s="23"/>
      <c r="AL30" s="23">
        <f>SUM(AL26,AL21,AL28)</f>
        <v>14422420.699999943</v>
      </c>
      <c r="AM30" s="25"/>
      <c r="AN30" s="13">
        <f t="shared" si="14"/>
        <v>1.2050361044570397</v>
      </c>
      <c r="AO30" s="13"/>
      <c r="AP30" s="14">
        <f t="shared" si="15"/>
        <v>0.20503610445703968</v>
      </c>
      <c r="AQ30" s="22"/>
    </row>
    <row r="31" spans="1:43" s="9" customFormat="1" ht="24.95" customHeight="1" thickTop="1" x14ac:dyDescent="0.2">
      <c r="B31" s="12"/>
      <c r="C31" s="12"/>
      <c r="D31" s="12"/>
      <c r="E31" s="12"/>
      <c r="F31" s="12"/>
      <c r="G31" s="12"/>
      <c r="P31" s="10"/>
      <c r="R31" s="60"/>
      <c r="S31" s="10"/>
      <c r="T31" s="60"/>
      <c r="U31" s="10"/>
      <c r="V31" s="60"/>
      <c r="W31" s="10"/>
      <c r="X31" s="60"/>
      <c r="Y31" s="10"/>
      <c r="Z31" s="60"/>
      <c r="AA31" s="10"/>
      <c r="AB31" s="60"/>
      <c r="AC31" s="10"/>
      <c r="AD31" s="60"/>
      <c r="AE31" s="10"/>
      <c r="AF31" s="10"/>
      <c r="AP31" s="26"/>
    </row>
    <row r="32" spans="1:43" s="9" customFormat="1" ht="24.95" customHeight="1" x14ac:dyDescent="0.2">
      <c r="A32" s="8" t="s">
        <v>105</v>
      </c>
      <c r="B32" s="12"/>
      <c r="C32" s="12"/>
      <c r="D32" s="12"/>
      <c r="E32" s="12"/>
      <c r="F32" s="12"/>
      <c r="G32" s="12"/>
      <c r="P32" s="10"/>
      <c r="Q32" s="8" t="s">
        <v>105</v>
      </c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G32" s="8" t="s">
        <v>105</v>
      </c>
      <c r="AP32" s="19"/>
    </row>
    <row r="33" spans="1:42" s="9" customFormat="1" ht="24.95" customHeight="1" x14ac:dyDescent="0.2">
      <c r="A33" s="8" t="s">
        <v>290</v>
      </c>
      <c r="B33" s="12"/>
      <c r="C33" s="12"/>
      <c r="D33" s="12"/>
      <c r="E33" s="12"/>
      <c r="F33" s="12"/>
      <c r="G33" s="12"/>
      <c r="P33" s="10"/>
      <c r="Q33" s="8" t="s">
        <v>290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290</v>
      </c>
      <c r="AP33" s="19"/>
    </row>
    <row r="34" spans="1:42" s="9" customFormat="1" ht="24.95" customHeight="1" x14ac:dyDescent="0.2">
      <c r="A34" s="9" t="s">
        <v>291</v>
      </c>
      <c r="B34" s="12">
        <f>'Consolidated Balance Sheet'!B71</f>
        <v>0</v>
      </c>
      <c r="C34" s="12"/>
      <c r="D34" s="12">
        <f>'Consolidated Balance Sheet'!D71</f>
        <v>0</v>
      </c>
      <c r="E34" s="12"/>
      <c r="F34" s="12">
        <f>'Consolidated Balance Sheet'!F71</f>
        <v>0</v>
      </c>
      <c r="G34" s="12"/>
      <c r="H34" s="12">
        <f>'Consolidated Balance Sheet'!H71</f>
        <v>0</v>
      </c>
      <c r="I34" s="12"/>
      <c r="J34" s="12">
        <f>'Consolidated Balance Sheet'!J71</f>
        <v>0</v>
      </c>
      <c r="K34" s="12"/>
      <c r="L34" s="12">
        <f>'Consolidated Balance Sheet'!L71</f>
        <v>0</v>
      </c>
      <c r="M34" s="12"/>
      <c r="N34" s="12">
        <f>'Consolidated Balance Sheet'!N71</f>
        <v>0</v>
      </c>
      <c r="O34" s="12"/>
      <c r="P34" s="12">
        <f>SUM(B34:N34)</f>
        <v>0</v>
      </c>
      <c r="Q34" s="9" t="s">
        <v>291</v>
      </c>
      <c r="R34" s="54">
        <f>'Consolidated Balance Sheet'!R71</f>
        <v>0</v>
      </c>
      <c r="S34" s="12"/>
      <c r="T34" s="54">
        <f>'Consolidated Balance Sheet'!T71</f>
        <v>0</v>
      </c>
      <c r="U34" s="12"/>
      <c r="V34" s="54">
        <f>'Consolidated Balance Sheet'!V71</f>
        <v>0</v>
      </c>
      <c r="W34" s="12"/>
      <c r="X34" s="54">
        <f>'Consolidated Balance Sheet'!X71</f>
        <v>0</v>
      </c>
      <c r="Y34" s="12"/>
      <c r="Z34" s="54">
        <f>'Consolidated Balance Sheet'!Z71</f>
        <v>0</v>
      </c>
      <c r="AA34" s="12"/>
      <c r="AB34" s="54">
        <f>'Consolidated Balance Sheet'!AB71</f>
        <v>0</v>
      </c>
      <c r="AC34" s="12"/>
      <c r="AD34" s="54">
        <f>'Consolidated Balance Sheet'!AD71</f>
        <v>0</v>
      </c>
      <c r="AE34" s="12"/>
      <c r="AF34" s="12">
        <f>SUM(R34:AD34)</f>
        <v>0</v>
      </c>
      <c r="AG34" s="9" t="s">
        <v>291</v>
      </c>
      <c r="AH34" s="12">
        <f>P34</f>
        <v>0</v>
      </c>
      <c r="AI34" s="12"/>
      <c r="AJ34" s="12">
        <f>AF34</f>
        <v>0</v>
      </c>
      <c r="AK34" s="12"/>
      <c r="AL34" s="12">
        <f t="shared" ref="AL34:AL41" si="16">AH34-AJ34</f>
        <v>0</v>
      </c>
      <c r="AM34" s="12"/>
      <c r="AN34" s="13"/>
      <c r="AO34" s="13"/>
      <c r="AP34" s="14">
        <f t="shared" ref="AP34:AP42" si="17">AN34-1</f>
        <v>-1</v>
      </c>
    </row>
    <row r="35" spans="1:42" s="9" customFormat="1" ht="24.95" customHeight="1" x14ac:dyDescent="0.2">
      <c r="A35" s="9" t="s">
        <v>292</v>
      </c>
      <c r="B35" s="12">
        <f>'Consolidated Balance Sheet'!B72+'Consolidated Balance Sheet'!B73+'Consolidated Balance Sheet'!B74+'Consolidated Balance Sheet'!B75+'Consolidated Balance Sheet'!B76+CNT!S98</f>
        <v>21753033</v>
      </c>
      <c r="C35" s="12"/>
      <c r="D35" s="12">
        <f>'Consolidated Balance Sheet'!D72+'Consolidated Balance Sheet'!D73+'Consolidated Balance Sheet'!D74+'Consolidated Balance Sheet'!D75+'Consolidated Balance Sheet'!D76</f>
        <v>4776.13</v>
      </c>
      <c r="E35" s="12"/>
      <c r="F35" s="12">
        <f>'Consolidated Balance Sheet'!F72+'Consolidated Balance Sheet'!F73+'Consolidated Balance Sheet'!F74+'Consolidated Balance Sheet'!F75+'Consolidated Balance Sheet'!F76</f>
        <v>0</v>
      </c>
      <c r="G35" s="12"/>
      <c r="H35" s="12">
        <f>'Consolidated Balance Sheet'!H72+'Consolidated Balance Sheet'!H73+'Consolidated Balance Sheet'!H74+'Consolidated Balance Sheet'!H75+'Consolidated Balance Sheet'!H76</f>
        <v>0</v>
      </c>
      <c r="I35" s="12"/>
      <c r="J35" s="12">
        <f>'Consolidated Balance Sheet'!J72+'Consolidated Balance Sheet'!J73+'Consolidated Balance Sheet'!J74+'Consolidated Balance Sheet'!J75+'Consolidated Balance Sheet'!J76</f>
        <v>2711.53</v>
      </c>
      <c r="K35" s="12"/>
      <c r="L35" s="12">
        <f>'Consolidated Balance Sheet'!L72+'Consolidated Balance Sheet'!L73+'Consolidated Balance Sheet'!L74+'Consolidated Balance Sheet'!L75+'Consolidated Balance Sheet'!L76</f>
        <v>0</v>
      </c>
      <c r="N35" s="12">
        <f>'Consolidated Balance Sheet'!N72+'Consolidated Balance Sheet'!N73+'Consolidated Balance Sheet'!N74+'Consolidated Balance Sheet'!N75+'Consolidated Balance Sheet'!N76</f>
        <v>0</v>
      </c>
      <c r="P35" s="12">
        <f t="shared" ref="P35:P41" si="18">SUM(B35:N35)</f>
        <v>21760520.66</v>
      </c>
      <c r="Q35" s="9" t="s">
        <v>292</v>
      </c>
      <c r="R35" s="54">
        <f>'[1]Consolidated Balance Sheet'!$R$72+'[1]Consolidated Balance Sheet'!$R$74+'[1]Consolidated Balance Sheet'!$R$75+'[1]Consolidated Balance Sheet'!$R$76+'[1]Consolidated Balance Sheet'!$R$106</f>
        <v>22478496.920000002</v>
      </c>
      <c r="S35" s="12"/>
      <c r="T35" s="54">
        <f>'Consolidated Balance Sheet'!T72+'Consolidated Balance Sheet'!T73+'Consolidated Balance Sheet'!T74+'Consolidated Balance Sheet'!T75+'Consolidated Balance Sheet'!T76</f>
        <v>146544.41999999998</v>
      </c>
      <c r="U35" s="12"/>
      <c r="V35" s="54">
        <f>'Consolidated Balance Sheet'!V72+'Consolidated Balance Sheet'!V73+'Consolidated Balance Sheet'!V74+'Consolidated Balance Sheet'!V75+'Consolidated Balance Sheet'!V76</f>
        <v>119.97</v>
      </c>
      <c r="W35" s="12"/>
      <c r="X35" s="54">
        <f>'Consolidated Balance Sheet'!X72+'Consolidated Balance Sheet'!X73+'Consolidated Balance Sheet'!X74+'Consolidated Balance Sheet'!X75+'Consolidated Balance Sheet'!X76</f>
        <v>0</v>
      </c>
      <c r="Y35" s="12"/>
      <c r="Z35" s="54">
        <f>'Consolidated Balance Sheet'!Z72+'Consolidated Balance Sheet'!Z73+'Consolidated Balance Sheet'!Z74+'Consolidated Balance Sheet'!Z75+'Consolidated Balance Sheet'!Z76</f>
        <v>2615.38</v>
      </c>
      <c r="AA35" s="12"/>
      <c r="AB35" s="54">
        <f>'Consolidated Balance Sheet'!AB72+'Consolidated Balance Sheet'!AB73+'Consolidated Balance Sheet'!AB74+'Consolidated Balance Sheet'!AB75+'Consolidated Balance Sheet'!AB76</f>
        <v>0</v>
      </c>
      <c r="AC35" s="12"/>
      <c r="AD35" s="54">
        <f>'Consolidated Balance Sheet'!AD72+'Consolidated Balance Sheet'!AD73+'Consolidated Balance Sheet'!AD74+'Consolidated Balance Sheet'!AD75+'Consolidated Balance Sheet'!AD76</f>
        <v>0</v>
      </c>
      <c r="AE35" s="12"/>
      <c r="AF35" s="12">
        <f t="shared" ref="AF35:AF41" si="19">SUM(R35:AD35)</f>
        <v>22627776.690000001</v>
      </c>
      <c r="AG35" s="9" t="s">
        <v>292</v>
      </c>
      <c r="AH35" s="12">
        <f t="shared" ref="AH35:AH41" si="20">P35</f>
        <v>21760520.66</v>
      </c>
      <c r="AI35" s="12"/>
      <c r="AJ35" s="12">
        <f t="shared" ref="AJ35:AJ41" si="21">AF35</f>
        <v>22627776.690000001</v>
      </c>
      <c r="AK35" s="12"/>
      <c r="AL35" s="12">
        <f t="shared" si="16"/>
        <v>-867256.03000000119</v>
      </c>
      <c r="AM35" s="12"/>
      <c r="AN35" s="13">
        <f t="shared" ref="AN35:AN42" si="22">AH35/AJ35</f>
        <v>0.96167294551818383</v>
      </c>
      <c r="AO35" s="13"/>
      <c r="AP35" s="14">
        <f t="shared" si="17"/>
        <v>-3.832705448181617E-2</v>
      </c>
    </row>
    <row r="36" spans="1:42" s="9" customFormat="1" ht="24.95" customHeight="1" x14ac:dyDescent="0.2">
      <c r="A36" s="9" t="s">
        <v>390</v>
      </c>
      <c r="B36" s="12">
        <f>'Consolidated Balance Sheet'!B78</f>
        <v>0</v>
      </c>
      <c r="C36" s="12"/>
      <c r="D36" s="12">
        <f>'Consolidated Balance Sheet'!D78</f>
        <v>0</v>
      </c>
      <c r="E36" s="12"/>
      <c r="F36" s="12">
        <f>'Consolidated Balance Sheet'!F78</f>
        <v>0</v>
      </c>
      <c r="G36" s="12"/>
      <c r="H36" s="12">
        <f>'Consolidated Balance Sheet'!H78</f>
        <v>0</v>
      </c>
      <c r="I36" s="12"/>
      <c r="J36" s="12">
        <f>'Consolidated Balance Sheet'!J78</f>
        <v>48585.25</v>
      </c>
      <c r="K36" s="12"/>
      <c r="L36" s="12">
        <f>'Consolidated Balance Sheet'!L78</f>
        <v>0</v>
      </c>
      <c r="N36" s="12">
        <f>'Consolidated Balance Sheet'!N78</f>
        <v>0</v>
      </c>
      <c r="P36" s="12">
        <f t="shared" si="18"/>
        <v>48585.25</v>
      </c>
      <c r="Q36" s="9" t="s">
        <v>390</v>
      </c>
      <c r="R36" s="54">
        <f>'Consolidated Balance Sheet'!R78</f>
        <v>0</v>
      </c>
      <c r="S36" s="12"/>
      <c r="T36" s="54">
        <f>'Consolidated Balance Sheet'!T78</f>
        <v>0</v>
      </c>
      <c r="U36" s="12"/>
      <c r="V36" s="54">
        <f>'Consolidated Balance Sheet'!V78</f>
        <v>0</v>
      </c>
      <c r="W36" s="12"/>
      <c r="X36" s="54">
        <f>'Consolidated Balance Sheet'!X78</f>
        <v>0</v>
      </c>
      <c r="Y36" s="12"/>
      <c r="Z36" s="54">
        <f>'Consolidated Balance Sheet'!Z78</f>
        <v>46991.49</v>
      </c>
      <c r="AA36" s="12"/>
      <c r="AB36" s="54">
        <f>'Consolidated Balance Sheet'!AB78</f>
        <v>0</v>
      </c>
      <c r="AC36" s="12"/>
      <c r="AD36" s="54">
        <f>'Consolidated Balance Sheet'!AD78</f>
        <v>0</v>
      </c>
      <c r="AE36" s="12"/>
      <c r="AF36" s="12">
        <f t="shared" si="19"/>
        <v>46991.49</v>
      </c>
      <c r="AG36" s="9" t="s">
        <v>390</v>
      </c>
      <c r="AH36" s="12">
        <f t="shared" si="20"/>
        <v>48585.25</v>
      </c>
      <c r="AI36" s="12"/>
      <c r="AJ36" s="12">
        <f t="shared" si="21"/>
        <v>46991.49</v>
      </c>
      <c r="AK36" s="12"/>
      <c r="AL36" s="12">
        <f t="shared" si="16"/>
        <v>1593.760000000002</v>
      </c>
      <c r="AM36" s="12"/>
      <c r="AN36" s="13">
        <f t="shared" si="22"/>
        <v>1.0339159281818899</v>
      </c>
      <c r="AO36" s="13"/>
      <c r="AP36" s="14">
        <f t="shared" si="17"/>
        <v>3.3915928181889932E-2</v>
      </c>
    </row>
    <row r="37" spans="1:42" s="9" customFormat="1" ht="24.95" customHeight="1" x14ac:dyDescent="0.2">
      <c r="A37" s="9" t="s">
        <v>297</v>
      </c>
      <c r="B37" s="12">
        <f>'Consolidated Balance Sheet'!B80+'Consolidated Balance Sheet'!B104</f>
        <v>8658651.8399999999</v>
      </c>
      <c r="C37" s="12"/>
      <c r="D37" s="12">
        <f>'Consolidated Balance Sheet'!D80</f>
        <v>0</v>
      </c>
      <c r="E37" s="12"/>
      <c r="F37" s="12">
        <f>'Consolidated Balance Sheet'!F80</f>
        <v>0</v>
      </c>
      <c r="G37" s="12"/>
      <c r="H37" s="12">
        <f>'Consolidated Balance Sheet'!H80</f>
        <v>21162.04</v>
      </c>
      <c r="I37" s="12"/>
      <c r="J37" s="12">
        <f>'Consolidated Balance Sheet'!J80</f>
        <v>0</v>
      </c>
      <c r="K37" s="12"/>
      <c r="L37" s="12">
        <f>'Consolidated Balance Sheet'!L80</f>
        <v>0</v>
      </c>
      <c r="N37" s="12">
        <f>'Consolidated Balance Sheet'!N80</f>
        <v>0</v>
      </c>
      <c r="P37" s="12">
        <f t="shared" si="18"/>
        <v>8679813.879999999</v>
      </c>
      <c r="Q37" s="9" t="s">
        <v>297</v>
      </c>
      <c r="R37" s="54">
        <f>'Consolidated Balance Sheet'!R80</f>
        <v>1761220.75</v>
      </c>
      <c r="S37" s="12"/>
      <c r="T37" s="54">
        <f>'Consolidated Balance Sheet'!T80</f>
        <v>0</v>
      </c>
      <c r="U37" s="12"/>
      <c r="V37" s="54">
        <f>'Consolidated Balance Sheet'!V80</f>
        <v>258690.53</v>
      </c>
      <c r="W37" s="12"/>
      <c r="X37" s="54">
        <f>'Consolidated Balance Sheet'!X80</f>
        <v>4082.8</v>
      </c>
      <c r="Y37" s="12"/>
      <c r="Z37" s="54">
        <f>'Consolidated Balance Sheet'!Z80</f>
        <v>0</v>
      </c>
      <c r="AA37" s="12"/>
      <c r="AB37" s="54">
        <f>'Consolidated Balance Sheet'!AB80</f>
        <v>0</v>
      </c>
      <c r="AC37" s="12"/>
      <c r="AD37" s="54">
        <f>'Consolidated Balance Sheet'!AD80</f>
        <v>0</v>
      </c>
      <c r="AE37" s="12"/>
      <c r="AF37" s="12">
        <f t="shared" si="19"/>
        <v>2023994.08</v>
      </c>
      <c r="AG37" s="9" t="s">
        <v>297</v>
      </c>
      <c r="AH37" s="12">
        <f t="shared" si="20"/>
        <v>8679813.879999999</v>
      </c>
      <c r="AI37" s="12"/>
      <c r="AJ37" s="12">
        <f t="shared" si="21"/>
        <v>2023994.08</v>
      </c>
      <c r="AK37" s="12"/>
      <c r="AL37" s="12">
        <f t="shared" si="16"/>
        <v>6655819.7999999989</v>
      </c>
      <c r="AM37" s="12"/>
      <c r="AN37" s="13">
        <f t="shared" si="22"/>
        <v>4.2884581362016627</v>
      </c>
      <c r="AO37" s="13"/>
      <c r="AP37" s="14">
        <f t="shared" si="17"/>
        <v>3.2884581362016627</v>
      </c>
    </row>
    <row r="38" spans="1:42" s="9" customFormat="1" ht="24.95" customHeight="1" x14ac:dyDescent="0.2">
      <c r="A38" s="9" t="s">
        <v>477</v>
      </c>
      <c r="B38" s="12">
        <f>'Consolidated Balance Sheet'!B81+'Consolidated Balance Sheet'!B82+'Consolidated Balance Sheet'!B83+'Consolidated Balance Sheet'!B84+'Consolidated Balance Sheet'!B86+'Consolidated Balance Sheet'!B87+'Consolidated Balance Sheet'!B88+'Consolidated Balance Sheet'!B89+'Consolidated Balance Sheet'!B90+'Consolidated Balance Sheet'!B91+'Consolidated Balance Sheet'!B92+'Consolidated Balance Sheet'!B96+'Consolidated Balance Sheet'!B97+'Consolidated Balance Sheet'!B99+'Consolidated Balance Sheet'!B109+'Consolidated Balance Sheet'!B98+'Consolidated Balance Sheet'!B105+'Consolidated Balance Sheet'!B108+'Consolidated Balance Sheet'!B107+'Consolidated Balance Sheet'!B85+'Consolidated Balance Sheet'!B94+CNT!S94+'Consolidated Balance Sheet'!B106</f>
        <v>3921165.8899999997</v>
      </c>
      <c r="C38" s="12"/>
      <c r="D38" s="12">
        <f>'Consolidated Balance Sheet'!D81+'Consolidated Balance Sheet'!D82+'Consolidated Balance Sheet'!D83+'Consolidated Balance Sheet'!D84+'Consolidated Balance Sheet'!D86+'Consolidated Balance Sheet'!D87+'Consolidated Balance Sheet'!D88+'Consolidated Balance Sheet'!D89+'Consolidated Balance Sheet'!D90+'Consolidated Balance Sheet'!D91+'Consolidated Balance Sheet'!D92+'Consolidated Balance Sheet'!D96+'Consolidated Balance Sheet'!D97+'Consolidated Balance Sheet'!D99+'Consolidated Balance Sheet'!D109+'Consolidated Balance Sheet'!D98</f>
        <v>-4753.16</v>
      </c>
      <c r="E38" s="12"/>
      <c r="F38" s="12">
        <f>'Consolidated Balance Sheet'!F81+'Consolidated Balance Sheet'!F82+'Consolidated Balance Sheet'!F83+'Consolidated Balance Sheet'!F84+'Consolidated Balance Sheet'!F86+'Consolidated Balance Sheet'!F87+'Consolidated Balance Sheet'!F88+'Consolidated Balance Sheet'!F89+'Consolidated Balance Sheet'!F90+'Consolidated Balance Sheet'!F91+'Consolidated Balance Sheet'!F92+'Consolidated Balance Sheet'!F96+'Consolidated Balance Sheet'!F97+'Consolidated Balance Sheet'!F99+'Consolidated Balance Sheet'!F109+'Consolidated Balance Sheet'!F98+'Consolidated Balance Sheet'!F94</f>
        <v>-793.55000000000007</v>
      </c>
      <c r="G38" s="12"/>
      <c r="H38" s="12">
        <f>'Consolidated Balance Sheet'!H81+'Consolidated Balance Sheet'!H82+'Consolidated Balance Sheet'!H83+'Consolidated Balance Sheet'!H84+'Consolidated Balance Sheet'!H86+'Consolidated Balance Sheet'!H87+'Consolidated Balance Sheet'!H88+'Consolidated Balance Sheet'!H89+'Consolidated Balance Sheet'!H90+'Consolidated Balance Sheet'!H91+'Consolidated Balance Sheet'!H92+'Consolidated Balance Sheet'!H96+'Consolidated Balance Sheet'!H97+'Consolidated Balance Sheet'!H99+'Consolidated Balance Sheet'!H109+'Consolidated Balance Sheet'!H98+'Consolidated Balance Sheet'!H95</f>
        <v>3565</v>
      </c>
      <c r="I38" s="12"/>
      <c r="J38" s="12">
        <f>'Consolidated Balance Sheet'!J81+'Consolidated Balance Sheet'!J82+'Consolidated Balance Sheet'!J83+'Consolidated Balance Sheet'!J84+'Consolidated Balance Sheet'!J86+'Consolidated Balance Sheet'!J87+'Consolidated Balance Sheet'!J88+'Consolidated Balance Sheet'!J89+'Consolidated Balance Sheet'!J90+'Consolidated Balance Sheet'!J91+'Consolidated Balance Sheet'!J92+'Consolidated Balance Sheet'!J96+'Consolidated Balance Sheet'!J97+'Consolidated Balance Sheet'!J99+'Consolidated Balance Sheet'!J109+'Consolidated Balance Sheet'!J98+'Consolidated Balance Sheet'!J85</f>
        <v>14663.720000000001</v>
      </c>
      <c r="K38" s="12"/>
      <c r="L38" s="12">
        <f>'Consolidated Balance Sheet'!L81+'Consolidated Balance Sheet'!L82+'Consolidated Balance Sheet'!L83+'Consolidated Balance Sheet'!L84+'Consolidated Balance Sheet'!L86+'Consolidated Balance Sheet'!L87+'Consolidated Balance Sheet'!L88+'Consolidated Balance Sheet'!L89+'Consolidated Balance Sheet'!L90+'Consolidated Balance Sheet'!L91+'Consolidated Balance Sheet'!L92+'Consolidated Balance Sheet'!L96+'Consolidated Balance Sheet'!L97+'Consolidated Balance Sheet'!L99+'Consolidated Balance Sheet'!L109+'Consolidated Balance Sheet'!L98</f>
        <v>3725</v>
      </c>
      <c r="N38" s="12">
        <f>'Consolidated Balance Sheet'!N81+'Consolidated Balance Sheet'!N82+'Consolidated Balance Sheet'!N83+'Consolidated Balance Sheet'!N84+'Consolidated Balance Sheet'!N86+'Consolidated Balance Sheet'!N87+'Consolidated Balance Sheet'!N88+'Consolidated Balance Sheet'!N89+'Consolidated Balance Sheet'!N90+'Consolidated Balance Sheet'!N91+'Consolidated Balance Sheet'!N92+'Consolidated Balance Sheet'!N96+'Consolidated Balance Sheet'!N97+'Consolidated Balance Sheet'!N99+'Consolidated Balance Sheet'!N109+'Consolidated Balance Sheet'!N98+'Consolidated Balance Sheet'!N93</f>
        <v>1666.65</v>
      </c>
      <c r="P38" s="12">
        <f t="shared" si="18"/>
        <v>3939239.55</v>
      </c>
      <c r="Q38" s="9" t="s">
        <v>477</v>
      </c>
      <c r="R38" s="54">
        <f>SUM('[1]Consolidated Balance Sheet'!$R$81:$R$98,'[1]Consolidated Balance Sheet'!$R$104:$R$105,'[1]Consolidated Balance Sheet'!$R$107)</f>
        <v>504735.81</v>
      </c>
      <c r="S38" s="12"/>
      <c r="T38" s="54">
        <f>'Consolidated Balance Sheet'!T109+'Consolidated Balance Sheet'!T104+'Consolidated Balance Sheet'!T99+'Consolidated Balance Sheet'!T98+'Consolidated Balance Sheet'!T97+'Consolidated Balance Sheet'!T96+'Consolidated Balance Sheet'!T92+'Consolidated Balance Sheet'!T91+'Consolidated Balance Sheet'!T90+'Consolidated Balance Sheet'!T89+'Consolidated Balance Sheet'!T88+'Consolidated Balance Sheet'!T87+'Consolidated Balance Sheet'!T86+'Consolidated Balance Sheet'!T84+'Consolidated Balance Sheet'!T83+'Consolidated Balance Sheet'!T82+'Consolidated Balance Sheet'!T81+'Consolidated Balance Sheet'!T105+'Consolidated Balance Sheet'!T93</f>
        <v>73215.199999999997</v>
      </c>
      <c r="U38" s="12"/>
      <c r="V38" s="54">
        <f>'Consolidated Balance Sheet'!V109+'Consolidated Balance Sheet'!V104+'Consolidated Balance Sheet'!V99+'Consolidated Balance Sheet'!V98+'Consolidated Balance Sheet'!V97+'Consolidated Balance Sheet'!V96+'Consolidated Balance Sheet'!V92+'Consolidated Balance Sheet'!V91+'Consolidated Balance Sheet'!V90+'Consolidated Balance Sheet'!V89+'Consolidated Balance Sheet'!V88+'Consolidated Balance Sheet'!V87+'Consolidated Balance Sheet'!V86+'Consolidated Balance Sheet'!V84+'Consolidated Balance Sheet'!V83+'Consolidated Balance Sheet'!V82+'Consolidated Balance Sheet'!V81+'Consolidated Balance Sheet'!V105+'Consolidated Balance Sheet'!V93</f>
        <v>112185.56</v>
      </c>
      <c r="W38" s="12"/>
      <c r="X38" s="54">
        <f>'Consolidated Balance Sheet'!X109+'Consolidated Balance Sheet'!X104+'Consolidated Balance Sheet'!X99+'Consolidated Balance Sheet'!X98+'Consolidated Balance Sheet'!X97+'Consolidated Balance Sheet'!X96+'Consolidated Balance Sheet'!X92+'Consolidated Balance Sheet'!X91+'Consolidated Balance Sheet'!X90+'Consolidated Balance Sheet'!X89+'Consolidated Balance Sheet'!X88+'Consolidated Balance Sheet'!X87+'Consolidated Balance Sheet'!X86+'Consolidated Balance Sheet'!X84+'Consolidated Balance Sheet'!X83+'Consolidated Balance Sheet'!X82+'Consolidated Balance Sheet'!X81+'Consolidated Balance Sheet'!X105+'Consolidated Balance Sheet'!X93</f>
        <v>0</v>
      </c>
      <c r="Y38" s="12"/>
      <c r="Z38" s="54">
        <f>'Consolidated Balance Sheet'!Z109+'Consolidated Balance Sheet'!Z104+'Consolidated Balance Sheet'!Z99+'Consolidated Balance Sheet'!Z98+'Consolidated Balance Sheet'!Z97+'Consolidated Balance Sheet'!Z96+'Consolidated Balance Sheet'!Z92+'Consolidated Balance Sheet'!Z91+'Consolidated Balance Sheet'!Z90+'Consolidated Balance Sheet'!Z89+'Consolidated Balance Sheet'!Z88+'Consolidated Balance Sheet'!Z87+'Consolidated Balance Sheet'!Z86+'Consolidated Balance Sheet'!Z84+'Consolidated Balance Sheet'!Z83+'Consolidated Balance Sheet'!Z82+'Consolidated Balance Sheet'!Z81+'Consolidated Balance Sheet'!Z105+'Consolidated Balance Sheet'!Z93+'Consolidated Balance Sheet'!Z85</f>
        <v>12015.45</v>
      </c>
      <c r="AA38" s="12"/>
      <c r="AB38" s="54">
        <f>'Consolidated Balance Sheet'!AB109+'Consolidated Balance Sheet'!AB104+'Consolidated Balance Sheet'!AB99+'Consolidated Balance Sheet'!AB98+'Consolidated Balance Sheet'!AB97+'Consolidated Balance Sheet'!AB96+'Consolidated Balance Sheet'!AB92+'Consolidated Balance Sheet'!AB91+'Consolidated Balance Sheet'!AB90+'Consolidated Balance Sheet'!AB89+'Consolidated Balance Sheet'!AB88+'Consolidated Balance Sheet'!AB87+'Consolidated Balance Sheet'!AB86+'Consolidated Balance Sheet'!AB84+'Consolidated Balance Sheet'!AB83+'Consolidated Balance Sheet'!AB82+'Consolidated Balance Sheet'!AB81+'Consolidated Balance Sheet'!AB105+'Consolidated Balance Sheet'!AB93</f>
        <v>305</v>
      </c>
      <c r="AC38" s="12"/>
      <c r="AD38" s="54">
        <f>'Consolidated Balance Sheet'!AD109+'Consolidated Balance Sheet'!AD104+'Consolidated Balance Sheet'!AD99+'Consolidated Balance Sheet'!AD98+'Consolidated Balance Sheet'!AD97+'Consolidated Balance Sheet'!AD96+'Consolidated Balance Sheet'!AD92+'Consolidated Balance Sheet'!AD91+'Consolidated Balance Sheet'!AD90+'Consolidated Balance Sheet'!AD89+'Consolidated Balance Sheet'!AD88+'Consolidated Balance Sheet'!AD87+'Consolidated Balance Sheet'!AD86+'Consolidated Balance Sheet'!AD84+'Consolidated Balance Sheet'!AD83+'Consolidated Balance Sheet'!AD82+'Consolidated Balance Sheet'!AD81+'Consolidated Balance Sheet'!AD105+'Consolidated Balance Sheet'!AD93</f>
        <v>761758.47</v>
      </c>
      <c r="AE38" s="12"/>
      <c r="AF38" s="12">
        <f t="shared" si="19"/>
        <v>1464215.49</v>
      </c>
      <c r="AG38" s="9" t="s">
        <v>477</v>
      </c>
      <c r="AH38" s="12">
        <f t="shared" si="20"/>
        <v>3939239.55</v>
      </c>
      <c r="AI38" s="12"/>
      <c r="AJ38" s="12">
        <f t="shared" si="21"/>
        <v>1464215.49</v>
      </c>
      <c r="AK38" s="12"/>
      <c r="AL38" s="12">
        <f t="shared" si="16"/>
        <v>2475024.0599999996</v>
      </c>
      <c r="AM38" s="12"/>
      <c r="AN38" s="13">
        <f t="shared" si="22"/>
        <v>2.6903413991338119</v>
      </c>
      <c r="AO38" s="13"/>
      <c r="AP38" s="14">
        <f t="shared" si="17"/>
        <v>1.6903413991338119</v>
      </c>
    </row>
    <row r="39" spans="1:42" s="9" customFormat="1" ht="24.95" customHeight="1" x14ac:dyDescent="0.2">
      <c r="A39" s="9" t="s">
        <v>308</v>
      </c>
      <c r="B39" s="12">
        <f>'Consolidated Balance Sheet'!B100</f>
        <v>132276.25</v>
      </c>
      <c r="C39" s="12"/>
      <c r="D39" s="12">
        <f>'Consolidated Balance Sheet'!D100</f>
        <v>0</v>
      </c>
      <c r="E39" s="12"/>
      <c r="F39" s="12">
        <f>'Consolidated Balance Sheet'!F100</f>
        <v>0</v>
      </c>
      <c r="G39" s="12"/>
      <c r="H39" s="12">
        <f>'Consolidated Balance Sheet'!H100</f>
        <v>0</v>
      </c>
      <c r="I39" s="12"/>
      <c r="J39" s="12">
        <f>'Consolidated Balance Sheet'!J100</f>
        <v>0</v>
      </c>
      <c r="K39" s="12"/>
      <c r="L39" s="12">
        <f>'Consolidated Balance Sheet'!L100</f>
        <v>0</v>
      </c>
      <c r="N39" s="12">
        <f>'Consolidated Balance Sheet'!N100</f>
        <v>0</v>
      </c>
      <c r="P39" s="12">
        <f t="shared" si="18"/>
        <v>132276.25</v>
      </c>
      <c r="Q39" s="9" t="s">
        <v>308</v>
      </c>
      <c r="R39" s="54">
        <f>'Consolidated Balance Sheet'!R100</f>
        <v>119284.99</v>
      </c>
      <c r="S39" s="12"/>
      <c r="T39" s="54">
        <f>'Consolidated Balance Sheet'!T100</f>
        <v>0</v>
      </c>
      <c r="U39" s="12"/>
      <c r="V39" s="54">
        <f>'Consolidated Balance Sheet'!V100</f>
        <v>0</v>
      </c>
      <c r="W39" s="12"/>
      <c r="X39" s="54">
        <f>'Consolidated Balance Sheet'!X100</f>
        <v>0</v>
      </c>
      <c r="Y39" s="12"/>
      <c r="Z39" s="54">
        <f>'Consolidated Balance Sheet'!Z100</f>
        <v>0</v>
      </c>
      <c r="AA39" s="12"/>
      <c r="AB39" s="54">
        <f>'Consolidated Balance Sheet'!AB100</f>
        <v>0</v>
      </c>
      <c r="AC39" s="12"/>
      <c r="AD39" s="54">
        <f>'Consolidated Balance Sheet'!AD100</f>
        <v>0</v>
      </c>
      <c r="AE39" s="12"/>
      <c r="AF39" s="12">
        <f t="shared" si="19"/>
        <v>119284.99</v>
      </c>
      <c r="AG39" s="9" t="s">
        <v>308</v>
      </c>
      <c r="AH39" s="12">
        <f t="shared" si="20"/>
        <v>132276.25</v>
      </c>
      <c r="AI39" s="12"/>
      <c r="AJ39" s="12">
        <f t="shared" si="21"/>
        <v>119284.99</v>
      </c>
      <c r="AK39" s="12"/>
      <c r="AL39" s="12">
        <f t="shared" si="16"/>
        <v>12991.259999999995</v>
      </c>
      <c r="AM39" s="12"/>
      <c r="AN39" s="13">
        <f t="shared" si="22"/>
        <v>1.1089094277494596</v>
      </c>
      <c r="AO39" s="13"/>
      <c r="AP39" s="14">
        <f t="shared" si="17"/>
        <v>0.10890942774945955</v>
      </c>
    </row>
    <row r="40" spans="1:42" s="9" customFormat="1" ht="24.95" customHeight="1" x14ac:dyDescent="0.2">
      <c r="A40" s="9" t="s">
        <v>389</v>
      </c>
      <c r="B40" s="12">
        <f>'Consolidated Balance Sheet'!B101</f>
        <v>0</v>
      </c>
      <c r="C40" s="12"/>
      <c r="D40" s="12">
        <f>'Consolidated Balance Sheet'!D101</f>
        <v>0</v>
      </c>
      <c r="E40" s="12"/>
      <c r="F40" s="12">
        <f>'Consolidated Balance Sheet'!F101</f>
        <v>0</v>
      </c>
      <c r="G40" s="12"/>
      <c r="H40" s="12">
        <f>'Consolidated Balance Sheet'!H101</f>
        <v>0</v>
      </c>
      <c r="I40" s="12"/>
      <c r="J40" s="12">
        <f>'Consolidated Balance Sheet'!J101</f>
        <v>1029763.55</v>
      </c>
      <c r="K40" s="12"/>
      <c r="L40" s="12">
        <f>'Consolidated Balance Sheet'!L101</f>
        <v>106755.32</v>
      </c>
      <c r="N40" s="12">
        <f>'Consolidated Balance Sheet'!N101</f>
        <v>0</v>
      </c>
      <c r="P40" s="12">
        <f t="shared" si="18"/>
        <v>1136518.8700000001</v>
      </c>
      <c r="Q40" s="9" t="s">
        <v>389</v>
      </c>
      <c r="R40" s="54">
        <f>'Consolidated Balance Sheet'!R101</f>
        <v>0</v>
      </c>
      <c r="S40" s="12"/>
      <c r="T40" s="54">
        <f>'Consolidated Balance Sheet'!T101</f>
        <v>0</v>
      </c>
      <c r="U40" s="12"/>
      <c r="V40" s="54">
        <f>'Consolidated Balance Sheet'!V101</f>
        <v>0</v>
      </c>
      <c r="W40" s="12"/>
      <c r="X40" s="54">
        <f>'Consolidated Balance Sheet'!X101</f>
        <v>0</v>
      </c>
      <c r="Y40" s="12"/>
      <c r="Z40" s="54">
        <f>'Consolidated Balance Sheet'!Z101</f>
        <v>957059.03</v>
      </c>
      <c r="AA40" s="12"/>
      <c r="AB40" s="54">
        <f>'Consolidated Balance Sheet'!AB101</f>
        <v>96424.16</v>
      </c>
      <c r="AC40" s="12"/>
      <c r="AD40" s="54">
        <f>'Consolidated Balance Sheet'!AD101</f>
        <v>0</v>
      </c>
      <c r="AE40" s="12"/>
      <c r="AF40" s="12">
        <f t="shared" si="19"/>
        <v>1053483.19</v>
      </c>
      <c r="AG40" s="9" t="s">
        <v>389</v>
      </c>
      <c r="AH40" s="12">
        <f>P40</f>
        <v>1136518.8700000001</v>
      </c>
      <c r="AI40" s="12"/>
      <c r="AJ40" s="12">
        <f t="shared" si="21"/>
        <v>1053483.19</v>
      </c>
      <c r="AK40" s="12"/>
      <c r="AL40" s="12">
        <f t="shared" si="16"/>
        <v>83035.680000000168</v>
      </c>
      <c r="AM40" s="12"/>
      <c r="AN40" s="13">
        <f t="shared" si="22"/>
        <v>1.0788201281123433</v>
      </c>
      <c r="AO40" s="13"/>
      <c r="AP40" s="14">
        <f t="shared" si="17"/>
        <v>7.8820128112343291E-2</v>
      </c>
    </row>
    <row r="41" spans="1:42" s="9" customFormat="1" ht="24.95" customHeight="1" x14ac:dyDescent="0.2">
      <c r="A41" s="9" t="s">
        <v>596</v>
      </c>
      <c r="B41" s="16">
        <f>'Consolidated Balance Sheet'!B103+'Consolidated Balance Sheet'!B102</f>
        <v>8177429.1699999999</v>
      </c>
      <c r="C41" s="16"/>
      <c r="D41" s="16">
        <f>'Consolidated Balance Sheet'!D103+'Consolidated Balance Sheet'!D102</f>
        <v>6057.83</v>
      </c>
      <c r="E41" s="16"/>
      <c r="F41" s="16">
        <f>'Consolidated Balance Sheet'!F103+'Consolidated Balance Sheet'!F102</f>
        <v>1877.5</v>
      </c>
      <c r="G41" s="16"/>
      <c r="H41" s="16">
        <f>'Consolidated Balance Sheet'!H103+'Consolidated Balance Sheet'!H102</f>
        <v>432117.62</v>
      </c>
      <c r="I41" s="16"/>
      <c r="J41" s="16">
        <f>'Consolidated Balance Sheet'!J103+'Consolidated Balance Sheet'!J102</f>
        <v>1069394.99</v>
      </c>
      <c r="K41" s="16"/>
      <c r="L41" s="16">
        <f>'Consolidated Balance Sheet'!L103+'Consolidated Balance Sheet'!L102</f>
        <v>0</v>
      </c>
      <c r="M41" s="17"/>
      <c r="N41" s="16">
        <f>'Consolidated Balance Sheet'!N103+'Consolidated Balance Sheet'!N102</f>
        <v>307272.12</v>
      </c>
      <c r="O41" s="17"/>
      <c r="P41" s="16">
        <f t="shared" si="18"/>
        <v>9994149.2299999986</v>
      </c>
      <c r="Q41" s="9" t="s">
        <v>596</v>
      </c>
      <c r="R41" s="55">
        <f>'Consolidated Balance Sheet'!R103+'Consolidated Balance Sheet'!R102</f>
        <v>6154325</v>
      </c>
      <c r="S41" s="16"/>
      <c r="T41" s="55">
        <f>'Consolidated Balance Sheet'!T103+'Consolidated Balance Sheet'!T102</f>
        <v>81323.83</v>
      </c>
      <c r="U41" s="16"/>
      <c r="V41" s="55">
        <f>'Consolidated Balance Sheet'!V103+'Consolidated Balance Sheet'!V102</f>
        <v>274921.43</v>
      </c>
      <c r="W41" s="16"/>
      <c r="X41" s="55">
        <f>'Consolidated Balance Sheet'!X103+'Consolidated Balance Sheet'!X102</f>
        <v>289633.59000000003</v>
      </c>
      <c r="Y41" s="16"/>
      <c r="Z41" s="55">
        <f>'Consolidated Balance Sheet'!Z103+'Consolidated Balance Sheet'!Z102</f>
        <v>1176565.6300000001</v>
      </c>
      <c r="AA41" s="16"/>
      <c r="AB41" s="55">
        <f>'Consolidated Balance Sheet'!AB103+'Consolidated Balance Sheet'!AB102</f>
        <v>0</v>
      </c>
      <c r="AC41" s="16"/>
      <c r="AD41" s="55">
        <f>'Consolidated Balance Sheet'!AD103+'Consolidated Balance Sheet'!AD102</f>
        <v>63307.5</v>
      </c>
      <c r="AE41" s="16"/>
      <c r="AF41" s="16">
        <f t="shared" si="19"/>
        <v>8040076.9799999995</v>
      </c>
      <c r="AG41" s="9" t="s">
        <v>596</v>
      </c>
      <c r="AH41" s="16">
        <f t="shared" si="20"/>
        <v>9994149.2299999986</v>
      </c>
      <c r="AI41" s="16"/>
      <c r="AJ41" s="16">
        <f t="shared" si="21"/>
        <v>8040076.9799999995</v>
      </c>
      <c r="AK41" s="16"/>
      <c r="AL41" s="16">
        <f t="shared" si="16"/>
        <v>1954072.2499999991</v>
      </c>
      <c r="AM41" s="12"/>
      <c r="AN41" s="13">
        <f t="shared" si="22"/>
        <v>1.2430414851575213</v>
      </c>
      <c r="AO41" s="13"/>
      <c r="AP41" s="14">
        <f t="shared" si="17"/>
        <v>0.24304148515752133</v>
      </c>
    </row>
    <row r="42" spans="1:42" s="9" customFormat="1" ht="24.95" customHeight="1" x14ac:dyDescent="0.2">
      <c r="A42" s="20" t="s">
        <v>382</v>
      </c>
      <c r="B42" s="12">
        <f>SUM(B34:B41)</f>
        <v>42642556.149999999</v>
      </c>
      <c r="C42" s="12"/>
      <c r="D42" s="12">
        <f>SUM(D34:D41)</f>
        <v>6080.8</v>
      </c>
      <c r="E42" s="12"/>
      <c r="F42" s="12">
        <f>SUM(F34:F41)</f>
        <v>1083.9499999999998</v>
      </c>
      <c r="G42" s="12"/>
      <c r="H42" s="12">
        <f>SUM(H34:H41)</f>
        <v>456844.66</v>
      </c>
      <c r="I42" s="12"/>
      <c r="J42" s="12">
        <f>SUM(J34:J41)</f>
        <v>2165119.04</v>
      </c>
      <c r="K42" s="12"/>
      <c r="L42" s="12">
        <f>SUM(L34:L41)</f>
        <v>110480.32000000001</v>
      </c>
      <c r="M42" s="12"/>
      <c r="N42" s="12">
        <f>SUM(N34:N41)</f>
        <v>308938.77</v>
      </c>
      <c r="O42" s="12"/>
      <c r="P42" s="12">
        <f>SUM(P34:P41)</f>
        <v>45691103.68999999</v>
      </c>
      <c r="Q42" s="20" t="s">
        <v>382</v>
      </c>
      <c r="R42" s="54">
        <f>SUM(R34:R41)</f>
        <v>31018063.469999999</v>
      </c>
      <c r="S42" s="12"/>
      <c r="T42" s="54">
        <f>SUM(T34:T41)</f>
        <v>301083.45</v>
      </c>
      <c r="U42" s="12"/>
      <c r="V42" s="54">
        <f>SUM(V34:V41)</f>
        <v>645917.49</v>
      </c>
      <c r="W42" s="12"/>
      <c r="X42" s="54">
        <f>SUM(X34:X41)</f>
        <v>293716.39</v>
      </c>
      <c r="Y42" s="12"/>
      <c r="Z42" s="54">
        <f>SUM(Z34:Z41)</f>
        <v>2195246.98</v>
      </c>
      <c r="AA42" s="12"/>
      <c r="AB42" s="54">
        <f>SUM(AB34:AB41)</f>
        <v>96729.16</v>
      </c>
      <c r="AC42" s="12"/>
      <c r="AD42" s="54">
        <f>SUM(AD34:AD41)</f>
        <v>825065.97</v>
      </c>
      <c r="AE42" s="12"/>
      <c r="AF42" s="12">
        <f>SUM(AF34:AF41)</f>
        <v>35375822.909999996</v>
      </c>
      <c r="AG42" s="20" t="s">
        <v>382</v>
      </c>
      <c r="AH42" s="12">
        <f>SUM(AH34:AH41)</f>
        <v>45691103.68999999</v>
      </c>
      <c r="AI42" s="12"/>
      <c r="AJ42" s="12">
        <f>SUM(AJ34:AJ41)</f>
        <v>35375822.909999996</v>
      </c>
      <c r="AK42" s="12"/>
      <c r="AL42" s="12">
        <f>SUM(AL34:AL41)</f>
        <v>10315280.779999997</v>
      </c>
      <c r="AM42" s="22"/>
      <c r="AN42" s="13">
        <f t="shared" si="22"/>
        <v>1.2915912601169224</v>
      </c>
      <c r="AO42" s="13"/>
      <c r="AP42" s="14">
        <f t="shared" si="17"/>
        <v>0.29159126011692238</v>
      </c>
    </row>
    <row r="43" spans="1:42" s="9" customFormat="1" ht="24.95" customHeigh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R43" s="54"/>
      <c r="S43" s="12"/>
      <c r="T43" s="54"/>
      <c r="U43" s="12"/>
      <c r="V43" s="54"/>
      <c r="W43" s="12"/>
      <c r="X43" s="54"/>
      <c r="Y43" s="12"/>
      <c r="Z43" s="54"/>
      <c r="AA43" s="12"/>
      <c r="AB43" s="54"/>
      <c r="AC43" s="12"/>
      <c r="AD43" s="54"/>
      <c r="AE43" s="12"/>
      <c r="AF43" s="12">
        <f>'Consolidated Balance Sheet'!AF110-AF42</f>
        <v>4546688.4600000083</v>
      </c>
      <c r="AN43" s="13"/>
      <c r="AO43" s="13"/>
      <c r="AP43" s="19"/>
    </row>
    <row r="44" spans="1:42" s="9" customFormat="1" ht="24.95" customHeight="1" x14ac:dyDescent="0.2">
      <c r="A44" s="8" t="s">
        <v>313</v>
      </c>
      <c r="B44" s="12"/>
      <c r="C44" s="12"/>
      <c r="D44" s="12"/>
      <c r="E44" s="12"/>
      <c r="F44" s="12"/>
      <c r="G44" s="12"/>
      <c r="P44" s="10"/>
      <c r="Q44" s="8" t="s">
        <v>313</v>
      </c>
      <c r="R44" s="60"/>
      <c r="S44" s="10"/>
      <c r="T44" s="60"/>
      <c r="U44" s="10"/>
      <c r="V44" s="60"/>
      <c r="W44" s="10"/>
      <c r="X44" s="60"/>
      <c r="Y44" s="10"/>
      <c r="Z44" s="60"/>
      <c r="AA44" s="10"/>
      <c r="AB44" s="60"/>
      <c r="AC44" s="10"/>
      <c r="AD44" s="60"/>
      <c r="AE44" s="10"/>
      <c r="AF44" s="10"/>
      <c r="AG44" s="8" t="s">
        <v>313</v>
      </c>
      <c r="AN44" s="10"/>
      <c r="AO44" s="10"/>
      <c r="AP44" s="19"/>
    </row>
    <row r="45" spans="1:42" s="9" customFormat="1" ht="24.95" customHeight="1" x14ac:dyDescent="0.2">
      <c r="A45" s="9" t="s">
        <v>314</v>
      </c>
      <c r="B45" s="12">
        <f>'Consolidated Balance Sheet'!B113</f>
        <v>0</v>
      </c>
      <c r="C45" s="12"/>
      <c r="D45" s="12">
        <f>'Consolidated Balance Sheet'!D113</f>
        <v>0</v>
      </c>
      <c r="E45" s="12"/>
      <c r="F45" s="12">
        <f>'Consolidated Balance Sheet'!F113</f>
        <v>0</v>
      </c>
      <c r="G45" s="12"/>
      <c r="H45" s="12">
        <f>'Consolidated Balance Sheet'!H113</f>
        <v>0</v>
      </c>
      <c r="I45" s="12"/>
      <c r="J45" s="12">
        <f>'Consolidated Balance Sheet'!J113</f>
        <v>0</v>
      </c>
      <c r="K45" s="12"/>
      <c r="L45" s="12">
        <f>'Consolidated Balance Sheet'!L113</f>
        <v>0</v>
      </c>
      <c r="M45" s="12"/>
      <c r="N45" s="12">
        <f>'Consolidated Balance Sheet'!N113</f>
        <v>0</v>
      </c>
      <c r="O45" s="12"/>
      <c r="P45" s="12">
        <f>SUM(B45:N45)</f>
        <v>0</v>
      </c>
      <c r="Q45" s="9" t="s">
        <v>314</v>
      </c>
      <c r="R45" s="54">
        <f>'Consolidated Balance Sheet'!R113</f>
        <v>0</v>
      </c>
      <c r="S45" s="12"/>
      <c r="T45" s="54">
        <f>'Consolidated Balance Sheet'!T113</f>
        <v>0</v>
      </c>
      <c r="U45" s="12"/>
      <c r="V45" s="54">
        <f>'Consolidated Balance Sheet'!V113</f>
        <v>0</v>
      </c>
      <c r="W45" s="12"/>
      <c r="X45" s="54">
        <f>'Consolidated Balance Sheet'!X113</f>
        <v>0</v>
      </c>
      <c r="Y45" s="12"/>
      <c r="Z45" s="54">
        <f>'Consolidated Balance Sheet'!Z113</f>
        <v>0</v>
      </c>
      <c r="AA45" s="12"/>
      <c r="AB45" s="54">
        <f>'Consolidated Balance Sheet'!AB113</f>
        <v>0</v>
      </c>
      <c r="AC45" s="12"/>
      <c r="AD45" s="54">
        <f>'Consolidated Balance Sheet'!AD113</f>
        <v>0</v>
      </c>
      <c r="AE45" s="12"/>
      <c r="AF45" s="12">
        <f>SUM(R45:AD45)</f>
        <v>0</v>
      </c>
      <c r="AG45" s="9" t="s">
        <v>314</v>
      </c>
      <c r="AH45" s="12">
        <f>P45</f>
        <v>0</v>
      </c>
      <c r="AI45" s="12"/>
      <c r="AJ45" s="12">
        <f>AF45</f>
        <v>0</v>
      </c>
      <c r="AK45" s="12"/>
      <c r="AL45" s="12">
        <f>AH45-AJ45</f>
        <v>0</v>
      </c>
      <c r="AM45" s="12"/>
      <c r="AN45" s="13" t="e">
        <f>AH45/AJ45</f>
        <v>#DIV/0!</v>
      </c>
      <c r="AO45" s="13"/>
      <c r="AP45" s="14" t="e">
        <f>AN45-1</f>
        <v>#DIV/0!</v>
      </c>
    </row>
    <row r="46" spans="1:42" s="9" customFormat="1" ht="24.95" customHeight="1" x14ac:dyDescent="0.2">
      <c r="A46" s="9" t="s">
        <v>478</v>
      </c>
      <c r="B46" s="16">
        <f>'Consolidated Balance Sheet'!B114+'Consolidated Balance Sheet'!B116+'Consolidated Balance Sheet'!B117+'Consolidated Balance Sheet'!B118+'Consolidated Balance Sheet'!B115</f>
        <v>2050138.1700000002</v>
      </c>
      <c r="C46" s="16"/>
      <c r="D46" s="16">
        <f>'Consolidated Balance Sheet'!D114+'Consolidated Balance Sheet'!D116+'Consolidated Balance Sheet'!D117+'Consolidated Balance Sheet'!D118</f>
        <v>0</v>
      </c>
      <c r="E46" s="16"/>
      <c r="F46" s="16">
        <f>'Consolidated Balance Sheet'!F114+'Consolidated Balance Sheet'!F116+'Consolidated Balance Sheet'!F117+'Consolidated Balance Sheet'!F118</f>
        <v>0</v>
      </c>
      <c r="G46" s="16"/>
      <c r="H46" s="16">
        <f>'Consolidated Balance Sheet'!H114+'Consolidated Balance Sheet'!H116+'Consolidated Balance Sheet'!H117+'Consolidated Balance Sheet'!H118</f>
        <v>0</v>
      </c>
      <c r="I46" s="16"/>
      <c r="J46" s="16">
        <f>'Consolidated Balance Sheet'!J114+'Consolidated Balance Sheet'!J116+'Consolidated Balance Sheet'!J117+'Consolidated Balance Sheet'!J118</f>
        <v>1038675.03</v>
      </c>
      <c r="K46" s="16"/>
      <c r="L46" s="16">
        <f>'Consolidated Balance Sheet'!L114+'Consolidated Balance Sheet'!L116+'Consolidated Balance Sheet'!L117+'Consolidated Balance Sheet'!L118</f>
        <v>247750</v>
      </c>
      <c r="M46" s="17"/>
      <c r="N46" s="16">
        <f>'Consolidated Balance Sheet'!N114+'Consolidated Balance Sheet'!N116+'Consolidated Balance Sheet'!N117+'Consolidated Balance Sheet'!N118</f>
        <v>0</v>
      </c>
      <c r="O46" s="17"/>
      <c r="P46" s="16">
        <f>SUM(B46:N46)</f>
        <v>3336563.2</v>
      </c>
      <c r="Q46" s="9" t="s">
        <v>315</v>
      </c>
      <c r="R46" s="55">
        <f>'Consolidated Balance Sheet'!R114+'Consolidated Balance Sheet'!R116+'Consolidated Balance Sheet'!R117+'Consolidated Balance Sheet'!R118</f>
        <v>40056.449999999997</v>
      </c>
      <c r="S46" s="16"/>
      <c r="T46" s="55">
        <f>'Consolidated Balance Sheet'!T114+'Consolidated Balance Sheet'!T116+'Consolidated Balance Sheet'!T117+'Consolidated Balance Sheet'!T118</f>
        <v>0</v>
      </c>
      <c r="U46" s="16"/>
      <c r="V46" s="55">
        <f>'Consolidated Balance Sheet'!V114+'Consolidated Balance Sheet'!V116+'Consolidated Balance Sheet'!V117+'Consolidated Balance Sheet'!V118</f>
        <v>0</v>
      </c>
      <c r="W46" s="16"/>
      <c r="X46" s="55">
        <f>'Consolidated Balance Sheet'!X114+'Consolidated Balance Sheet'!X116+'Consolidated Balance Sheet'!X117+'Consolidated Balance Sheet'!X118</f>
        <v>0</v>
      </c>
      <c r="Y46" s="16"/>
      <c r="Z46" s="55">
        <f>'Consolidated Balance Sheet'!Z114+'Consolidated Balance Sheet'!Z116+'Consolidated Balance Sheet'!Z117+'Consolidated Balance Sheet'!Z118</f>
        <v>1038675.03</v>
      </c>
      <c r="AA46" s="16"/>
      <c r="AB46" s="55">
        <f>'Consolidated Balance Sheet'!AB114+'Consolidated Balance Sheet'!AB116+'Consolidated Balance Sheet'!AB117+'Consolidated Balance Sheet'!AB118</f>
        <v>247750</v>
      </c>
      <c r="AC46" s="16"/>
      <c r="AD46" s="55">
        <f>'Consolidated Balance Sheet'!AD114+'Consolidated Balance Sheet'!AD116+'Consolidated Balance Sheet'!AD117+'Consolidated Balance Sheet'!AD118</f>
        <v>5926002.1500000004</v>
      </c>
      <c r="AE46" s="16"/>
      <c r="AF46" s="16">
        <f>SUM(R46:AD46)</f>
        <v>7252483.6300000008</v>
      </c>
      <c r="AG46" s="9" t="s">
        <v>315</v>
      </c>
      <c r="AH46" s="16">
        <f>P46</f>
        <v>3336563.2</v>
      </c>
      <c r="AI46" s="16"/>
      <c r="AJ46" s="16">
        <f>AF46</f>
        <v>7252483.6300000008</v>
      </c>
      <c r="AK46" s="16"/>
      <c r="AL46" s="16">
        <f>AH46-AJ46</f>
        <v>-3915920.4300000006</v>
      </c>
      <c r="AM46" s="12"/>
      <c r="AN46" s="13">
        <f>AH46/AJ46</f>
        <v>0.46005801187861484</v>
      </c>
      <c r="AO46" s="13"/>
      <c r="AP46" s="14">
        <f>AN46-1</f>
        <v>-0.53994198812138516</v>
      </c>
    </row>
    <row r="47" spans="1:42" s="9" customFormat="1" ht="24.95" customHeight="1" x14ac:dyDescent="0.2">
      <c r="A47" s="20" t="s">
        <v>319</v>
      </c>
      <c r="B47" s="12">
        <f>SUM(B45:B46)</f>
        <v>2050138.1700000002</v>
      </c>
      <c r="C47" s="12"/>
      <c r="D47" s="12">
        <f>SUM(D45:D46)</f>
        <v>0</v>
      </c>
      <c r="E47" s="12"/>
      <c r="F47" s="12">
        <f>SUM(F45:F46)</f>
        <v>0</v>
      </c>
      <c r="G47" s="12"/>
      <c r="H47" s="12">
        <f>SUM(H45:H46)</f>
        <v>0</v>
      </c>
      <c r="I47" s="12"/>
      <c r="J47" s="12">
        <f>SUM(J45:J46)</f>
        <v>1038675.03</v>
      </c>
      <c r="K47" s="12"/>
      <c r="L47" s="12">
        <f>SUM(L45:L46)</f>
        <v>247750</v>
      </c>
      <c r="M47" s="12"/>
      <c r="N47" s="12">
        <f>SUM(N45:N46)</f>
        <v>0</v>
      </c>
      <c r="O47" s="12"/>
      <c r="P47" s="12">
        <f>SUM(P45:P46)</f>
        <v>3336563.2</v>
      </c>
      <c r="Q47" s="20" t="s">
        <v>319</v>
      </c>
      <c r="R47" s="54">
        <f>SUM(R45:R46)</f>
        <v>40056.449999999997</v>
      </c>
      <c r="S47" s="12"/>
      <c r="T47" s="54">
        <f>SUM(T45:T46)</f>
        <v>0</v>
      </c>
      <c r="U47" s="12"/>
      <c r="V47" s="54">
        <f>SUM(V45:V46)</f>
        <v>0</v>
      </c>
      <c r="W47" s="12"/>
      <c r="X47" s="54">
        <f>SUM(X45:X46)</f>
        <v>0</v>
      </c>
      <c r="Y47" s="12"/>
      <c r="Z47" s="54">
        <f>SUM(Z45:Z46)</f>
        <v>1038675.03</v>
      </c>
      <c r="AA47" s="12"/>
      <c r="AB47" s="54">
        <f>SUM(AB45:AB46)</f>
        <v>247750</v>
      </c>
      <c r="AC47" s="12"/>
      <c r="AD47" s="54">
        <f>SUM(AD45:AD46)</f>
        <v>5926002.1500000004</v>
      </c>
      <c r="AE47" s="12"/>
      <c r="AF47" s="12">
        <f>SUM(AF45:AF46)</f>
        <v>7252483.6300000008</v>
      </c>
      <c r="AG47" s="20" t="s">
        <v>319</v>
      </c>
      <c r="AH47" s="12">
        <f>SUM(AH45:AH46)</f>
        <v>3336563.2</v>
      </c>
      <c r="AI47" s="12"/>
      <c r="AJ47" s="12">
        <f>SUM(AJ45:AJ46)</f>
        <v>7252483.6300000008</v>
      </c>
      <c r="AK47" s="12"/>
      <c r="AL47" s="12">
        <f>SUM(AL45:AL46)</f>
        <v>-3915920.4300000006</v>
      </c>
      <c r="AM47" s="12"/>
      <c r="AN47" s="13">
        <f>AH47/AJ47</f>
        <v>0.46005801187861484</v>
      </c>
      <c r="AO47" s="13"/>
      <c r="AP47" s="14">
        <f>AN47-1</f>
        <v>-0.53994198812138516</v>
      </c>
    </row>
    <row r="48" spans="1:42" s="9" customFormat="1" ht="24.95" customHeight="1" x14ac:dyDescent="0.2">
      <c r="A48" s="20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0"/>
      <c r="Q48" s="20"/>
      <c r="R48" s="60"/>
      <c r="S48" s="10"/>
      <c r="T48" s="60"/>
      <c r="U48" s="10"/>
      <c r="V48" s="60"/>
      <c r="W48" s="10"/>
      <c r="X48" s="60"/>
      <c r="Y48" s="10"/>
      <c r="Z48" s="60"/>
      <c r="AA48" s="10"/>
      <c r="AB48" s="60"/>
      <c r="AC48" s="10"/>
      <c r="AD48" s="60"/>
      <c r="AE48" s="10"/>
      <c r="AF48" s="10"/>
      <c r="AG48" s="20"/>
      <c r="AN48" s="10"/>
      <c r="AO48" s="10"/>
      <c r="AP48" s="14"/>
    </row>
    <row r="49" spans="1:42" s="9" customFormat="1" ht="24.95" customHeight="1" x14ac:dyDescent="0.2">
      <c r="A49" s="27" t="s">
        <v>320</v>
      </c>
      <c r="B49" s="21">
        <f>B47+B42</f>
        <v>44692694.32</v>
      </c>
      <c r="C49" s="21"/>
      <c r="D49" s="21">
        <f>D47+D42</f>
        <v>6080.8</v>
      </c>
      <c r="E49" s="21"/>
      <c r="F49" s="21">
        <f>F47+F42</f>
        <v>1083.9499999999998</v>
      </c>
      <c r="G49" s="21"/>
      <c r="H49" s="21">
        <f>H47+H42</f>
        <v>456844.66</v>
      </c>
      <c r="I49" s="21"/>
      <c r="J49" s="21">
        <f>J47+J42</f>
        <v>3203794.0700000003</v>
      </c>
      <c r="K49" s="21"/>
      <c r="L49" s="21">
        <f>L47+L42</f>
        <v>358230.32</v>
      </c>
      <c r="M49" s="21"/>
      <c r="N49" s="21">
        <f>N47+N42</f>
        <v>308938.77</v>
      </c>
      <c r="O49" s="21"/>
      <c r="P49" s="21">
        <f>P47+P42</f>
        <v>49027666.889999993</v>
      </c>
      <c r="Q49" s="27" t="s">
        <v>320</v>
      </c>
      <c r="R49" s="56">
        <f>R47+R42</f>
        <v>31058119.919999998</v>
      </c>
      <c r="S49" s="21"/>
      <c r="T49" s="56">
        <f>T47+T42</f>
        <v>301083.45</v>
      </c>
      <c r="U49" s="21"/>
      <c r="V49" s="56">
        <f>V47+V42</f>
        <v>645917.49</v>
      </c>
      <c r="W49" s="21"/>
      <c r="X49" s="56">
        <f>X47+X42</f>
        <v>293716.39</v>
      </c>
      <c r="Y49" s="21"/>
      <c r="Z49" s="56">
        <f>Z47+Z42</f>
        <v>3233922.01</v>
      </c>
      <c r="AA49" s="21"/>
      <c r="AB49" s="56">
        <f>AB47+AB42</f>
        <v>344479.16000000003</v>
      </c>
      <c r="AC49" s="21"/>
      <c r="AD49" s="56">
        <f>AD47+AD42</f>
        <v>6751068.1200000001</v>
      </c>
      <c r="AE49" s="21"/>
      <c r="AF49" s="21">
        <f>AF47+AF42</f>
        <v>42628306.539999999</v>
      </c>
      <c r="AG49" s="27" t="s">
        <v>320</v>
      </c>
      <c r="AH49" s="21">
        <f>AH42+AH47</f>
        <v>49027666.889999993</v>
      </c>
      <c r="AI49" s="21"/>
      <c r="AJ49" s="21">
        <f>AJ42+AJ47</f>
        <v>42628306.539999999</v>
      </c>
      <c r="AK49" s="21"/>
      <c r="AL49" s="21">
        <f>AL42+AL47</f>
        <v>6399360.3499999968</v>
      </c>
      <c r="AM49" s="12"/>
      <c r="AN49" s="13">
        <f>AH49/AJ49</f>
        <v>1.1501199758896168</v>
      </c>
      <c r="AO49" s="13"/>
      <c r="AP49" s="14">
        <f>AN49-1</f>
        <v>0.15011997588961679</v>
      </c>
    </row>
    <row r="50" spans="1:42" s="9" customFormat="1" ht="24.95" customHeight="1" x14ac:dyDescent="0.2">
      <c r="B50" s="12"/>
      <c r="C50" s="12"/>
      <c r="D50" s="12"/>
      <c r="E50" s="12"/>
      <c r="F50" s="12"/>
      <c r="G50" s="12"/>
      <c r="P50" s="10"/>
      <c r="R50" s="60"/>
      <c r="S50" s="10"/>
      <c r="T50" s="60"/>
      <c r="U50" s="10"/>
      <c r="V50" s="60"/>
      <c r="W50" s="10"/>
      <c r="X50" s="60"/>
      <c r="Y50" s="10"/>
      <c r="Z50" s="60"/>
      <c r="AA50" s="10"/>
      <c r="AB50" s="60"/>
      <c r="AC50" s="10"/>
      <c r="AD50" s="60"/>
      <c r="AE50" s="10"/>
      <c r="AF50" s="10"/>
      <c r="AN50" s="10"/>
      <c r="AO50" s="10"/>
      <c r="AP50" s="19"/>
    </row>
    <row r="51" spans="1:42" s="9" customFormat="1" ht="24.95" customHeight="1" x14ac:dyDescent="0.2">
      <c r="A51" s="8" t="s">
        <v>160</v>
      </c>
      <c r="B51" s="12"/>
      <c r="C51" s="12"/>
      <c r="D51" s="12"/>
      <c r="E51" s="12"/>
      <c r="F51" s="12"/>
      <c r="G51" s="12"/>
      <c r="P51" s="10"/>
      <c r="Q51" s="8" t="s">
        <v>160</v>
      </c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G51" s="8" t="s">
        <v>160</v>
      </c>
      <c r="AN51" s="10"/>
      <c r="AO51" s="10"/>
      <c r="AP51" s="19"/>
    </row>
    <row r="52" spans="1:42" s="9" customFormat="1" ht="24.95" customHeight="1" x14ac:dyDescent="0.2">
      <c r="A52" s="9" t="s">
        <v>321</v>
      </c>
      <c r="B52" s="12">
        <f>'Consolidated Balance Sheet'!B124</f>
        <v>152325</v>
      </c>
      <c r="C52" s="12">
        <f>'Consolidated Balance Sheet'!C124</f>
        <v>0</v>
      </c>
      <c r="D52" s="12">
        <f>'Consolidated Balance Sheet'!D124</f>
        <v>0</v>
      </c>
      <c r="E52" s="12">
        <f>'Consolidated Balance Sheet'!E124</f>
        <v>0</v>
      </c>
      <c r="F52" s="12">
        <f>'Consolidated Balance Sheet'!F124</f>
        <v>0</v>
      </c>
      <c r="G52" s="12">
        <f>'Consolidated Balance Sheet'!G124</f>
        <v>0</v>
      </c>
      <c r="H52" s="12">
        <f>'Consolidated Balance Sheet'!H124</f>
        <v>0</v>
      </c>
      <c r="I52" s="12">
        <f>'Consolidated Balance Sheet'!I124</f>
        <v>0</v>
      </c>
      <c r="J52" s="12">
        <f>'Consolidated Balance Sheet'!J124</f>
        <v>25000.03</v>
      </c>
      <c r="K52" s="12">
        <f>'Consolidated Balance Sheet'!K124</f>
        <v>0</v>
      </c>
      <c r="L52" s="12">
        <f>'Consolidated Balance Sheet'!L124</f>
        <v>0</v>
      </c>
      <c r="M52" s="12"/>
      <c r="N52" s="12">
        <f>'Consolidated Balance Sheet'!N124</f>
        <v>0</v>
      </c>
      <c r="O52" s="12"/>
      <c r="P52" s="12">
        <f>SUM(B52:N52)</f>
        <v>177325.03</v>
      </c>
      <c r="Q52" s="9" t="s">
        <v>321</v>
      </c>
      <c r="R52" s="54">
        <f>'Consolidated Balance Sheet'!R124</f>
        <v>152325</v>
      </c>
      <c r="S52" s="12"/>
      <c r="T52" s="54">
        <f>'Consolidated Balance Sheet'!T124</f>
        <v>0</v>
      </c>
      <c r="U52" s="12"/>
      <c r="V52" s="54">
        <f>'Consolidated Balance Sheet'!V124</f>
        <v>1000</v>
      </c>
      <c r="W52" s="12"/>
      <c r="X52" s="54">
        <f>'Consolidated Balance Sheet'!X124</f>
        <v>0</v>
      </c>
      <c r="Y52" s="12"/>
      <c r="Z52" s="54">
        <f>'Consolidated Balance Sheet'!Z124</f>
        <v>25000.03</v>
      </c>
      <c r="AA52" s="12"/>
      <c r="AB52" s="54">
        <f>'Consolidated Balance Sheet'!AB124</f>
        <v>0</v>
      </c>
      <c r="AC52" s="12"/>
      <c r="AD52" s="54">
        <f>'Consolidated Balance Sheet'!AD124</f>
        <v>0</v>
      </c>
      <c r="AE52" s="12"/>
      <c r="AF52" s="12">
        <f>SUM(R52:AD52)</f>
        <v>178325.03</v>
      </c>
      <c r="AG52" s="9" t="s">
        <v>321</v>
      </c>
      <c r="AH52" s="12">
        <f>P52</f>
        <v>177325.03</v>
      </c>
      <c r="AI52" s="12"/>
      <c r="AJ52" s="12">
        <f>AF52</f>
        <v>178325.03</v>
      </c>
      <c r="AK52" s="12"/>
      <c r="AL52" s="12">
        <f>AH52-AJ52</f>
        <v>-1000</v>
      </c>
      <c r="AM52" s="12"/>
      <c r="AN52" s="13">
        <f t="shared" ref="AN52:AN58" si="23">AH52/AJ52</f>
        <v>0.99439226226402433</v>
      </c>
      <c r="AO52" s="13"/>
      <c r="AP52" s="14">
        <f t="shared" ref="AP52:AP58" si="24">AN52-1</f>
        <v>-5.6077377359756708E-3</v>
      </c>
    </row>
    <row r="53" spans="1:42" s="9" customFormat="1" ht="24.95" customHeight="1" x14ac:dyDescent="0.2">
      <c r="A53" s="9" t="s">
        <v>479</v>
      </c>
      <c r="B53" s="12">
        <f>'Consolidated Balance Sheet'!B125+'Consolidated Balance Sheet'!B126+'Consolidated Balance Sheet'!B127</f>
        <v>22082935.669999998</v>
      </c>
      <c r="C53" s="12">
        <f>'Consolidated Balance Sheet'!C125+'Consolidated Balance Sheet'!C126+'Consolidated Balance Sheet'!C127</f>
        <v>0</v>
      </c>
      <c r="D53" s="12">
        <f>'Consolidated Balance Sheet'!D125+'Consolidated Balance Sheet'!D126+'Consolidated Balance Sheet'!D127</f>
        <v>390157.10000000003</v>
      </c>
      <c r="E53" s="12">
        <f>'Consolidated Balance Sheet'!E125+'Consolidated Balance Sheet'!E126+'Consolidated Balance Sheet'!E127</f>
        <v>0</v>
      </c>
      <c r="F53" s="12">
        <f>'Consolidated Balance Sheet'!F125+'Consolidated Balance Sheet'!F126+'Consolidated Balance Sheet'!F127</f>
        <v>379616.13</v>
      </c>
      <c r="G53" s="12">
        <f>'Consolidated Balance Sheet'!G125+'Consolidated Balance Sheet'!G126+'Consolidated Balance Sheet'!G127</f>
        <v>0</v>
      </c>
      <c r="H53" s="12">
        <f>'Consolidated Balance Sheet'!H125+'Consolidated Balance Sheet'!H126+'Consolidated Balance Sheet'!H127</f>
        <v>443218.31</v>
      </c>
      <c r="I53" s="12">
        <f>'Consolidated Balance Sheet'!I125+'Consolidated Balance Sheet'!I126+'Consolidated Balance Sheet'!I127</f>
        <v>0</v>
      </c>
      <c r="J53" s="12">
        <f>'Consolidated Balance Sheet'!J125+'Consolidated Balance Sheet'!J126+'Consolidated Balance Sheet'!J127</f>
        <v>-1199320.9600000002</v>
      </c>
      <c r="K53" s="12">
        <f>'Consolidated Balance Sheet'!K125+'Consolidated Balance Sheet'!K126+'Consolidated Balance Sheet'!K127</f>
        <v>0</v>
      </c>
      <c r="L53" s="12">
        <f>'Consolidated Balance Sheet'!L125+'Consolidated Balance Sheet'!L126+'Consolidated Balance Sheet'!L127</f>
        <v>5103718.4400000004</v>
      </c>
      <c r="M53" s="12"/>
      <c r="N53" s="12">
        <f>'Consolidated Balance Sheet'!N125+'Consolidated Balance Sheet'!N126+'Consolidated Balance Sheet'!N127</f>
        <v>2249860.1800000002</v>
      </c>
      <c r="O53" s="12"/>
      <c r="P53" s="12">
        <f>SUM(B53:N53)</f>
        <v>29450184.869999997</v>
      </c>
      <c r="Q53" s="9" t="s">
        <v>507</v>
      </c>
      <c r="R53" s="54">
        <f>'Consolidated Balance Sheet'!R125+'Consolidated Balance Sheet'!R126+'Consolidated Balance Sheet'!R127</f>
        <v>11087303.489999998</v>
      </c>
      <c r="S53" s="12"/>
      <c r="T53" s="54">
        <f>'Consolidated Balance Sheet'!T125+'Consolidated Balance Sheet'!T126+'Consolidated Balance Sheet'!T127</f>
        <v>2133912.92</v>
      </c>
      <c r="U53" s="12"/>
      <c r="V53" s="54">
        <f>'Consolidated Balance Sheet'!V125+'Consolidated Balance Sheet'!V126+'Consolidated Balance Sheet'!V127</f>
        <v>452845.75</v>
      </c>
      <c r="W53" s="12"/>
      <c r="X53" s="54">
        <f>'Consolidated Balance Sheet'!X125+'Consolidated Balance Sheet'!X126+'Consolidated Balance Sheet'!X127</f>
        <v>404694.87</v>
      </c>
      <c r="Y53" s="12"/>
      <c r="Z53" s="54">
        <f>'Consolidated Balance Sheet'!Z125+'Consolidated Balance Sheet'!Z126+'Consolidated Balance Sheet'!Z127</f>
        <v>-1118704.7999999998</v>
      </c>
      <c r="AA53" s="12"/>
      <c r="AB53" s="54">
        <f>'Consolidated Balance Sheet'!AB125+'Consolidated Balance Sheet'!AB126+'Consolidated Balance Sheet'!AB127</f>
        <v>4913513.17</v>
      </c>
      <c r="AC53" s="12"/>
      <c r="AD53" s="54">
        <f>'Consolidated Balance Sheet'!AD125+'Consolidated Balance Sheet'!AD126+'Consolidated Balance Sheet'!AD127</f>
        <v>1447294.6800000002</v>
      </c>
      <c r="AE53" s="12"/>
      <c r="AF53" s="12">
        <f>SUM(R53:AD53)</f>
        <v>19320860.079999998</v>
      </c>
      <c r="AG53" s="9" t="s">
        <v>322</v>
      </c>
      <c r="AH53" s="12">
        <f>P53</f>
        <v>29450184.869999997</v>
      </c>
      <c r="AI53" s="12"/>
      <c r="AJ53" s="12">
        <f>AF53</f>
        <v>19320860.079999998</v>
      </c>
      <c r="AK53" s="12"/>
      <c r="AL53" s="12">
        <f>AH53-AJ53</f>
        <v>10129324.789999999</v>
      </c>
      <c r="AM53" s="12"/>
      <c r="AN53" s="13">
        <f t="shared" si="23"/>
        <v>1.5242688342060597</v>
      </c>
      <c r="AO53" s="13"/>
      <c r="AP53" s="14">
        <f t="shared" si="24"/>
        <v>0.52426883420605974</v>
      </c>
    </row>
    <row r="54" spans="1:42" s="9" customFormat="1" ht="24.95" customHeight="1" x14ac:dyDescent="0.2">
      <c r="A54" s="9" t="s">
        <v>548</v>
      </c>
      <c r="B54" s="12">
        <f>'Consolidated Balance Sheet'!B128</f>
        <v>0</v>
      </c>
      <c r="C54" s="12">
        <f>'Consolidated Balance Sheet'!C126+'Consolidated Balance Sheet'!C127+'Consolidated Balance Sheet'!C128</f>
        <v>0</v>
      </c>
      <c r="D54" s="12">
        <f>'Consolidated Balance Sheet'!D128</f>
        <v>0</v>
      </c>
      <c r="E54" s="12">
        <f>'Consolidated Balance Sheet'!E126+'Consolidated Balance Sheet'!E127+'Consolidated Balance Sheet'!E128</f>
        <v>0</v>
      </c>
      <c r="F54" s="12">
        <f>'Consolidated Balance Sheet'!F128</f>
        <v>0</v>
      </c>
      <c r="G54" s="12">
        <f>'Consolidated Balance Sheet'!G126+'Consolidated Balance Sheet'!G127+'Consolidated Balance Sheet'!G128</f>
        <v>0</v>
      </c>
      <c r="H54" s="12">
        <f>'Consolidated Balance Sheet'!H128</f>
        <v>0</v>
      </c>
      <c r="I54" s="12">
        <f>'Consolidated Balance Sheet'!I126+'Consolidated Balance Sheet'!I127+'Consolidated Balance Sheet'!I128</f>
        <v>0</v>
      </c>
      <c r="J54" s="12">
        <f>'Consolidated Balance Sheet'!J128</f>
        <v>0</v>
      </c>
      <c r="K54" s="12">
        <f>'Consolidated Balance Sheet'!K126+'Consolidated Balance Sheet'!K127+'Consolidated Balance Sheet'!K128</f>
        <v>0</v>
      </c>
      <c r="L54" s="12">
        <f>'Consolidated Balance Sheet'!L128</f>
        <v>0</v>
      </c>
      <c r="M54" s="12"/>
      <c r="N54" s="12">
        <f>'Consolidated Balance Sheet'!N128</f>
        <v>6126127.2300000004</v>
      </c>
      <c r="O54" s="12"/>
      <c r="P54" s="12">
        <f>SUM(B54:N54)</f>
        <v>6126127.2300000004</v>
      </c>
      <c r="Q54" s="9" t="s">
        <v>548</v>
      </c>
      <c r="R54" s="54">
        <f>'Consolidated Balance Sheet'!R128</f>
        <v>0</v>
      </c>
      <c r="S54" s="12"/>
      <c r="T54" s="54">
        <f>'Consolidated Balance Sheet'!T128</f>
        <v>0</v>
      </c>
      <c r="U54" s="12"/>
      <c r="V54" s="54">
        <f>'Consolidated Balance Sheet'!V128</f>
        <v>4996824.41</v>
      </c>
      <c r="W54" s="12"/>
      <c r="X54" s="54">
        <f>'Consolidated Balance Sheet'!X128</f>
        <v>0</v>
      </c>
      <c r="Y54" s="12"/>
      <c r="Z54" s="54">
        <f>'Consolidated Balance Sheet'!Z128</f>
        <v>0</v>
      </c>
      <c r="AA54" s="12"/>
      <c r="AB54" s="54">
        <f>'Consolidated Balance Sheet'!AB128</f>
        <v>0</v>
      </c>
      <c r="AC54" s="12"/>
      <c r="AD54" s="54">
        <f>'Consolidated Balance Sheet'!AD128</f>
        <v>0</v>
      </c>
      <c r="AE54" s="12"/>
      <c r="AF54" s="12">
        <f>SUM(R54:AD54)</f>
        <v>4996824.41</v>
      </c>
      <c r="AG54" s="9" t="s">
        <v>548</v>
      </c>
      <c r="AH54" s="12">
        <f>P54</f>
        <v>6126127.2300000004</v>
      </c>
      <c r="AI54" s="12">
        <v>0</v>
      </c>
      <c r="AJ54" s="12">
        <f>AF54</f>
        <v>4996824.41</v>
      </c>
      <c r="AK54" s="12"/>
      <c r="AL54" s="12">
        <f>AH54-AJ54</f>
        <v>1129302.8200000003</v>
      </c>
      <c r="AM54" s="12"/>
      <c r="AN54" s="13"/>
      <c r="AO54" s="13"/>
      <c r="AP54" s="14"/>
    </row>
    <row r="55" spans="1:42" s="9" customFormat="1" ht="24.95" customHeight="1" x14ac:dyDescent="0.2">
      <c r="A55" s="9" t="s">
        <v>325</v>
      </c>
      <c r="B55" s="16">
        <f>'Consolidated Balance Sheet'!B129+'Consolidated Balance Sheet'!B130+'Consolidated Balance Sheet'!B131+'Consolidated Balance Sheet'!B132+'Consolidated Balance Sheet'!B133+'Consolidated Balance Sheet'!B134+'Consolidated Balance Sheet'!B135</f>
        <v>-18000</v>
      </c>
      <c r="C55" s="16">
        <f>'Consolidated Balance Sheet'!C129+'Consolidated Balance Sheet'!C130+'Consolidated Balance Sheet'!C131+'Consolidated Balance Sheet'!C132+'Consolidated Balance Sheet'!C133+'Consolidated Balance Sheet'!C134+'Consolidated Balance Sheet'!C135</f>
        <v>0</v>
      </c>
      <c r="D55" s="16">
        <f>'Consolidated Balance Sheet'!D129+'Consolidated Balance Sheet'!D130+'Consolidated Balance Sheet'!D131+'Consolidated Balance Sheet'!D132+'Consolidated Balance Sheet'!D133+'Consolidated Balance Sheet'!D134+'Consolidated Balance Sheet'!D135</f>
        <v>0</v>
      </c>
      <c r="E55" s="16">
        <f>'Consolidated Balance Sheet'!E129+'Consolidated Balance Sheet'!E130+'Consolidated Balance Sheet'!E131+'Consolidated Balance Sheet'!E132+'Consolidated Balance Sheet'!E133+'Consolidated Balance Sheet'!E134+'Consolidated Balance Sheet'!E135</f>
        <v>0</v>
      </c>
      <c r="F55" s="16">
        <f>'Consolidated Balance Sheet'!F129+'Consolidated Balance Sheet'!F130+'Consolidated Balance Sheet'!F131+'Consolidated Balance Sheet'!F132+'Consolidated Balance Sheet'!F133+'Consolidated Balance Sheet'!F134+'Consolidated Balance Sheet'!F135</f>
        <v>0</v>
      </c>
      <c r="G55" s="16">
        <f>'Consolidated Balance Sheet'!G129+'Consolidated Balance Sheet'!G130+'Consolidated Balance Sheet'!G131+'Consolidated Balance Sheet'!G132+'Consolidated Balance Sheet'!G133+'Consolidated Balance Sheet'!G134+'Consolidated Balance Sheet'!G135</f>
        <v>0</v>
      </c>
      <c r="H55" s="16">
        <f>'Consolidated Balance Sheet'!H129+'Consolidated Balance Sheet'!H130+'Consolidated Balance Sheet'!H131+'Consolidated Balance Sheet'!H132+'Consolidated Balance Sheet'!H133+'Consolidated Balance Sheet'!H134+'Consolidated Balance Sheet'!H135</f>
        <v>0</v>
      </c>
      <c r="I55" s="16">
        <f>'Consolidated Balance Sheet'!I129+'Consolidated Balance Sheet'!I130+'Consolidated Balance Sheet'!I131+'Consolidated Balance Sheet'!I132+'Consolidated Balance Sheet'!I133+'Consolidated Balance Sheet'!I134+'Consolidated Balance Sheet'!I135</f>
        <v>0</v>
      </c>
      <c r="J55" s="16">
        <f>'Consolidated Balance Sheet'!J129+'Consolidated Balance Sheet'!J130+'Consolidated Balance Sheet'!J131+'Consolidated Balance Sheet'!J132+'Consolidated Balance Sheet'!J133+'Consolidated Balance Sheet'!J134+'Consolidated Balance Sheet'!J135</f>
        <v>0</v>
      </c>
      <c r="K55" s="16">
        <f>'Consolidated Balance Sheet'!K129+'Consolidated Balance Sheet'!K130+'Consolidated Balance Sheet'!K131+'Consolidated Balance Sheet'!K132+'Consolidated Balance Sheet'!K133+'Consolidated Balance Sheet'!K134+'Consolidated Balance Sheet'!K135</f>
        <v>0</v>
      </c>
      <c r="L55" s="16">
        <f>'Consolidated Balance Sheet'!L129+'Consolidated Balance Sheet'!L130+'Consolidated Balance Sheet'!L131+'Consolidated Balance Sheet'!L132+'Consolidated Balance Sheet'!L133+'Consolidated Balance Sheet'!L134+'Consolidated Balance Sheet'!L135</f>
        <v>0</v>
      </c>
      <c r="M55" s="16"/>
      <c r="N55" s="16">
        <f>'Consolidated Balance Sheet'!N129+'Consolidated Balance Sheet'!N130+'Consolidated Balance Sheet'!N131+'Consolidated Balance Sheet'!N132+'Consolidated Balance Sheet'!N133+'Consolidated Balance Sheet'!N134+'Consolidated Balance Sheet'!N135</f>
        <v>0</v>
      </c>
      <c r="O55" s="16"/>
      <c r="P55" s="16">
        <f>SUM(B55:N55)</f>
        <v>-18000</v>
      </c>
      <c r="Q55" s="9" t="s">
        <v>325</v>
      </c>
      <c r="R55" s="55">
        <f>SUM('Consolidated Balance Sheet'!R129:R135)</f>
        <v>-18000</v>
      </c>
      <c r="S55" s="16"/>
      <c r="T55" s="55">
        <f>'Consolidated Balance Sheet'!T129+'Consolidated Balance Sheet'!T130+'Consolidated Balance Sheet'!T131+'Consolidated Balance Sheet'!T132+'Consolidated Balance Sheet'!T133+'Consolidated Balance Sheet'!T134+'Consolidated Balance Sheet'!T135</f>
        <v>-1312121.2</v>
      </c>
      <c r="U55" s="16"/>
      <c r="V55" s="55">
        <f>'Consolidated Balance Sheet'!V129+'Consolidated Balance Sheet'!V130+'Consolidated Balance Sheet'!V131+'Consolidated Balance Sheet'!V132+'Consolidated Balance Sheet'!V133+'Consolidated Balance Sheet'!V134+'Consolidated Balance Sheet'!V135</f>
        <v>0</v>
      </c>
      <c r="W55" s="16"/>
      <c r="X55" s="55">
        <f>'Consolidated Balance Sheet'!X129+'Consolidated Balance Sheet'!X130+'Consolidated Balance Sheet'!X131+'Consolidated Balance Sheet'!X132+'Consolidated Balance Sheet'!X133+'Consolidated Balance Sheet'!X134+'Consolidated Balance Sheet'!X135</f>
        <v>0</v>
      </c>
      <c r="Y55" s="16"/>
      <c r="Z55" s="55">
        <f>'Consolidated Balance Sheet'!Z129+'Consolidated Balance Sheet'!Z130+'Consolidated Balance Sheet'!Z131+'Consolidated Balance Sheet'!Z132+'Consolidated Balance Sheet'!Z133+'Consolidated Balance Sheet'!Z134+'Consolidated Balance Sheet'!Z135</f>
        <v>0</v>
      </c>
      <c r="AA55" s="16"/>
      <c r="AB55" s="55">
        <f>'Consolidated Balance Sheet'!AB129+'Consolidated Balance Sheet'!AB130+'Consolidated Balance Sheet'!AB131+'Consolidated Balance Sheet'!AB132+'Consolidated Balance Sheet'!AB133+'Consolidated Balance Sheet'!AB134+'Consolidated Balance Sheet'!AB135</f>
        <v>0</v>
      </c>
      <c r="AC55" s="16"/>
      <c r="AD55" s="55">
        <f>'Consolidated Balance Sheet'!AD129+'Consolidated Balance Sheet'!AD130+'Consolidated Balance Sheet'!AD131+'Consolidated Balance Sheet'!AD132+'Consolidated Balance Sheet'!AD133+'Consolidated Balance Sheet'!AD134+'Consolidated Balance Sheet'!AD135</f>
        <v>0</v>
      </c>
      <c r="AE55" s="16"/>
      <c r="AF55" s="16">
        <f>SUM(R55:AD55)</f>
        <v>-1330121.2</v>
      </c>
      <c r="AG55" s="9" t="s">
        <v>325</v>
      </c>
      <c r="AH55" s="12">
        <f>P55</f>
        <v>-18000</v>
      </c>
      <c r="AI55" s="12"/>
      <c r="AJ55" s="12">
        <f>AF55</f>
        <v>-1330121.2</v>
      </c>
      <c r="AK55" s="12"/>
      <c r="AL55" s="12">
        <f>AH55-AJ55</f>
        <v>1312121.2</v>
      </c>
      <c r="AM55" s="12"/>
      <c r="AN55" s="13">
        <f t="shared" si="23"/>
        <v>1.3532601390008671E-2</v>
      </c>
      <c r="AO55" s="13"/>
      <c r="AP55" s="14">
        <f t="shared" si="24"/>
        <v>-0.98646739860999133</v>
      </c>
    </row>
    <row r="56" spans="1:42" s="9" customFormat="1" ht="24.95" customHeight="1" x14ac:dyDescent="0.2">
      <c r="A56" s="27" t="s">
        <v>331</v>
      </c>
      <c r="B56" s="21">
        <f>SUM(B52:B55)</f>
        <v>22217260.669999998</v>
      </c>
      <c r="C56" s="21"/>
      <c r="D56" s="21">
        <f>SUM(D52:D55)</f>
        <v>390157.10000000003</v>
      </c>
      <c r="E56" s="21"/>
      <c r="F56" s="21">
        <f>SUM(F52:F55)</f>
        <v>379616.13</v>
      </c>
      <c r="G56" s="21"/>
      <c r="H56" s="21">
        <f>SUM(H52:H55)</f>
        <v>443218.31</v>
      </c>
      <c r="I56" s="21"/>
      <c r="J56" s="21">
        <f>SUM(J52:J55)</f>
        <v>-1174320.9300000002</v>
      </c>
      <c r="K56" s="21"/>
      <c r="L56" s="21">
        <f>SUM(L52:L55)</f>
        <v>5103718.4400000004</v>
      </c>
      <c r="M56" s="21"/>
      <c r="N56" s="21">
        <f>SUM(N52:N55)</f>
        <v>8375987.4100000001</v>
      </c>
      <c r="O56" s="21"/>
      <c r="P56" s="21">
        <f>SUM(P52:P55)</f>
        <v>35735637.129999995</v>
      </c>
      <c r="Q56" s="27" t="s">
        <v>331</v>
      </c>
      <c r="R56" s="56">
        <f>SUM(R52:R55)</f>
        <v>11221628.489999998</v>
      </c>
      <c r="S56" s="21"/>
      <c r="T56" s="56">
        <f t="shared" ref="T56:AB56" si="25">SUM(T52:T55)</f>
        <v>821791.72</v>
      </c>
      <c r="U56" s="21"/>
      <c r="V56" s="56">
        <f t="shared" si="25"/>
        <v>5450670.1600000001</v>
      </c>
      <c r="W56" s="21"/>
      <c r="X56" s="56">
        <f t="shared" si="25"/>
        <v>404694.87</v>
      </c>
      <c r="Y56" s="21"/>
      <c r="Z56" s="56">
        <f t="shared" si="25"/>
        <v>-1093704.7699999998</v>
      </c>
      <c r="AA56" s="21"/>
      <c r="AB56" s="56">
        <f t="shared" si="25"/>
        <v>4913513.17</v>
      </c>
      <c r="AC56" s="21"/>
      <c r="AD56" s="56">
        <f>SUM(AD52:AD55)</f>
        <v>1447294.6800000002</v>
      </c>
      <c r="AE56" s="21"/>
      <c r="AF56" s="21">
        <f>SUM(AF52:AF55)</f>
        <v>23165888.32</v>
      </c>
      <c r="AG56" s="27" t="s">
        <v>331</v>
      </c>
      <c r="AH56" s="21">
        <f>SUM(AH52:AH55)</f>
        <v>35735637.129999995</v>
      </c>
      <c r="AI56" s="21"/>
      <c r="AJ56" s="21">
        <f>SUM(AJ52:AJ55)</f>
        <v>23165888.32</v>
      </c>
      <c r="AK56" s="21"/>
      <c r="AL56" s="21">
        <f>SUM(AL52:AL55)</f>
        <v>12569748.809999999</v>
      </c>
      <c r="AM56" s="22"/>
      <c r="AN56" s="13">
        <f t="shared" si="23"/>
        <v>1.5425973153443915</v>
      </c>
      <c r="AO56" s="13"/>
      <c r="AP56" s="14">
        <f t="shared" si="24"/>
        <v>0.54259731534439148</v>
      </c>
    </row>
    <row r="57" spans="1:42" s="9" customFormat="1" ht="24.95" customHeight="1" x14ac:dyDescent="0.2">
      <c r="B57" s="12"/>
      <c r="C57" s="12"/>
      <c r="D57" s="12"/>
      <c r="E57" s="12"/>
      <c r="F57" s="12"/>
      <c r="G57" s="12"/>
      <c r="P57" s="10"/>
      <c r="R57" s="60"/>
      <c r="S57" s="10"/>
      <c r="T57" s="60"/>
      <c r="U57" s="10"/>
      <c r="V57" s="60"/>
      <c r="W57" s="10"/>
      <c r="X57" s="60"/>
      <c r="Y57" s="10"/>
      <c r="Z57" s="60"/>
      <c r="AA57" s="10"/>
      <c r="AB57" s="60"/>
      <c r="AC57" s="10"/>
      <c r="AD57" s="60"/>
      <c r="AE57" s="10"/>
      <c r="AF57" s="10"/>
      <c r="AN57" s="13"/>
      <c r="AO57" s="13"/>
      <c r="AP57" s="19"/>
    </row>
    <row r="58" spans="1:42" s="9" customFormat="1" ht="24.95" customHeight="1" thickBot="1" x14ac:dyDescent="0.25">
      <c r="A58" s="8" t="s">
        <v>333</v>
      </c>
      <c r="B58" s="23">
        <f>SUM(B56,B47,B42)</f>
        <v>66909954.989999995</v>
      </c>
      <c r="C58" s="23"/>
      <c r="D58" s="23">
        <f>SUM(D56,D47,D42)</f>
        <v>396237.9</v>
      </c>
      <c r="E58" s="23"/>
      <c r="F58" s="23">
        <f>SUM(F56,F47,F42)</f>
        <v>380700.08</v>
      </c>
      <c r="G58" s="23"/>
      <c r="H58" s="23">
        <f>SUM(H56,H47,H42)</f>
        <v>900062.97</v>
      </c>
      <c r="I58" s="23"/>
      <c r="J58" s="23">
        <f>SUM(J56,J47,J42)</f>
        <v>2029473.14</v>
      </c>
      <c r="K58" s="23"/>
      <c r="L58" s="23">
        <f>SUM(L56,L47,L42)</f>
        <v>5461948.7600000007</v>
      </c>
      <c r="M58" s="23"/>
      <c r="N58" s="23">
        <f>SUM(N56,N47,N42)</f>
        <v>8684926.1799999997</v>
      </c>
      <c r="O58" s="23"/>
      <c r="P58" s="23">
        <f>SUM(P56,P47,P42)</f>
        <v>84763304.019999981</v>
      </c>
      <c r="Q58" s="8" t="s">
        <v>333</v>
      </c>
      <c r="R58" s="57">
        <f>SUM(R56,R47,R42)</f>
        <v>42279748.409999996</v>
      </c>
      <c r="S58" s="23"/>
      <c r="T58" s="57">
        <f>SUM(T56,T47,T42)</f>
        <v>1122875.17</v>
      </c>
      <c r="U58" s="23"/>
      <c r="V58" s="57">
        <f>SUM(V56,V47,V42)</f>
        <v>6096587.6500000004</v>
      </c>
      <c r="W58" s="23"/>
      <c r="X58" s="57">
        <f>SUM(X56,X47,X42)</f>
        <v>698411.26</v>
      </c>
      <c r="Y58" s="23"/>
      <c r="Z58" s="57">
        <f>SUM(Z56,Z47,Z42)</f>
        <v>2140217.2400000002</v>
      </c>
      <c r="AA58" s="23"/>
      <c r="AB58" s="57">
        <f>SUM(AB56,AB47,AB42)</f>
        <v>5257992.33</v>
      </c>
      <c r="AC58" s="23"/>
      <c r="AD58" s="57">
        <f>SUM(AD56,AD47,AD42)</f>
        <v>8198362.7999999998</v>
      </c>
      <c r="AE58" s="23"/>
      <c r="AF58" s="23">
        <f>SUM(AF56,AF47,AF42)</f>
        <v>65794194.859999999</v>
      </c>
      <c r="AG58" s="8" t="s">
        <v>333</v>
      </c>
      <c r="AH58" s="23">
        <f>SUM(AH56,AH47,AH42)</f>
        <v>84763304.019999981</v>
      </c>
      <c r="AI58" s="23"/>
      <c r="AJ58" s="23">
        <f>SUM(AJ56,AJ47,AJ42)</f>
        <v>65794194.859999999</v>
      </c>
      <c r="AK58" s="23"/>
      <c r="AL58" s="23">
        <f>SUM(AL56,AL47,AL42)</f>
        <v>18969109.159999996</v>
      </c>
      <c r="AM58" s="25"/>
      <c r="AN58" s="13">
        <f t="shared" si="23"/>
        <v>1.2883097695832186</v>
      </c>
      <c r="AO58" s="13"/>
      <c r="AP58" s="14">
        <f t="shared" si="24"/>
        <v>0.28830976958321863</v>
      </c>
    </row>
    <row r="59" spans="1:42" ht="15.75" thickTop="1" x14ac:dyDescent="0.2">
      <c r="B59" s="3">
        <f>B58-CNT!U157</f>
        <v>0</v>
      </c>
      <c r="C59" s="3"/>
      <c r="D59" s="3">
        <f>D58-D30</f>
        <v>0</v>
      </c>
      <c r="E59" s="3"/>
      <c r="F59" s="3">
        <f>F58-F30</f>
        <v>0</v>
      </c>
      <c r="G59" s="3"/>
      <c r="H59" s="3">
        <f>H58-H30</f>
        <v>0</v>
      </c>
      <c r="I59" s="3"/>
      <c r="J59" s="3">
        <f>J58-J30</f>
        <v>0</v>
      </c>
      <c r="K59" s="3"/>
      <c r="L59" s="3">
        <f>L58-L30</f>
        <v>0</v>
      </c>
      <c r="M59" s="3"/>
      <c r="N59" s="3">
        <f>N58-N30</f>
        <v>0</v>
      </c>
      <c r="O59" s="3"/>
      <c r="P59" s="3">
        <f>P58-P30</f>
        <v>0</v>
      </c>
      <c r="R59" s="58">
        <f>R58-R30</f>
        <v>-4546688.4600000381</v>
      </c>
      <c r="T59" s="58">
        <f>T58-T30</f>
        <v>0</v>
      </c>
      <c r="U59" s="3"/>
      <c r="V59" s="58">
        <f>V58-V30</f>
        <v>0</v>
      </c>
      <c r="X59" s="58">
        <f>X58-X30</f>
        <v>0</v>
      </c>
      <c r="Z59" s="58">
        <f>Z58-Z30</f>
        <v>0</v>
      </c>
      <c r="AB59" s="58">
        <f>AB58-AB30</f>
        <v>0</v>
      </c>
      <c r="AD59" s="58">
        <f>AD58-AD30</f>
        <v>0</v>
      </c>
      <c r="AE59" s="3"/>
      <c r="AF59" s="3">
        <f>AF58-AF30</f>
        <v>-4546688.4600000381</v>
      </c>
      <c r="AG59" s="3"/>
      <c r="AH59" s="3">
        <f>AH58-AH30</f>
        <v>0</v>
      </c>
      <c r="AI59" s="3"/>
      <c r="AJ59" s="3">
        <f>AJ58-AJ30</f>
        <v>-4546688.4600000381</v>
      </c>
      <c r="AK59" s="3"/>
      <c r="AL59" s="3">
        <f>AL58-AL30</f>
        <v>4546688.460000053</v>
      </c>
      <c r="AM59" s="3"/>
      <c r="AN59" s="4">
        <f>AN58-AN30</f>
        <v>8.3273665126178953E-2</v>
      </c>
      <c r="AO59" s="3"/>
      <c r="AP59" s="3">
        <f>AP58-AP30</f>
        <v>8.3273665126178953E-2</v>
      </c>
    </row>
    <row r="60" spans="1:42" x14ac:dyDescent="0.2">
      <c r="B60" s="3">
        <f>B58-B30</f>
        <v>0</v>
      </c>
      <c r="C60" s="3"/>
      <c r="D60" s="3">
        <f>D58-D30</f>
        <v>0</v>
      </c>
      <c r="E60" s="3"/>
      <c r="F60" s="3">
        <f>F58-F30</f>
        <v>0</v>
      </c>
      <c r="G60" s="3"/>
      <c r="H60" s="3">
        <f>H58-H30</f>
        <v>0</v>
      </c>
      <c r="J60" s="3">
        <f>J58-J30</f>
        <v>0</v>
      </c>
      <c r="L60" s="3">
        <f>L58-L30</f>
        <v>0</v>
      </c>
      <c r="N60" s="3">
        <f>N58-N30</f>
        <v>0</v>
      </c>
      <c r="P60" s="3">
        <f>P58-P30</f>
        <v>0</v>
      </c>
      <c r="R60" s="61">
        <f>'Consolidated Balance Sheet'!R138</f>
        <v>46826436.86999999</v>
      </c>
      <c r="T60" s="61">
        <f>'Consolidated Balance Sheet'!T138</f>
        <v>1122875.1699999997</v>
      </c>
      <c r="V60" s="61">
        <f>'Consolidated Balance Sheet'!V138</f>
        <v>6096587.6500000004</v>
      </c>
      <c r="X60" s="61">
        <f>'Consolidated Balance Sheet'!X138</f>
        <v>698411.26</v>
      </c>
      <c r="Z60" s="61">
        <f>'Consolidated Balance Sheet'!Z138</f>
        <v>2140217.2400000002</v>
      </c>
      <c r="AB60" s="61">
        <f>'Consolidated Balance Sheet'!AB138</f>
        <v>5257992.33</v>
      </c>
      <c r="AD60" s="61">
        <f>'Consolidated Balance Sheet'!AD138</f>
        <v>8198362.7999999998</v>
      </c>
    </row>
    <row r="61" spans="1:42" x14ac:dyDescent="0.2">
      <c r="R61" s="61">
        <f>R58-R60</f>
        <v>-4546688.4599999934</v>
      </c>
      <c r="T61" s="61">
        <f t="shared" ref="T61:AD61" si="26">T58-T60</f>
        <v>0</v>
      </c>
      <c r="V61" s="61">
        <f t="shared" si="26"/>
        <v>0</v>
      </c>
      <c r="X61" s="61">
        <f t="shared" si="26"/>
        <v>0</v>
      </c>
      <c r="Z61" s="61">
        <f t="shared" si="26"/>
        <v>0</v>
      </c>
      <c r="AB61" s="61">
        <f t="shared" si="26"/>
        <v>0</v>
      </c>
      <c r="AD61" s="61">
        <f t="shared" si="26"/>
        <v>0</v>
      </c>
      <c r="AL61" s="38">
        <f>AL58-'Consolidated Balance Sheet'!AL138</f>
        <v>4546688.4599999972</v>
      </c>
    </row>
    <row r="62" spans="1:42" x14ac:dyDescent="0.2">
      <c r="B62" s="7">
        <f>B58-'Consolidated Balance Sheet'!B138</f>
        <v>0</v>
      </c>
      <c r="C62" s="7">
        <f>C58-'Consolidated Balance Sheet'!C138</f>
        <v>0</v>
      </c>
      <c r="D62" s="7">
        <f>D58-'Consolidated Balance Sheet'!D138</f>
        <v>0</v>
      </c>
      <c r="E62" s="7">
        <f>E58-'Consolidated Balance Sheet'!E138</f>
        <v>0</v>
      </c>
      <c r="F62" s="7">
        <f>F58-'Consolidated Balance Sheet'!F138</f>
        <v>0</v>
      </c>
      <c r="G62" s="7">
        <f>G58-'Consolidated Balance Sheet'!G138</f>
        <v>0</v>
      </c>
      <c r="H62" s="7">
        <f>H58-'Consolidated Balance Sheet'!H138</f>
        <v>0</v>
      </c>
      <c r="I62" s="7">
        <f>I58-'Consolidated Balance Sheet'!I138</f>
        <v>0</v>
      </c>
      <c r="J62" s="7">
        <f>J58-'Consolidated Balance Sheet'!J138</f>
        <v>0</v>
      </c>
      <c r="K62" s="7">
        <f>K58-'Consolidated Balance Sheet'!K138</f>
        <v>0</v>
      </c>
      <c r="L62" s="7">
        <f>L58-'Consolidated Balance Sheet'!L138</f>
        <v>0</v>
      </c>
      <c r="M62" s="7">
        <f>M58-'Consolidated Balance Sheet'!O138</f>
        <v>0</v>
      </c>
      <c r="N62" s="7">
        <f>N58-'Consolidated Balance Sheet'!N138</f>
        <v>0</v>
      </c>
      <c r="O62" s="7"/>
      <c r="P62" s="7">
        <f>P58-'Consolidated Balance Sheet'!P138</f>
        <v>0</v>
      </c>
      <c r="AF62" s="38">
        <f>AF58-'Consolidated Balance Sheet'!AF138</f>
        <v>-4546688.4599999934</v>
      </c>
    </row>
    <row r="73" spans="1:1" x14ac:dyDescent="0.2">
      <c r="A73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0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4" ht="12" customHeight="1" x14ac:dyDescent="0.2"/>
    <row r="3" spans="1:24" ht="12" customHeight="1" x14ac:dyDescent="0.2">
      <c r="A3" s="158" t="s">
        <v>699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1:24" ht="12" customHeight="1" x14ac:dyDescent="0.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1:24" ht="12" customHeight="1" x14ac:dyDescent="0.2"/>
    <row r="6" spans="1:24" ht="12" customHeight="1" x14ac:dyDescent="0.2"/>
    <row r="7" spans="1:24" ht="12" customHeight="1" x14ac:dyDescent="0.2">
      <c r="A7" s="157" t="s">
        <v>2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24" ht="12" customHeight="1" x14ac:dyDescent="0.2">
      <c r="B8" s="157" t="s">
        <v>3</v>
      </c>
      <c r="C8" s="157"/>
      <c r="D8" s="157"/>
      <c r="E8" s="157"/>
      <c r="F8" s="157"/>
      <c r="G8" s="157"/>
      <c r="H8" s="157"/>
      <c r="I8" s="157"/>
      <c r="J8" s="157"/>
      <c r="K8" s="157"/>
    </row>
    <row r="9" spans="1:24" ht="12" customHeight="1" x14ac:dyDescent="0.2">
      <c r="S9" s="75">
        <v>0</v>
      </c>
    </row>
    <row r="10" spans="1:24" ht="12" customHeight="1" x14ac:dyDescent="0.2">
      <c r="C10" s="156" t="s">
        <v>216</v>
      </c>
      <c r="D10" s="156"/>
      <c r="E10" s="156"/>
      <c r="F10" s="156"/>
      <c r="H10" s="156" t="s">
        <v>217</v>
      </c>
      <c r="I10" s="156"/>
      <c r="J10" s="156"/>
      <c r="K10" s="156"/>
      <c r="L10" s="156"/>
      <c r="M10" s="156"/>
      <c r="N10" s="156"/>
      <c r="O10" s="156"/>
      <c r="P10" s="156"/>
      <c r="Q10" s="156"/>
      <c r="S10" s="129">
        <v>0</v>
      </c>
    </row>
    <row r="11" spans="1:24" ht="12" customHeight="1" x14ac:dyDescent="0.2">
      <c r="C11" s="156" t="s">
        <v>4</v>
      </c>
      <c r="D11" s="156"/>
      <c r="E11" s="156"/>
      <c r="F11" s="156"/>
      <c r="H11" s="156" t="s">
        <v>5</v>
      </c>
      <c r="I11" s="156"/>
      <c r="J11" s="156"/>
      <c r="K11" s="156"/>
      <c r="L11" s="156"/>
      <c r="M11" s="156"/>
      <c r="N11" s="156"/>
      <c r="O11" s="156"/>
      <c r="P11" s="156"/>
      <c r="Q11" s="156"/>
      <c r="S11" s="129">
        <v>490</v>
      </c>
    </row>
    <row r="12" spans="1:24" ht="12" customHeight="1" x14ac:dyDescent="0.2">
      <c r="C12" s="156" t="s">
        <v>6</v>
      </c>
      <c r="D12" s="156"/>
      <c r="E12" s="156"/>
      <c r="F12" s="156"/>
      <c r="H12" s="156" t="s">
        <v>7</v>
      </c>
      <c r="I12" s="156"/>
      <c r="J12" s="156"/>
      <c r="K12" s="156"/>
      <c r="L12" s="156"/>
      <c r="M12" s="156"/>
      <c r="N12" s="156"/>
      <c r="O12" s="156"/>
      <c r="P12" s="156"/>
      <c r="Q12" s="156"/>
      <c r="S12" s="129">
        <v>0</v>
      </c>
    </row>
    <row r="13" spans="1:24" ht="12" customHeight="1" x14ac:dyDescent="0.2">
      <c r="C13" s="156" t="s">
        <v>8</v>
      </c>
      <c r="D13" s="156"/>
      <c r="E13" s="156"/>
      <c r="F13" s="156"/>
      <c r="H13" s="156" t="s">
        <v>9</v>
      </c>
      <c r="I13" s="156"/>
      <c r="J13" s="156"/>
      <c r="K13" s="156"/>
      <c r="L13" s="156"/>
      <c r="M13" s="156"/>
      <c r="N13" s="156"/>
      <c r="O13" s="156"/>
      <c r="P13" s="156"/>
      <c r="Q13" s="156"/>
      <c r="S13" s="129">
        <v>0</v>
      </c>
    </row>
    <row r="14" spans="1:24" ht="12" customHeight="1" x14ac:dyDescent="0.2">
      <c r="C14" s="156">
        <v>1151</v>
      </c>
      <c r="D14" s="156"/>
      <c r="E14" s="156"/>
      <c r="F14" s="156"/>
      <c r="H14" s="156" t="s">
        <v>604</v>
      </c>
      <c r="I14" s="156"/>
      <c r="J14" s="156"/>
      <c r="K14" s="156"/>
      <c r="L14" s="156"/>
      <c r="M14" s="156"/>
      <c r="N14" s="156"/>
      <c r="O14" s="156"/>
      <c r="P14" s="156"/>
      <c r="Q14" s="156"/>
      <c r="S14" s="129">
        <v>0</v>
      </c>
    </row>
    <row r="15" spans="1:24" ht="12" customHeight="1" x14ac:dyDescent="0.2">
      <c r="C15" s="156" t="s">
        <v>12</v>
      </c>
      <c r="D15" s="156"/>
      <c r="E15" s="156"/>
      <c r="F15" s="156"/>
      <c r="H15" s="156" t="s">
        <v>13</v>
      </c>
      <c r="I15" s="156"/>
      <c r="J15" s="156"/>
      <c r="K15" s="156"/>
      <c r="L15" s="156"/>
      <c r="M15" s="156"/>
      <c r="N15" s="156"/>
      <c r="O15" s="156"/>
      <c r="P15" s="156"/>
      <c r="Q15" s="156"/>
      <c r="S15" s="129">
        <v>0</v>
      </c>
    </row>
    <row r="16" spans="1:24" ht="12" customHeight="1" x14ac:dyDescent="0.2">
      <c r="C16" s="156" t="s">
        <v>14</v>
      </c>
      <c r="D16" s="156"/>
      <c r="E16" s="156"/>
      <c r="F16" s="156"/>
      <c r="H16" s="156" t="s">
        <v>15</v>
      </c>
      <c r="I16" s="156"/>
      <c r="J16" s="156"/>
      <c r="K16" s="156"/>
      <c r="L16" s="156"/>
      <c r="M16" s="156"/>
      <c r="N16" s="156"/>
      <c r="O16" s="156"/>
      <c r="P16" s="156"/>
      <c r="Q16" s="156"/>
      <c r="S16" s="129">
        <v>0</v>
      </c>
    </row>
    <row r="17" spans="3:19" ht="12" customHeight="1" x14ac:dyDescent="0.2">
      <c r="C17" s="156" t="s">
        <v>16</v>
      </c>
      <c r="D17" s="156"/>
      <c r="E17" s="156"/>
      <c r="F17" s="156"/>
      <c r="H17" s="156" t="s">
        <v>17</v>
      </c>
      <c r="I17" s="156"/>
      <c r="J17" s="156"/>
      <c r="K17" s="156"/>
      <c r="L17" s="156"/>
      <c r="M17" s="156"/>
      <c r="N17" s="156"/>
      <c r="O17" s="156"/>
      <c r="P17" s="156"/>
      <c r="Q17" s="156"/>
      <c r="S17" s="129">
        <v>7824787.9000000004</v>
      </c>
    </row>
    <row r="18" spans="3:19" ht="12" customHeight="1" x14ac:dyDescent="0.2">
      <c r="C18" s="156">
        <v>1220</v>
      </c>
      <c r="D18" s="156"/>
      <c r="E18" s="156"/>
      <c r="F18" s="156"/>
      <c r="H18" s="156" t="s">
        <v>689</v>
      </c>
      <c r="I18" s="156"/>
      <c r="J18" s="156"/>
      <c r="K18" s="156"/>
      <c r="L18" s="156"/>
      <c r="M18" s="156"/>
      <c r="N18" s="156"/>
      <c r="O18" s="156"/>
      <c r="P18" s="156"/>
      <c r="Q18" s="156"/>
      <c r="S18" s="129">
        <v>9331.48</v>
      </c>
    </row>
    <row r="19" spans="3:19" ht="12" customHeight="1" x14ac:dyDescent="0.2">
      <c r="C19" s="156" t="s">
        <v>18</v>
      </c>
      <c r="D19" s="156"/>
      <c r="E19" s="156"/>
      <c r="F19" s="156"/>
      <c r="H19" s="156" t="s">
        <v>19</v>
      </c>
      <c r="I19" s="156"/>
      <c r="J19" s="156"/>
      <c r="K19" s="156"/>
      <c r="L19" s="156"/>
      <c r="M19" s="156"/>
      <c r="N19" s="156"/>
      <c r="O19" s="156"/>
      <c r="P19" s="156"/>
      <c r="Q19" s="156"/>
      <c r="S19" s="129">
        <v>116167762.94</v>
      </c>
    </row>
    <row r="20" spans="3:19" ht="12" customHeight="1" x14ac:dyDescent="0.2">
      <c r="C20" s="156" t="s">
        <v>20</v>
      </c>
      <c r="D20" s="156"/>
      <c r="E20" s="156"/>
      <c r="F20" s="156"/>
      <c r="H20" s="156" t="s">
        <v>21</v>
      </c>
      <c r="I20" s="156"/>
      <c r="J20" s="156"/>
      <c r="K20" s="156"/>
      <c r="L20" s="156"/>
      <c r="M20" s="156"/>
      <c r="N20" s="156"/>
      <c r="O20" s="156"/>
      <c r="P20" s="156"/>
      <c r="Q20" s="156"/>
      <c r="S20" s="129">
        <v>81224590.909999996</v>
      </c>
    </row>
    <row r="21" spans="3:19" ht="12" customHeight="1" x14ac:dyDescent="0.2">
      <c r="C21" s="156" t="s">
        <v>22</v>
      </c>
      <c r="D21" s="156"/>
      <c r="E21" s="156"/>
      <c r="F21" s="156"/>
      <c r="H21" s="156" t="s">
        <v>23</v>
      </c>
      <c r="I21" s="156"/>
      <c r="J21" s="156"/>
      <c r="K21" s="156"/>
      <c r="L21" s="156"/>
      <c r="M21" s="156"/>
      <c r="N21" s="156"/>
      <c r="O21" s="156"/>
      <c r="P21" s="156"/>
      <c r="Q21" s="156"/>
      <c r="S21" s="129">
        <v>2613633.71</v>
      </c>
    </row>
    <row r="22" spans="3:19" ht="12" customHeight="1" x14ac:dyDescent="0.2">
      <c r="C22" s="156" t="s">
        <v>24</v>
      </c>
      <c r="D22" s="156"/>
      <c r="E22" s="156"/>
      <c r="F22" s="156"/>
      <c r="H22" s="156" t="s">
        <v>25</v>
      </c>
      <c r="I22" s="156"/>
      <c r="J22" s="156"/>
      <c r="K22" s="156"/>
      <c r="L22" s="156"/>
      <c r="M22" s="156"/>
      <c r="N22" s="156"/>
      <c r="O22" s="156"/>
      <c r="P22" s="156"/>
      <c r="Q22" s="156"/>
      <c r="S22" s="129">
        <v>776186.54</v>
      </c>
    </row>
    <row r="23" spans="3:19" ht="12" customHeight="1" x14ac:dyDescent="0.2">
      <c r="C23" s="156" t="s">
        <v>26</v>
      </c>
      <c r="D23" s="156"/>
      <c r="E23" s="156"/>
      <c r="F23" s="156"/>
      <c r="H23" s="156" t="s">
        <v>27</v>
      </c>
      <c r="I23" s="156"/>
      <c r="J23" s="156"/>
      <c r="K23" s="156"/>
      <c r="L23" s="156"/>
      <c r="M23" s="156"/>
      <c r="N23" s="156"/>
      <c r="O23" s="156"/>
      <c r="P23" s="156"/>
      <c r="Q23" s="156"/>
      <c r="S23" s="129">
        <v>0</v>
      </c>
    </row>
    <row r="24" spans="3:19" ht="12" customHeight="1" x14ac:dyDescent="0.2">
      <c r="C24" s="156" t="s">
        <v>28</v>
      </c>
      <c r="D24" s="156"/>
      <c r="E24" s="156"/>
      <c r="F24" s="156"/>
      <c r="H24" s="156" t="s">
        <v>29</v>
      </c>
      <c r="I24" s="156"/>
      <c r="J24" s="156"/>
      <c r="K24" s="156"/>
      <c r="L24" s="156"/>
      <c r="M24" s="156"/>
      <c r="N24" s="156"/>
      <c r="O24" s="156"/>
      <c r="P24" s="156"/>
      <c r="Q24" s="156"/>
      <c r="S24" s="129">
        <v>1212848.83</v>
      </c>
    </row>
    <row r="25" spans="3:19" ht="12" customHeight="1" x14ac:dyDescent="0.2">
      <c r="C25" s="156" t="s">
        <v>30</v>
      </c>
      <c r="D25" s="156"/>
      <c r="E25" s="156"/>
      <c r="F25" s="156"/>
      <c r="H25" s="156" t="s">
        <v>31</v>
      </c>
      <c r="I25" s="156"/>
      <c r="J25" s="156"/>
      <c r="K25" s="156"/>
      <c r="L25" s="156"/>
      <c r="M25" s="156"/>
      <c r="N25" s="156"/>
      <c r="O25" s="156"/>
      <c r="P25" s="156"/>
      <c r="Q25" s="156"/>
      <c r="S25" s="129">
        <v>20215.73</v>
      </c>
    </row>
    <row r="26" spans="3:19" ht="12" customHeight="1" x14ac:dyDescent="0.2">
      <c r="C26" s="156" t="s">
        <v>32</v>
      </c>
      <c r="D26" s="156"/>
      <c r="E26" s="156"/>
      <c r="F26" s="156"/>
      <c r="H26" s="156" t="s">
        <v>33</v>
      </c>
      <c r="I26" s="156"/>
      <c r="J26" s="156"/>
      <c r="K26" s="156"/>
      <c r="L26" s="156"/>
      <c r="M26" s="156"/>
      <c r="N26" s="156"/>
      <c r="O26" s="156"/>
      <c r="P26" s="156"/>
      <c r="Q26" s="156"/>
      <c r="S26" s="129">
        <v>-8979896.3800000008</v>
      </c>
    </row>
    <row r="27" spans="3:19" ht="12" customHeight="1" x14ac:dyDescent="0.2">
      <c r="C27" s="156" t="s">
        <v>34</v>
      </c>
      <c r="D27" s="156"/>
      <c r="E27" s="156"/>
      <c r="F27" s="156"/>
      <c r="H27" s="156" t="s">
        <v>35</v>
      </c>
      <c r="I27" s="156"/>
      <c r="J27" s="156"/>
      <c r="K27" s="156"/>
      <c r="L27" s="156"/>
      <c r="M27" s="156"/>
      <c r="N27" s="156"/>
      <c r="O27" s="156"/>
      <c r="P27" s="156"/>
      <c r="Q27" s="156"/>
      <c r="S27" s="129">
        <v>-131760167.68000001</v>
      </c>
    </row>
    <row r="28" spans="3:19" ht="12" customHeight="1" x14ac:dyDescent="0.2">
      <c r="C28" s="156" t="s">
        <v>36</v>
      </c>
      <c r="D28" s="156"/>
      <c r="E28" s="156"/>
      <c r="F28" s="156"/>
      <c r="H28" s="156" t="s">
        <v>37</v>
      </c>
      <c r="I28" s="156"/>
      <c r="J28" s="156"/>
      <c r="K28" s="156"/>
      <c r="L28" s="156"/>
      <c r="M28" s="156"/>
      <c r="N28" s="156"/>
      <c r="O28" s="156"/>
      <c r="P28" s="156"/>
      <c r="Q28" s="156"/>
      <c r="S28" s="129">
        <v>-20471810.41</v>
      </c>
    </row>
    <row r="29" spans="3:19" ht="12" customHeight="1" x14ac:dyDescent="0.2">
      <c r="C29" s="156">
        <v>1232</v>
      </c>
      <c r="D29" s="156"/>
      <c r="E29" s="156"/>
      <c r="F29" s="156"/>
      <c r="H29" s="156" t="s">
        <v>39</v>
      </c>
      <c r="I29" s="156"/>
      <c r="J29" s="156"/>
      <c r="K29" s="156"/>
      <c r="L29" s="156"/>
      <c r="M29" s="156"/>
      <c r="N29" s="156"/>
      <c r="O29" s="156"/>
      <c r="P29" s="156"/>
      <c r="Q29" s="156"/>
      <c r="S29" s="129">
        <v>-64228.68</v>
      </c>
    </row>
    <row r="30" spans="3:19" ht="12" customHeight="1" x14ac:dyDescent="0.2">
      <c r="C30" s="156" t="s">
        <v>40</v>
      </c>
      <c r="D30" s="156"/>
      <c r="E30" s="156"/>
      <c r="F30" s="156"/>
      <c r="H30" s="156" t="s">
        <v>41</v>
      </c>
      <c r="I30" s="156"/>
      <c r="J30" s="156"/>
      <c r="K30" s="156"/>
      <c r="L30" s="156"/>
      <c r="M30" s="156"/>
      <c r="N30" s="156"/>
      <c r="O30" s="156"/>
      <c r="P30" s="156"/>
      <c r="Q30" s="156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56" t="s">
        <v>42</v>
      </c>
      <c r="D32" s="156"/>
      <c r="E32" s="156"/>
      <c r="F32" s="156"/>
      <c r="H32" s="156" t="s">
        <v>43</v>
      </c>
      <c r="I32" s="156"/>
      <c r="J32" s="156"/>
      <c r="K32" s="156"/>
      <c r="L32" s="156"/>
      <c r="M32" s="156"/>
      <c r="N32" s="156"/>
      <c r="O32" s="156"/>
      <c r="P32" s="156"/>
      <c r="Q32" s="156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56" t="s">
        <v>586</v>
      </c>
      <c r="I33" s="156"/>
      <c r="J33" s="156"/>
      <c r="K33" s="156"/>
      <c r="L33" s="156"/>
      <c r="M33" s="156"/>
      <c r="N33" s="156"/>
      <c r="O33" s="156"/>
      <c r="P33" s="156"/>
      <c r="Q33" s="156"/>
      <c r="S33" s="129">
        <v>0</v>
      </c>
    </row>
    <row r="34" spans="3:19" ht="12" customHeight="1" x14ac:dyDescent="0.2">
      <c r="C34" s="156" t="s">
        <v>46</v>
      </c>
      <c r="D34" s="156"/>
      <c r="E34" s="156"/>
      <c r="F34" s="156"/>
      <c r="H34" s="156" t="s">
        <v>47</v>
      </c>
      <c r="I34" s="156"/>
      <c r="J34" s="156"/>
      <c r="K34" s="156"/>
      <c r="L34" s="156"/>
      <c r="M34" s="156"/>
      <c r="N34" s="156"/>
      <c r="O34" s="156"/>
      <c r="P34" s="156"/>
      <c r="Q34" s="156"/>
      <c r="S34" s="129">
        <v>0</v>
      </c>
    </row>
    <row r="35" spans="3:19" ht="12" customHeight="1" x14ac:dyDescent="0.2">
      <c r="C35" s="156" t="s">
        <v>48</v>
      </c>
      <c r="D35" s="156"/>
      <c r="E35" s="156"/>
      <c r="F35" s="156"/>
      <c r="H35" s="156" t="s">
        <v>49</v>
      </c>
      <c r="I35" s="156"/>
      <c r="J35" s="156"/>
      <c r="K35" s="156"/>
      <c r="L35" s="156"/>
      <c r="M35" s="156"/>
      <c r="N35" s="156"/>
      <c r="O35" s="156"/>
      <c r="P35" s="156"/>
      <c r="Q35" s="156"/>
      <c r="S35" s="129">
        <v>154663.69</v>
      </c>
    </row>
    <row r="36" spans="3:19" ht="12" customHeight="1" x14ac:dyDescent="0.2">
      <c r="C36" s="156" t="s">
        <v>50</v>
      </c>
      <c r="D36" s="156"/>
      <c r="E36" s="156"/>
      <c r="F36" s="156"/>
      <c r="H36" s="156" t="s">
        <v>51</v>
      </c>
      <c r="I36" s="156"/>
      <c r="J36" s="156"/>
      <c r="K36" s="156"/>
      <c r="L36" s="156"/>
      <c r="M36" s="156"/>
      <c r="N36" s="156"/>
      <c r="O36" s="156"/>
      <c r="P36" s="156"/>
      <c r="Q36" s="156"/>
      <c r="S36" s="129">
        <v>386346.92</v>
      </c>
    </row>
    <row r="37" spans="3:19" ht="12" customHeight="1" x14ac:dyDescent="0.2">
      <c r="C37" s="156" t="s">
        <v>52</v>
      </c>
      <c r="D37" s="156"/>
      <c r="E37" s="156"/>
      <c r="F37" s="156"/>
      <c r="H37" s="156" t="s">
        <v>53</v>
      </c>
      <c r="I37" s="156"/>
      <c r="J37" s="156"/>
      <c r="K37" s="156"/>
      <c r="L37" s="156"/>
      <c r="M37" s="156"/>
      <c r="N37" s="156"/>
      <c r="O37" s="156"/>
      <c r="P37" s="156"/>
      <c r="Q37" s="156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56" t="s">
        <v>56</v>
      </c>
      <c r="D39" s="156"/>
      <c r="E39" s="156"/>
      <c r="F39" s="156"/>
      <c r="H39" s="156" t="s">
        <v>57</v>
      </c>
      <c r="I39" s="156"/>
      <c r="J39" s="156"/>
      <c r="K39" s="156"/>
      <c r="L39" s="156"/>
      <c r="M39" s="156"/>
      <c r="N39" s="156"/>
      <c r="O39" s="156"/>
      <c r="P39" s="156"/>
      <c r="Q39" s="156"/>
      <c r="S39" s="129">
        <v>0</v>
      </c>
    </row>
    <row r="40" spans="3:19" ht="12" customHeight="1" x14ac:dyDescent="0.2">
      <c r="C40" s="156">
        <v>1248</v>
      </c>
      <c r="D40" s="156"/>
      <c r="E40" s="156"/>
      <c r="F40" s="156"/>
      <c r="H40" s="156" t="s">
        <v>603</v>
      </c>
      <c r="I40" s="156"/>
      <c r="J40" s="156"/>
      <c r="K40" s="156"/>
      <c r="L40" s="156"/>
      <c r="M40" s="156"/>
      <c r="N40" s="156"/>
      <c r="O40" s="156"/>
      <c r="P40" s="156"/>
      <c r="Q40" s="156"/>
      <c r="S40" s="129">
        <v>0</v>
      </c>
    </row>
    <row r="41" spans="3:19" ht="12" customHeight="1" x14ac:dyDescent="0.2">
      <c r="C41" s="156" t="s">
        <v>58</v>
      </c>
      <c r="D41" s="156"/>
      <c r="E41" s="156"/>
      <c r="F41" s="156"/>
      <c r="H41" s="156" t="s">
        <v>59</v>
      </c>
      <c r="I41" s="156"/>
      <c r="J41" s="156"/>
      <c r="K41" s="156"/>
      <c r="L41" s="156"/>
      <c r="M41" s="156"/>
      <c r="N41" s="156"/>
      <c r="O41" s="156"/>
      <c r="P41" s="156"/>
      <c r="Q41" s="156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56" t="s">
        <v>589</v>
      </c>
      <c r="I42" s="156"/>
      <c r="J42" s="156"/>
      <c r="K42" s="156"/>
      <c r="L42" s="156"/>
      <c r="M42" s="156"/>
      <c r="N42" s="156"/>
      <c r="O42" s="156"/>
      <c r="P42" s="156"/>
      <c r="Q42" s="156"/>
      <c r="S42" s="129">
        <v>0</v>
      </c>
    </row>
    <row r="43" spans="3:19" ht="12" customHeight="1" x14ac:dyDescent="0.2">
      <c r="C43" s="156">
        <v>1255</v>
      </c>
      <c r="D43" s="156"/>
      <c r="E43" s="156"/>
      <c r="F43" s="156"/>
      <c r="H43" s="156" t="s">
        <v>554</v>
      </c>
      <c r="I43" s="156"/>
      <c r="J43" s="156"/>
      <c r="K43" s="156"/>
      <c r="L43" s="156"/>
      <c r="M43" s="156"/>
      <c r="N43" s="156"/>
      <c r="O43" s="156"/>
      <c r="P43" s="156"/>
      <c r="Q43" s="156"/>
      <c r="S43" s="129">
        <v>277917.67</v>
      </c>
    </row>
    <row r="44" spans="3:19" ht="12" customHeight="1" x14ac:dyDescent="0.2">
      <c r="C44" s="156" t="s">
        <v>60</v>
      </c>
      <c r="D44" s="156"/>
      <c r="E44" s="156"/>
      <c r="F44" s="156"/>
      <c r="H44" s="156" t="s">
        <v>61</v>
      </c>
      <c r="I44" s="156"/>
      <c r="J44" s="156"/>
      <c r="K44" s="156"/>
      <c r="L44" s="156"/>
      <c r="M44" s="156"/>
      <c r="N44" s="156"/>
      <c r="O44" s="156"/>
      <c r="P44" s="156"/>
      <c r="Q44" s="156"/>
      <c r="S44" s="129">
        <v>6963.83</v>
      </c>
    </row>
    <row r="45" spans="3:19" ht="12" customHeight="1" x14ac:dyDescent="0.2">
      <c r="C45" s="156" t="s">
        <v>62</v>
      </c>
      <c r="D45" s="156"/>
      <c r="E45" s="156"/>
      <c r="F45" s="156"/>
      <c r="H45" s="156" t="s">
        <v>63</v>
      </c>
      <c r="I45" s="156"/>
      <c r="J45" s="156"/>
      <c r="K45" s="156"/>
      <c r="L45" s="156"/>
      <c r="M45" s="156"/>
      <c r="N45" s="156"/>
      <c r="O45" s="156"/>
      <c r="P45" s="156"/>
      <c r="Q45" s="156"/>
      <c r="S45" s="129">
        <v>162892.82</v>
      </c>
    </row>
    <row r="46" spans="3:19" ht="12" customHeight="1" x14ac:dyDescent="0.2">
      <c r="C46" s="156" t="s">
        <v>64</v>
      </c>
      <c r="D46" s="156"/>
      <c r="E46" s="156"/>
      <c r="F46" s="156"/>
      <c r="H46" s="156" t="s">
        <v>65</v>
      </c>
      <c r="I46" s="156"/>
      <c r="J46" s="156"/>
      <c r="K46" s="156"/>
      <c r="L46" s="156"/>
      <c r="M46" s="156"/>
      <c r="N46" s="156"/>
      <c r="O46" s="156"/>
      <c r="P46" s="156"/>
      <c r="Q46" s="156"/>
      <c r="S46" s="129">
        <v>3146485</v>
      </c>
    </row>
    <row r="47" spans="3:19" ht="12" customHeight="1" x14ac:dyDescent="0.2">
      <c r="C47" s="156">
        <v>1263</v>
      </c>
      <c r="D47" s="156"/>
      <c r="E47" s="156"/>
      <c r="F47" s="156"/>
      <c r="H47" s="182" t="s">
        <v>67</v>
      </c>
      <c r="I47" s="182"/>
      <c r="J47" s="182"/>
      <c r="K47" s="182"/>
      <c r="L47" s="182"/>
      <c r="M47" s="182"/>
      <c r="N47" s="182"/>
      <c r="O47" s="182"/>
      <c r="P47" s="182"/>
      <c r="Q47" s="182"/>
      <c r="S47" s="129">
        <v>40983.120000000003</v>
      </c>
    </row>
    <row r="48" spans="3:19" ht="12" customHeight="1" x14ac:dyDescent="0.2">
      <c r="C48" s="156" t="s">
        <v>68</v>
      </c>
      <c r="D48" s="156"/>
      <c r="E48" s="156"/>
      <c r="F48" s="156"/>
      <c r="H48" s="156" t="s">
        <v>69</v>
      </c>
      <c r="I48" s="156"/>
      <c r="J48" s="156"/>
      <c r="K48" s="156"/>
      <c r="L48" s="156"/>
      <c r="M48" s="156"/>
      <c r="N48" s="156"/>
      <c r="O48" s="156"/>
      <c r="P48" s="156"/>
      <c r="Q48" s="156"/>
      <c r="S48" s="129">
        <v>1239344.6000000001</v>
      </c>
    </row>
    <row r="49" spans="2:25" ht="12" customHeight="1" x14ac:dyDescent="0.2">
      <c r="C49" s="156">
        <v>1420</v>
      </c>
      <c r="D49" s="156"/>
      <c r="E49" s="156"/>
      <c r="F49" s="156"/>
      <c r="H49" s="156" t="s">
        <v>605</v>
      </c>
      <c r="I49" s="156"/>
      <c r="J49" s="156"/>
      <c r="K49" s="156"/>
      <c r="L49" s="156"/>
      <c r="M49" s="156"/>
      <c r="N49" s="156"/>
      <c r="O49" s="156"/>
      <c r="P49" s="156"/>
      <c r="Q49" s="156"/>
      <c r="S49" s="129">
        <v>107630.15</v>
      </c>
    </row>
    <row r="50" spans="2:25" ht="12" customHeight="1" x14ac:dyDescent="0.2">
      <c r="C50" s="156" t="s">
        <v>71</v>
      </c>
      <c r="D50" s="156"/>
      <c r="E50" s="156"/>
      <c r="F50" s="156"/>
      <c r="H50" s="156" t="s">
        <v>606</v>
      </c>
      <c r="I50" s="156"/>
      <c r="J50" s="156"/>
      <c r="K50" s="156"/>
      <c r="L50" s="156"/>
      <c r="M50" s="156"/>
      <c r="N50" s="156"/>
      <c r="O50" s="156"/>
      <c r="P50" s="156"/>
      <c r="Q50" s="156"/>
      <c r="S50" s="129">
        <v>147184.95999999999</v>
      </c>
    </row>
    <row r="51" spans="2:25" ht="12" customHeight="1" x14ac:dyDescent="0.2">
      <c r="C51" s="156" t="s">
        <v>674</v>
      </c>
      <c r="D51" s="156"/>
      <c r="E51" s="156"/>
      <c r="F51" s="156"/>
      <c r="H51" s="156" t="s">
        <v>675</v>
      </c>
      <c r="I51" s="156"/>
      <c r="J51" s="156"/>
      <c r="K51" s="156"/>
      <c r="L51" s="156"/>
      <c r="M51" s="156"/>
      <c r="N51" s="156"/>
      <c r="O51" s="156"/>
      <c r="P51" s="156"/>
      <c r="Q51" s="156"/>
      <c r="S51" s="129">
        <v>0</v>
      </c>
    </row>
    <row r="52" spans="2:25" ht="12" customHeight="1" x14ac:dyDescent="0.2">
      <c r="C52" s="156" t="s">
        <v>72</v>
      </c>
      <c r="D52" s="156"/>
      <c r="E52" s="156"/>
      <c r="F52" s="156"/>
      <c r="H52" s="156" t="s">
        <v>607</v>
      </c>
      <c r="I52" s="156"/>
      <c r="J52" s="156"/>
      <c r="K52" s="156"/>
      <c r="L52" s="156"/>
      <c r="M52" s="156"/>
      <c r="N52" s="156"/>
      <c r="O52" s="156"/>
      <c r="P52" s="156"/>
      <c r="Q52" s="156"/>
      <c r="S52" s="129">
        <v>41887.629999999997</v>
      </c>
    </row>
    <row r="53" spans="2:25" ht="12" customHeight="1" x14ac:dyDescent="0.2">
      <c r="C53" s="156" t="s">
        <v>619</v>
      </c>
      <c r="D53" s="156"/>
      <c r="E53" s="156"/>
      <c r="F53" s="156"/>
      <c r="H53" s="156" t="s">
        <v>629</v>
      </c>
      <c r="I53" s="156"/>
      <c r="J53" s="156"/>
      <c r="K53" s="156"/>
      <c r="L53" s="156"/>
      <c r="M53" s="156"/>
      <c r="N53" s="156"/>
      <c r="O53" s="156"/>
      <c r="P53" s="156"/>
      <c r="Q53" s="156"/>
      <c r="S53" s="129">
        <v>0</v>
      </c>
    </row>
    <row r="54" spans="2:25" ht="12" customHeight="1" x14ac:dyDescent="0.2">
      <c r="C54" s="156" t="s">
        <v>628</v>
      </c>
      <c r="D54" s="156"/>
      <c r="E54" s="156"/>
      <c r="F54" s="156"/>
      <c r="H54" s="156" t="s">
        <v>630</v>
      </c>
      <c r="I54" s="156"/>
      <c r="J54" s="156"/>
      <c r="K54" s="156"/>
      <c r="L54" s="156"/>
      <c r="M54" s="156"/>
      <c r="N54" s="156"/>
      <c r="O54" s="156"/>
      <c r="P54" s="156"/>
      <c r="Q54" s="156"/>
      <c r="S54" s="132">
        <v>0</v>
      </c>
    </row>
    <row r="55" spans="2:25" ht="12" customHeight="1" x14ac:dyDescent="0.2">
      <c r="C55" s="156" t="s">
        <v>618</v>
      </c>
      <c r="D55" s="156"/>
      <c r="E55" s="156"/>
      <c r="F55" s="156"/>
      <c r="H55" s="156" t="s">
        <v>676</v>
      </c>
      <c r="I55" s="156"/>
      <c r="J55" s="156"/>
      <c r="K55" s="156"/>
      <c r="L55" s="156"/>
      <c r="M55" s="156"/>
      <c r="N55" s="156"/>
      <c r="O55" s="156"/>
      <c r="P55" s="156"/>
      <c r="Q55" s="156"/>
      <c r="S55" s="78">
        <v>0</v>
      </c>
    </row>
    <row r="56" spans="2:25" ht="12" customHeight="1" x14ac:dyDescent="0.2">
      <c r="C56" s="156" t="s">
        <v>552</v>
      </c>
      <c r="D56" s="156"/>
      <c r="E56" s="156"/>
      <c r="F56" s="156"/>
      <c r="H56" s="134"/>
      <c r="I56" s="156" t="s">
        <v>677</v>
      </c>
      <c r="J56" s="156"/>
      <c r="K56" s="156"/>
      <c r="L56" s="156"/>
      <c r="M56" s="156"/>
      <c r="N56" s="156"/>
      <c r="O56" s="156"/>
      <c r="P56" s="156"/>
      <c r="Q56" s="156"/>
      <c r="R56" s="156"/>
      <c r="S56" s="78">
        <v>115.46</v>
      </c>
    </row>
    <row r="57" spans="2:25" ht="12" customHeight="1" x14ac:dyDescent="0.2">
      <c r="C57" s="156" t="s">
        <v>401</v>
      </c>
      <c r="D57" s="156"/>
      <c r="E57" s="156"/>
      <c r="F57" s="156"/>
      <c r="H57" s="156" t="s">
        <v>654</v>
      </c>
      <c r="I57" s="156"/>
      <c r="J57" s="156"/>
      <c r="K57" s="156"/>
      <c r="L57" s="156"/>
      <c r="M57" s="156"/>
      <c r="N57" s="156"/>
      <c r="O57" s="156"/>
      <c r="P57" s="156"/>
      <c r="Q57" s="156"/>
      <c r="S57" s="78">
        <v>12982.66</v>
      </c>
    </row>
    <row r="58" spans="2:25" ht="12" customHeight="1" x14ac:dyDescent="0.2">
      <c r="H58" s="157" t="s">
        <v>73</v>
      </c>
      <c r="I58" s="157"/>
      <c r="J58" s="157"/>
      <c r="K58" s="157"/>
      <c r="L58" s="157"/>
      <c r="M58" s="157"/>
      <c r="N58" s="157"/>
      <c r="O58" s="157"/>
      <c r="P58" s="157"/>
      <c r="U58" s="160">
        <f>SUM(S10:S57)</f>
        <v>54636950.919999994</v>
      </c>
      <c r="V58" s="160"/>
      <c r="W58" s="160"/>
      <c r="Y58" s="77"/>
    </row>
    <row r="59" spans="2:25" ht="12" customHeight="1" x14ac:dyDescent="0.2"/>
    <row r="60" spans="2:25" ht="12" customHeight="1" x14ac:dyDescent="0.2">
      <c r="B60" s="157" t="s">
        <v>74</v>
      </c>
      <c r="C60" s="157"/>
      <c r="D60" s="157"/>
      <c r="E60" s="157"/>
      <c r="F60" s="157"/>
      <c r="G60" s="157"/>
      <c r="H60" s="157"/>
      <c r="I60" s="157"/>
      <c r="J60" s="157"/>
      <c r="K60" s="157"/>
    </row>
    <row r="61" spans="2:25" ht="12" customHeight="1" x14ac:dyDescent="0.2">
      <c r="C61" s="156" t="s">
        <v>75</v>
      </c>
      <c r="D61" s="156"/>
      <c r="E61" s="156"/>
      <c r="F61" s="156"/>
      <c r="H61" s="156" t="s">
        <v>76</v>
      </c>
      <c r="I61" s="156"/>
      <c r="J61" s="156"/>
      <c r="K61" s="156"/>
      <c r="L61" s="156"/>
      <c r="M61" s="156"/>
      <c r="N61" s="156"/>
      <c r="O61" s="156"/>
      <c r="P61" s="156"/>
      <c r="Q61" s="156"/>
      <c r="S61" s="129">
        <v>1112375.6499999999</v>
      </c>
    </row>
    <row r="62" spans="2:25" ht="12" customHeight="1" x14ac:dyDescent="0.2">
      <c r="C62" s="156" t="s">
        <v>77</v>
      </c>
      <c r="D62" s="156"/>
      <c r="E62" s="156"/>
      <c r="F62" s="156"/>
      <c r="H62" s="156" t="s">
        <v>78</v>
      </c>
      <c r="I62" s="156"/>
      <c r="J62" s="156"/>
      <c r="K62" s="156"/>
      <c r="L62" s="156"/>
      <c r="M62" s="156"/>
      <c r="N62" s="156"/>
      <c r="O62" s="156"/>
      <c r="P62" s="156"/>
      <c r="Q62" s="156"/>
      <c r="S62" s="129">
        <v>45071.88</v>
      </c>
    </row>
    <row r="63" spans="2:25" ht="12" customHeight="1" x14ac:dyDescent="0.2">
      <c r="C63" s="156" t="s">
        <v>79</v>
      </c>
      <c r="D63" s="156"/>
      <c r="E63" s="156"/>
      <c r="F63" s="156"/>
      <c r="H63" s="156" t="s">
        <v>80</v>
      </c>
      <c r="I63" s="156"/>
      <c r="J63" s="156"/>
      <c r="K63" s="156"/>
      <c r="L63" s="156"/>
      <c r="M63" s="156"/>
      <c r="N63" s="156"/>
      <c r="O63" s="156"/>
      <c r="P63" s="156"/>
      <c r="Q63" s="156"/>
      <c r="S63" s="129">
        <v>715632.48</v>
      </c>
    </row>
    <row r="64" spans="2:25" ht="12" customHeight="1" x14ac:dyDescent="0.2">
      <c r="C64" s="156" t="s">
        <v>81</v>
      </c>
      <c r="D64" s="156"/>
      <c r="E64" s="156"/>
      <c r="F64" s="156"/>
      <c r="H64" s="156" t="s">
        <v>82</v>
      </c>
      <c r="I64" s="156"/>
      <c r="J64" s="156"/>
      <c r="K64" s="156"/>
      <c r="L64" s="156"/>
      <c r="M64" s="156"/>
      <c r="N64" s="156"/>
      <c r="O64" s="156"/>
      <c r="P64" s="156"/>
      <c r="Q64" s="156"/>
      <c r="S64" s="129">
        <v>4682170.93</v>
      </c>
    </row>
    <row r="65" spans="2:23" ht="12" customHeight="1" x14ac:dyDescent="0.2">
      <c r="C65" s="156" t="s">
        <v>83</v>
      </c>
      <c r="D65" s="156"/>
      <c r="E65" s="156"/>
      <c r="F65" s="156"/>
      <c r="H65" s="156" t="s">
        <v>84</v>
      </c>
      <c r="I65" s="156"/>
      <c r="J65" s="156"/>
      <c r="K65" s="156"/>
      <c r="L65" s="156"/>
      <c r="M65" s="156"/>
      <c r="N65" s="156"/>
      <c r="O65" s="156"/>
      <c r="P65" s="156"/>
      <c r="Q65" s="156"/>
      <c r="S65" s="129">
        <v>460539.38</v>
      </c>
    </row>
    <row r="66" spans="2:23" ht="12" customHeight="1" x14ac:dyDescent="0.2">
      <c r="C66" s="156" t="s">
        <v>85</v>
      </c>
      <c r="D66" s="156"/>
      <c r="E66" s="156"/>
      <c r="F66" s="156"/>
      <c r="H66" s="156" t="s">
        <v>86</v>
      </c>
      <c r="I66" s="156"/>
      <c r="J66" s="156"/>
      <c r="K66" s="156"/>
      <c r="L66" s="156"/>
      <c r="M66" s="156"/>
      <c r="N66" s="156"/>
      <c r="O66" s="156"/>
      <c r="P66" s="156"/>
      <c r="Q66" s="156"/>
      <c r="S66" s="129">
        <v>60000</v>
      </c>
    </row>
    <row r="67" spans="2:23" ht="12" customHeight="1" x14ac:dyDescent="0.2">
      <c r="C67" s="156" t="s">
        <v>87</v>
      </c>
      <c r="D67" s="156"/>
      <c r="E67" s="156"/>
      <c r="F67" s="156"/>
      <c r="H67" s="156" t="s">
        <v>88</v>
      </c>
      <c r="I67" s="156"/>
      <c r="J67" s="156"/>
      <c r="K67" s="156"/>
      <c r="L67" s="156"/>
      <c r="M67" s="156"/>
      <c r="N67" s="156"/>
      <c r="O67" s="156"/>
      <c r="P67" s="156"/>
      <c r="Q67" s="156"/>
      <c r="S67" s="129">
        <v>3119443.63</v>
      </c>
    </row>
    <row r="68" spans="2:23" ht="12" customHeight="1" x14ac:dyDescent="0.2">
      <c r="C68" s="156" t="s">
        <v>89</v>
      </c>
      <c r="D68" s="156"/>
      <c r="E68" s="156"/>
      <c r="F68" s="156"/>
      <c r="H68" s="156" t="s">
        <v>90</v>
      </c>
      <c r="I68" s="156"/>
      <c r="J68" s="156"/>
      <c r="K68" s="156"/>
      <c r="L68" s="156"/>
      <c r="M68" s="156"/>
      <c r="N68" s="156"/>
      <c r="O68" s="156"/>
      <c r="P68" s="156"/>
      <c r="Q68" s="156"/>
      <c r="S68" s="129">
        <v>11428.88</v>
      </c>
    </row>
    <row r="69" spans="2:23" ht="12" customHeight="1" x14ac:dyDescent="0.2">
      <c r="C69" s="156" t="s">
        <v>91</v>
      </c>
      <c r="D69" s="156"/>
      <c r="E69" s="156"/>
      <c r="F69" s="156"/>
      <c r="H69" s="156" t="s">
        <v>92</v>
      </c>
      <c r="I69" s="156"/>
      <c r="J69" s="156"/>
      <c r="K69" s="156"/>
      <c r="L69" s="156"/>
      <c r="M69" s="156"/>
      <c r="N69" s="156"/>
      <c r="O69" s="156"/>
      <c r="P69" s="156"/>
      <c r="Q69" s="156"/>
      <c r="S69" s="129">
        <v>205633.94</v>
      </c>
    </row>
    <row r="70" spans="2:23" ht="12" customHeight="1" x14ac:dyDescent="0.2">
      <c r="C70" s="156" t="s">
        <v>93</v>
      </c>
      <c r="D70" s="156"/>
      <c r="E70" s="156"/>
      <c r="F70" s="156"/>
      <c r="H70" s="156" t="s">
        <v>94</v>
      </c>
      <c r="I70" s="156"/>
      <c r="J70" s="156"/>
      <c r="K70" s="156"/>
      <c r="L70" s="156"/>
      <c r="M70" s="156"/>
      <c r="N70" s="156"/>
      <c r="O70" s="156"/>
      <c r="P70" s="156"/>
      <c r="Q70" s="156"/>
      <c r="S70" s="129">
        <v>2023589.41</v>
      </c>
    </row>
    <row r="71" spans="2:23" ht="12" customHeight="1" x14ac:dyDescent="0.2">
      <c r="C71" s="156" t="s">
        <v>95</v>
      </c>
      <c r="D71" s="156"/>
      <c r="E71" s="156"/>
      <c r="F71" s="156"/>
      <c r="H71" s="156" t="s">
        <v>96</v>
      </c>
      <c r="I71" s="156"/>
      <c r="J71" s="156"/>
      <c r="K71" s="156"/>
      <c r="L71" s="156"/>
      <c r="M71" s="156"/>
      <c r="N71" s="156"/>
      <c r="O71" s="156"/>
      <c r="P71" s="156"/>
      <c r="Q71" s="156"/>
      <c r="S71" s="129">
        <v>4956767.88</v>
      </c>
    </row>
    <row r="72" spans="2:23" ht="12" customHeight="1" x14ac:dyDescent="0.2">
      <c r="C72" s="156" t="s">
        <v>97</v>
      </c>
      <c r="D72" s="156"/>
      <c r="E72" s="156"/>
      <c r="F72" s="156"/>
      <c r="H72" s="156" t="s">
        <v>98</v>
      </c>
      <c r="I72" s="156"/>
      <c r="J72" s="156"/>
      <c r="K72" s="156"/>
      <c r="L72" s="156"/>
      <c r="M72" s="156"/>
      <c r="N72" s="156"/>
      <c r="O72" s="156"/>
      <c r="P72" s="156"/>
      <c r="Q72" s="156"/>
      <c r="S72" s="129">
        <v>70738.81</v>
      </c>
    </row>
    <row r="73" spans="2:23" ht="12" customHeight="1" x14ac:dyDescent="0.2">
      <c r="C73" s="156" t="s">
        <v>99</v>
      </c>
      <c r="D73" s="156"/>
      <c r="E73" s="156"/>
      <c r="F73" s="156"/>
      <c r="H73" s="156" t="s">
        <v>100</v>
      </c>
      <c r="I73" s="156"/>
      <c r="J73" s="156"/>
      <c r="K73" s="156"/>
      <c r="L73" s="156"/>
      <c r="M73" s="156"/>
      <c r="N73" s="156"/>
      <c r="O73" s="156"/>
      <c r="P73" s="156"/>
      <c r="Q73" s="156"/>
      <c r="S73" s="129">
        <v>-7763994.8200000003</v>
      </c>
    </row>
    <row r="74" spans="2:23" ht="12" customHeight="1" x14ac:dyDescent="0.2">
      <c r="C74" s="156" t="s">
        <v>101</v>
      </c>
      <c r="D74" s="156"/>
      <c r="E74" s="156"/>
      <c r="F74" s="156"/>
      <c r="H74" s="156" t="s">
        <v>102</v>
      </c>
      <c r="I74" s="156"/>
      <c r="J74" s="156"/>
      <c r="K74" s="156"/>
      <c r="L74" s="156"/>
      <c r="M74" s="156"/>
      <c r="N74" s="156"/>
      <c r="O74" s="156"/>
      <c r="P74" s="156"/>
      <c r="Q74" s="156"/>
      <c r="S74" s="131">
        <v>-58000.1</v>
      </c>
    </row>
    <row r="75" spans="2:23" ht="12" customHeight="1" x14ac:dyDescent="0.2">
      <c r="H75" s="157" t="s">
        <v>103</v>
      </c>
      <c r="I75" s="157"/>
      <c r="J75" s="157"/>
      <c r="K75" s="157"/>
      <c r="L75" s="157"/>
      <c r="M75" s="157"/>
      <c r="N75" s="157"/>
      <c r="O75" s="157"/>
      <c r="P75" s="157"/>
      <c r="U75" s="160">
        <f>SUM(S61:S74)</f>
        <v>9641397.9499999974</v>
      </c>
      <c r="V75" s="160"/>
      <c r="W75" s="160"/>
    </row>
    <row r="76" spans="2:23" ht="12" customHeight="1" x14ac:dyDescent="0.2">
      <c r="B76" s="157" t="s">
        <v>218</v>
      </c>
      <c r="C76" s="157"/>
      <c r="D76" s="157"/>
      <c r="E76" s="157"/>
      <c r="F76" s="157"/>
      <c r="G76" s="157"/>
      <c r="H76" s="157"/>
      <c r="I76" s="157"/>
      <c r="J76" s="157"/>
      <c r="K76" s="157"/>
    </row>
    <row r="77" spans="2:23" ht="12" customHeight="1" x14ac:dyDescent="0.2">
      <c r="C77" s="156" t="s">
        <v>219</v>
      </c>
      <c r="D77" s="156"/>
      <c r="E77" s="156"/>
      <c r="F77" s="156"/>
      <c r="H77" s="156" t="s">
        <v>220</v>
      </c>
      <c r="I77" s="156"/>
      <c r="J77" s="156"/>
      <c r="K77" s="156"/>
      <c r="L77" s="156"/>
      <c r="M77" s="156"/>
      <c r="N77" s="156"/>
      <c r="O77" s="156"/>
      <c r="P77" s="156"/>
      <c r="Q77" s="156"/>
      <c r="S77" s="131">
        <v>0</v>
      </c>
    </row>
    <row r="78" spans="2:23" ht="12" customHeight="1" x14ac:dyDescent="0.2">
      <c r="H78" s="157" t="s">
        <v>221</v>
      </c>
      <c r="I78" s="157"/>
      <c r="J78" s="157"/>
      <c r="K78" s="157"/>
      <c r="L78" s="157"/>
      <c r="M78" s="157"/>
      <c r="N78" s="157"/>
      <c r="O78" s="157"/>
      <c r="P78" s="157"/>
      <c r="U78" s="161">
        <f>S77</f>
        <v>0</v>
      </c>
      <c r="V78" s="161"/>
      <c r="W78" s="161"/>
    </row>
    <row r="79" spans="2:23" ht="12" customHeight="1" x14ac:dyDescent="0.2"/>
    <row r="80" spans="2:23" ht="12" customHeight="1" thickBot="1" x14ac:dyDescent="0.25">
      <c r="I80" s="157" t="s">
        <v>104</v>
      </c>
      <c r="J80" s="157"/>
      <c r="K80" s="157"/>
      <c r="L80" s="157"/>
      <c r="M80" s="157"/>
      <c r="N80" s="157"/>
      <c r="O80" s="157"/>
      <c r="P80" s="157"/>
      <c r="U80" s="162">
        <f>U58+U75+U78</f>
        <v>64278348.86999999</v>
      </c>
      <c r="V80" s="162"/>
      <c r="W80" s="162"/>
    </row>
    <row r="81" spans="1:19" ht="12" customHeight="1" thickTop="1" x14ac:dyDescent="0.2"/>
    <row r="82" spans="1:19" ht="12" customHeight="1" x14ac:dyDescent="0.2">
      <c r="A82" s="157" t="s">
        <v>105</v>
      </c>
      <c r="B82" s="157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</row>
    <row r="83" spans="1:19" ht="12" customHeight="1" x14ac:dyDescent="0.2"/>
    <row r="84" spans="1:19" ht="12" customHeight="1" x14ac:dyDescent="0.2">
      <c r="B84" s="157" t="s">
        <v>106</v>
      </c>
      <c r="C84" s="157"/>
      <c r="D84" s="157"/>
      <c r="E84" s="157"/>
      <c r="F84" s="157"/>
      <c r="G84" s="157"/>
      <c r="H84" s="157"/>
      <c r="I84" s="157"/>
      <c r="J84" s="157"/>
      <c r="K84" s="157"/>
      <c r="N84" s="183" t="s">
        <v>222</v>
      </c>
      <c r="O84" s="183"/>
    </row>
    <row r="85" spans="1:19" ht="12" customHeight="1" x14ac:dyDescent="0.2">
      <c r="B85" s="135"/>
      <c r="C85" s="156">
        <v>2105</v>
      </c>
      <c r="D85" s="156"/>
      <c r="E85" s="156"/>
      <c r="F85" s="156"/>
      <c r="G85" s="135"/>
      <c r="H85" s="156" t="s">
        <v>698</v>
      </c>
      <c r="I85" s="156"/>
      <c r="J85" s="156"/>
      <c r="K85" s="156"/>
      <c r="L85" s="156"/>
      <c r="M85" s="156"/>
      <c r="N85" s="156"/>
      <c r="O85" s="156"/>
      <c r="P85" s="156"/>
      <c r="Q85" s="156"/>
      <c r="S85" s="121">
        <v>1773880.21</v>
      </c>
    </row>
    <row r="86" spans="1:19" ht="12" customHeight="1" x14ac:dyDescent="0.2">
      <c r="C86" s="156">
        <v>2110</v>
      </c>
      <c r="D86" s="156"/>
      <c r="E86" s="156"/>
      <c r="F86" s="156"/>
      <c r="H86" s="156" t="s">
        <v>108</v>
      </c>
      <c r="I86" s="156"/>
      <c r="J86" s="156"/>
      <c r="K86" s="156"/>
      <c r="L86" s="156"/>
      <c r="M86" s="156"/>
      <c r="N86" s="156"/>
      <c r="O86" s="156"/>
      <c r="P86" s="156"/>
      <c r="Q86" s="156"/>
      <c r="S86" s="129">
        <v>38816490</v>
      </c>
    </row>
    <row r="87" spans="1:19" ht="12" customHeight="1" x14ac:dyDescent="0.2">
      <c r="C87" s="156" t="s">
        <v>109</v>
      </c>
      <c r="D87" s="156"/>
      <c r="E87" s="156"/>
      <c r="F87" s="156"/>
      <c r="H87" s="156" t="s">
        <v>110</v>
      </c>
      <c r="I87" s="156"/>
      <c r="J87" s="156"/>
      <c r="K87" s="156"/>
      <c r="L87" s="156"/>
      <c r="M87" s="156"/>
      <c r="N87" s="156"/>
      <c r="O87" s="156"/>
      <c r="P87" s="156"/>
      <c r="Q87" s="156"/>
      <c r="S87" s="129">
        <v>1058597.3</v>
      </c>
    </row>
    <row r="88" spans="1:19" ht="12" customHeight="1" x14ac:dyDescent="0.2">
      <c r="C88" s="156" t="s">
        <v>223</v>
      </c>
      <c r="D88" s="156"/>
      <c r="E88" s="156"/>
      <c r="F88" s="156"/>
      <c r="H88" s="156" t="s">
        <v>224</v>
      </c>
      <c r="I88" s="156"/>
      <c r="J88" s="156"/>
      <c r="K88" s="156"/>
      <c r="L88" s="156"/>
      <c r="M88" s="156"/>
      <c r="N88" s="156"/>
      <c r="O88" s="156"/>
      <c r="P88" s="156"/>
      <c r="Q88" s="156"/>
      <c r="S88" s="129">
        <v>0</v>
      </c>
    </row>
    <row r="89" spans="1:19" ht="12" customHeight="1" x14ac:dyDescent="0.2">
      <c r="C89" s="156" t="s">
        <v>111</v>
      </c>
      <c r="D89" s="156"/>
      <c r="E89" s="156"/>
      <c r="F89" s="156"/>
      <c r="H89" s="156" t="s">
        <v>112</v>
      </c>
      <c r="I89" s="156"/>
      <c r="J89" s="156"/>
      <c r="K89" s="156"/>
      <c r="L89" s="156"/>
      <c r="M89" s="156"/>
      <c r="N89" s="156"/>
      <c r="O89" s="156"/>
      <c r="P89" s="156"/>
      <c r="Q89" s="156"/>
      <c r="S89" s="129">
        <v>416.41</v>
      </c>
    </row>
    <row r="90" spans="1:19" ht="12" customHeight="1" x14ac:dyDescent="0.2">
      <c r="C90" s="156" t="s">
        <v>225</v>
      </c>
      <c r="D90" s="156"/>
      <c r="E90" s="156"/>
      <c r="F90" s="156"/>
      <c r="H90" s="156" t="s">
        <v>226</v>
      </c>
      <c r="I90" s="156"/>
      <c r="J90" s="156"/>
      <c r="K90" s="156"/>
      <c r="L90" s="156"/>
      <c r="M90" s="156"/>
      <c r="N90" s="156"/>
      <c r="O90" s="156"/>
      <c r="P90" s="156"/>
      <c r="Q90" s="156"/>
      <c r="S90" s="129">
        <v>0</v>
      </c>
    </row>
    <row r="91" spans="1:19" ht="12" customHeight="1" x14ac:dyDescent="0.2">
      <c r="C91" s="156" t="s">
        <v>113</v>
      </c>
      <c r="D91" s="156"/>
      <c r="E91" s="156"/>
      <c r="F91" s="156"/>
      <c r="H91" s="156" t="s">
        <v>114</v>
      </c>
      <c r="I91" s="156"/>
      <c r="J91" s="156"/>
      <c r="K91" s="156"/>
      <c r="L91" s="156"/>
      <c r="M91" s="156"/>
      <c r="N91" s="156"/>
      <c r="O91" s="156"/>
      <c r="P91" s="156"/>
      <c r="Q91" s="156"/>
      <c r="S91" s="129">
        <v>1188.81</v>
      </c>
    </row>
    <row r="92" spans="1:19" ht="12" customHeight="1" x14ac:dyDescent="0.2">
      <c r="C92" s="156">
        <v>2140</v>
      </c>
      <c r="D92" s="156"/>
      <c r="E92" s="156"/>
      <c r="F92" s="156"/>
      <c r="H92" s="156" t="s">
        <v>116</v>
      </c>
      <c r="I92" s="156"/>
      <c r="J92" s="156"/>
      <c r="K92" s="156"/>
      <c r="L92" s="156"/>
      <c r="M92" s="156"/>
      <c r="N92" s="156"/>
      <c r="O92" s="156"/>
      <c r="P92" s="156"/>
      <c r="Q92" s="156"/>
      <c r="S92" s="129">
        <v>0</v>
      </c>
    </row>
    <row r="93" spans="1:19" ht="12" customHeight="1" x14ac:dyDescent="0.2">
      <c r="C93" s="156">
        <v>2162</v>
      </c>
      <c r="D93" s="156"/>
      <c r="E93" s="156"/>
      <c r="F93" s="156"/>
      <c r="H93" s="156" t="s">
        <v>690</v>
      </c>
      <c r="I93" s="156"/>
      <c r="J93" s="156"/>
      <c r="K93" s="156"/>
      <c r="L93" s="156"/>
      <c r="M93" s="156"/>
      <c r="N93" s="156"/>
      <c r="O93" s="156"/>
      <c r="P93" s="156"/>
      <c r="Q93" s="156"/>
      <c r="S93" s="129">
        <v>0</v>
      </c>
    </row>
    <row r="94" spans="1:19" ht="12" customHeight="1" x14ac:dyDescent="0.2">
      <c r="C94" s="156">
        <v>2150</v>
      </c>
      <c r="D94" s="156"/>
      <c r="E94" s="156"/>
      <c r="F94" s="156"/>
      <c r="H94" s="156" t="s">
        <v>189</v>
      </c>
      <c r="I94" s="156"/>
      <c r="J94" s="156"/>
      <c r="K94" s="156"/>
      <c r="L94" s="156"/>
      <c r="M94" s="156"/>
      <c r="N94" s="156"/>
      <c r="O94" s="156"/>
      <c r="P94" s="156"/>
      <c r="Q94" s="156"/>
      <c r="S94" s="121">
        <v>181.28</v>
      </c>
    </row>
    <row r="95" spans="1:19" ht="12" customHeight="1" x14ac:dyDescent="0.2">
      <c r="C95" s="156" t="s">
        <v>117</v>
      </c>
      <c r="D95" s="156"/>
      <c r="E95" s="156"/>
      <c r="F95" s="156"/>
      <c r="H95" s="156" t="s">
        <v>118</v>
      </c>
      <c r="I95" s="156"/>
      <c r="J95" s="156"/>
      <c r="K95" s="156"/>
      <c r="L95" s="156"/>
      <c r="M95" s="156"/>
      <c r="N95" s="156"/>
      <c r="O95" s="156"/>
      <c r="P95" s="156"/>
      <c r="Q95" s="156"/>
      <c r="S95" s="129">
        <v>3225347.21</v>
      </c>
    </row>
    <row r="96" spans="1:19" ht="12" customHeight="1" x14ac:dyDescent="0.2">
      <c r="C96" s="156" t="s">
        <v>119</v>
      </c>
      <c r="D96" s="156"/>
      <c r="E96" s="156"/>
      <c r="F96" s="156"/>
      <c r="H96" s="156" t="s">
        <v>120</v>
      </c>
      <c r="I96" s="156"/>
      <c r="J96" s="156"/>
      <c r="K96" s="156"/>
      <c r="L96" s="156"/>
      <c r="M96" s="156"/>
      <c r="N96" s="156"/>
      <c r="O96" s="156"/>
      <c r="P96" s="156"/>
      <c r="Q96" s="156"/>
      <c r="S96" s="129">
        <v>16762.55</v>
      </c>
    </row>
    <row r="97" spans="3:19" ht="12" customHeight="1" x14ac:dyDescent="0.2">
      <c r="C97" s="156" t="s">
        <v>121</v>
      </c>
      <c r="D97" s="156"/>
      <c r="E97" s="156"/>
      <c r="F97" s="156"/>
      <c r="H97" s="156" t="s">
        <v>122</v>
      </c>
      <c r="I97" s="156"/>
      <c r="J97" s="156"/>
      <c r="K97" s="156"/>
      <c r="L97" s="156"/>
      <c r="M97" s="156"/>
      <c r="N97" s="156"/>
      <c r="O97" s="156"/>
      <c r="P97" s="156"/>
      <c r="Q97" s="156"/>
      <c r="S97" s="129">
        <v>238535.76</v>
      </c>
    </row>
    <row r="98" spans="3:19" ht="12" customHeight="1" x14ac:dyDescent="0.2">
      <c r="C98" s="156" t="s">
        <v>123</v>
      </c>
      <c r="D98" s="156"/>
      <c r="E98" s="156"/>
      <c r="F98" s="156"/>
      <c r="H98" s="156" t="s">
        <v>124</v>
      </c>
      <c r="I98" s="156"/>
      <c r="J98" s="156"/>
      <c r="K98" s="156"/>
      <c r="L98" s="156"/>
      <c r="M98" s="156"/>
      <c r="N98" s="156"/>
      <c r="O98" s="156"/>
      <c r="P98" s="156"/>
      <c r="Q98" s="156"/>
      <c r="S98" s="129">
        <v>10844.05</v>
      </c>
    </row>
    <row r="99" spans="3:19" ht="12" customHeight="1" x14ac:dyDescent="0.2">
      <c r="C99" s="156" t="s">
        <v>125</v>
      </c>
      <c r="D99" s="156"/>
      <c r="E99" s="156"/>
      <c r="F99" s="156"/>
      <c r="H99" s="156" t="s">
        <v>126</v>
      </c>
      <c r="I99" s="156"/>
      <c r="J99" s="156"/>
      <c r="K99" s="156"/>
      <c r="L99" s="156"/>
      <c r="M99" s="156"/>
      <c r="N99" s="156"/>
      <c r="O99" s="156"/>
      <c r="P99" s="156"/>
      <c r="Q99" s="156"/>
      <c r="S99" s="129">
        <v>123853.72</v>
      </c>
    </row>
    <row r="100" spans="3:19" ht="12" customHeight="1" x14ac:dyDescent="0.2">
      <c r="C100" s="156" t="s">
        <v>127</v>
      </c>
      <c r="D100" s="156"/>
      <c r="E100" s="156"/>
      <c r="F100" s="156"/>
      <c r="H100" s="156" t="s">
        <v>128</v>
      </c>
      <c r="I100" s="156"/>
      <c r="J100" s="156"/>
      <c r="K100" s="156"/>
      <c r="L100" s="156"/>
      <c r="M100" s="156"/>
      <c r="N100" s="156"/>
      <c r="O100" s="156"/>
      <c r="P100" s="156"/>
      <c r="Q100" s="156"/>
      <c r="S100" s="129">
        <v>133600.62</v>
      </c>
    </row>
    <row r="101" spans="3:19" ht="12" customHeight="1" x14ac:dyDescent="0.2">
      <c r="C101" s="156" t="s">
        <v>129</v>
      </c>
      <c r="D101" s="156"/>
      <c r="E101" s="156"/>
      <c r="F101" s="156"/>
      <c r="H101" s="156" t="s">
        <v>130</v>
      </c>
      <c r="I101" s="156"/>
      <c r="J101" s="156"/>
      <c r="K101" s="156"/>
      <c r="L101" s="156"/>
      <c r="M101" s="156"/>
      <c r="N101" s="156"/>
      <c r="O101" s="156"/>
      <c r="P101" s="156"/>
      <c r="Q101" s="156"/>
      <c r="S101" s="129">
        <v>95823.6</v>
      </c>
    </row>
    <row r="102" spans="3:19" ht="12" customHeight="1" x14ac:dyDescent="0.2">
      <c r="C102" s="156">
        <v>2242</v>
      </c>
      <c r="D102" s="156"/>
      <c r="E102" s="156"/>
      <c r="F102" s="156"/>
      <c r="H102" s="156" t="s">
        <v>643</v>
      </c>
      <c r="I102" s="156"/>
      <c r="J102" s="156"/>
      <c r="K102" s="156"/>
      <c r="L102" s="156"/>
      <c r="M102" s="156"/>
      <c r="N102" s="156"/>
      <c r="O102" s="156"/>
      <c r="P102" s="156"/>
      <c r="Q102" s="156"/>
      <c r="S102" s="129">
        <v>0</v>
      </c>
    </row>
    <row r="103" spans="3:19" ht="12" customHeight="1" x14ac:dyDescent="0.2">
      <c r="C103" s="156">
        <v>2244</v>
      </c>
      <c r="D103" s="156"/>
      <c r="E103" s="156"/>
      <c r="F103" s="156"/>
      <c r="H103" s="156" t="s">
        <v>608</v>
      </c>
      <c r="I103" s="156"/>
      <c r="J103" s="156"/>
      <c r="K103" s="156"/>
      <c r="L103" s="156"/>
      <c r="M103" s="156"/>
      <c r="N103" s="156"/>
      <c r="O103" s="156"/>
      <c r="P103" s="156"/>
      <c r="Q103" s="156"/>
      <c r="S103" s="129">
        <v>0</v>
      </c>
    </row>
    <row r="104" spans="3:19" ht="12" customHeight="1" x14ac:dyDescent="0.2">
      <c r="C104" s="156" t="s">
        <v>227</v>
      </c>
      <c r="D104" s="156"/>
      <c r="E104" s="156"/>
      <c r="F104" s="156"/>
      <c r="H104" s="156" t="s">
        <v>228</v>
      </c>
      <c r="I104" s="156"/>
      <c r="J104" s="156"/>
      <c r="K104" s="156"/>
      <c r="L104" s="156"/>
      <c r="M104" s="156"/>
      <c r="N104" s="156"/>
      <c r="O104" s="156"/>
      <c r="P104" s="156"/>
      <c r="Q104" s="156"/>
      <c r="S104" s="129">
        <v>22639</v>
      </c>
    </row>
    <row r="105" spans="3:19" ht="12" customHeight="1" x14ac:dyDescent="0.2">
      <c r="C105" s="156">
        <v>2246</v>
      </c>
      <c r="D105" s="156"/>
      <c r="E105" s="156"/>
      <c r="F105" s="156"/>
      <c r="H105" s="156" t="s">
        <v>135</v>
      </c>
      <c r="I105" s="156"/>
      <c r="J105" s="156"/>
      <c r="K105" s="156"/>
      <c r="L105" s="156"/>
      <c r="M105" s="156"/>
      <c r="N105" s="156"/>
      <c r="O105" s="156"/>
      <c r="P105" s="156"/>
      <c r="Q105" s="156"/>
      <c r="S105" s="129">
        <v>0</v>
      </c>
    </row>
    <row r="106" spans="3:19" ht="12" customHeight="1" x14ac:dyDescent="0.2">
      <c r="C106" s="156">
        <v>2247</v>
      </c>
      <c r="D106" s="156"/>
      <c r="E106" s="156"/>
      <c r="F106" s="156"/>
      <c r="H106" s="156" t="s">
        <v>609</v>
      </c>
      <c r="I106" s="156"/>
      <c r="J106" s="156"/>
      <c r="K106" s="156"/>
      <c r="L106" s="156"/>
      <c r="M106" s="156"/>
      <c r="N106" s="156"/>
      <c r="O106" s="156"/>
      <c r="P106" s="156"/>
      <c r="Q106" s="156"/>
      <c r="S106" s="129">
        <v>0</v>
      </c>
    </row>
    <row r="107" spans="3:19" ht="12" customHeight="1" x14ac:dyDescent="0.2">
      <c r="C107" s="156">
        <v>2248</v>
      </c>
      <c r="D107" s="156"/>
      <c r="E107" s="156"/>
      <c r="F107" s="156"/>
      <c r="H107" s="156" t="s">
        <v>610</v>
      </c>
      <c r="I107" s="156"/>
      <c r="J107" s="156"/>
      <c r="K107" s="156"/>
      <c r="L107" s="156"/>
      <c r="M107" s="156"/>
      <c r="N107" s="156"/>
      <c r="O107" s="156"/>
      <c r="P107" s="156"/>
      <c r="Q107" s="156"/>
      <c r="S107" s="129">
        <v>0</v>
      </c>
    </row>
    <row r="108" spans="3:19" ht="12" customHeight="1" x14ac:dyDescent="0.2">
      <c r="C108" s="156">
        <v>2249</v>
      </c>
      <c r="D108" s="156"/>
      <c r="E108" s="156"/>
      <c r="F108" s="156"/>
      <c r="H108" s="156" t="s">
        <v>141</v>
      </c>
      <c r="I108" s="156"/>
      <c r="J108" s="156"/>
      <c r="K108" s="156"/>
      <c r="L108" s="156"/>
      <c r="M108" s="156"/>
      <c r="N108" s="156"/>
      <c r="O108" s="156"/>
      <c r="P108" s="156"/>
      <c r="Q108" s="156"/>
      <c r="S108" s="129">
        <v>0</v>
      </c>
    </row>
    <row r="109" spans="3:19" ht="12" customHeight="1" x14ac:dyDescent="0.2">
      <c r="C109" s="156" t="s">
        <v>142</v>
      </c>
      <c r="D109" s="156"/>
      <c r="E109" s="156"/>
      <c r="F109" s="156"/>
      <c r="H109" s="156" t="s">
        <v>143</v>
      </c>
      <c r="I109" s="156"/>
      <c r="J109" s="156"/>
      <c r="K109" s="156"/>
      <c r="L109" s="156"/>
      <c r="M109" s="156"/>
      <c r="N109" s="156"/>
      <c r="O109" s="156"/>
      <c r="P109" s="156"/>
      <c r="Q109" s="156"/>
      <c r="S109" s="129">
        <v>620977.18999999994</v>
      </c>
    </row>
    <row r="110" spans="3:19" ht="12" customHeight="1" x14ac:dyDescent="0.2">
      <c r="C110" s="156" t="s">
        <v>144</v>
      </c>
      <c r="D110" s="156"/>
      <c r="E110" s="156"/>
      <c r="F110" s="156"/>
      <c r="H110" s="156" t="s">
        <v>145</v>
      </c>
      <c r="I110" s="156"/>
      <c r="J110" s="156"/>
      <c r="K110" s="156"/>
      <c r="L110" s="156"/>
      <c r="M110" s="156"/>
      <c r="N110" s="156"/>
      <c r="O110" s="156"/>
      <c r="P110" s="156"/>
      <c r="Q110" s="156"/>
      <c r="S110" s="129">
        <v>4600000</v>
      </c>
    </row>
    <row r="111" spans="3:19" ht="12" customHeight="1" x14ac:dyDescent="0.2">
      <c r="C111" s="156">
        <v>2301</v>
      </c>
      <c r="D111" s="156"/>
      <c r="E111" s="156"/>
      <c r="F111" s="156"/>
      <c r="H111" s="156" t="s">
        <v>655</v>
      </c>
      <c r="I111" s="156"/>
      <c r="J111" s="156"/>
      <c r="K111" s="156"/>
      <c r="L111" s="156"/>
      <c r="M111" s="156"/>
      <c r="N111" s="156"/>
      <c r="O111" s="156"/>
      <c r="P111" s="156"/>
      <c r="Q111" s="156"/>
      <c r="S111" s="129">
        <v>2100000</v>
      </c>
    </row>
    <row r="112" spans="3:19" ht="12" customHeight="1" x14ac:dyDescent="0.2">
      <c r="C112" s="156">
        <v>2305</v>
      </c>
      <c r="D112" s="156"/>
      <c r="E112" s="156"/>
      <c r="F112" s="156"/>
      <c r="H112" s="156" t="s">
        <v>574</v>
      </c>
      <c r="I112" s="156"/>
      <c r="J112" s="156"/>
      <c r="K112" s="156"/>
      <c r="L112" s="156"/>
      <c r="M112" s="156"/>
      <c r="N112" s="156"/>
      <c r="O112" s="156"/>
      <c r="P112" s="156"/>
      <c r="Q112" s="156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56" t="s">
        <v>665</v>
      </c>
      <c r="I113" s="156"/>
      <c r="J113" s="156"/>
      <c r="K113" s="156"/>
      <c r="L113" s="156"/>
      <c r="M113" s="156"/>
      <c r="N113" s="156"/>
      <c r="O113" s="156"/>
      <c r="P113" s="156"/>
      <c r="Q113" s="156"/>
      <c r="S113" s="129">
        <v>0</v>
      </c>
    </row>
    <row r="114" spans="2:23" ht="12" customHeight="1" x14ac:dyDescent="0.2">
      <c r="C114" s="156" t="s">
        <v>146</v>
      </c>
      <c r="D114" s="156"/>
      <c r="E114" s="156"/>
      <c r="F114" s="156"/>
      <c r="H114" s="156" t="s">
        <v>644</v>
      </c>
      <c r="I114" s="156"/>
      <c r="J114" s="156"/>
      <c r="K114" s="156"/>
      <c r="L114" s="156"/>
      <c r="M114" s="156"/>
      <c r="N114" s="156"/>
      <c r="O114" s="156"/>
      <c r="P114" s="156"/>
      <c r="Q114" s="156"/>
      <c r="S114" s="129">
        <v>0</v>
      </c>
    </row>
    <row r="115" spans="2:23" ht="12" customHeight="1" x14ac:dyDescent="0.2">
      <c r="C115" s="156" t="s">
        <v>147</v>
      </c>
      <c r="D115" s="156"/>
      <c r="E115" s="156"/>
      <c r="F115" s="156"/>
      <c r="H115" s="156" t="s">
        <v>696</v>
      </c>
      <c r="I115" s="156"/>
      <c r="J115" s="156"/>
      <c r="K115" s="156"/>
      <c r="L115" s="156"/>
      <c r="M115" s="156"/>
      <c r="N115" s="156"/>
      <c r="O115" s="156"/>
      <c r="P115" s="156"/>
      <c r="Q115" s="156"/>
      <c r="S115" s="129">
        <v>0</v>
      </c>
    </row>
    <row r="116" spans="2:23" ht="12" customHeight="1" x14ac:dyDescent="0.2">
      <c r="C116" s="156" t="s">
        <v>587</v>
      </c>
      <c r="D116" s="156"/>
      <c r="E116" s="156"/>
      <c r="F116" s="156"/>
      <c r="H116" s="156" t="s">
        <v>691</v>
      </c>
      <c r="I116" s="156"/>
      <c r="J116" s="156"/>
      <c r="K116" s="156"/>
      <c r="L116" s="156"/>
      <c r="M116" s="156"/>
      <c r="N116" s="156"/>
      <c r="O116" s="156"/>
      <c r="P116" s="156"/>
      <c r="Q116" s="156"/>
      <c r="S116" s="132">
        <v>0</v>
      </c>
    </row>
    <row r="117" spans="2:23" ht="12" customHeight="1" x14ac:dyDescent="0.2">
      <c r="H117" s="157" t="s">
        <v>148</v>
      </c>
      <c r="I117" s="157"/>
      <c r="J117" s="157"/>
      <c r="K117" s="157"/>
      <c r="L117" s="157"/>
      <c r="M117" s="157"/>
      <c r="N117" s="157"/>
      <c r="O117" s="157"/>
      <c r="P117" s="157"/>
      <c r="U117" s="160">
        <f>SUM(S85:S116)</f>
        <v>52932604.209999986</v>
      </c>
      <c r="V117" s="160"/>
      <c r="W117" s="160"/>
    </row>
    <row r="118" spans="2:23" ht="12" customHeight="1" x14ac:dyDescent="0.2"/>
    <row r="119" spans="2:23" ht="12" customHeight="1" x14ac:dyDescent="0.2">
      <c r="B119" s="157" t="s">
        <v>149</v>
      </c>
      <c r="C119" s="157"/>
      <c r="D119" s="157"/>
      <c r="E119" s="157"/>
      <c r="F119" s="157"/>
      <c r="G119" s="157"/>
      <c r="H119" s="157"/>
      <c r="I119" s="157"/>
      <c r="J119" s="157"/>
      <c r="K119" s="157"/>
    </row>
    <row r="120" spans="2:23" ht="12" customHeight="1" x14ac:dyDescent="0.2"/>
    <row r="121" spans="2:23" ht="12" customHeight="1" x14ac:dyDescent="0.2">
      <c r="C121" s="156" t="s">
        <v>229</v>
      </c>
      <c r="D121" s="156"/>
      <c r="E121" s="156"/>
      <c r="F121" s="156"/>
      <c r="H121" s="156" t="s">
        <v>230</v>
      </c>
      <c r="I121" s="156"/>
      <c r="J121" s="156"/>
      <c r="K121" s="156"/>
      <c r="L121" s="156"/>
      <c r="M121" s="156"/>
      <c r="N121" s="156"/>
      <c r="O121" s="156"/>
      <c r="P121" s="156"/>
      <c r="Q121" s="156"/>
      <c r="S121" s="129">
        <v>0</v>
      </c>
    </row>
    <row r="122" spans="2:23" ht="12" customHeight="1" x14ac:dyDescent="0.2">
      <c r="C122" s="156" t="s">
        <v>150</v>
      </c>
      <c r="D122" s="156"/>
      <c r="E122" s="156"/>
      <c r="F122" s="156"/>
      <c r="H122" s="156" t="s">
        <v>151</v>
      </c>
      <c r="I122" s="156"/>
      <c r="J122" s="156"/>
      <c r="K122" s="156"/>
      <c r="L122" s="156"/>
      <c r="M122" s="156"/>
      <c r="N122" s="156"/>
      <c r="O122" s="156"/>
      <c r="P122" s="156"/>
      <c r="Q122" s="156"/>
      <c r="S122" s="129">
        <v>0</v>
      </c>
    </row>
    <row r="123" spans="2:23" ht="12" customHeight="1" x14ac:dyDescent="0.2">
      <c r="C123" s="156" t="s">
        <v>152</v>
      </c>
      <c r="D123" s="156"/>
      <c r="E123" s="156"/>
      <c r="F123" s="156"/>
      <c r="H123" s="156" t="s">
        <v>153</v>
      </c>
      <c r="I123" s="156"/>
      <c r="J123" s="156"/>
      <c r="K123" s="156"/>
      <c r="L123" s="156"/>
      <c r="M123" s="156"/>
      <c r="N123" s="156"/>
      <c r="O123" s="156"/>
      <c r="P123" s="156"/>
      <c r="Q123" s="156"/>
      <c r="S123" s="129">
        <v>16195.44</v>
      </c>
    </row>
    <row r="124" spans="2:23" ht="12" customHeight="1" x14ac:dyDescent="0.2">
      <c r="C124" s="156" t="s">
        <v>154</v>
      </c>
      <c r="D124" s="156"/>
      <c r="E124" s="156"/>
      <c r="F124" s="156"/>
      <c r="H124" s="156" t="s">
        <v>155</v>
      </c>
      <c r="I124" s="156"/>
      <c r="J124" s="156"/>
      <c r="K124" s="156"/>
      <c r="L124" s="156"/>
      <c r="M124" s="156"/>
      <c r="N124" s="156"/>
      <c r="O124" s="156"/>
      <c r="P124" s="156"/>
      <c r="Q124" s="156"/>
      <c r="S124" s="129">
        <v>4200.3599999999997</v>
      </c>
    </row>
    <row r="125" spans="2:23" ht="12" customHeight="1" x14ac:dyDescent="0.2">
      <c r="C125" s="156" t="s">
        <v>156</v>
      </c>
      <c r="D125" s="156"/>
      <c r="E125" s="156"/>
      <c r="F125" s="156"/>
      <c r="H125" s="156" t="s">
        <v>157</v>
      </c>
      <c r="I125" s="156"/>
      <c r="J125" s="156"/>
      <c r="K125" s="156"/>
      <c r="L125" s="156"/>
      <c r="M125" s="156"/>
      <c r="N125" s="156"/>
      <c r="O125" s="156"/>
      <c r="P125" s="156"/>
      <c r="Q125" s="156"/>
      <c r="S125" s="132">
        <v>19160.82</v>
      </c>
    </row>
    <row r="126" spans="2:23" ht="12" customHeight="1" x14ac:dyDescent="0.2">
      <c r="C126" s="156">
        <v>2431</v>
      </c>
      <c r="D126" s="156"/>
      <c r="E126" s="156"/>
      <c r="F126" s="156"/>
      <c r="H126" s="156" t="s">
        <v>545</v>
      </c>
      <c r="I126" s="156"/>
      <c r="J126" s="156"/>
      <c r="K126" s="156"/>
      <c r="L126" s="156"/>
      <c r="M126" s="156"/>
      <c r="N126" s="156"/>
      <c r="O126" s="156"/>
      <c r="P126" s="156"/>
      <c r="Q126" s="156"/>
      <c r="S126" s="78">
        <v>0</v>
      </c>
    </row>
    <row r="127" spans="2:23" ht="12" customHeight="1" x14ac:dyDescent="0.2">
      <c r="C127" s="156">
        <v>2432</v>
      </c>
      <c r="D127" s="156"/>
      <c r="E127" s="156"/>
      <c r="F127" s="156"/>
      <c r="H127" s="156" t="s">
        <v>667</v>
      </c>
      <c r="I127" s="156"/>
      <c r="J127" s="156"/>
      <c r="K127" s="156"/>
      <c r="L127" s="156"/>
      <c r="M127" s="156"/>
      <c r="N127" s="156"/>
      <c r="O127" s="156"/>
      <c r="P127" s="156"/>
      <c r="Q127" s="156"/>
      <c r="S127" s="78">
        <v>0</v>
      </c>
    </row>
    <row r="128" spans="2:23" ht="12" customHeight="1" x14ac:dyDescent="0.2">
      <c r="C128" s="156">
        <v>2433</v>
      </c>
      <c r="D128" s="156"/>
      <c r="E128" s="156"/>
      <c r="F128" s="156"/>
      <c r="H128" s="156" t="s">
        <v>544</v>
      </c>
      <c r="I128" s="156"/>
      <c r="J128" s="156"/>
      <c r="K128" s="156"/>
      <c r="L128" s="156"/>
      <c r="M128" s="156"/>
      <c r="N128" s="156"/>
      <c r="O128" s="156"/>
      <c r="P128" s="156"/>
      <c r="Q128" s="156"/>
      <c r="S128" s="78">
        <v>0</v>
      </c>
    </row>
    <row r="129" spans="1:23" ht="12" customHeight="1" x14ac:dyDescent="0.2">
      <c r="H129" s="157" t="s">
        <v>158</v>
      </c>
      <c r="I129" s="157"/>
      <c r="J129" s="157"/>
      <c r="K129" s="157"/>
      <c r="L129" s="157"/>
      <c r="M129" s="157"/>
      <c r="N129" s="157"/>
      <c r="O129" s="157"/>
      <c r="P129" s="157"/>
      <c r="U129" s="161">
        <f>SUM(S121:S128)</f>
        <v>39556.619999999995</v>
      </c>
      <c r="V129" s="161"/>
      <c r="W129" s="161"/>
    </row>
    <row r="130" spans="1:23" ht="12" customHeight="1" x14ac:dyDescent="0.2"/>
    <row r="131" spans="1:23" ht="12" customHeight="1" x14ac:dyDescent="0.2">
      <c r="I131" s="157" t="s">
        <v>159</v>
      </c>
      <c r="J131" s="157"/>
      <c r="K131" s="157"/>
      <c r="L131" s="157"/>
      <c r="M131" s="157"/>
      <c r="N131" s="157"/>
      <c r="O131" s="157"/>
      <c r="P131" s="157"/>
      <c r="U131" s="160">
        <f>U117+U129</f>
        <v>52972160.829999983</v>
      </c>
      <c r="V131" s="160"/>
      <c r="W131" s="160"/>
    </row>
    <row r="132" spans="1:23" ht="12" customHeight="1" x14ac:dyDescent="0.2"/>
    <row r="133" spans="1:23" ht="12" customHeight="1" x14ac:dyDescent="0.2">
      <c r="A133" s="157" t="s">
        <v>160</v>
      </c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</row>
    <row r="134" spans="1:23" ht="12" customHeight="1" x14ac:dyDescent="0.2">
      <c r="C134" s="156" t="s">
        <v>161</v>
      </c>
      <c r="D134" s="156"/>
      <c r="E134" s="156"/>
      <c r="F134" s="156"/>
      <c r="H134" s="156" t="s">
        <v>162</v>
      </c>
      <c r="I134" s="156"/>
      <c r="J134" s="156"/>
      <c r="K134" s="156"/>
      <c r="L134" s="156"/>
      <c r="M134" s="156"/>
      <c r="N134" s="156"/>
      <c r="O134" s="156"/>
      <c r="P134" s="156"/>
      <c r="Q134" s="156"/>
      <c r="S134" s="129">
        <v>152325</v>
      </c>
    </row>
    <row r="135" spans="1:23" ht="12" customHeight="1" x14ac:dyDescent="0.2">
      <c r="C135" s="156" t="s">
        <v>163</v>
      </c>
      <c r="D135" s="156"/>
      <c r="E135" s="156"/>
      <c r="F135" s="156"/>
      <c r="H135" s="156" t="s">
        <v>164</v>
      </c>
      <c r="I135" s="156"/>
      <c r="J135" s="156"/>
      <c r="K135" s="156"/>
      <c r="L135" s="156"/>
      <c r="M135" s="156"/>
      <c r="N135" s="156"/>
      <c r="O135" s="156"/>
      <c r="P135" s="156"/>
      <c r="Q135" s="156"/>
      <c r="S135" s="129">
        <v>1709758</v>
      </c>
    </row>
    <row r="136" spans="1:23" ht="12" customHeight="1" x14ac:dyDescent="0.2">
      <c r="C136" s="156" t="s">
        <v>165</v>
      </c>
      <c r="D136" s="156"/>
      <c r="E136" s="156"/>
      <c r="F136" s="156"/>
      <c r="H136" s="156" t="s">
        <v>166</v>
      </c>
      <c r="I136" s="156"/>
      <c r="J136" s="156"/>
      <c r="K136" s="156"/>
      <c r="L136" s="156"/>
      <c r="M136" s="156"/>
      <c r="N136" s="156"/>
      <c r="O136" s="156"/>
      <c r="P136" s="156"/>
      <c r="Q136" s="156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56" t="s">
        <v>167</v>
      </c>
      <c r="I137" s="156"/>
      <c r="J137" s="156"/>
      <c r="K137" s="156"/>
      <c r="L137" s="156"/>
      <c r="M137" s="156"/>
      <c r="N137" s="156"/>
      <c r="O137" s="156"/>
      <c r="P137" s="156"/>
      <c r="Q137" s="156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56" t="s">
        <v>547</v>
      </c>
      <c r="I138" s="156"/>
      <c r="J138" s="156"/>
      <c r="K138" s="156"/>
      <c r="L138" s="156"/>
      <c r="M138" s="156"/>
      <c r="N138" s="156"/>
      <c r="O138" s="156"/>
      <c r="P138" s="156"/>
      <c r="Q138" s="156"/>
      <c r="S138" s="129">
        <v>21195.55</v>
      </c>
    </row>
    <row r="139" spans="1:23" ht="12" customHeight="1" x14ac:dyDescent="0.2">
      <c r="C139" s="156" t="s">
        <v>168</v>
      </c>
      <c r="D139" s="156"/>
      <c r="E139" s="156"/>
      <c r="F139" s="156"/>
      <c r="H139" s="156" t="s">
        <v>169</v>
      </c>
      <c r="I139" s="156"/>
      <c r="J139" s="156"/>
      <c r="K139" s="156"/>
      <c r="L139" s="156"/>
      <c r="M139" s="156"/>
      <c r="N139" s="156"/>
      <c r="O139" s="156"/>
      <c r="P139" s="156"/>
      <c r="Q139" s="156"/>
      <c r="S139" s="129">
        <v>-1983.47</v>
      </c>
    </row>
    <row r="140" spans="1:23" ht="12" customHeight="1" x14ac:dyDescent="0.2">
      <c r="C140" s="156" t="s">
        <v>170</v>
      </c>
      <c r="D140" s="156"/>
      <c r="E140" s="156"/>
      <c r="F140" s="156"/>
      <c r="H140" s="156" t="s">
        <v>171</v>
      </c>
      <c r="I140" s="156"/>
      <c r="J140" s="156"/>
      <c r="K140" s="156"/>
      <c r="L140" s="156"/>
      <c r="M140" s="156"/>
      <c r="N140" s="156"/>
      <c r="O140" s="156"/>
      <c r="P140" s="156"/>
      <c r="Q140" s="156"/>
      <c r="S140" s="129">
        <v>-6000</v>
      </c>
    </row>
    <row r="141" spans="1:23" ht="12" customHeight="1" x14ac:dyDescent="0.2">
      <c r="C141" s="156" t="s">
        <v>172</v>
      </c>
      <c r="D141" s="156"/>
      <c r="E141" s="156"/>
      <c r="F141" s="156"/>
      <c r="H141" s="156" t="s">
        <v>173</v>
      </c>
      <c r="I141" s="156"/>
      <c r="J141" s="156"/>
      <c r="K141" s="156"/>
      <c r="L141" s="156"/>
      <c r="M141" s="156"/>
      <c r="N141" s="156"/>
      <c r="O141" s="156"/>
      <c r="P141" s="156"/>
      <c r="Q141" s="156"/>
      <c r="S141" s="129">
        <v>-6000</v>
      </c>
    </row>
    <row r="142" spans="1:23" ht="12" customHeight="1" x14ac:dyDescent="0.2">
      <c r="C142" s="156" t="s">
        <v>174</v>
      </c>
      <c r="D142" s="156"/>
      <c r="E142" s="156"/>
      <c r="F142" s="156"/>
      <c r="H142" s="156" t="s">
        <v>175</v>
      </c>
      <c r="I142" s="156"/>
      <c r="J142" s="156"/>
      <c r="K142" s="156"/>
      <c r="L142" s="156"/>
      <c r="M142" s="156"/>
      <c r="N142" s="156"/>
      <c r="O142" s="156"/>
      <c r="P142" s="156"/>
      <c r="Q142" s="156"/>
      <c r="S142" s="129">
        <v>-6000</v>
      </c>
    </row>
    <row r="143" spans="1:23" ht="12" customHeight="1" x14ac:dyDescent="0.2">
      <c r="C143" s="156" t="s">
        <v>231</v>
      </c>
      <c r="D143" s="156"/>
      <c r="E143" s="156"/>
      <c r="F143" s="156"/>
      <c r="H143" s="156" t="s">
        <v>232</v>
      </c>
      <c r="I143" s="156"/>
      <c r="J143" s="156"/>
      <c r="K143" s="156"/>
      <c r="L143" s="156"/>
      <c r="M143" s="156"/>
      <c r="N143" s="156"/>
      <c r="O143" s="156"/>
      <c r="P143" s="156"/>
      <c r="Q143" s="156"/>
      <c r="S143" s="132">
        <v>-11008.26</v>
      </c>
    </row>
    <row r="144" spans="1:23" ht="12" customHeight="1" x14ac:dyDescent="0.2">
      <c r="I144" s="157" t="s">
        <v>176</v>
      </c>
      <c r="J144" s="157"/>
      <c r="K144" s="157"/>
      <c r="L144" s="157"/>
      <c r="M144" s="157"/>
      <c r="N144" s="157"/>
      <c r="O144" s="157"/>
      <c r="P144" s="157"/>
      <c r="U144" s="167">
        <f>SUM(S134:S143)</f>
        <v>11306188.040000001</v>
      </c>
      <c r="V144" s="167"/>
      <c r="W144" s="167"/>
    </row>
    <row r="145" spans="9:23" ht="12" customHeight="1" x14ac:dyDescent="0.2"/>
    <row r="146" spans="9:23" ht="12" customHeight="1" x14ac:dyDescent="0.2">
      <c r="I146" s="157" t="s">
        <v>177</v>
      </c>
      <c r="J146" s="157"/>
      <c r="K146" s="157"/>
      <c r="L146" s="157"/>
      <c r="M146" s="157"/>
      <c r="N146" s="157"/>
      <c r="O146" s="157"/>
      <c r="P146" s="157"/>
    </row>
    <row r="147" spans="9:23" ht="12" customHeight="1" thickBot="1" x14ac:dyDescent="0.25">
      <c r="I147" s="157"/>
      <c r="J147" s="157"/>
      <c r="K147" s="157"/>
      <c r="L147" s="157"/>
      <c r="M147" s="157"/>
      <c r="N147" s="157"/>
      <c r="O147" s="157"/>
      <c r="P147" s="157"/>
      <c r="U147" s="184">
        <f>U131+U144</f>
        <v>64278348.869999982</v>
      </c>
      <c r="V147" s="184"/>
      <c r="W147" s="184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12" customHeight="1" x14ac:dyDescent="0.2">
      <c r="A2" s="186" t="s">
        <v>702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ht="12" customHeight="1" x14ac:dyDescent="0.2"/>
    <row r="4" spans="1:24" ht="12" customHeight="1" x14ac:dyDescent="0.2">
      <c r="A4" s="187" t="s">
        <v>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24" ht="12" customHeight="1" x14ac:dyDescent="0.2"/>
    <row r="6" spans="1:24" ht="12" customHeight="1" x14ac:dyDescent="0.2">
      <c r="B6" s="187" t="s">
        <v>3</v>
      </c>
      <c r="C6" s="187"/>
      <c r="D6" s="187"/>
      <c r="E6" s="187"/>
      <c r="F6" s="187"/>
      <c r="G6" s="187"/>
      <c r="H6" s="187"/>
      <c r="I6" s="187"/>
      <c r="J6" s="187"/>
      <c r="K6" s="187"/>
    </row>
    <row r="7" spans="1:24" ht="12" customHeight="1" x14ac:dyDescent="0.2">
      <c r="C7" s="185" t="s">
        <v>8</v>
      </c>
      <c r="D7" s="185"/>
      <c r="E7" s="185"/>
      <c r="F7" s="185"/>
      <c r="H7" s="185" t="s">
        <v>179</v>
      </c>
      <c r="I7" s="185"/>
      <c r="J7" s="185"/>
      <c r="K7" s="185"/>
      <c r="L7" s="185"/>
      <c r="M7" s="185"/>
      <c r="N7" s="185"/>
      <c r="O7" s="185"/>
      <c r="P7" s="185"/>
      <c r="Q7" s="185"/>
      <c r="S7" s="5">
        <v>90785.4</v>
      </c>
    </row>
    <row r="8" spans="1:24" ht="12" customHeight="1" x14ac:dyDescent="0.2">
      <c r="C8" s="185" t="s">
        <v>16</v>
      </c>
      <c r="D8" s="185"/>
      <c r="E8" s="185"/>
      <c r="F8" s="185"/>
      <c r="H8" s="185" t="s">
        <v>17</v>
      </c>
      <c r="I8" s="185"/>
      <c r="J8" s="185"/>
      <c r="K8" s="185"/>
      <c r="L8" s="185"/>
      <c r="M8" s="185"/>
      <c r="N8" s="185"/>
      <c r="O8" s="185"/>
      <c r="P8" s="185"/>
      <c r="Q8" s="185"/>
      <c r="S8" s="5">
        <v>969431.54</v>
      </c>
    </row>
    <row r="9" spans="1:24" ht="12" customHeight="1" x14ac:dyDescent="0.2">
      <c r="C9" s="185" t="s">
        <v>180</v>
      </c>
      <c r="D9" s="185"/>
      <c r="E9" s="185"/>
      <c r="F9" s="185"/>
      <c r="H9" s="185" t="s">
        <v>181</v>
      </c>
      <c r="I9" s="185"/>
      <c r="J9" s="185"/>
      <c r="K9" s="185"/>
      <c r="L9" s="185"/>
      <c r="M9" s="185"/>
      <c r="N9" s="185"/>
      <c r="O9" s="185"/>
      <c r="P9" s="185"/>
      <c r="Q9" s="185"/>
      <c r="S9" s="5">
        <v>0</v>
      </c>
    </row>
    <row r="10" spans="1:24" ht="12" customHeight="1" x14ac:dyDescent="0.2">
      <c r="C10" s="185" t="s">
        <v>18</v>
      </c>
      <c r="D10" s="185"/>
      <c r="E10" s="185"/>
      <c r="F10" s="185"/>
      <c r="H10" s="185" t="s">
        <v>19</v>
      </c>
      <c r="I10" s="185"/>
      <c r="J10" s="185"/>
      <c r="K10" s="185"/>
      <c r="L10" s="185"/>
      <c r="M10" s="185"/>
      <c r="N10" s="185"/>
      <c r="O10" s="185"/>
      <c r="P10" s="185"/>
      <c r="Q10" s="185"/>
      <c r="S10" s="5">
        <v>6479.4</v>
      </c>
    </row>
    <row r="11" spans="1:24" ht="12" customHeight="1" x14ac:dyDescent="0.2">
      <c r="C11" s="185" t="s">
        <v>20</v>
      </c>
      <c r="D11" s="185"/>
      <c r="E11" s="185"/>
      <c r="F11" s="185"/>
      <c r="H11" s="185" t="s">
        <v>21</v>
      </c>
      <c r="I11" s="185"/>
      <c r="J11" s="185"/>
      <c r="K11" s="185"/>
      <c r="L11" s="185"/>
      <c r="M11" s="185"/>
      <c r="N11" s="185"/>
      <c r="O11" s="185"/>
      <c r="P11" s="185"/>
      <c r="Q11" s="185"/>
      <c r="S11" s="5">
        <v>0</v>
      </c>
    </row>
    <row r="12" spans="1:24" ht="12" customHeight="1" x14ac:dyDescent="0.2">
      <c r="C12" s="185" t="s">
        <v>22</v>
      </c>
      <c r="D12" s="185"/>
      <c r="E12" s="185"/>
      <c r="F12" s="185"/>
      <c r="H12" s="185" t="s">
        <v>23</v>
      </c>
      <c r="I12" s="185"/>
      <c r="J12" s="185"/>
      <c r="K12" s="185"/>
      <c r="L12" s="185"/>
      <c r="M12" s="185"/>
      <c r="N12" s="185"/>
      <c r="O12" s="185"/>
      <c r="P12" s="185"/>
      <c r="Q12" s="185"/>
      <c r="S12" s="5">
        <v>0</v>
      </c>
    </row>
    <row r="13" spans="1:24" ht="12" customHeight="1" x14ac:dyDescent="0.2">
      <c r="C13" s="185">
        <v>1224</v>
      </c>
      <c r="D13" s="185"/>
      <c r="E13" s="185"/>
      <c r="F13" s="185"/>
      <c r="H13" s="185" t="s">
        <v>25</v>
      </c>
      <c r="I13" s="185"/>
      <c r="J13" s="185"/>
      <c r="K13" s="185"/>
      <c r="L13" s="185"/>
      <c r="M13" s="185"/>
      <c r="N13" s="185"/>
      <c r="O13" s="185"/>
      <c r="P13" s="185"/>
      <c r="Q13" s="185"/>
      <c r="S13" s="5">
        <v>0</v>
      </c>
    </row>
    <row r="14" spans="1:24" ht="12" customHeight="1" x14ac:dyDescent="0.2">
      <c r="C14" s="185" t="s">
        <v>26</v>
      </c>
      <c r="D14" s="185"/>
      <c r="E14" s="185"/>
      <c r="F14" s="185"/>
      <c r="H14" s="185" t="s">
        <v>233</v>
      </c>
      <c r="I14" s="185"/>
      <c r="J14" s="185"/>
      <c r="K14" s="185"/>
      <c r="L14" s="185"/>
      <c r="M14" s="185"/>
      <c r="N14" s="185"/>
      <c r="O14" s="185"/>
      <c r="P14" s="185"/>
      <c r="Q14" s="185"/>
      <c r="S14" s="5">
        <v>0</v>
      </c>
    </row>
    <row r="15" spans="1:24" ht="12" customHeight="1" x14ac:dyDescent="0.2">
      <c r="C15" s="185" t="s">
        <v>28</v>
      </c>
      <c r="D15" s="185"/>
      <c r="E15" s="185"/>
      <c r="F15" s="185"/>
      <c r="H15" s="185" t="s">
        <v>234</v>
      </c>
      <c r="I15" s="185"/>
      <c r="J15" s="185"/>
      <c r="K15" s="185"/>
      <c r="L15" s="185"/>
      <c r="M15" s="185"/>
      <c r="N15" s="185"/>
      <c r="O15" s="185"/>
      <c r="P15" s="185"/>
      <c r="Q15" s="185"/>
      <c r="S15" s="5">
        <v>0</v>
      </c>
    </row>
    <row r="16" spans="1:24" ht="12" customHeight="1" x14ac:dyDescent="0.2">
      <c r="C16" s="185" t="s">
        <v>30</v>
      </c>
      <c r="D16" s="185"/>
      <c r="E16" s="185"/>
      <c r="F16" s="185"/>
      <c r="H16" s="185" t="s">
        <v>31</v>
      </c>
      <c r="I16" s="185"/>
      <c r="J16" s="185"/>
      <c r="K16" s="185"/>
      <c r="L16" s="185"/>
      <c r="M16" s="185"/>
      <c r="N16" s="185"/>
      <c r="O16" s="185"/>
      <c r="P16" s="185"/>
      <c r="Q16" s="185"/>
      <c r="S16" s="5">
        <v>0</v>
      </c>
    </row>
    <row r="17" spans="1:23" ht="12" customHeight="1" x14ac:dyDescent="0.2">
      <c r="C17" s="185" t="s">
        <v>46</v>
      </c>
      <c r="D17" s="185"/>
      <c r="E17" s="185"/>
      <c r="F17" s="185"/>
      <c r="H17" s="185" t="s">
        <v>196</v>
      </c>
      <c r="I17" s="185"/>
      <c r="J17" s="185"/>
      <c r="K17" s="185"/>
      <c r="L17" s="185"/>
      <c r="M17" s="185"/>
      <c r="N17" s="185"/>
      <c r="O17" s="185"/>
      <c r="P17" s="185"/>
      <c r="Q17" s="185"/>
      <c r="S17" s="5">
        <v>0</v>
      </c>
    </row>
    <row r="18" spans="1:23" ht="12" customHeight="1" x14ac:dyDescent="0.2">
      <c r="C18" s="185" t="s">
        <v>56</v>
      </c>
      <c r="D18" s="185"/>
      <c r="E18" s="185"/>
      <c r="F18" s="185"/>
      <c r="H18" s="185" t="s">
        <v>185</v>
      </c>
      <c r="I18" s="185"/>
      <c r="J18" s="185"/>
      <c r="K18" s="185"/>
      <c r="L18" s="185"/>
      <c r="M18" s="185"/>
      <c r="N18" s="185"/>
      <c r="O18" s="185"/>
      <c r="P18" s="185"/>
      <c r="Q18" s="185"/>
      <c r="S18" s="5">
        <v>8248.91</v>
      </c>
    </row>
    <row r="19" spans="1:23" ht="12" customHeight="1" x14ac:dyDescent="0.2">
      <c r="C19" s="185">
        <v>1250</v>
      </c>
      <c r="D19" s="185"/>
      <c r="E19" s="185"/>
      <c r="F19" s="185"/>
      <c r="H19" s="185" t="s">
        <v>183</v>
      </c>
      <c r="I19" s="185"/>
      <c r="J19" s="185"/>
      <c r="K19" s="185"/>
      <c r="L19" s="185"/>
      <c r="M19" s="185"/>
      <c r="N19" s="185"/>
      <c r="O19" s="185"/>
      <c r="P19" s="185"/>
      <c r="Q19" s="185"/>
      <c r="S19" s="6">
        <v>2100000</v>
      </c>
    </row>
    <row r="20" spans="1:23" ht="12" customHeight="1" x14ac:dyDescent="0.2">
      <c r="H20" s="187" t="s">
        <v>73</v>
      </c>
      <c r="I20" s="187"/>
      <c r="J20" s="187"/>
      <c r="K20" s="187"/>
      <c r="L20" s="187"/>
      <c r="M20" s="187"/>
      <c r="N20" s="187"/>
      <c r="O20" s="187"/>
      <c r="P20" s="187"/>
      <c r="U20" s="188">
        <f>SUM(S7:S19)</f>
        <v>3174945.25</v>
      </c>
      <c r="V20" s="188"/>
      <c r="W20" s="188"/>
    </row>
    <row r="21" spans="1:23" ht="12" customHeight="1" x14ac:dyDescent="0.2"/>
    <row r="22" spans="1:23" ht="12" customHeight="1" x14ac:dyDescent="0.2">
      <c r="B22" s="187" t="s">
        <v>74</v>
      </c>
      <c r="C22" s="187"/>
      <c r="D22" s="187"/>
      <c r="E22" s="187"/>
      <c r="F22" s="187"/>
      <c r="G22" s="187"/>
      <c r="H22" s="187"/>
      <c r="I22" s="187"/>
      <c r="J22" s="187"/>
      <c r="K22" s="187"/>
    </row>
    <row r="23" spans="1:23" ht="12" customHeight="1" x14ac:dyDescent="0.2">
      <c r="C23" s="185" t="s">
        <v>75</v>
      </c>
      <c r="D23" s="185"/>
      <c r="E23" s="185"/>
      <c r="F23" s="185"/>
      <c r="H23" s="185" t="s">
        <v>186</v>
      </c>
      <c r="I23" s="185"/>
      <c r="J23" s="185"/>
      <c r="K23" s="185"/>
      <c r="L23" s="185"/>
      <c r="M23" s="185"/>
      <c r="N23" s="185"/>
      <c r="O23" s="185"/>
      <c r="P23" s="185"/>
      <c r="Q23" s="185"/>
      <c r="S23" s="5">
        <v>8577.17</v>
      </c>
    </row>
    <row r="24" spans="1:23" ht="12" customHeight="1" x14ac:dyDescent="0.2">
      <c r="C24" s="185" t="s">
        <v>87</v>
      </c>
      <c r="D24" s="185"/>
      <c r="E24" s="185"/>
      <c r="F24" s="185"/>
      <c r="H24" s="185" t="s">
        <v>88</v>
      </c>
      <c r="I24" s="185"/>
      <c r="J24" s="185"/>
      <c r="K24" s="185"/>
      <c r="L24" s="185"/>
      <c r="M24" s="185"/>
      <c r="N24" s="185"/>
      <c r="O24" s="185"/>
      <c r="P24" s="185"/>
      <c r="Q24" s="185"/>
      <c r="S24" s="5">
        <v>20237.79</v>
      </c>
    </row>
    <row r="25" spans="1:23" ht="12" customHeight="1" x14ac:dyDescent="0.2">
      <c r="C25" s="185" t="s">
        <v>99</v>
      </c>
      <c r="D25" s="185"/>
      <c r="E25" s="185"/>
      <c r="F25" s="185"/>
      <c r="H25" s="185" t="s">
        <v>187</v>
      </c>
      <c r="I25" s="185"/>
      <c r="J25" s="185"/>
      <c r="K25" s="185"/>
      <c r="L25" s="185"/>
      <c r="M25" s="185"/>
      <c r="N25" s="185"/>
      <c r="O25" s="185"/>
      <c r="P25" s="185"/>
      <c r="Q25" s="185"/>
      <c r="S25" s="6">
        <v>-12743.61</v>
      </c>
    </row>
    <row r="26" spans="1:23" ht="12" customHeight="1" x14ac:dyDescent="0.2">
      <c r="H26" s="187" t="s">
        <v>103</v>
      </c>
      <c r="I26" s="187"/>
      <c r="J26" s="187"/>
      <c r="K26" s="187"/>
      <c r="L26" s="187"/>
      <c r="M26" s="187"/>
      <c r="N26" s="187"/>
      <c r="O26" s="187"/>
      <c r="P26" s="187"/>
      <c r="U26" s="189">
        <f>SUM(S23:S25)</f>
        <v>16071.349999999999</v>
      </c>
      <c r="V26" s="189"/>
      <c r="W26" s="189"/>
    </row>
    <row r="27" spans="1:23" ht="12" customHeight="1" thickBot="1" x14ac:dyDescent="0.25">
      <c r="I27" s="187" t="s">
        <v>104</v>
      </c>
      <c r="J27" s="187"/>
      <c r="K27" s="187"/>
      <c r="L27" s="187"/>
      <c r="M27" s="187"/>
      <c r="N27" s="187"/>
      <c r="O27" s="187"/>
      <c r="P27" s="187"/>
      <c r="U27" s="190">
        <f>U20+U26</f>
        <v>3191016.6</v>
      </c>
      <c r="V27" s="190"/>
      <c r="W27" s="190"/>
    </row>
    <row r="28" spans="1:23" ht="12" customHeight="1" thickTop="1" x14ac:dyDescent="0.2"/>
    <row r="29" spans="1:23" ht="12" customHeight="1" x14ac:dyDescent="0.2">
      <c r="A29" s="187" t="s">
        <v>105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23" ht="12" customHeight="1" x14ac:dyDescent="0.2"/>
    <row r="31" spans="1:23" ht="12" customHeight="1" x14ac:dyDescent="0.2">
      <c r="B31" s="187" t="s">
        <v>106</v>
      </c>
      <c r="C31" s="187"/>
      <c r="D31" s="187"/>
      <c r="E31" s="187"/>
      <c r="F31" s="187"/>
      <c r="G31" s="187"/>
      <c r="H31" s="187"/>
      <c r="I31" s="187"/>
      <c r="J31" s="187"/>
      <c r="K31" s="187"/>
    </row>
    <row r="32" spans="1:23" ht="12" customHeight="1" x14ac:dyDescent="0.2">
      <c r="C32" s="185" t="s">
        <v>109</v>
      </c>
      <c r="D32" s="185"/>
      <c r="E32" s="185"/>
      <c r="F32" s="185"/>
      <c r="H32" s="185" t="s">
        <v>110</v>
      </c>
      <c r="I32" s="185"/>
      <c r="J32" s="185"/>
      <c r="K32" s="185"/>
      <c r="L32" s="185"/>
      <c r="M32" s="185"/>
      <c r="N32" s="185"/>
      <c r="O32" s="185"/>
      <c r="P32" s="185"/>
      <c r="Q32" s="185"/>
      <c r="S32" s="5">
        <v>639982.09</v>
      </c>
    </row>
    <row r="33" spans="1:23" ht="12" customHeight="1" x14ac:dyDescent="0.2">
      <c r="C33" s="185" t="s">
        <v>188</v>
      </c>
      <c r="D33" s="185"/>
      <c r="E33" s="185"/>
      <c r="F33" s="185"/>
      <c r="H33" s="185" t="s">
        <v>189</v>
      </c>
      <c r="I33" s="185"/>
      <c r="J33" s="185"/>
      <c r="K33" s="185"/>
      <c r="L33" s="185"/>
      <c r="M33" s="185"/>
      <c r="N33" s="185"/>
      <c r="O33" s="185"/>
      <c r="P33" s="185"/>
      <c r="Q33" s="185"/>
      <c r="S33" s="5">
        <v>149.47999999999999</v>
      </c>
    </row>
    <row r="34" spans="1:23" ht="12" customHeight="1" x14ac:dyDescent="0.2">
      <c r="C34" s="185">
        <v>2175</v>
      </c>
      <c r="D34" s="185"/>
      <c r="E34" s="185"/>
      <c r="F34" s="185"/>
      <c r="H34" s="185" t="s">
        <v>118</v>
      </c>
      <c r="I34" s="185"/>
      <c r="J34" s="185"/>
      <c r="K34" s="185"/>
      <c r="L34" s="185"/>
      <c r="M34" s="185"/>
      <c r="N34" s="185"/>
      <c r="O34" s="185"/>
      <c r="P34" s="185"/>
      <c r="Q34" s="185"/>
      <c r="S34" s="121">
        <v>6493</v>
      </c>
    </row>
    <row r="35" spans="1:23" ht="12" customHeight="1" x14ac:dyDescent="0.2">
      <c r="C35" s="185" t="s">
        <v>121</v>
      </c>
      <c r="D35" s="185"/>
      <c r="E35" s="185"/>
      <c r="F35" s="185"/>
      <c r="H35" s="185" t="s">
        <v>190</v>
      </c>
      <c r="I35" s="185"/>
      <c r="J35" s="185"/>
      <c r="K35" s="185"/>
      <c r="L35" s="185"/>
      <c r="M35" s="185"/>
      <c r="N35" s="185"/>
      <c r="O35" s="185"/>
      <c r="P35" s="185"/>
      <c r="Q35" s="185"/>
      <c r="S35" s="5">
        <v>3825</v>
      </c>
    </row>
    <row r="36" spans="1:23" ht="12" customHeight="1" x14ac:dyDescent="0.2">
      <c r="C36" s="185">
        <v>2230</v>
      </c>
      <c r="D36" s="185"/>
      <c r="E36" s="185"/>
      <c r="F36" s="185"/>
      <c r="H36" s="185" t="s">
        <v>597</v>
      </c>
      <c r="I36" s="185"/>
      <c r="J36" s="185"/>
      <c r="K36" s="185"/>
      <c r="L36" s="185"/>
      <c r="M36" s="185"/>
      <c r="N36" s="185"/>
      <c r="O36" s="185"/>
      <c r="P36" s="185"/>
      <c r="Q36" s="185"/>
      <c r="S36" s="136">
        <v>32247.19</v>
      </c>
    </row>
    <row r="37" spans="1:23" ht="12" customHeight="1" x14ac:dyDescent="0.2">
      <c r="C37" s="185" t="s">
        <v>129</v>
      </c>
      <c r="D37" s="185"/>
      <c r="E37" s="185"/>
      <c r="F37" s="185"/>
      <c r="H37" s="185" t="s">
        <v>191</v>
      </c>
      <c r="I37" s="185"/>
      <c r="J37" s="185"/>
      <c r="K37" s="185"/>
      <c r="L37" s="185"/>
      <c r="M37" s="185"/>
      <c r="N37" s="185"/>
      <c r="O37" s="185"/>
      <c r="P37" s="185"/>
      <c r="Q37" s="185"/>
      <c r="S37" s="5">
        <v>16838.03</v>
      </c>
    </row>
    <row r="38" spans="1:23" ht="12" customHeight="1" x14ac:dyDescent="0.2">
      <c r="C38" s="185">
        <v>2241</v>
      </c>
      <c r="D38" s="185"/>
      <c r="E38" s="185"/>
      <c r="F38" s="185"/>
      <c r="H38" s="185" t="s">
        <v>692</v>
      </c>
      <c r="I38" s="185"/>
      <c r="J38" s="185"/>
      <c r="K38" s="185"/>
      <c r="L38" s="185"/>
      <c r="M38" s="185"/>
      <c r="N38" s="185"/>
      <c r="O38" s="185"/>
      <c r="P38" s="185"/>
      <c r="Q38" s="185"/>
      <c r="S38" s="136">
        <v>36126.82</v>
      </c>
    </row>
    <row r="39" spans="1:23" ht="12" customHeight="1" x14ac:dyDescent="0.2">
      <c r="C39" s="185" t="s">
        <v>131</v>
      </c>
      <c r="D39" s="185"/>
      <c r="E39" s="185"/>
      <c r="F39" s="185"/>
      <c r="H39" s="185" t="s">
        <v>192</v>
      </c>
      <c r="I39" s="185"/>
      <c r="J39" s="185"/>
      <c r="K39" s="185"/>
      <c r="L39" s="185"/>
      <c r="M39" s="185"/>
      <c r="N39" s="185"/>
      <c r="O39" s="185"/>
      <c r="P39" s="185"/>
      <c r="Q39" s="185"/>
      <c r="S39" s="5">
        <v>2494</v>
      </c>
    </row>
    <row r="40" spans="1:23" ht="12" customHeight="1" x14ac:dyDescent="0.2">
      <c r="C40" s="185" t="s">
        <v>227</v>
      </c>
      <c r="D40" s="185"/>
      <c r="E40" s="185"/>
      <c r="F40" s="185"/>
      <c r="H40" s="185" t="s">
        <v>235</v>
      </c>
      <c r="I40" s="185"/>
      <c r="J40" s="185"/>
      <c r="K40" s="185"/>
      <c r="L40" s="185"/>
      <c r="M40" s="185"/>
      <c r="N40" s="185"/>
      <c r="O40" s="185"/>
      <c r="P40" s="185"/>
      <c r="Q40" s="185"/>
      <c r="S40" s="5">
        <v>4651</v>
      </c>
    </row>
    <row r="41" spans="1:23" ht="12" customHeight="1" x14ac:dyDescent="0.2">
      <c r="C41" s="185" t="s">
        <v>236</v>
      </c>
      <c r="D41" s="185"/>
      <c r="E41" s="185"/>
      <c r="F41" s="185"/>
      <c r="H41" s="185" t="s">
        <v>205</v>
      </c>
      <c r="I41" s="185"/>
      <c r="J41" s="185"/>
      <c r="K41" s="185"/>
      <c r="L41" s="185"/>
      <c r="M41" s="185"/>
      <c r="N41" s="185"/>
      <c r="O41" s="185"/>
      <c r="P41" s="185"/>
      <c r="Q41" s="185"/>
      <c r="S41" s="5">
        <v>162892.82</v>
      </c>
    </row>
    <row r="42" spans="1:23" ht="12" customHeight="1" x14ac:dyDescent="0.2">
      <c r="C42" s="185">
        <v>2401</v>
      </c>
      <c r="D42" s="185"/>
      <c r="E42" s="185"/>
      <c r="F42" s="185"/>
      <c r="H42" s="185" t="s">
        <v>665</v>
      </c>
      <c r="I42" s="185"/>
      <c r="J42" s="185"/>
      <c r="K42" s="185"/>
      <c r="L42" s="185"/>
      <c r="M42" s="185"/>
      <c r="N42" s="185"/>
      <c r="O42" s="185"/>
      <c r="P42" s="185"/>
      <c r="Q42" s="185"/>
      <c r="S42" s="123">
        <v>0</v>
      </c>
    </row>
    <row r="43" spans="1:23" ht="12" customHeight="1" x14ac:dyDescent="0.2">
      <c r="H43" s="187" t="s">
        <v>148</v>
      </c>
      <c r="I43" s="187"/>
      <c r="J43" s="187"/>
      <c r="K43" s="187"/>
      <c r="L43" s="187"/>
      <c r="M43" s="187"/>
      <c r="N43" s="187"/>
      <c r="O43" s="187"/>
      <c r="P43" s="187"/>
      <c r="S43" s="5"/>
      <c r="U43" s="188">
        <f>SUM(S32:S42)</f>
        <v>905699.42999999993</v>
      </c>
      <c r="V43" s="188"/>
      <c r="W43" s="188"/>
    </row>
    <row r="44" spans="1:23" ht="12" customHeight="1" x14ac:dyDescent="0.2">
      <c r="I44" s="187" t="s">
        <v>159</v>
      </c>
      <c r="J44" s="187"/>
      <c r="K44" s="187"/>
      <c r="L44" s="187"/>
      <c r="M44" s="187"/>
      <c r="N44" s="187"/>
      <c r="O44" s="187"/>
      <c r="P44" s="187"/>
      <c r="S44" s="5"/>
      <c r="U44" s="195">
        <f>U43</f>
        <v>905699.42999999993</v>
      </c>
      <c r="V44" s="195"/>
      <c r="W44" s="195"/>
    </row>
    <row r="45" spans="1:23" ht="12" customHeight="1" x14ac:dyDescent="0.2">
      <c r="S45" s="5"/>
      <c r="U45" s="188"/>
      <c r="V45" s="188"/>
      <c r="W45" s="188"/>
    </row>
    <row r="46" spans="1:23" ht="12" customHeight="1" x14ac:dyDescent="0.2">
      <c r="A46" s="187" t="s">
        <v>160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S46" s="5"/>
      <c r="U46" s="188"/>
      <c r="V46" s="188"/>
      <c r="W46" s="188"/>
    </row>
    <row r="47" spans="1:23" ht="12" customHeight="1" x14ac:dyDescent="0.2">
      <c r="S47" s="5"/>
      <c r="U47" s="188"/>
      <c r="V47" s="188"/>
      <c r="W47" s="188"/>
    </row>
    <row r="48" spans="1:23" ht="12" customHeight="1" x14ac:dyDescent="0.2">
      <c r="C48" s="185" t="s">
        <v>165</v>
      </c>
      <c r="D48" s="185"/>
      <c r="E48" s="185"/>
      <c r="F48" s="185"/>
      <c r="H48" s="185" t="s">
        <v>166</v>
      </c>
      <c r="I48" s="185"/>
      <c r="J48" s="185"/>
      <c r="K48" s="185"/>
      <c r="L48" s="185"/>
      <c r="M48" s="185"/>
      <c r="N48" s="185"/>
      <c r="O48" s="185"/>
      <c r="P48" s="185"/>
      <c r="Q48" s="185"/>
      <c r="S48" s="5">
        <v>206815.9</v>
      </c>
      <c r="U48" s="188"/>
      <c r="V48" s="188"/>
      <c r="W48" s="188"/>
    </row>
    <row r="49" spans="1:23" ht="12" customHeight="1" x14ac:dyDescent="0.2">
      <c r="C49" s="185" t="s">
        <v>165</v>
      </c>
      <c r="D49" s="185"/>
      <c r="E49" s="185"/>
      <c r="F49" s="185"/>
      <c r="H49" s="185" t="s">
        <v>193</v>
      </c>
      <c r="I49" s="185"/>
      <c r="J49" s="185"/>
      <c r="K49" s="185"/>
      <c r="L49" s="185"/>
      <c r="M49" s="185"/>
      <c r="N49" s="185"/>
      <c r="O49" s="185"/>
      <c r="P49" s="185"/>
      <c r="Q49" s="185"/>
      <c r="S49" s="5">
        <v>2078501.27</v>
      </c>
      <c r="U49" s="188"/>
      <c r="V49" s="188"/>
      <c r="W49" s="188"/>
    </row>
    <row r="50" spans="1:23" ht="12" customHeight="1" x14ac:dyDescent="0.2">
      <c r="U50" s="188"/>
      <c r="V50" s="188"/>
      <c r="W50" s="188"/>
    </row>
    <row r="51" spans="1:23" ht="12" customHeight="1" x14ac:dyDescent="0.2">
      <c r="I51" s="187" t="s">
        <v>176</v>
      </c>
      <c r="J51" s="187"/>
      <c r="K51" s="187"/>
      <c r="L51" s="187"/>
      <c r="M51" s="187"/>
      <c r="N51" s="187"/>
      <c r="O51" s="187"/>
      <c r="P51" s="187"/>
      <c r="U51" s="195">
        <f>SUM(S48:S49)</f>
        <v>2285317.17</v>
      </c>
      <c r="V51" s="195"/>
      <c r="W51" s="195"/>
    </row>
    <row r="52" spans="1:23" ht="12" customHeight="1" x14ac:dyDescent="0.2">
      <c r="U52" s="188"/>
      <c r="V52" s="188"/>
      <c r="W52" s="188"/>
    </row>
    <row r="53" spans="1:23" ht="12" customHeight="1" x14ac:dyDescent="0.2">
      <c r="I53" s="187" t="s">
        <v>177</v>
      </c>
      <c r="J53" s="187"/>
      <c r="K53" s="187"/>
      <c r="L53" s="187"/>
      <c r="M53" s="187"/>
      <c r="N53" s="187"/>
      <c r="O53" s="187"/>
      <c r="P53" s="187"/>
      <c r="U53" s="188"/>
      <c r="V53" s="188"/>
      <c r="W53" s="188"/>
    </row>
    <row r="54" spans="1:23" ht="12" customHeight="1" thickBot="1" x14ac:dyDescent="0.25">
      <c r="I54" s="187"/>
      <c r="J54" s="187"/>
      <c r="K54" s="187"/>
      <c r="L54" s="187"/>
      <c r="M54" s="187"/>
      <c r="N54" s="187"/>
      <c r="O54" s="187"/>
      <c r="P54" s="187"/>
      <c r="U54" s="194">
        <f>U44+U51</f>
        <v>3191016.5999999996</v>
      </c>
      <c r="V54" s="194"/>
      <c r="W54" s="194"/>
    </row>
    <row r="55" spans="1:23" ht="12" customHeight="1" thickTop="1" x14ac:dyDescent="0.2">
      <c r="U55" s="188"/>
      <c r="V55" s="188"/>
      <c r="W55" s="188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1"/>
      <c r="B58" s="191"/>
      <c r="C58" s="191"/>
      <c r="D58" s="191"/>
      <c r="F58" s="193"/>
      <c r="G58" s="193"/>
      <c r="H58" s="193"/>
      <c r="I58" s="193"/>
      <c r="J58" s="193"/>
      <c r="V58" s="73"/>
      <c r="W58" s="1"/>
    </row>
    <row r="59" spans="1:23" ht="12" customHeight="1" x14ac:dyDescent="0.2">
      <c r="A59" s="191"/>
      <c r="B59" s="191"/>
      <c r="C59" s="191"/>
      <c r="D59" s="191"/>
      <c r="F59" s="192"/>
      <c r="G59" s="192"/>
      <c r="H59" s="192"/>
      <c r="I59" s="192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AB1" s="95" t="s">
        <v>0</v>
      </c>
    </row>
    <row r="2" spans="1:28" ht="12" customHeight="1" x14ac:dyDescent="0.2">
      <c r="A2" s="158" t="s">
        <v>701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8" ht="12" customHeight="1" x14ac:dyDescent="0.2">
      <c r="A3" s="159" t="s">
        <v>194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AB3" s="95" t="s">
        <v>509</v>
      </c>
    </row>
    <row r="4" spans="1:28" ht="12" customHeight="1" x14ac:dyDescent="0.2">
      <c r="A4" s="157" t="s">
        <v>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AB4" s="96" t="s">
        <v>194</v>
      </c>
    </row>
    <row r="5" spans="1:28" ht="12" customHeight="1" x14ac:dyDescent="0.2">
      <c r="B5" s="157" t="s">
        <v>3</v>
      </c>
      <c r="C5" s="157"/>
      <c r="D5" s="157"/>
      <c r="E5" s="157"/>
      <c r="F5" s="157"/>
      <c r="G5" s="157"/>
      <c r="H5" s="157"/>
      <c r="I5" s="157"/>
      <c r="J5" s="157"/>
      <c r="K5" s="157"/>
      <c r="S5" s="97">
        <v>43465</v>
      </c>
    </row>
    <row r="6" spans="1:28" ht="12" customHeight="1" x14ac:dyDescent="0.2"/>
    <row r="7" spans="1:28" ht="12" customHeight="1" x14ac:dyDescent="0.2">
      <c r="C7" s="156" t="s">
        <v>6</v>
      </c>
      <c r="D7" s="156"/>
      <c r="E7" s="156"/>
      <c r="F7" s="156"/>
      <c r="H7" s="156" t="s">
        <v>195</v>
      </c>
      <c r="I7" s="156"/>
      <c r="J7" s="156"/>
      <c r="K7" s="156"/>
      <c r="L7" s="156"/>
      <c r="M7" s="156"/>
      <c r="N7" s="156"/>
      <c r="O7" s="156"/>
      <c r="P7" s="156"/>
      <c r="Q7" s="156"/>
      <c r="S7" s="129">
        <v>48775.17</v>
      </c>
      <c r="AB7" s="98" t="s">
        <v>2</v>
      </c>
    </row>
    <row r="8" spans="1:28" ht="12" customHeight="1" x14ac:dyDescent="0.2">
      <c r="C8" s="156" t="s">
        <v>16</v>
      </c>
      <c r="D8" s="156"/>
      <c r="E8" s="156"/>
      <c r="F8" s="156"/>
      <c r="H8" s="156" t="s">
        <v>17</v>
      </c>
      <c r="I8" s="156"/>
      <c r="J8" s="156"/>
      <c r="K8" s="156"/>
      <c r="L8" s="156"/>
      <c r="M8" s="156"/>
      <c r="N8" s="156"/>
      <c r="O8" s="156"/>
      <c r="P8" s="156"/>
      <c r="Q8" s="156"/>
      <c r="S8" s="129">
        <v>89821.27</v>
      </c>
    </row>
    <row r="9" spans="1:28" ht="12" customHeight="1" x14ac:dyDescent="0.2">
      <c r="C9" s="156" t="s">
        <v>40</v>
      </c>
      <c r="D9" s="156"/>
      <c r="E9" s="156"/>
      <c r="F9" s="156"/>
      <c r="H9" s="156" t="s">
        <v>61</v>
      </c>
      <c r="I9" s="156"/>
      <c r="J9" s="156"/>
      <c r="K9" s="156"/>
      <c r="L9" s="156"/>
      <c r="M9" s="156"/>
      <c r="N9" s="156"/>
      <c r="O9" s="156"/>
      <c r="P9" s="156"/>
      <c r="Q9" s="156"/>
      <c r="S9" s="129">
        <v>0</v>
      </c>
    </row>
    <row r="10" spans="1:28" ht="12" customHeight="1" x14ac:dyDescent="0.2">
      <c r="C10" s="156" t="s">
        <v>182</v>
      </c>
      <c r="D10" s="156"/>
      <c r="E10" s="156"/>
      <c r="F10" s="156"/>
      <c r="H10" s="156" t="s">
        <v>183</v>
      </c>
      <c r="I10" s="156"/>
      <c r="J10" s="156"/>
      <c r="K10" s="156"/>
      <c r="L10" s="156"/>
      <c r="M10" s="156"/>
      <c r="N10" s="156"/>
      <c r="O10" s="156"/>
      <c r="P10" s="156"/>
      <c r="Q10" s="156"/>
      <c r="S10" s="129">
        <v>4600000</v>
      </c>
    </row>
    <row r="11" spans="1:28" ht="12" customHeight="1" x14ac:dyDescent="0.2">
      <c r="C11" s="156">
        <v>1239</v>
      </c>
      <c r="D11" s="156"/>
      <c r="E11" s="156"/>
      <c r="F11" s="156"/>
      <c r="H11" s="156" t="s">
        <v>693</v>
      </c>
      <c r="I11" s="156"/>
      <c r="J11" s="156"/>
      <c r="K11" s="156"/>
      <c r="L11" s="156"/>
      <c r="M11" s="156"/>
      <c r="N11" s="156"/>
      <c r="O11" s="156"/>
      <c r="P11" s="156"/>
      <c r="Q11" s="156"/>
      <c r="S11" s="129">
        <v>2650</v>
      </c>
    </row>
    <row r="12" spans="1:28" ht="12" customHeight="1" x14ac:dyDescent="0.2">
      <c r="C12" s="156" t="s">
        <v>46</v>
      </c>
      <c r="D12" s="156"/>
      <c r="E12" s="156"/>
      <c r="F12" s="156"/>
      <c r="H12" s="156" t="s">
        <v>196</v>
      </c>
      <c r="I12" s="156"/>
      <c r="J12" s="156"/>
      <c r="K12" s="156"/>
      <c r="L12" s="156"/>
      <c r="M12" s="156"/>
      <c r="N12" s="156"/>
      <c r="O12" s="156"/>
      <c r="P12" s="156"/>
      <c r="Q12" s="156"/>
      <c r="S12" s="129">
        <v>0</v>
      </c>
    </row>
    <row r="13" spans="1:28" ht="12" customHeight="1" x14ac:dyDescent="0.2">
      <c r="C13" s="156" t="s">
        <v>48</v>
      </c>
      <c r="D13" s="156"/>
      <c r="E13" s="156"/>
      <c r="F13" s="156"/>
      <c r="H13" s="156" t="s">
        <v>49</v>
      </c>
      <c r="I13" s="156"/>
      <c r="J13" s="156"/>
      <c r="K13" s="156"/>
      <c r="L13" s="156"/>
      <c r="M13" s="156"/>
      <c r="N13" s="156"/>
      <c r="O13" s="156"/>
      <c r="P13" s="156"/>
      <c r="Q13" s="156"/>
      <c r="S13" s="129">
        <v>102045.52</v>
      </c>
    </row>
    <row r="14" spans="1:28" ht="12" customHeight="1" x14ac:dyDescent="0.2">
      <c r="C14" s="156">
        <v>1243</v>
      </c>
      <c r="D14" s="156"/>
      <c r="E14" s="156"/>
      <c r="F14" s="156"/>
      <c r="H14" s="156" t="s">
        <v>682</v>
      </c>
      <c r="I14" s="156"/>
      <c r="J14" s="156"/>
      <c r="K14" s="156"/>
      <c r="L14" s="156"/>
      <c r="M14" s="156"/>
      <c r="N14" s="156"/>
      <c r="O14" s="156"/>
      <c r="P14" s="156"/>
      <c r="Q14" s="156"/>
      <c r="S14" s="129">
        <v>0</v>
      </c>
    </row>
    <row r="15" spans="1:28" ht="12" customHeight="1" x14ac:dyDescent="0.2">
      <c r="C15" s="156" t="s">
        <v>56</v>
      </c>
      <c r="D15" s="156"/>
      <c r="E15" s="156"/>
      <c r="F15" s="156"/>
      <c r="H15" s="156" t="s">
        <v>59</v>
      </c>
      <c r="I15" s="156"/>
      <c r="J15" s="156"/>
      <c r="K15" s="156"/>
      <c r="L15" s="156"/>
      <c r="M15" s="156"/>
      <c r="N15" s="156"/>
      <c r="O15" s="156"/>
      <c r="P15" s="156"/>
      <c r="Q15" s="156"/>
      <c r="S15" s="129">
        <v>0</v>
      </c>
    </row>
    <row r="16" spans="1:28" ht="12" customHeight="1" x14ac:dyDescent="0.2">
      <c r="C16" s="156" t="s">
        <v>197</v>
      </c>
      <c r="D16" s="156"/>
      <c r="E16" s="156"/>
      <c r="F16" s="156"/>
      <c r="H16" s="156" t="s">
        <v>198</v>
      </c>
      <c r="I16" s="156"/>
      <c r="J16" s="156"/>
      <c r="K16" s="156"/>
      <c r="L16" s="156"/>
      <c r="M16" s="156"/>
      <c r="N16" s="156"/>
      <c r="O16" s="156"/>
      <c r="P16" s="156"/>
      <c r="Q16" s="156"/>
      <c r="S16" s="129">
        <v>15362.97</v>
      </c>
    </row>
    <row r="17" spans="1:23" ht="12" customHeight="1" x14ac:dyDescent="0.2">
      <c r="C17" s="156" t="s">
        <v>58</v>
      </c>
      <c r="D17" s="156"/>
      <c r="E17" s="156"/>
      <c r="F17" s="156"/>
      <c r="H17" s="156" t="s">
        <v>59</v>
      </c>
      <c r="I17" s="156"/>
      <c r="J17" s="156"/>
      <c r="K17" s="156"/>
      <c r="L17" s="156"/>
      <c r="M17" s="156"/>
      <c r="N17" s="156"/>
      <c r="O17" s="156"/>
      <c r="P17" s="156"/>
      <c r="Q17" s="156"/>
      <c r="S17" s="129">
        <v>0</v>
      </c>
    </row>
    <row r="18" spans="1:23" ht="12" customHeight="1" x14ac:dyDescent="0.2">
      <c r="C18" s="156" t="s">
        <v>199</v>
      </c>
      <c r="D18" s="156"/>
      <c r="E18" s="156"/>
      <c r="F18" s="156"/>
      <c r="H18" s="156" t="s">
        <v>200</v>
      </c>
      <c r="I18" s="156"/>
      <c r="J18" s="156"/>
      <c r="K18" s="156"/>
      <c r="L18" s="156"/>
      <c r="M18" s="156"/>
      <c r="N18" s="156"/>
      <c r="O18" s="156"/>
      <c r="P18" s="156"/>
      <c r="Q18" s="156"/>
      <c r="S18" s="131">
        <f>104563.66+8000+74554.69</f>
        <v>187118.35</v>
      </c>
    </row>
    <row r="19" spans="1:23" ht="12" customHeight="1" x14ac:dyDescent="0.2">
      <c r="H19" s="157" t="s">
        <v>73</v>
      </c>
      <c r="I19" s="157"/>
      <c r="J19" s="157"/>
      <c r="K19" s="157"/>
      <c r="L19" s="157"/>
      <c r="M19" s="157"/>
      <c r="N19" s="157"/>
      <c r="O19" s="157"/>
      <c r="P19" s="157"/>
      <c r="U19" s="160">
        <f>SUM(S7:S18)</f>
        <v>5045773.2799999993</v>
      </c>
      <c r="V19" s="160"/>
      <c r="W19" s="160"/>
    </row>
    <row r="20" spans="1:23" ht="12" customHeight="1" x14ac:dyDescent="0.2"/>
    <row r="21" spans="1:23" ht="12" customHeight="1" x14ac:dyDescent="0.2">
      <c r="B21" s="157" t="s">
        <v>74</v>
      </c>
      <c r="C21" s="157"/>
      <c r="D21" s="157"/>
      <c r="E21" s="157"/>
      <c r="F21" s="157"/>
      <c r="G21" s="157"/>
      <c r="H21" s="157"/>
      <c r="I21" s="157"/>
      <c r="J21" s="157"/>
      <c r="K21" s="157"/>
    </row>
    <row r="22" spans="1:23" ht="12" customHeight="1" x14ac:dyDescent="0.2">
      <c r="C22" s="156" t="s">
        <v>75</v>
      </c>
      <c r="D22" s="156"/>
      <c r="E22" s="156"/>
      <c r="F22" s="156"/>
      <c r="H22" s="156" t="s">
        <v>186</v>
      </c>
      <c r="I22" s="156"/>
      <c r="J22" s="156"/>
      <c r="K22" s="156"/>
      <c r="L22" s="156"/>
      <c r="M22" s="156"/>
      <c r="N22" s="156"/>
      <c r="O22" s="156"/>
      <c r="P22" s="156"/>
      <c r="Q22" s="156"/>
      <c r="S22" s="129">
        <v>138413.75</v>
      </c>
    </row>
    <row r="23" spans="1:23" ht="12" customHeight="1" x14ac:dyDescent="0.2">
      <c r="C23" s="156" t="s">
        <v>81</v>
      </c>
      <c r="D23" s="156"/>
      <c r="E23" s="156"/>
      <c r="F23" s="156"/>
      <c r="H23" s="156" t="s">
        <v>201</v>
      </c>
      <c r="I23" s="156"/>
      <c r="J23" s="156"/>
      <c r="K23" s="156"/>
      <c r="L23" s="156"/>
      <c r="M23" s="156"/>
      <c r="N23" s="156"/>
      <c r="O23" s="156"/>
      <c r="P23" s="156"/>
      <c r="Q23" s="156"/>
      <c r="S23" s="129">
        <v>193555.25</v>
      </c>
    </row>
    <row r="24" spans="1:23" ht="12" customHeight="1" x14ac:dyDescent="0.2">
      <c r="C24" s="156" t="s">
        <v>87</v>
      </c>
      <c r="D24" s="156"/>
      <c r="E24" s="156"/>
      <c r="F24" s="156"/>
      <c r="H24" s="156" t="s">
        <v>88</v>
      </c>
      <c r="I24" s="156"/>
      <c r="J24" s="156"/>
      <c r="K24" s="156"/>
      <c r="L24" s="156"/>
      <c r="M24" s="156"/>
      <c r="N24" s="156"/>
      <c r="O24" s="156"/>
      <c r="P24" s="156"/>
      <c r="Q24" s="156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56" t="s">
        <v>94</v>
      </c>
      <c r="I25" s="156"/>
      <c r="J25" s="156"/>
      <c r="K25" s="156"/>
      <c r="L25" s="156"/>
      <c r="M25" s="156"/>
      <c r="N25" s="156"/>
      <c r="O25" s="156"/>
      <c r="P25" s="156"/>
      <c r="Q25" s="156"/>
      <c r="S25" s="129">
        <v>0</v>
      </c>
    </row>
    <row r="26" spans="1:23" ht="12" customHeight="1" x14ac:dyDescent="0.2">
      <c r="C26" s="156" t="s">
        <v>99</v>
      </c>
      <c r="D26" s="156"/>
      <c r="E26" s="156"/>
      <c r="F26" s="156"/>
      <c r="H26" s="156" t="s">
        <v>187</v>
      </c>
      <c r="I26" s="156"/>
      <c r="J26" s="156"/>
      <c r="K26" s="156"/>
      <c r="L26" s="156"/>
      <c r="M26" s="156"/>
      <c r="N26" s="156"/>
      <c r="O26" s="156"/>
      <c r="P26" s="156"/>
      <c r="Q26" s="156"/>
      <c r="S26" s="131">
        <v>-604223.72</v>
      </c>
    </row>
    <row r="27" spans="1:23" ht="12" customHeight="1" x14ac:dyDescent="0.2">
      <c r="H27" s="157" t="s">
        <v>103</v>
      </c>
      <c r="I27" s="157"/>
      <c r="J27" s="157"/>
      <c r="K27" s="157"/>
      <c r="L27" s="157"/>
      <c r="M27" s="157"/>
      <c r="N27" s="157"/>
      <c r="O27" s="157"/>
      <c r="P27" s="157"/>
      <c r="U27" s="161">
        <f>SUM(S22:S26)</f>
        <v>443777.42000000004</v>
      </c>
      <c r="V27" s="161"/>
      <c r="W27" s="161"/>
    </row>
    <row r="28" spans="1:23" ht="12" customHeight="1" thickBot="1" x14ac:dyDescent="0.25">
      <c r="I28" s="157" t="s">
        <v>104</v>
      </c>
      <c r="J28" s="157"/>
      <c r="K28" s="157"/>
      <c r="L28" s="157"/>
      <c r="M28" s="157"/>
      <c r="N28" s="157"/>
      <c r="O28" s="157"/>
      <c r="P28" s="157"/>
      <c r="U28" s="162">
        <f>U27+U19</f>
        <v>5489550.6999999993</v>
      </c>
      <c r="V28" s="162"/>
      <c r="W28" s="162"/>
    </row>
    <row r="29" spans="1:23" ht="12" customHeight="1" thickTop="1" x14ac:dyDescent="0.2"/>
    <row r="30" spans="1:23" ht="12" customHeight="1" x14ac:dyDescent="0.2">
      <c r="A30" s="157" t="s">
        <v>105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  <row r="31" spans="1:23" ht="12" customHeight="1" x14ac:dyDescent="0.2">
      <c r="B31" s="157" t="s">
        <v>106</v>
      </c>
      <c r="C31" s="157"/>
      <c r="D31" s="157"/>
      <c r="E31" s="157"/>
      <c r="F31" s="157"/>
      <c r="G31" s="157"/>
      <c r="H31" s="157"/>
      <c r="I31" s="157"/>
      <c r="J31" s="157"/>
      <c r="K31" s="157"/>
    </row>
    <row r="32" spans="1:23" ht="12" customHeight="1" x14ac:dyDescent="0.2">
      <c r="C32" s="156" t="s">
        <v>109</v>
      </c>
      <c r="D32" s="156"/>
      <c r="E32" s="156"/>
      <c r="F32" s="156"/>
      <c r="H32" s="156" t="s">
        <v>110</v>
      </c>
      <c r="I32" s="156"/>
      <c r="J32" s="156"/>
      <c r="K32" s="156"/>
      <c r="L32" s="156"/>
      <c r="M32" s="156"/>
      <c r="N32" s="156"/>
      <c r="O32" s="156"/>
      <c r="P32" s="156"/>
      <c r="Q32" s="156"/>
      <c r="S32" s="129">
        <v>3161.36</v>
      </c>
    </row>
    <row r="33" spans="1:23" ht="12.75" customHeight="1" x14ac:dyDescent="0.2">
      <c r="C33" s="156" t="s">
        <v>111</v>
      </c>
      <c r="D33" s="156"/>
      <c r="E33" s="156"/>
      <c r="F33" s="156"/>
      <c r="H33" s="156" t="s">
        <v>237</v>
      </c>
      <c r="I33" s="156"/>
      <c r="J33" s="156"/>
      <c r="K33" s="156"/>
      <c r="L33" s="156"/>
      <c r="M33" s="156"/>
      <c r="N33" s="156"/>
      <c r="O33" s="156"/>
      <c r="P33" s="156"/>
      <c r="Q33" s="156"/>
      <c r="S33" s="129">
        <v>0</v>
      </c>
    </row>
    <row r="34" spans="1:23" ht="12" customHeight="1" x14ac:dyDescent="0.2">
      <c r="C34" s="156" t="s">
        <v>225</v>
      </c>
      <c r="D34" s="156"/>
      <c r="E34" s="156"/>
      <c r="F34" s="156"/>
      <c r="H34" s="156" t="s">
        <v>238</v>
      </c>
      <c r="I34" s="156"/>
      <c r="J34" s="156"/>
      <c r="K34" s="156"/>
      <c r="L34" s="156"/>
      <c r="M34" s="156"/>
      <c r="N34" s="156"/>
      <c r="O34" s="156"/>
      <c r="P34" s="156"/>
      <c r="Q34" s="156"/>
      <c r="S34" s="129">
        <v>0</v>
      </c>
    </row>
    <row r="35" spans="1:23" ht="12" customHeight="1" x14ac:dyDescent="0.2">
      <c r="C35" s="156" t="s">
        <v>113</v>
      </c>
      <c r="D35" s="156"/>
      <c r="E35" s="156"/>
      <c r="F35" s="156"/>
      <c r="H35" s="156" t="s">
        <v>239</v>
      </c>
      <c r="I35" s="156"/>
      <c r="J35" s="156"/>
      <c r="K35" s="156"/>
      <c r="L35" s="156"/>
      <c r="M35" s="156"/>
      <c r="N35" s="156"/>
      <c r="O35" s="156"/>
      <c r="P35" s="156"/>
      <c r="Q35" s="156"/>
      <c r="S35" s="129">
        <v>0</v>
      </c>
    </row>
    <row r="36" spans="1:23" ht="12" customHeight="1" x14ac:dyDescent="0.2">
      <c r="C36" s="156">
        <v>2150</v>
      </c>
      <c r="D36" s="156"/>
      <c r="E36" s="156"/>
      <c r="F36" s="156"/>
      <c r="H36" s="156" t="s">
        <v>189</v>
      </c>
      <c r="I36" s="156"/>
      <c r="J36" s="156"/>
      <c r="K36" s="156"/>
      <c r="L36" s="156"/>
      <c r="M36" s="156"/>
      <c r="N36" s="156"/>
      <c r="O36" s="156"/>
      <c r="P36" s="156"/>
      <c r="Q36" s="156"/>
      <c r="S36" s="121">
        <v>37.479999999999997</v>
      </c>
    </row>
    <row r="37" spans="1:23" ht="12" customHeight="1" x14ac:dyDescent="0.2">
      <c r="C37" s="156" t="s">
        <v>117</v>
      </c>
      <c r="D37" s="156"/>
      <c r="E37" s="156"/>
      <c r="F37" s="156"/>
      <c r="H37" s="156" t="s">
        <v>118</v>
      </c>
      <c r="I37" s="156"/>
      <c r="J37" s="156"/>
      <c r="K37" s="156"/>
      <c r="L37" s="156"/>
      <c r="M37" s="156"/>
      <c r="N37" s="156"/>
      <c r="O37" s="156"/>
      <c r="P37" s="156"/>
      <c r="Q37" s="156"/>
      <c r="S37" s="129">
        <v>181998.74</v>
      </c>
    </row>
    <row r="38" spans="1:23" ht="12" customHeight="1" x14ac:dyDescent="0.2">
      <c r="C38" s="156" t="s">
        <v>119</v>
      </c>
      <c r="D38" s="156"/>
      <c r="E38" s="156"/>
      <c r="F38" s="156"/>
      <c r="H38" s="156" t="s">
        <v>190</v>
      </c>
      <c r="I38" s="156"/>
      <c r="J38" s="156"/>
      <c r="K38" s="156"/>
      <c r="L38" s="156"/>
      <c r="M38" s="156"/>
      <c r="N38" s="156"/>
      <c r="O38" s="156"/>
      <c r="P38" s="156"/>
      <c r="Q38" s="156"/>
      <c r="S38" s="129">
        <v>39066.29</v>
      </c>
    </row>
    <row r="39" spans="1:23" ht="12" customHeight="1" x14ac:dyDescent="0.2">
      <c r="C39" s="156">
        <v>2215</v>
      </c>
      <c r="D39" s="156"/>
      <c r="E39" s="156"/>
      <c r="F39" s="156"/>
      <c r="H39" s="156" t="s">
        <v>637</v>
      </c>
      <c r="I39" s="156"/>
      <c r="J39" s="156"/>
      <c r="K39" s="156"/>
      <c r="L39" s="156"/>
      <c r="M39" s="156"/>
      <c r="N39" s="156"/>
      <c r="O39" s="156"/>
      <c r="P39" s="156"/>
      <c r="Q39" s="156"/>
      <c r="S39" s="121">
        <v>13898</v>
      </c>
    </row>
    <row r="40" spans="1:23" ht="12.75" customHeight="1" x14ac:dyDescent="0.2">
      <c r="C40" s="156" t="s">
        <v>125</v>
      </c>
      <c r="D40" s="156"/>
      <c r="E40" s="156"/>
      <c r="F40" s="156"/>
      <c r="H40" s="156" t="s">
        <v>202</v>
      </c>
      <c r="I40" s="156"/>
      <c r="J40" s="156"/>
      <c r="K40" s="156"/>
      <c r="L40" s="156"/>
      <c r="M40" s="156"/>
      <c r="N40" s="156"/>
      <c r="O40" s="156"/>
      <c r="P40" s="156"/>
      <c r="Q40" s="156"/>
      <c r="S40" s="129">
        <v>0</v>
      </c>
    </row>
    <row r="41" spans="1:23" ht="12" customHeight="1" x14ac:dyDescent="0.2">
      <c r="C41" s="156" t="s">
        <v>127</v>
      </c>
      <c r="D41" s="156"/>
      <c r="E41" s="156"/>
      <c r="F41" s="156"/>
      <c r="H41" s="156" t="s">
        <v>203</v>
      </c>
      <c r="I41" s="156"/>
      <c r="J41" s="156"/>
      <c r="K41" s="156"/>
      <c r="L41" s="156"/>
      <c r="M41" s="156"/>
      <c r="N41" s="156"/>
      <c r="O41" s="156"/>
      <c r="P41" s="156"/>
      <c r="Q41" s="156"/>
      <c r="S41" s="129">
        <v>36815.99</v>
      </c>
    </row>
    <row r="42" spans="1:23" ht="12" customHeight="1" x14ac:dyDescent="0.2">
      <c r="C42" s="156" t="s">
        <v>129</v>
      </c>
      <c r="D42" s="156"/>
      <c r="E42" s="156"/>
      <c r="F42" s="156"/>
      <c r="H42" s="156" t="s">
        <v>191</v>
      </c>
      <c r="I42" s="156"/>
      <c r="J42" s="156"/>
      <c r="K42" s="156"/>
      <c r="L42" s="156"/>
      <c r="M42" s="156"/>
      <c r="N42" s="156"/>
      <c r="O42" s="156"/>
      <c r="P42" s="156"/>
      <c r="Q42" s="156"/>
      <c r="S42" s="129">
        <v>2849.45</v>
      </c>
    </row>
    <row r="43" spans="1:23" ht="12" customHeight="1" x14ac:dyDescent="0.2">
      <c r="C43" s="156">
        <v>2401</v>
      </c>
      <c r="D43" s="156"/>
      <c r="E43" s="156"/>
      <c r="F43" s="156"/>
      <c r="H43" s="156" t="s">
        <v>205</v>
      </c>
      <c r="I43" s="156"/>
      <c r="J43" s="156"/>
      <c r="K43" s="156"/>
      <c r="L43" s="156"/>
      <c r="M43" s="156"/>
      <c r="N43" s="156"/>
      <c r="O43" s="156"/>
      <c r="P43" s="156"/>
      <c r="Q43" s="156"/>
      <c r="S43" s="78">
        <v>213898.98</v>
      </c>
    </row>
    <row r="44" spans="1:23" ht="12" customHeight="1" x14ac:dyDescent="0.2">
      <c r="C44" s="156">
        <v>2402</v>
      </c>
      <c r="D44" s="156"/>
      <c r="E44" s="156"/>
      <c r="F44" s="156"/>
      <c r="H44" s="156" t="s">
        <v>678</v>
      </c>
      <c r="I44" s="156"/>
      <c r="J44" s="156"/>
      <c r="K44" s="156"/>
      <c r="L44" s="156"/>
      <c r="M44" s="156"/>
      <c r="N44" s="156"/>
      <c r="O44" s="156"/>
      <c r="P44" s="156"/>
      <c r="Q44" s="156"/>
      <c r="S44" s="78">
        <v>0</v>
      </c>
    </row>
    <row r="45" spans="1:23" ht="12" customHeight="1" x14ac:dyDescent="0.2">
      <c r="H45" s="157" t="s">
        <v>148</v>
      </c>
      <c r="I45" s="157"/>
      <c r="J45" s="157"/>
      <c r="K45" s="157"/>
      <c r="L45" s="157"/>
      <c r="M45" s="157"/>
      <c r="N45" s="157"/>
      <c r="O45" s="157"/>
      <c r="P45" s="157"/>
      <c r="U45" s="161">
        <f>SUM(S32:S44)</f>
        <v>491726.29000000004</v>
      </c>
      <c r="V45" s="161"/>
      <c r="W45" s="161"/>
    </row>
    <row r="46" spans="1:23" ht="12" customHeight="1" x14ac:dyDescent="0.2">
      <c r="I46" s="157" t="s">
        <v>159</v>
      </c>
      <c r="J46" s="157"/>
      <c r="K46" s="157"/>
      <c r="L46" s="157"/>
      <c r="M46" s="157"/>
      <c r="N46" s="157"/>
      <c r="O46" s="157"/>
      <c r="P46" s="157"/>
      <c r="U46" s="161">
        <f>U45</f>
        <v>491726.29000000004</v>
      </c>
      <c r="V46" s="161"/>
      <c r="W46" s="161"/>
    </row>
    <row r="47" spans="1:23" ht="12" customHeight="1" x14ac:dyDescent="0.2">
      <c r="A47" s="157" t="s">
        <v>160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S47" s="129"/>
    </row>
    <row r="48" spans="1:23" ht="12" customHeight="1" x14ac:dyDescent="0.2">
      <c r="C48" s="156" t="s">
        <v>161</v>
      </c>
      <c r="D48" s="156"/>
      <c r="E48" s="156"/>
      <c r="F48" s="156"/>
      <c r="H48" s="156" t="s">
        <v>162</v>
      </c>
      <c r="I48" s="156"/>
      <c r="J48" s="156"/>
      <c r="K48" s="156"/>
      <c r="L48" s="156"/>
      <c r="M48" s="156"/>
      <c r="N48" s="156"/>
      <c r="O48" s="156"/>
      <c r="P48" s="156"/>
      <c r="Q48" s="156"/>
      <c r="S48" s="129">
        <v>1000</v>
      </c>
    </row>
    <row r="49" spans="3:28" ht="12" customHeight="1" x14ac:dyDescent="0.2">
      <c r="C49" s="156" t="s">
        <v>165</v>
      </c>
      <c r="D49" s="156"/>
      <c r="E49" s="156"/>
      <c r="F49" s="156"/>
      <c r="H49" s="156" t="s">
        <v>567</v>
      </c>
      <c r="I49" s="156"/>
      <c r="J49" s="156"/>
      <c r="K49" s="156"/>
      <c r="L49" s="156"/>
      <c r="M49" s="156"/>
      <c r="N49" s="156"/>
      <c r="O49" s="156"/>
      <c r="P49" s="156"/>
      <c r="Q49" s="156"/>
      <c r="S49" s="129">
        <v>0</v>
      </c>
    </row>
    <row r="50" spans="3:28" ht="12" customHeight="1" x14ac:dyDescent="0.2">
      <c r="C50" s="156" t="s">
        <v>165</v>
      </c>
      <c r="D50" s="156"/>
      <c r="E50" s="156"/>
      <c r="F50" s="156"/>
      <c r="H50" s="156" t="s">
        <v>166</v>
      </c>
      <c r="I50" s="156"/>
      <c r="J50" s="156"/>
      <c r="K50" s="156"/>
      <c r="L50" s="156"/>
      <c r="M50" s="156"/>
      <c r="N50" s="156"/>
      <c r="O50" s="156"/>
      <c r="P50" s="156"/>
      <c r="Q50" s="156"/>
      <c r="S50" s="136">
        <v>829796.72</v>
      </c>
    </row>
    <row r="51" spans="3:28" ht="12" customHeight="1" x14ac:dyDescent="0.2">
      <c r="C51" s="156" t="s">
        <v>206</v>
      </c>
      <c r="D51" s="156"/>
      <c r="E51" s="156"/>
      <c r="F51" s="156"/>
      <c r="H51" s="156" t="s">
        <v>207</v>
      </c>
      <c r="I51" s="156"/>
      <c r="J51" s="156"/>
      <c r="K51" s="156"/>
      <c r="L51" s="156"/>
      <c r="M51" s="156"/>
      <c r="N51" s="156"/>
      <c r="O51" s="156"/>
      <c r="P51" s="156"/>
      <c r="Q51" s="156"/>
      <c r="S51" s="129">
        <v>20835.169999999998</v>
      </c>
    </row>
    <row r="52" spans="3:28" ht="12" customHeight="1" x14ac:dyDescent="0.2">
      <c r="C52" s="156" t="s">
        <v>208</v>
      </c>
      <c r="D52" s="156"/>
      <c r="E52" s="156"/>
      <c r="F52" s="156"/>
      <c r="H52" s="156" t="s">
        <v>209</v>
      </c>
      <c r="I52" s="156"/>
      <c r="J52" s="156"/>
      <c r="K52" s="156"/>
      <c r="L52" s="156"/>
      <c r="M52" s="156"/>
      <c r="N52" s="156"/>
      <c r="O52" s="156"/>
      <c r="P52" s="156"/>
      <c r="Q52" s="156"/>
      <c r="S52" s="129">
        <v>1375119.12</v>
      </c>
    </row>
    <row r="53" spans="3:28" ht="12" customHeight="1" x14ac:dyDescent="0.2">
      <c r="C53" s="156" t="s">
        <v>210</v>
      </c>
      <c r="D53" s="156"/>
      <c r="E53" s="156"/>
      <c r="F53" s="156"/>
      <c r="H53" s="156" t="s">
        <v>211</v>
      </c>
      <c r="I53" s="156"/>
      <c r="J53" s="156"/>
      <c r="K53" s="156"/>
      <c r="L53" s="156"/>
      <c r="M53" s="156"/>
      <c r="N53" s="156"/>
      <c r="O53" s="156"/>
      <c r="P53" s="156"/>
      <c r="Q53" s="156"/>
      <c r="S53" s="129">
        <v>1375119.12</v>
      </c>
    </row>
    <row r="54" spans="3:28" ht="12" customHeight="1" x14ac:dyDescent="0.2">
      <c r="C54" s="156" t="s">
        <v>212</v>
      </c>
      <c r="D54" s="156"/>
      <c r="E54" s="156"/>
      <c r="F54" s="156"/>
      <c r="H54" s="156" t="s">
        <v>213</v>
      </c>
      <c r="I54" s="156"/>
      <c r="J54" s="156"/>
      <c r="K54" s="156"/>
      <c r="L54" s="156"/>
      <c r="M54" s="156"/>
      <c r="N54" s="156"/>
      <c r="O54" s="156"/>
      <c r="P54" s="156"/>
      <c r="Q54" s="156"/>
      <c r="S54" s="136">
        <v>1375119.12</v>
      </c>
      <c r="AB54" s="98" t="s">
        <v>105</v>
      </c>
    </row>
    <row r="55" spans="3:28" ht="12" customHeight="1" x14ac:dyDescent="0.2">
      <c r="C55" s="156" t="s">
        <v>214</v>
      </c>
      <c r="D55" s="156"/>
      <c r="E55" s="156"/>
      <c r="F55" s="156"/>
      <c r="H55" s="156" t="s">
        <v>215</v>
      </c>
      <c r="I55" s="156"/>
      <c r="J55" s="156"/>
      <c r="K55" s="156"/>
      <c r="L55" s="156"/>
      <c r="M55" s="156"/>
      <c r="N55" s="156"/>
      <c r="O55" s="156"/>
      <c r="P55" s="156"/>
      <c r="Q55" s="156"/>
      <c r="S55" s="129">
        <v>20835.16</v>
      </c>
    </row>
    <row r="56" spans="3:28" ht="12" customHeight="1" x14ac:dyDescent="0.2">
      <c r="I56" s="157" t="s">
        <v>176</v>
      </c>
      <c r="J56" s="157"/>
      <c r="K56" s="157"/>
      <c r="L56" s="157"/>
      <c r="M56" s="157"/>
      <c r="N56" s="157"/>
      <c r="O56" s="157"/>
      <c r="P56" s="157"/>
      <c r="U56" s="161">
        <f>SUM(S48:S55)</f>
        <v>4997824.41</v>
      </c>
      <c r="V56" s="161"/>
      <c r="W56" s="161"/>
    </row>
    <row r="57" spans="3:28" ht="12" customHeight="1" x14ac:dyDescent="0.2">
      <c r="I57" s="157" t="s">
        <v>177</v>
      </c>
      <c r="J57" s="157"/>
      <c r="K57" s="157"/>
      <c r="L57" s="157"/>
      <c r="M57" s="157"/>
      <c r="N57" s="157"/>
      <c r="O57" s="157"/>
      <c r="P57" s="157"/>
    </row>
    <row r="58" spans="3:28" ht="13.5" customHeight="1" thickBot="1" x14ac:dyDescent="0.25">
      <c r="I58" s="157"/>
      <c r="J58" s="157"/>
      <c r="K58" s="157"/>
      <c r="L58" s="157"/>
      <c r="M58" s="157"/>
      <c r="N58" s="157"/>
      <c r="O58" s="157"/>
      <c r="P58" s="157"/>
      <c r="U58" s="196">
        <f>U56+U46</f>
        <v>5489550.7000000002</v>
      </c>
      <c r="V58" s="196"/>
      <c r="W58" s="196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1" t="s">
        <v>407</v>
      </c>
      <c r="C2" s="181"/>
      <c r="D2" s="181"/>
      <c r="E2" s="181"/>
      <c r="F2" s="181"/>
    </row>
    <row r="3" spans="1:19" x14ac:dyDescent="0.2">
      <c r="A3" s="100"/>
      <c r="B3" s="181"/>
      <c r="C3" s="181"/>
      <c r="D3" s="181"/>
      <c r="E3" s="181"/>
      <c r="F3" s="18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197" t="s">
        <v>705</v>
      </c>
      <c r="B2" s="198"/>
      <c r="C2" s="198"/>
      <c r="D2" s="198"/>
      <c r="E2" s="198"/>
      <c r="F2" s="199"/>
    </row>
    <row r="3" spans="1:19" x14ac:dyDescent="0.2">
      <c r="A3" s="200"/>
      <c r="B3" s="201"/>
      <c r="C3" s="201"/>
      <c r="D3" s="201"/>
      <c r="E3" s="201"/>
      <c r="F3" s="202"/>
    </row>
    <row r="4" spans="1:19" x14ac:dyDescent="0.2">
      <c r="A4" s="200"/>
      <c r="B4" s="201"/>
      <c r="C4" s="201"/>
      <c r="D4" s="201"/>
      <c r="E4" s="201"/>
      <c r="F4" s="202"/>
    </row>
    <row r="5" spans="1:19" x14ac:dyDescent="0.2">
      <c r="A5" s="203"/>
      <c r="B5" s="204"/>
      <c r="C5" s="204"/>
      <c r="D5" s="204"/>
      <c r="E5" s="204"/>
      <c r="F5" s="205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58"/>
  <sheetViews>
    <sheetView tabSelected="1" zoomScale="75" zoomScaleNormal="75" zoomScaleSheetLayoutView="75" workbookViewId="0">
      <pane ySplit="4" topLeftCell="A107" activePane="bottomLeft" state="frozen"/>
      <selection activeCell="D162" sqref="D162"/>
      <selection pane="bottomLeft" activeCell="B151" sqref="B151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5" t="s">
        <v>252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 t="s">
        <v>252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 t="s">
        <v>252</v>
      </c>
      <c r="AH1" s="155"/>
      <c r="AI1" s="155"/>
      <c r="AJ1" s="155"/>
      <c r="AK1" s="155"/>
      <c r="AL1" s="155"/>
      <c r="AM1" s="155"/>
      <c r="AN1" s="155"/>
      <c r="AO1" s="37"/>
      <c r="AP1" s="28"/>
    </row>
    <row r="2" spans="1:42" s="29" customFormat="1" ht="46.5" x14ac:dyDescent="0.2">
      <c r="A2" s="155" t="s">
        <v>737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 t="s">
        <v>736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 t="s">
        <v>251</v>
      </c>
      <c r="AH2" s="155"/>
      <c r="AI2" s="155"/>
      <c r="AJ2" s="155"/>
      <c r="AK2" s="155"/>
      <c r="AL2" s="155"/>
      <c r="AM2" s="155"/>
      <c r="AN2" s="155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5" t="s">
        <v>728</v>
      </c>
      <c r="AH3" s="155"/>
      <c r="AI3" s="155"/>
      <c r="AJ3" s="155"/>
      <c r="AK3" s="155"/>
      <c r="AL3" s="155"/>
      <c r="AM3" s="155"/>
      <c r="AN3" s="155"/>
    </row>
    <row r="4" spans="1:42" s="31" customFormat="1" ht="79.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SUM(CNT!S9:S15)</f>
        <v>31284615.789999999</v>
      </c>
      <c r="C7" s="12"/>
      <c r="D7" s="12">
        <f>SUM(BPM!S11)</f>
        <v>360346.45</v>
      </c>
      <c r="E7" s="12"/>
      <c r="F7" s="12">
        <f>SUM(DEP!S7)</f>
        <v>358857.12</v>
      </c>
      <c r="G7" s="12"/>
      <c r="H7" s="12">
        <f>Lending!F13</f>
        <v>22981.27</v>
      </c>
      <c r="J7" s="12">
        <f>BSC!F5+BSC!F6+BSC!F7</f>
        <v>201210.91</v>
      </c>
      <c r="L7" s="12">
        <f>'Oliari Co'!F10</f>
        <v>601961.68999999994</v>
      </c>
      <c r="N7" s="12">
        <f>'722 Bedford St'!E10</f>
        <v>195525.77</v>
      </c>
      <c r="P7" s="12">
        <f>SUM(B7:N7)</f>
        <v>33025499</v>
      </c>
      <c r="Q7" s="11" t="s">
        <v>246</v>
      </c>
      <c r="R7" s="54">
        <v>5855027.9600000009</v>
      </c>
      <c r="S7" s="12"/>
      <c r="T7" s="54">
        <v>245460.98</v>
      </c>
      <c r="U7" s="12"/>
      <c r="V7" s="54">
        <v>363058.4</v>
      </c>
      <c r="W7" s="12"/>
      <c r="X7" s="54">
        <v>1000</v>
      </c>
      <c r="Z7" s="54">
        <v>266258.82999999996</v>
      </c>
      <c r="AB7" s="54">
        <v>138930.35</v>
      </c>
      <c r="AD7" s="54">
        <v>102069.62</v>
      </c>
      <c r="AF7" s="12">
        <f>SUM(R7:AD7)</f>
        <v>6971806.1400000015</v>
      </c>
      <c r="AG7" s="11" t="s">
        <v>246</v>
      </c>
      <c r="AH7" s="122">
        <f>P7</f>
        <v>33025499</v>
      </c>
      <c r="AI7" s="12"/>
      <c r="AJ7" s="12">
        <f>AF7</f>
        <v>6971806.1400000015</v>
      </c>
      <c r="AK7" s="12"/>
      <c r="AL7" s="12">
        <f t="shared" ref="AL7:AL13" si="0">AH7-AJ7</f>
        <v>26053692.859999999</v>
      </c>
      <c r="AM7" s="12"/>
      <c r="AN7" s="13">
        <f>AH7/AJ7</f>
        <v>4.7370076472034537</v>
      </c>
      <c r="AO7" s="13"/>
      <c r="AP7" s="14">
        <f t="shared" ref="AP7:AP13" si="1">AN7-1</f>
        <v>3.7370076472034537</v>
      </c>
    </row>
    <row r="8" spans="1:42" s="9" customFormat="1" ht="24.95" customHeight="1" x14ac:dyDescent="0.2">
      <c r="A8" s="9" t="s">
        <v>247</v>
      </c>
      <c r="B8" s="12">
        <f>CNT!S16</f>
        <v>56135096.590000004</v>
      </c>
      <c r="C8" s="12"/>
      <c r="D8" s="12">
        <f>SUM(BPM!S12:S13)</f>
        <v>22843.74</v>
      </c>
      <c r="E8" s="12"/>
      <c r="F8" s="12">
        <f>SUM(DEP!S8)</f>
        <v>9213.5400000000009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0" si="2">SUM(B8:N8)</f>
        <v>56167153.870000005</v>
      </c>
      <c r="Q8" s="9" t="s">
        <v>247</v>
      </c>
      <c r="R8" s="54">
        <v>7160144.5199999996</v>
      </c>
      <c r="S8" s="12"/>
      <c r="T8" s="54">
        <v>342880.7</v>
      </c>
      <c r="U8" s="12"/>
      <c r="V8" s="54">
        <v>127732.41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0" si="3">SUM(R8:AD8)</f>
        <v>7630757.6299999999</v>
      </c>
      <c r="AG8" s="9" t="s">
        <v>247</v>
      </c>
      <c r="AH8" s="122">
        <f t="shared" ref="AH8:AH30" si="4">P8</f>
        <v>56167153.870000005</v>
      </c>
      <c r="AI8" s="12"/>
      <c r="AJ8" s="12">
        <f t="shared" ref="AJ8:AJ30" si="5">AF8</f>
        <v>7630757.6299999999</v>
      </c>
      <c r="AK8" s="12"/>
      <c r="AL8" s="12">
        <f t="shared" si="0"/>
        <v>48536396.240000002</v>
      </c>
      <c r="AM8" s="12"/>
      <c r="AN8" s="13">
        <f>AH8/AJ8</f>
        <v>7.3606261125607269</v>
      </c>
      <c r="AO8" s="13"/>
      <c r="AP8" s="14">
        <f t="shared" si="1"/>
        <v>6.3606261125607269</v>
      </c>
    </row>
    <row r="9" spans="1:42" s="9" customFormat="1" ht="24.95" customHeight="1" x14ac:dyDescent="0.2">
      <c r="A9" s="9" t="s">
        <v>254</v>
      </c>
      <c r="B9" s="12">
        <f>CNT!S49</f>
        <v>93409.88</v>
      </c>
      <c r="C9" s="12"/>
      <c r="D9" s="12">
        <v>0</v>
      </c>
      <c r="E9" s="12"/>
      <c r="F9" s="12">
        <f>DEP!S31</f>
        <v>0</v>
      </c>
      <c r="G9" s="12"/>
      <c r="H9" s="12">
        <f>Lending!F16+Lending!F18</f>
        <v>875853.7</v>
      </c>
      <c r="J9" s="12">
        <v>0</v>
      </c>
      <c r="L9" s="12">
        <v>0</v>
      </c>
      <c r="N9" s="12">
        <f>'722 Bedford St'!E16</f>
        <v>0</v>
      </c>
      <c r="P9" s="12">
        <f t="shared" si="2"/>
        <v>969263.58</v>
      </c>
      <c r="Q9" s="9" t="s">
        <v>254</v>
      </c>
      <c r="R9" s="54">
        <v>69409.19</v>
      </c>
      <c r="S9" s="12"/>
      <c r="T9" s="54">
        <v>0</v>
      </c>
      <c r="U9" s="12"/>
      <c r="V9" s="54">
        <v>0</v>
      </c>
      <c r="W9" s="12"/>
      <c r="X9" s="54">
        <v>694517.76000000001</v>
      </c>
      <c r="Z9" s="54">
        <v>0</v>
      </c>
      <c r="AB9" s="54">
        <v>0</v>
      </c>
      <c r="AD9" s="54">
        <v>0</v>
      </c>
      <c r="AF9" s="12">
        <f t="shared" si="3"/>
        <v>763926.95</v>
      </c>
      <c r="AG9" s="9" t="s">
        <v>254</v>
      </c>
      <c r="AH9" s="122">
        <f t="shared" si="4"/>
        <v>969263.58</v>
      </c>
      <c r="AI9" s="12"/>
      <c r="AJ9" s="12">
        <f t="shared" si="5"/>
        <v>763926.95</v>
      </c>
      <c r="AK9" s="12"/>
      <c r="AL9" s="12">
        <f t="shared" si="0"/>
        <v>205336.63</v>
      </c>
      <c r="AM9" s="12"/>
      <c r="AN9" s="13">
        <f t="shared" ref="AN9:AN13" si="6">AH9/AJ9</f>
        <v>1.2687909230064471</v>
      </c>
      <c r="AO9" s="13"/>
      <c r="AP9" s="14">
        <f t="shared" si="1"/>
        <v>0.26879092300644714</v>
      </c>
    </row>
    <row r="10" spans="1:42" s="9" customFormat="1" ht="24.95" customHeight="1" x14ac:dyDescent="0.2">
      <c r="A10" s="9" t="s">
        <v>255</v>
      </c>
      <c r="B10" s="12">
        <f>CNT!S42</f>
        <v>780</v>
      </c>
      <c r="C10" s="12"/>
      <c r="D10" s="12">
        <v>0</v>
      </c>
      <c r="E10" s="12"/>
      <c r="F10" s="12">
        <f>DEP!S16+DEP!S17+DEP!S18</f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780</v>
      </c>
      <c r="Q10" s="9" t="s">
        <v>255</v>
      </c>
      <c r="R10" s="54">
        <v>0</v>
      </c>
      <c r="S10" s="12"/>
      <c r="T10" s="54">
        <v>0</v>
      </c>
      <c r="U10" s="12"/>
      <c r="V10" s="54">
        <v>100513.53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100513.53</v>
      </c>
      <c r="AG10" s="9" t="s">
        <v>255</v>
      </c>
      <c r="AH10" s="122">
        <f t="shared" si="4"/>
        <v>780</v>
      </c>
      <c r="AI10" s="12"/>
      <c r="AJ10" s="12">
        <f t="shared" si="5"/>
        <v>100513.53</v>
      </c>
      <c r="AK10" s="12"/>
      <c r="AL10" s="12">
        <f t="shared" si="0"/>
        <v>-99733.53</v>
      </c>
      <c r="AM10" s="12"/>
      <c r="AN10" s="13">
        <f t="shared" si="6"/>
        <v>7.7601493052726336E-3</v>
      </c>
      <c r="AO10" s="13"/>
      <c r="AP10" s="14">
        <f t="shared" si="1"/>
        <v>-0.99223985069472742</v>
      </c>
    </row>
    <row r="11" spans="1:42" s="9" customFormat="1" ht="24.95" customHeight="1" x14ac:dyDescent="0.2">
      <c r="A11" s="9" t="s">
        <v>256</v>
      </c>
      <c r="B11" s="12">
        <f>SUM(CNT!S29:S32,CNT!S43:S45)</f>
        <v>647525.96</v>
      </c>
      <c r="C11" s="12"/>
      <c r="D11" s="12">
        <f>SUM(BPM!S18)</f>
        <v>0</v>
      </c>
      <c r="E11" s="12"/>
      <c r="F11" s="12">
        <f>DEP!S10+DEP!S9+DEP!S11</f>
        <v>0</v>
      </c>
      <c r="G11" s="12"/>
      <c r="H11" s="12">
        <v>0</v>
      </c>
      <c r="J11" s="12">
        <f>BSC!F13</f>
        <v>200000</v>
      </c>
      <c r="L11" s="12">
        <f>'Oliari Co'!F17</f>
        <v>1652601.93</v>
      </c>
      <c r="N11" s="12">
        <f>'722 Bedford St'!E13+'722 Bedford St'!E14</f>
        <v>784437.5</v>
      </c>
      <c r="P11" s="12">
        <f t="shared" si="2"/>
        <v>3284565.3899999997</v>
      </c>
      <c r="Q11" s="9" t="s">
        <v>256</v>
      </c>
      <c r="R11" s="54">
        <v>623704.68999999983</v>
      </c>
      <c r="S11" s="12"/>
      <c r="T11" s="54">
        <v>480000</v>
      </c>
      <c r="U11" s="12"/>
      <c r="V11" s="54">
        <v>4900000</v>
      </c>
      <c r="W11" s="12"/>
      <c r="X11" s="54">
        <v>0</v>
      </c>
      <c r="Z11" s="54">
        <v>250000</v>
      </c>
      <c r="AB11" s="54">
        <v>1800863.79</v>
      </c>
      <c r="AD11" s="54">
        <v>32500</v>
      </c>
      <c r="AF11" s="12">
        <f t="shared" si="3"/>
        <v>8087068.4799999995</v>
      </c>
      <c r="AG11" s="9" t="s">
        <v>256</v>
      </c>
      <c r="AH11" s="122">
        <f t="shared" si="4"/>
        <v>3284565.3899999997</v>
      </c>
      <c r="AI11" s="12"/>
      <c r="AJ11" s="12">
        <f t="shared" si="5"/>
        <v>8087068.4799999995</v>
      </c>
      <c r="AK11" s="12"/>
      <c r="AL11" s="12">
        <f t="shared" si="0"/>
        <v>-4802503.09</v>
      </c>
      <c r="AM11" s="12"/>
      <c r="AN11" s="13">
        <f t="shared" si="6"/>
        <v>0.4061503124553732</v>
      </c>
      <c r="AO11" s="13"/>
      <c r="AP11" s="14">
        <f t="shared" si="1"/>
        <v>-0.59384968754462686</v>
      </c>
    </row>
    <row r="12" spans="1:42" s="9" customFormat="1" ht="24.95" customHeight="1" x14ac:dyDescent="0.2">
      <c r="A12" s="9" t="s">
        <v>257</v>
      </c>
      <c r="B12" s="12">
        <f>SUM(CNT!S46:S48)</f>
        <v>1859221.5699999998</v>
      </c>
      <c r="C12" s="12"/>
      <c r="D12" s="12">
        <v>0</v>
      </c>
      <c r="E12" s="12"/>
      <c r="F12" s="12">
        <v>0</v>
      </c>
      <c r="G12" s="12"/>
      <c r="H12" s="12">
        <v>0</v>
      </c>
      <c r="J12" s="12">
        <v>0</v>
      </c>
      <c r="L12" s="12">
        <v>0</v>
      </c>
      <c r="N12" s="12">
        <v>0</v>
      </c>
      <c r="P12" s="12">
        <f t="shared" si="2"/>
        <v>1859221.5699999998</v>
      </c>
      <c r="Q12" s="9" t="s">
        <v>257</v>
      </c>
      <c r="R12" s="54">
        <v>-359716.83999999997</v>
      </c>
      <c r="S12" s="12"/>
      <c r="T12" s="54">
        <v>0</v>
      </c>
      <c r="U12" s="12"/>
      <c r="V12" s="54">
        <v>0</v>
      </c>
      <c r="W12" s="12"/>
      <c r="X12" s="54">
        <v>0</v>
      </c>
      <c r="Z12" s="54">
        <v>0</v>
      </c>
      <c r="AB12" s="54">
        <v>0</v>
      </c>
      <c r="AD12" s="54">
        <v>0</v>
      </c>
      <c r="AF12" s="12">
        <f t="shared" si="3"/>
        <v>-359716.83999999997</v>
      </c>
      <c r="AG12" s="9" t="s">
        <v>257</v>
      </c>
      <c r="AH12" s="122">
        <f t="shared" si="4"/>
        <v>1859221.5699999998</v>
      </c>
      <c r="AI12" s="12"/>
      <c r="AJ12" s="12">
        <f t="shared" si="5"/>
        <v>-359716.83999999997</v>
      </c>
      <c r="AK12" s="12"/>
      <c r="AL12" s="12">
        <f t="shared" si="0"/>
        <v>2218938.4099999997</v>
      </c>
      <c r="AM12" s="12"/>
      <c r="AN12" s="13">
        <f t="shared" si="6"/>
        <v>-5.1685697283452177</v>
      </c>
      <c r="AO12" s="13"/>
      <c r="AP12" s="14">
        <f t="shared" si="1"/>
        <v>-6.1685697283452177</v>
      </c>
    </row>
    <row r="13" spans="1:42" s="9" customFormat="1" ht="24.95" customHeight="1" x14ac:dyDescent="0.2">
      <c r="A13" s="15" t="s">
        <v>258</v>
      </c>
      <c r="B13" s="12">
        <f>CNT!S40</f>
        <v>-996784.02</v>
      </c>
      <c r="C13" s="12"/>
      <c r="D13" s="12">
        <f>BPM!S21</f>
        <v>0</v>
      </c>
      <c r="E13" s="12"/>
      <c r="F13" s="12">
        <v>0</v>
      </c>
      <c r="G13" s="12"/>
      <c r="H13" s="12">
        <v>0</v>
      </c>
      <c r="I13" s="12"/>
      <c r="J13" s="12">
        <f>BSC!F11</f>
        <v>0</v>
      </c>
      <c r="K13" s="12"/>
      <c r="L13" s="12">
        <v>0</v>
      </c>
      <c r="M13" s="12"/>
      <c r="N13" s="12">
        <v>0</v>
      </c>
      <c r="O13" s="12"/>
      <c r="P13" s="12">
        <f t="shared" si="2"/>
        <v>-996784.02</v>
      </c>
      <c r="Q13" s="15" t="s">
        <v>258</v>
      </c>
      <c r="R13" s="54">
        <v>309806.02</v>
      </c>
      <c r="S13" s="12"/>
      <c r="T13" s="54">
        <v>0</v>
      </c>
      <c r="U13" s="12"/>
      <c r="V13" s="54">
        <v>0</v>
      </c>
      <c r="W13" s="12"/>
      <c r="X13" s="54">
        <v>0</v>
      </c>
      <c r="Y13" s="12"/>
      <c r="Z13" s="54">
        <v>1070</v>
      </c>
      <c r="AA13" s="12"/>
      <c r="AB13" s="54">
        <v>0</v>
      </c>
      <c r="AC13" s="12"/>
      <c r="AD13" s="54">
        <v>0</v>
      </c>
      <c r="AE13" s="12"/>
      <c r="AF13" s="12">
        <f t="shared" si="3"/>
        <v>310876.02</v>
      </c>
      <c r="AG13" s="15" t="s">
        <v>258</v>
      </c>
      <c r="AH13" s="122">
        <f t="shared" si="4"/>
        <v>-996784.02</v>
      </c>
      <c r="AI13" s="12"/>
      <c r="AJ13" s="12">
        <f t="shared" si="5"/>
        <v>310876.02</v>
      </c>
      <c r="AK13" s="12"/>
      <c r="AL13" s="12">
        <f t="shared" si="0"/>
        <v>-1307660.04</v>
      </c>
      <c r="AM13" s="12"/>
      <c r="AN13" s="13">
        <f t="shared" si="6"/>
        <v>-3.2063715303612028</v>
      </c>
      <c r="AO13" s="13"/>
      <c r="AP13" s="14">
        <f t="shared" si="1"/>
        <v>-4.2063715303612028</v>
      </c>
    </row>
    <row r="14" spans="1:42" s="9" customFormat="1" ht="24.95" customHeight="1" x14ac:dyDescent="0.2">
      <c r="A14" s="9" t="s">
        <v>248</v>
      </c>
      <c r="B14" s="12">
        <f>CNT!S18</f>
        <v>65587662.109999999</v>
      </c>
      <c r="C14" s="12"/>
      <c r="D14" s="12">
        <f>BPM!S14</f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65587662.109999999</v>
      </c>
      <c r="Q14" s="9" t="s">
        <v>248</v>
      </c>
      <c r="R14" s="54">
        <v>68471501.579999998</v>
      </c>
      <c r="S14" s="12"/>
      <c r="T14" s="54">
        <v>17857.28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68489358.859999999</v>
      </c>
      <c r="AG14" s="9" t="s">
        <v>248</v>
      </c>
      <c r="AH14" s="122">
        <f t="shared" si="4"/>
        <v>65587662.109999999</v>
      </c>
      <c r="AI14" s="12"/>
      <c r="AJ14" s="12">
        <f t="shared" si="5"/>
        <v>68489358.859999999</v>
      </c>
      <c r="AK14" s="12"/>
      <c r="AL14" s="12">
        <f t="shared" ref="AL14:AL30" si="7">AH14-AJ14</f>
        <v>-2901696.75</v>
      </c>
      <c r="AM14" s="12"/>
      <c r="AN14" s="13">
        <f t="shared" ref="AN14:AN24" si="8">AH14/AJ14</f>
        <v>0.95763288197906193</v>
      </c>
      <c r="AO14" s="13"/>
      <c r="AP14" s="14">
        <f t="shared" ref="AP14:AP31" si="9">AN14-1</f>
        <v>-4.2367118020938066E-2</v>
      </c>
    </row>
    <row r="15" spans="1:42" s="9" customFormat="1" ht="24.95" customHeight="1" x14ac:dyDescent="0.2">
      <c r="A15" s="9" t="s">
        <v>249</v>
      </c>
      <c r="B15" s="12">
        <f>CNT!S19</f>
        <v>130004967.23999999</v>
      </c>
      <c r="C15" s="12"/>
      <c r="D15" s="12">
        <f>BPM!S15</f>
        <v>0</v>
      </c>
      <c r="E15" s="12"/>
      <c r="F15" s="12">
        <v>0</v>
      </c>
      <c r="G15" s="12"/>
      <c r="H15" s="12">
        <v>0</v>
      </c>
      <c r="J15" s="12">
        <v>0</v>
      </c>
      <c r="L15" s="12">
        <v>0</v>
      </c>
      <c r="N15" s="12">
        <v>0</v>
      </c>
      <c r="P15" s="12">
        <f t="shared" si="2"/>
        <v>130004967.23999999</v>
      </c>
      <c r="Q15" s="9" t="s">
        <v>249</v>
      </c>
      <c r="R15" s="54">
        <v>104802555.54000001</v>
      </c>
      <c r="S15" s="12"/>
      <c r="T15" s="54">
        <v>13123.82</v>
      </c>
      <c r="U15" s="12"/>
      <c r="V15" s="54">
        <v>0</v>
      </c>
      <c r="W15" s="12"/>
      <c r="X15" s="54">
        <v>0</v>
      </c>
      <c r="Z15" s="54">
        <v>0</v>
      </c>
      <c r="AB15" s="54">
        <v>0</v>
      </c>
      <c r="AD15" s="54">
        <v>0</v>
      </c>
      <c r="AF15" s="12">
        <f t="shared" si="3"/>
        <v>104815679.36</v>
      </c>
      <c r="AG15" s="9" t="s">
        <v>249</v>
      </c>
      <c r="AH15" s="122">
        <f t="shared" si="4"/>
        <v>130004967.23999999</v>
      </c>
      <c r="AI15" s="12"/>
      <c r="AJ15" s="12">
        <f t="shared" si="5"/>
        <v>104815679.36</v>
      </c>
      <c r="AK15" s="12"/>
      <c r="AL15" s="12">
        <f t="shared" si="7"/>
        <v>25189287.879999995</v>
      </c>
      <c r="AM15" s="12"/>
      <c r="AN15" s="13">
        <f t="shared" si="8"/>
        <v>1.2403198455975737</v>
      </c>
      <c r="AO15" s="13"/>
      <c r="AP15" s="14">
        <f t="shared" si="9"/>
        <v>0.24031984559757369</v>
      </c>
    </row>
    <row r="16" spans="1:42" s="9" customFormat="1" ht="24.95" customHeight="1" x14ac:dyDescent="0.2">
      <c r="A16" s="9" t="s">
        <v>250</v>
      </c>
      <c r="B16" s="12">
        <f>CNT!S20</f>
        <v>-1364434.48</v>
      </c>
      <c r="C16" s="12"/>
      <c r="D16" s="12">
        <f>BPM!S16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-1364434.48</v>
      </c>
      <c r="Q16" s="9" t="s">
        <v>250</v>
      </c>
      <c r="R16" s="54">
        <v>1453926.19</v>
      </c>
      <c r="S16" s="12"/>
      <c r="T16" s="54">
        <v>0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1453926.19</v>
      </c>
      <c r="AG16" s="9" t="s">
        <v>250</v>
      </c>
      <c r="AH16" s="122">
        <f t="shared" si="4"/>
        <v>-1364434.48</v>
      </c>
      <c r="AI16" s="12"/>
      <c r="AJ16" s="12">
        <f t="shared" si="5"/>
        <v>1453926.19</v>
      </c>
      <c r="AK16" s="12"/>
      <c r="AL16" s="12">
        <f t="shared" si="7"/>
        <v>-2818360.67</v>
      </c>
      <c r="AM16" s="12"/>
      <c r="AN16" s="13">
        <f t="shared" si="8"/>
        <v>-0.93844824406113769</v>
      </c>
      <c r="AO16" s="13"/>
      <c r="AP16" s="14">
        <f t="shared" si="9"/>
        <v>-1.9384482440611377</v>
      </c>
    </row>
    <row r="17" spans="1:42" s="9" customFormat="1" ht="24.95" customHeight="1" x14ac:dyDescent="0.2">
      <c r="A17" s="9" t="s">
        <v>259</v>
      </c>
      <c r="B17" s="12">
        <f>CNT!S21</f>
        <v>595454.85</v>
      </c>
      <c r="C17" s="12"/>
      <c r="D17" s="12"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595454.85</v>
      </c>
      <c r="Q17" s="9" t="s">
        <v>259</v>
      </c>
      <c r="R17" s="54">
        <v>1550175.15</v>
      </c>
      <c r="S17" s="12"/>
      <c r="T17" s="54">
        <v>0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1550175.15</v>
      </c>
      <c r="AG17" s="9" t="s">
        <v>259</v>
      </c>
      <c r="AH17" s="122">
        <f t="shared" si="4"/>
        <v>595454.85</v>
      </c>
      <c r="AI17" s="12"/>
      <c r="AJ17" s="12">
        <f t="shared" si="5"/>
        <v>1550175.15</v>
      </c>
      <c r="AK17" s="12"/>
      <c r="AL17" s="12">
        <f t="shared" si="7"/>
        <v>-954720.29999999993</v>
      </c>
      <c r="AM17" s="12"/>
      <c r="AN17" s="13">
        <f t="shared" si="8"/>
        <v>0.38412101368029283</v>
      </c>
      <c r="AO17" s="13"/>
      <c r="AP17" s="14">
        <f t="shared" si="9"/>
        <v>-0.61587898631970717</v>
      </c>
    </row>
    <row r="18" spans="1:42" s="9" customFormat="1" ht="24.95" customHeight="1" x14ac:dyDescent="0.2">
      <c r="A18" s="9" t="s">
        <v>260</v>
      </c>
      <c r="B18" s="12">
        <f>CNT!S22</f>
        <v>-421</v>
      </c>
      <c r="C18" s="12"/>
      <c r="D18" s="12">
        <f>BPM!S17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-421</v>
      </c>
      <c r="Q18" s="9" t="s">
        <v>260</v>
      </c>
      <c r="R18" s="54">
        <v>0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0</v>
      </c>
      <c r="AG18" s="9" t="s">
        <v>260</v>
      </c>
      <c r="AH18" s="122">
        <f t="shared" si="4"/>
        <v>-421</v>
      </c>
      <c r="AI18" s="12"/>
      <c r="AJ18" s="12">
        <f t="shared" si="5"/>
        <v>0</v>
      </c>
      <c r="AK18" s="12"/>
      <c r="AL18" s="12">
        <f t="shared" si="7"/>
        <v>-421</v>
      </c>
      <c r="AM18" s="12"/>
      <c r="AN18" s="13" t="e">
        <f t="shared" si="8"/>
        <v>#DIV/0!</v>
      </c>
      <c r="AO18" s="13"/>
      <c r="AP18" s="14" t="e">
        <f t="shared" si="9"/>
        <v>#DIV/0!</v>
      </c>
    </row>
    <row r="19" spans="1:42" s="9" customFormat="1" ht="24.95" customHeight="1" x14ac:dyDescent="0.2">
      <c r="A19" s="9" t="s">
        <v>261</v>
      </c>
      <c r="B19" s="12">
        <f>CNT!S23</f>
        <v>177371.82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177371.82</v>
      </c>
      <c r="Q19" s="9" t="s">
        <v>261</v>
      </c>
      <c r="R19" s="54">
        <v>1122389.1200000001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1122389.1200000001</v>
      </c>
      <c r="AG19" s="9" t="s">
        <v>261</v>
      </c>
      <c r="AH19" s="122">
        <f t="shared" si="4"/>
        <v>177371.82</v>
      </c>
      <c r="AI19" s="12"/>
      <c r="AJ19" s="12">
        <f t="shared" si="5"/>
        <v>1122389.1200000001</v>
      </c>
      <c r="AK19" s="12"/>
      <c r="AL19" s="12">
        <f t="shared" si="7"/>
        <v>-945017.3</v>
      </c>
      <c r="AM19" s="12"/>
      <c r="AN19" s="13">
        <f t="shared" si="8"/>
        <v>0.15803059459450211</v>
      </c>
      <c r="AO19" s="13"/>
      <c r="AP19" s="14">
        <f t="shared" si="9"/>
        <v>-0.84196940540549792</v>
      </c>
    </row>
    <row r="20" spans="1:42" s="9" customFormat="1" ht="24.95" customHeight="1" x14ac:dyDescent="0.2">
      <c r="A20" s="9" t="s">
        <v>262</v>
      </c>
      <c r="B20" s="12">
        <f>CNT!S24</f>
        <v>70044.240000000005</v>
      </c>
      <c r="C20" s="12"/>
      <c r="D20" s="12"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70044.240000000005</v>
      </c>
      <c r="Q20" s="9" t="s">
        <v>262</v>
      </c>
      <c r="R20" s="54">
        <v>386631.4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386631.4</v>
      </c>
      <c r="AG20" s="9" t="s">
        <v>262</v>
      </c>
      <c r="AH20" s="122">
        <f t="shared" si="4"/>
        <v>70044.240000000005</v>
      </c>
      <c r="AI20" s="12"/>
      <c r="AJ20" s="12">
        <f t="shared" si="5"/>
        <v>386631.4</v>
      </c>
      <c r="AK20" s="12"/>
      <c r="AL20" s="12">
        <f t="shared" si="7"/>
        <v>-316587.16000000003</v>
      </c>
      <c r="AM20" s="12"/>
      <c r="AN20" s="13">
        <f t="shared" si="8"/>
        <v>0.18116542008745282</v>
      </c>
      <c r="AO20" s="13"/>
      <c r="AP20" s="14">
        <f t="shared" si="9"/>
        <v>-0.81883457991254716</v>
      </c>
    </row>
    <row r="21" spans="1:42" s="9" customFormat="1" ht="24.95" customHeight="1" x14ac:dyDescent="0.2">
      <c r="A21" s="9" t="s">
        <v>559</v>
      </c>
      <c r="B21" s="12">
        <f>CNT!S25</f>
        <v>-35824115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-35824115</v>
      </c>
      <c r="Q21" s="9" t="s">
        <v>559</v>
      </c>
      <c r="R21" s="54">
        <v>-15239510.02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-15239510.02</v>
      </c>
      <c r="AG21" s="9" t="s">
        <v>559</v>
      </c>
      <c r="AH21" s="122">
        <f t="shared" si="4"/>
        <v>-35824115</v>
      </c>
      <c r="AI21" s="12"/>
      <c r="AJ21" s="12">
        <f t="shared" si="5"/>
        <v>-15239510.02</v>
      </c>
      <c r="AK21" s="12"/>
      <c r="AL21" s="12">
        <f t="shared" si="7"/>
        <v>-20584604.98</v>
      </c>
      <c r="AM21" s="12"/>
      <c r="AN21" s="13">
        <f t="shared" si="8"/>
        <v>2.3507392923384818</v>
      </c>
      <c r="AO21" s="13"/>
      <c r="AP21" s="14">
        <f t="shared" si="9"/>
        <v>1.3507392923384818</v>
      </c>
    </row>
    <row r="22" spans="1:42" s="9" customFormat="1" ht="24.95" customHeight="1" x14ac:dyDescent="0.2">
      <c r="A22" s="9" t="s">
        <v>560</v>
      </c>
      <c r="B22" s="12">
        <f>CNT!S17</f>
        <v>4479.93</v>
      </c>
      <c r="C22" s="12"/>
      <c r="D22" s="12">
        <v>0</v>
      </c>
      <c r="E22" s="12"/>
      <c r="F22" s="12">
        <v>0</v>
      </c>
      <c r="G22" s="12"/>
      <c r="H22" s="12">
        <v>0</v>
      </c>
      <c r="I22" s="12"/>
      <c r="J22" s="12">
        <v>0</v>
      </c>
      <c r="K22" s="12"/>
      <c r="L22" s="12">
        <v>0</v>
      </c>
      <c r="M22" s="12"/>
      <c r="N22" s="12">
        <v>0</v>
      </c>
      <c r="O22" s="12"/>
      <c r="P22" s="12">
        <f t="shared" si="2"/>
        <v>4479.93</v>
      </c>
      <c r="Q22" s="9" t="s">
        <v>560</v>
      </c>
      <c r="R22" s="54">
        <v>14405.77</v>
      </c>
      <c r="S22" s="12"/>
      <c r="T22" s="54">
        <v>0</v>
      </c>
      <c r="U22" s="12"/>
      <c r="V22" s="54">
        <v>0</v>
      </c>
      <c r="W22" s="12"/>
      <c r="X22" s="54">
        <v>0</v>
      </c>
      <c r="Y22" s="12"/>
      <c r="Z22" s="54">
        <v>0</v>
      </c>
      <c r="AA22" s="12"/>
      <c r="AB22" s="54">
        <v>0</v>
      </c>
      <c r="AC22" s="12"/>
      <c r="AD22" s="54">
        <v>0</v>
      </c>
      <c r="AE22" s="12"/>
      <c r="AF22" s="12">
        <f t="shared" si="3"/>
        <v>14405.77</v>
      </c>
      <c r="AG22" s="9" t="s">
        <v>560</v>
      </c>
      <c r="AH22" s="122">
        <f t="shared" si="4"/>
        <v>4479.93</v>
      </c>
      <c r="AI22" s="12"/>
      <c r="AJ22" s="12">
        <f t="shared" si="5"/>
        <v>14405.77</v>
      </c>
      <c r="AK22" s="12"/>
      <c r="AL22" s="12">
        <f t="shared" si="7"/>
        <v>-9925.84</v>
      </c>
      <c r="AM22" s="12"/>
      <c r="AN22" s="13">
        <f t="shared" si="8"/>
        <v>0.31098164138397322</v>
      </c>
      <c r="AO22" s="13"/>
      <c r="AP22" s="14">
        <f t="shared" si="9"/>
        <v>-0.68901835861602678</v>
      </c>
    </row>
    <row r="23" spans="1:42" s="9" customFormat="1" ht="24.95" customHeight="1" x14ac:dyDescent="0.2">
      <c r="A23" s="9" t="s">
        <v>263</v>
      </c>
      <c r="B23" s="12">
        <f>CNT!S26</f>
        <v>-172399956.80000001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-172399956.80000001</v>
      </c>
      <c r="Q23" s="9" t="s">
        <v>263</v>
      </c>
      <c r="R23" s="54">
        <v>-147191027.00999999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-147191027.00999999</v>
      </c>
      <c r="AG23" s="9" t="s">
        <v>263</v>
      </c>
      <c r="AH23" s="122">
        <f t="shared" si="4"/>
        <v>-172399956.80000001</v>
      </c>
      <c r="AI23" s="12"/>
      <c r="AJ23" s="12">
        <f t="shared" si="5"/>
        <v>-147191027.00999999</v>
      </c>
      <c r="AK23" s="12"/>
      <c r="AL23" s="12">
        <f t="shared" si="7"/>
        <v>-25208929.790000021</v>
      </c>
      <c r="AM23" s="12"/>
      <c r="AN23" s="13">
        <f t="shared" si="8"/>
        <v>1.1712667565549859</v>
      </c>
      <c r="AO23" s="13"/>
      <c r="AP23" s="14">
        <f t="shared" si="9"/>
        <v>0.17126675655498591</v>
      </c>
    </row>
    <row r="24" spans="1:42" s="9" customFormat="1" ht="24.95" customHeight="1" x14ac:dyDescent="0.2">
      <c r="A24" s="9" t="s">
        <v>594</v>
      </c>
      <c r="B24" s="12">
        <f>CNT!S27</f>
        <v>-30081777.469999999</v>
      </c>
      <c r="C24" s="12"/>
      <c r="D24" s="12">
        <v>0</v>
      </c>
      <c r="E24" s="12"/>
      <c r="F24" s="12">
        <v>0</v>
      </c>
      <c r="G24" s="12"/>
      <c r="H24" s="12">
        <v>0</v>
      </c>
      <c r="J24" s="12">
        <v>0</v>
      </c>
      <c r="L24" s="12">
        <v>0</v>
      </c>
      <c r="N24" s="12">
        <v>0</v>
      </c>
      <c r="P24" s="12">
        <f t="shared" si="2"/>
        <v>-30081777.469999999</v>
      </c>
      <c r="Q24" s="9" t="s">
        <v>594</v>
      </c>
      <c r="R24" s="54">
        <v>-20471810.41</v>
      </c>
      <c r="S24" s="12"/>
      <c r="T24" s="54">
        <v>0</v>
      </c>
      <c r="U24" s="12"/>
      <c r="V24" s="54">
        <v>0</v>
      </c>
      <c r="W24" s="12"/>
      <c r="X24" s="54">
        <v>0</v>
      </c>
      <c r="Z24" s="54">
        <v>0</v>
      </c>
      <c r="AB24" s="54">
        <v>0</v>
      </c>
      <c r="AD24" s="54">
        <v>0</v>
      </c>
      <c r="AF24" s="12">
        <f t="shared" si="3"/>
        <v>-20471810.41</v>
      </c>
      <c r="AG24" s="9" t="s">
        <v>594</v>
      </c>
      <c r="AH24" s="122">
        <f t="shared" si="4"/>
        <v>-30081777.469999999</v>
      </c>
      <c r="AI24" s="12"/>
      <c r="AJ24" s="12">
        <f t="shared" si="5"/>
        <v>-20471810.41</v>
      </c>
      <c r="AK24" s="12"/>
      <c r="AL24" s="12">
        <f t="shared" si="7"/>
        <v>-9609967.0599999987</v>
      </c>
      <c r="AM24" s="12"/>
      <c r="AN24" s="13">
        <f t="shared" si="8"/>
        <v>1.4694243873666275</v>
      </c>
      <c r="AO24" s="13"/>
      <c r="AP24" s="14">
        <f t="shared" si="9"/>
        <v>0.4694243873666275</v>
      </c>
    </row>
    <row r="25" spans="1:42" s="9" customFormat="1" ht="24.95" customHeight="1" x14ac:dyDescent="0.2">
      <c r="A25" s="9" t="s">
        <v>264</v>
      </c>
      <c r="B25" s="12">
        <f>CNT!S28</f>
        <v>-14259.71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-14259.71</v>
      </c>
      <c r="Q25" s="9" t="s">
        <v>264</v>
      </c>
      <c r="R25" s="54">
        <v>-44062.27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-44062.27</v>
      </c>
      <c r="AG25" s="9" t="s">
        <v>264</v>
      </c>
      <c r="AH25" s="122">
        <f t="shared" si="4"/>
        <v>-14259.71</v>
      </c>
      <c r="AI25" s="12"/>
      <c r="AJ25" s="12">
        <f t="shared" si="5"/>
        <v>-44062.27</v>
      </c>
      <c r="AK25" s="12"/>
      <c r="AL25" s="12">
        <f t="shared" si="7"/>
        <v>29802.559999999998</v>
      </c>
      <c r="AM25" s="12"/>
      <c r="AN25" s="13">
        <v>0</v>
      </c>
      <c r="AO25" s="13"/>
      <c r="AP25" s="14">
        <f>AN25-1</f>
        <v>-1</v>
      </c>
    </row>
    <row r="26" spans="1:42" s="9" customFormat="1" ht="24.95" customHeight="1" x14ac:dyDescent="0.2">
      <c r="A26" s="9" t="s">
        <v>265</v>
      </c>
      <c r="B26" s="12">
        <f>CNT!S50</f>
        <v>133886.72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133886.72</v>
      </c>
      <c r="Q26" s="9" t="s">
        <v>265</v>
      </c>
      <c r="R26" s="54">
        <v>134018.43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134018.43</v>
      </c>
      <c r="AG26" s="9" t="s">
        <v>265</v>
      </c>
      <c r="AH26" s="122">
        <f t="shared" si="4"/>
        <v>133886.72</v>
      </c>
      <c r="AI26" s="12"/>
      <c r="AJ26" s="12">
        <f t="shared" si="5"/>
        <v>134018.43</v>
      </c>
      <c r="AK26" s="12"/>
      <c r="AL26" s="12">
        <f t="shared" si="7"/>
        <v>-131.70999999999185</v>
      </c>
      <c r="AM26" s="12"/>
      <c r="AN26" s="13">
        <v>0</v>
      </c>
      <c r="AO26" s="13"/>
      <c r="AP26" s="14">
        <f t="shared" si="9"/>
        <v>-1</v>
      </c>
    </row>
    <row r="27" spans="1:42" s="9" customFormat="1" ht="24.95" customHeight="1" x14ac:dyDescent="0.2">
      <c r="A27" s="9" t="s">
        <v>624</v>
      </c>
      <c r="B27" s="12">
        <f>CNT!S54</f>
        <v>17.55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17.55</v>
      </c>
      <c r="Q27" s="9" t="s">
        <v>624</v>
      </c>
      <c r="R27" s="54">
        <v>6079.19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6079.19</v>
      </c>
      <c r="AG27" s="9" t="s">
        <v>624</v>
      </c>
      <c r="AH27" s="122">
        <f t="shared" si="4"/>
        <v>17.55</v>
      </c>
      <c r="AI27" s="12"/>
      <c r="AJ27" s="12">
        <f t="shared" si="5"/>
        <v>6079.19</v>
      </c>
      <c r="AK27" s="12"/>
      <c r="AL27" s="12">
        <f t="shared" si="7"/>
        <v>-6061.6399999999994</v>
      </c>
      <c r="AM27" s="12"/>
      <c r="AN27" s="13">
        <v>0</v>
      </c>
      <c r="AO27" s="13"/>
      <c r="AP27" s="14">
        <f t="shared" si="9"/>
        <v>-1</v>
      </c>
    </row>
    <row r="28" spans="1:42" s="9" customFormat="1" ht="24.95" customHeight="1" x14ac:dyDescent="0.2">
      <c r="A28" s="9" t="s">
        <v>715</v>
      </c>
      <c r="B28" s="12">
        <f>CNT!S52+CNT!S53</f>
        <v>0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0</v>
      </c>
      <c r="Q28" s="9" t="s">
        <v>625</v>
      </c>
      <c r="R28" s="54">
        <v>0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0</v>
      </c>
      <c r="AG28" s="9" t="s">
        <v>625</v>
      </c>
      <c r="AH28" s="122">
        <f t="shared" si="4"/>
        <v>0</v>
      </c>
      <c r="AI28" s="12"/>
      <c r="AJ28" s="12">
        <f t="shared" si="5"/>
        <v>0</v>
      </c>
      <c r="AK28" s="12"/>
      <c r="AL28" s="12">
        <f t="shared" si="7"/>
        <v>0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266</v>
      </c>
      <c r="B29" s="12">
        <f>CNT!S51+CNT!S55+CNT!S57+CNT!S56</f>
        <v>171686.49000000002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171686.49000000002</v>
      </c>
      <c r="Q29" s="9" t="s">
        <v>266</v>
      </c>
      <c r="R29" s="54">
        <v>251845.45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251845.45</v>
      </c>
      <c r="AG29" s="9" t="s">
        <v>266</v>
      </c>
      <c r="AH29" s="122">
        <f t="shared" si="4"/>
        <v>171686.49000000002</v>
      </c>
      <c r="AI29" s="12"/>
      <c r="AJ29" s="12">
        <f t="shared" si="5"/>
        <v>251845.45</v>
      </c>
      <c r="AK29" s="12"/>
      <c r="AL29" s="12">
        <f t="shared" si="7"/>
        <v>-80158.959999999992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557</v>
      </c>
      <c r="B30" s="16">
        <v>0</v>
      </c>
      <c r="C30" s="16"/>
      <c r="D30" s="16">
        <v>0</v>
      </c>
      <c r="E30" s="16"/>
      <c r="F30" s="16">
        <v>0</v>
      </c>
      <c r="G30" s="16"/>
      <c r="H30" s="16">
        <v>0</v>
      </c>
      <c r="I30" s="17"/>
      <c r="J30" s="16">
        <v>0</v>
      </c>
      <c r="K30" s="17"/>
      <c r="L30" s="16">
        <v>0</v>
      </c>
      <c r="M30" s="17"/>
      <c r="N30" s="16">
        <v>0</v>
      </c>
      <c r="O30" s="17"/>
      <c r="P30" s="16">
        <f t="shared" si="2"/>
        <v>0</v>
      </c>
      <c r="Q30" s="9" t="s">
        <v>557</v>
      </c>
      <c r="R30" s="55">
        <v>0</v>
      </c>
      <c r="S30" s="16"/>
      <c r="T30" s="55">
        <v>0</v>
      </c>
      <c r="U30" s="16"/>
      <c r="V30" s="55">
        <v>0</v>
      </c>
      <c r="W30" s="16"/>
      <c r="X30" s="55">
        <v>0</v>
      </c>
      <c r="Y30" s="17"/>
      <c r="Z30" s="55">
        <v>0</v>
      </c>
      <c r="AA30" s="17"/>
      <c r="AB30" s="55">
        <v>0</v>
      </c>
      <c r="AC30" s="17"/>
      <c r="AD30" s="55">
        <v>0</v>
      </c>
      <c r="AE30" s="17"/>
      <c r="AF30" s="16">
        <f t="shared" si="3"/>
        <v>0</v>
      </c>
      <c r="AG30" s="9" t="s">
        <v>557</v>
      </c>
      <c r="AH30" s="16">
        <f t="shared" si="4"/>
        <v>0</v>
      </c>
      <c r="AI30" s="16"/>
      <c r="AJ30" s="16">
        <f t="shared" si="5"/>
        <v>0</v>
      </c>
      <c r="AK30" s="16"/>
      <c r="AL30" s="16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18" t="s">
        <v>267</v>
      </c>
      <c r="B31" s="12">
        <f>SUM(B14:B30)</f>
        <v>-42939393.510000005</v>
      </c>
      <c r="C31" s="12"/>
      <c r="D31" s="12">
        <f>SUM(D14:D29)</f>
        <v>0</v>
      </c>
      <c r="E31" s="12"/>
      <c r="F31" s="12">
        <f>SUM(F14:F29)</f>
        <v>0</v>
      </c>
      <c r="G31" s="12"/>
      <c r="H31" s="12">
        <f>SUM(H14:H29)</f>
        <v>0</v>
      </c>
      <c r="I31" s="12"/>
      <c r="J31" s="12">
        <f>SUM(J14:J29)</f>
        <v>0</v>
      </c>
      <c r="K31" s="12"/>
      <c r="L31" s="12">
        <f>SUM(L14:L29)</f>
        <v>0</v>
      </c>
      <c r="M31" s="12"/>
      <c r="N31" s="12">
        <f>SUM(N14:N29)</f>
        <v>0</v>
      </c>
      <c r="O31" s="12"/>
      <c r="P31" s="12">
        <f>SUM(P14:P30)</f>
        <v>-42939393.510000005</v>
      </c>
      <c r="Q31" s="18" t="s">
        <v>267</v>
      </c>
      <c r="R31" s="54">
        <f>SUM(R14:R30)</f>
        <v>-4752881.8899999708</v>
      </c>
      <c r="S31" s="12"/>
      <c r="T31" s="54">
        <f>SUM(T14:T29)</f>
        <v>30981.1</v>
      </c>
      <c r="U31" s="12"/>
      <c r="V31" s="54">
        <f>SUM(V14:V30)</f>
        <v>0</v>
      </c>
      <c r="W31" s="12"/>
      <c r="X31" s="54">
        <f>SUM(X14:X29)</f>
        <v>0</v>
      </c>
      <c r="Y31" s="12"/>
      <c r="Z31" s="54">
        <f>SUM(Z14:Z29)</f>
        <v>0</v>
      </c>
      <c r="AA31" s="12"/>
      <c r="AB31" s="54">
        <f>SUM(AB14:AB29)</f>
        <v>0</v>
      </c>
      <c r="AC31" s="12"/>
      <c r="AD31" s="54">
        <f>SUM(AD14:AD29)</f>
        <v>0</v>
      </c>
      <c r="AE31" s="12"/>
      <c r="AF31" s="12">
        <f>SUM(AF14:AF30)</f>
        <v>-4721900.7899999768</v>
      </c>
      <c r="AG31" s="18" t="s">
        <v>267</v>
      </c>
      <c r="AH31" s="12">
        <f>SUM(AH14:AH30)</f>
        <v>-42939393.510000005</v>
      </c>
      <c r="AI31" s="12"/>
      <c r="AJ31" s="12">
        <f>SUM(AJ14:AJ30)</f>
        <v>-4721900.7899999768</v>
      </c>
      <c r="AK31" s="12"/>
      <c r="AL31" s="12">
        <f>SUM(AL14:AL30)</f>
        <v>-38217492.720000029</v>
      </c>
      <c r="AM31" s="12"/>
      <c r="AN31" s="13">
        <f>AH31/AJ31</f>
        <v>9.0936670251388776</v>
      </c>
      <c r="AO31" s="13"/>
      <c r="AP31" s="14">
        <f t="shared" si="9"/>
        <v>8.0936670251388776</v>
      </c>
    </row>
    <row r="32" spans="1:42" s="9" customFormat="1" ht="24.95" customHeight="1" x14ac:dyDescent="0.2">
      <c r="B32" s="12"/>
      <c r="C32" s="12"/>
      <c r="D32" s="12"/>
      <c r="E32" s="12"/>
      <c r="F32" s="12"/>
      <c r="G32" s="12"/>
      <c r="P32" s="10"/>
      <c r="R32" s="54"/>
      <c r="S32" s="12"/>
      <c r="T32" s="65"/>
      <c r="V32" s="65"/>
      <c r="X32" s="65"/>
      <c r="Z32" s="65"/>
      <c r="AB32" s="65"/>
      <c r="AD32" s="65"/>
      <c r="AF32" s="10"/>
      <c r="AN32" s="10"/>
      <c r="AO32" s="10"/>
      <c r="AP32" s="19"/>
    </row>
    <row r="33" spans="1:43" s="9" customFormat="1" ht="24.95" customHeight="1" x14ac:dyDescent="0.2">
      <c r="A33" s="9" t="s">
        <v>268</v>
      </c>
      <c r="B33" s="12">
        <f>CNT!S33</f>
        <v>9268.0499999999993</v>
      </c>
      <c r="C33" s="12"/>
      <c r="D33" s="12">
        <v>0</v>
      </c>
      <c r="E33" s="12"/>
      <c r="F33" s="12">
        <v>0</v>
      </c>
      <c r="G33" s="12"/>
      <c r="H33" s="12">
        <v>0</v>
      </c>
      <c r="I33" s="12"/>
      <c r="J33" s="12">
        <v>0</v>
      </c>
      <c r="K33" s="12"/>
      <c r="L33" s="12">
        <v>0</v>
      </c>
      <c r="M33" s="12"/>
      <c r="N33" s="12">
        <v>0</v>
      </c>
      <c r="O33" s="12"/>
      <c r="P33" s="12">
        <f>SUM(B33:N33)</f>
        <v>9268.0499999999993</v>
      </c>
      <c r="Q33" s="9" t="s">
        <v>268</v>
      </c>
      <c r="R33" s="54">
        <v>9142.26</v>
      </c>
      <c r="S33" s="12"/>
      <c r="T33" s="54">
        <v>0</v>
      </c>
      <c r="U33" s="12"/>
      <c r="V33" s="54">
        <v>0</v>
      </c>
      <c r="W33" s="12"/>
      <c r="X33" s="54">
        <v>0</v>
      </c>
      <c r="Y33" s="12"/>
      <c r="Z33" s="54">
        <v>0</v>
      </c>
      <c r="AA33" s="12"/>
      <c r="AB33" s="54">
        <v>0</v>
      </c>
      <c r="AC33" s="12"/>
      <c r="AD33" s="54">
        <v>0</v>
      </c>
      <c r="AE33" s="12"/>
      <c r="AF33" s="12">
        <f>SUM(R33:AD33)</f>
        <v>9142.26</v>
      </c>
      <c r="AG33" s="9" t="s">
        <v>268</v>
      </c>
      <c r="AH33" s="122">
        <f t="shared" ref="AH33:AH40" si="10">P33</f>
        <v>9268.0499999999993</v>
      </c>
      <c r="AI33" s="12"/>
      <c r="AJ33" s="12">
        <f>AF33</f>
        <v>9142.26</v>
      </c>
      <c r="AK33" s="12"/>
      <c r="AL33" s="12">
        <f t="shared" ref="AL33:AL40" si="11">AH33-AJ33</f>
        <v>125.78999999999905</v>
      </c>
      <c r="AM33" s="12"/>
      <c r="AN33" s="13">
        <v>0</v>
      </c>
      <c r="AO33" s="13"/>
      <c r="AP33" s="14">
        <v>0</v>
      </c>
    </row>
    <row r="34" spans="1:43" s="9" customFormat="1" ht="24.95" customHeight="1" x14ac:dyDescent="0.2">
      <c r="A34" s="9" t="s">
        <v>269</v>
      </c>
      <c r="B34" s="12">
        <f>CNT!S34</f>
        <v>186334.02</v>
      </c>
      <c r="C34" s="12"/>
      <c r="D34" s="12">
        <v>0</v>
      </c>
      <c r="E34" s="12"/>
      <c r="F34" s="12">
        <f>DEP!S13</f>
        <v>0</v>
      </c>
      <c r="G34" s="12"/>
      <c r="H34" s="12">
        <v>0</v>
      </c>
      <c r="I34" s="12"/>
      <c r="J34" s="12">
        <f>BSC!F46</f>
        <v>13481.92</v>
      </c>
      <c r="K34" s="12"/>
      <c r="L34" s="12">
        <v>0</v>
      </c>
      <c r="M34" s="12"/>
      <c r="N34" s="12">
        <v>0</v>
      </c>
      <c r="O34" s="12"/>
      <c r="P34" s="12">
        <f t="shared" ref="P34:P40" si="12">SUM(B34:N34)</f>
        <v>199815.94</v>
      </c>
      <c r="Q34" s="9" t="s">
        <v>269</v>
      </c>
      <c r="R34" s="54">
        <v>182691.81</v>
      </c>
      <c r="S34" s="12"/>
      <c r="T34" s="54">
        <v>0</v>
      </c>
      <c r="U34" s="12"/>
      <c r="V34" s="54">
        <v>115913.74</v>
      </c>
      <c r="W34" s="12"/>
      <c r="X34" s="54">
        <v>0</v>
      </c>
      <c r="Y34" s="12"/>
      <c r="Z34" s="54">
        <v>12563.32</v>
      </c>
      <c r="AA34" s="12"/>
      <c r="AB34" s="54">
        <v>0</v>
      </c>
      <c r="AC34" s="12"/>
      <c r="AD34" s="54">
        <v>0</v>
      </c>
      <c r="AE34" s="12"/>
      <c r="AF34" s="12">
        <f t="shared" ref="AF34:AF40" si="13">SUM(R34:AD34)</f>
        <v>311168.87</v>
      </c>
      <c r="AG34" s="9" t="s">
        <v>269</v>
      </c>
      <c r="AH34" s="122">
        <f t="shared" si="10"/>
        <v>199815.94</v>
      </c>
      <c r="AI34" s="12"/>
      <c r="AJ34" s="12">
        <f t="shared" ref="AJ34:AJ40" si="14">AF34</f>
        <v>311168.87</v>
      </c>
      <c r="AK34" s="12"/>
      <c r="AL34" s="12">
        <f t="shared" si="11"/>
        <v>-111352.93</v>
      </c>
      <c r="AM34" s="12"/>
      <c r="AN34" s="13">
        <f t="shared" ref="AN34:AN41" si="15">AH34/AJ34</f>
        <v>0.64214630467372913</v>
      </c>
      <c r="AO34" s="13"/>
      <c r="AP34" s="14">
        <f t="shared" ref="AP34:AP41" si="16">AN34-1</f>
        <v>-0.35785369532627087</v>
      </c>
    </row>
    <row r="35" spans="1:43" s="9" customFormat="1" ht="24.95" customHeight="1" x14ac:dyDescent="0.2">
      <c r="A35" s="9" t="s">
        <v>270</v>
      </c>
      <c r="B35" s="12">
        <f>CNT!S35</f>
        <v>11735738.35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 t="shared" si="12"/>
        <v>11735738.35</v>
      </c>
      <c r="Q35" s="9" t="s">
        <v>270</v>
      </c>
      <c r="R35" s="54">
        <v>27952927.030000001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 t="shared" si="13"/>
        <v>27952927.030000001</v>
      </c>
      <c r="AG35" s="9" t="s">
        <v>270</v>
      </c>
      <c r="AH35" s="122">
        <f t="shared" si="10"/>
        <v>11735738.35</v>
      </c>
      <c r="AI35" s="12"/>
      <c r="AJ35" s="12">
        <f t="shared" si="14"/>
        <v>27952927.030000001</v>
      </c>
      <c r="AK35" s="12"/>
      <c r="AL35" s="12">
        <f t="shared" si="11"/>
        <v>-16217188.680000002</v>
      </c>
      <c r="AM35" s="12"/>
      <c r="AN35" s="13">
        <f t="shared" si="15"/>
        <v>0.41983933694689002</v>
      </c>
      <c r="AO35" s="13"/>
      <c r="AP35" s="14">
        <f t="shared" si="16"/>
        <v>-0.58016066305310998</v>
      </c>
    </row>
    <row r="36" spans="1:43" s="9" customFormat="1" ht="24.95" customHeight="1" x14ac:dyDescent="0.2">
      <c r="A36" s="9" t="s">
        <v>271</v>
      </c>
      <c r="B36" s="12">
        <f>CNT!S36</f>
        <v>379730.38</v>
      </c>
      <c r="C36" s="12"/>
      <c r="D36" s="12">
        <v>0</v>
      </c>
      <c r="E36" s="12"/>
      <c r="F36" s="12">
        <v>0</v>
      </c>
      <c r="G36" s="12"/>
      <c r="H36" s="12">
        <v>0</v>
      </c>
      <c r="J36" s="12">
        <v>0</v>
      </c>
      <c r="L36" s="12">
        <v>0</v>
      </c>
      <c r="N36" s="12">
        <v>0</v>
      </c>
      <c r="P36" s="12">
        <f t="shared" si="12"/>
        <v>379730.38</v>
      </c>
      <c r="Q36" s="9" t="s">
        <v>271</v>
      </c>
      <c r="R36" s="54">
        <v>407894.64</v>
      </c>
      <c r="S36" s="12"/>
      <c r="T36" s="54">
        <v>0</v>
      </c>
      <c r="U36" s="12"/>
      <c r="V36" s="54">
        <v>0</v>
      </c>
      <c r="W36" s="12"/>
      <c r="X36" s="54">
        <v>0</v>
      </c>
      <c r="Y36" s="12"/>
      <c r="Z36" s="54">
        <v>0</v>
      </c>
      <c r="AA36" s="12"/>
      <c r="AB36" s="54">
        <v>0</v>
      </c>
      <c r="AC36" s="12"/>
      <c r="AD36" s="54">
        <v>0</v>
      </c>
      <c r="AE36" s="12"/>
      <c r="AF36" s="12">
        <f t="shared" si="13"/>
        <v>407894.64</v>
      </c>
      <c r="AG36" s="9" t="s">
        <v>271</v>
      </c>
      <c r="AH36" s="122">
        <f t="shared" si="10"/>
        <v>379730.38</v>
      </c>
      <c r="AI36" s="12"/>
      <c r="AJ36" s="12">
        <f t="shared" si="14"/>
        <v>407894.64</v>
      </c>
      <c r="AK36" s="12"/>
      <c r="AL36" s="12">
        <f t="shared" si="11"/>
        <v>-28164.260000000009</v>
      </c>
      <c r="AM36" s="12"/>
      <c r="AN36" s="13">
        <f t="shared" si="15"/>
        <v>0.93095212038089048</v>
      </c>
      <c r="AO36" s="13"/>
      <c r="AP36" s="14">
        <f t="shared" si="16"/>
        <v>-6.904787961910952E-2</v>
      </c>
    </row>
    <row r="37" spans="1:43" s="9" customFormat="1" ht="24.95" customHeight="1" x14ac:dyDescent="0.2">
      <c r="A37" s="9" t="s">
        <v>272</v>
      </c>
      <c r="B37" s="12">
        <f>CNT!S37</f>
        <v>115000</v>
      </c>
      <c r="C37" s="12"/>
      <c r="D37" s="12">
        <f>BPM!S19</f>
        <v>3669</v>
      </c>
      <c r="E37" s="12"/>
      <c r="F37" s="12">
        <f>DEP!S12</f>
        <v>3669</v>
      </c>
      <c r="G37" s="12"/>
      <c r="H37" s="12">
        <f>Lending!F19</f>
        <v>1228</v>
      </c>
      <c r="J37" s="12">
        <v>0</v>
      </c>
      <c r="L37" s="12">
        <v>0</v>
      </c>
      <c r="N37" s="12">
        <v>0</v>
      </c>
      <c r="P37" s="12">
        <f t="shared" si="12"/>
        <v>123566</v>
      </c>
      <c r="Q37" s="9" t="s">
        <v>272</v>
      </c>
      <c r="R37" s="54">
        <v>60000</v>
      </c>
      <c r="S37" s="12"/>
      <c r="T37" s="54">
        <v>1843</v>
      </c>
      <c r="U37" s="12"/>
      <c r="V37" s="54">
        <v>20000</v>
      </c>
      <c r="W37" s="12"/>
      <c r="X37" s="54">
        <v>1070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82913</v>
      </c>
      <c r="AG37" s="9" t="s">
        <v>272</v>
      </c>
      <c r="AH37" s="122">
        <f t="shared" si="10"/>
        <v>123566</v>
      </c>
      <c r="AI37" s="12"/>
      <c r="AJ37" s="12">
        <f t="shared" si="14"/>
        <v>82913</v>
      </c>
      <c r="AK37" s="12"/>
      <c r="AL37" s="12">
        <f t="shared" si="11"/>
        <v>40653</v>
      </c>
      <c r="AM37" s="12"/>
      <c r="AN37" s="13">
        <f t="shared" si="15"/>
        <v>1.4903091191972309</v>
      </c>
      <c r="AO37" s="13"/>
      <c r="AP37" s="14">
        <f t="shared" si="16"/>
        <v>0.49030911919723086</v>
      </c>
    </row>
    <row r="38" spans="1:43" s="9" customFormat="1" ht="24.95" customHeight="1" x14ac:dyDescent="0.2">
      <c r="A38" s="9" t="s">
        <v>273</v>
      </c>
      <c r="B38" s="12">
        <v>0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f>BSC!F45</f>
        <v>0</v>
      </c>
      <c r="L38" s="12">
        <v>0</v>
      </c>
      <c r="N38" s="12">
        <v>0</v>
      </c>
      <c r="P38" s="12">
        <f t="shared" si="12"/>
        <v>0</v>
      </c>
      <c r="Q38" s="9" t="s">
        <v>273</v>
      </c>
      <c r="R38" s="54">
        <v>0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0</v>
      </c>
      <c r="AG38" s="9" t="s">
        <v>273</v>
      </c>
      <c r="AH38" s="122">
        <f t="shared" si="10"/>
        <v>0</v>
      </c>
      <c r="AI38" s="12"/>
      <c r="AJ38" s="12">
        <f t="shared" si="14"/>
        <v>0</v>
      </c>
      <c r="AK38" s="12"/>
      <c r="AL38" s="12">
        <f t="shared" si="11"/>
        <v>0</v>
      </c>
      <c r="AM38" s="12"/>
      <c r="AN38" s="13" t="e">
        <f t="shared" si="15"/>
        <v>#DIV/0!</v>
      </c>
      <c r="AO38" s="13"/>
      <c r="AP38" s="14" t="e">
        <f t="shared" si="16"/>
        <v>#DIV/0!</v>
      </c>
    </row>
    <row r="39" spans="1:43" s="9" customFormat="1" ht="24.95" customHeight="1" x14ac:dyDescent="0.2">
      <c r="A39" s="9" t="s">
        <v>590</v>
      </c>
      <c r="B39" s="12">
        <f>CNT!S41</f>
        <v>2614.0500000000002</v>
      </c>
      <c r="C39" s="12"/>
      <c r="D39" s="12">
        <v>0</v>
      </c>
      <c r="E39" s="12"/>
      <c r="F39" s="12">
        <v>0</v>
      </c>
      <c r="G39" s="12"/>
      <c r="H39" s="12">
        <v>0</v>
      </c>
      <c r="J39" s="12">
        <v>0</v>
      </c>
      <c r="L39" s="12">
        <v>0</v>
      </c>
      <c r="N39" s="12">
        <v>0</v>
      </c>
      <c r="P39" s="12">
        <f t="shared" si="12"/>
        <v>2614.0500000000002</v>
      </c>
      <c r="Q39" s="9" t="s">
        <v>590</v>
      </c>
      <c r="R39" s="54">
        <v>1312.5</v>
      </c>
      <c r="S39" s="12"/>
      <c r="T39" s="54">
        <v>0</v>
      </c>
      <c r="U39" s="12"/>
      <c r="V39" s="54">
        <v>0</v>
      </c>
      <c r="W39" s="12"/>
      <c r="X39" s="54">
        <v>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1312.5</v>
      </c>
      <c r="AG39" s="9" t="s">
        <v>590</v>
      </c>
      <c r="AH39" s="122">
        <f t="shared" si="10"/>
        <v>2614.0500000000002</v>
      </c>
      <c r="AI39" s="12"/>
      <c r="AJ39" s="12">
        <f t="shared" si="14"/>
        <v>1312.5</v>
      </c>
      <c r="AK39" s="12"/>
      <c r="AL39" s="12">
        <f t="shared" si="11"/>
        <v>1301.5500000000002</v>
      </c>
      <c r="AM39" s="12"/>
      <c r="AN39" s="13">
        <v>0</v>
      </c>
      <c r="AO39" s="13"/>
      <c r="AP39" s="14">
        <f t="shared" si="16"/>
        <v>-1</v>
      </c>
    </row>
    <row r="40" spans="1:43" s="9" customFormat="1" ht="24.95" customHeight="1" x14ac:dyDescent="0.2">
      <c r="A40" s="9" t="s">
        <v>274</v>
      </c>
      <c r="B40" s="16">
        <f>CNT!S39+CNT!S38</f>
        <v>9659.48</v>
      </c>
      <c r="C40" s="16"/>
      <c r="D40" s="16">
        <f>BPM!S20</f>
        <v>0</v>
      </c>
      <c r="E40" s="16"/>
      <c r="F40" s="16">
        <f>DEP!S15+DEP!S14</f>
        <v>0</v>
      </c>
      <c r="G40" s="16"/>
      <c r="H40" s="16">
        <f>Lending!F21+Lending!F20</f>
        <v>0</v>
      </c>
      <c r="I40" s="17"/>
      <c r="J40" s="16">
        <f>BSC!F12</f>
        <v>0</v>
      </c>
      <c r="K40" s="17"/>
      <c r="L40" s="16">
        <v>0</v>
      </c>
      <c r="M40" s="17"/>
      <c r="N40" s="16">
        <f>'722 Bedford St'!E15</f>
        <v>0</v>
      </c>
      <c r="O40" s="17"/>
      <c r="P40" s="16">
        <f t="shared" si="12"/>
        <v>9659.48</v>
      </c>
      <c r="Q40" s="9" t="s">
        <v>274</v>
      </c>
      <c r="R40" s="55">
        <v>76562.5</v>
      </c>
      <c r="S40" s="12"/>
      <c r="T40" s="55">
        <v>7729.49</v>
      </c>
      <c r="U40" s="16"/>
      <c r="V40" s="55">
        <v>71870.16</v>
      </c>
      <c r="W40" s="16"/>
      <c r="X40" s="55">
        <v>1823.5</v>
      </c>
      <c r="Y40" s="16"/>
      <c r="Z40" s="55">
        <v>0</v>
      </c>
      <c r="AA40" s="16"/>
      <c r="AB40" s="55">
        <v>0</v>
      </c>
      <c r="AC40" s="16"/>
      <c r="AD40" s="55">
        <v>2625</v>
      </c>
      <c r="AE40" s="16"/>
      <c r="AF40" s="16">
        <f t="shared" si="13"/>
        <v>160610.65000000002</v>
      </c>
      <c r="AG40" s="9" t="s">
        <v>274</v>
      </c>
      <c r="AH40" s="16">
        <f t="shared" si="10"/>
        <v>9659.48</v>
      </c>
      <c r="AI40" s="16"/>
      <c r="AJ40" s="16">
        <f t="shared" si="14"/>
        <v>160610.65000000002</v>
      </c>
      <c r="AK40" s="16"/>
      <c r="AL40" s="16">
        <f t="shared" si="11"/>
        <v>-150951.17000000001</v>
      </c>
      <c r="AM40" s="12"/>
      <c r="AN40" s="13">
        <f t="shared" si="15"/>
        <v>6.0142213483352434E-2</v>
      </c>
      <c r="AO40" s="13"/>
      <c r="AP40" s="14">
        <f t="shared" si="16"/>
        <v>-0.93985778651664753</v>
      </c>
    </row>
    <row r="41" spans="1:43" s="9" customFormat="1" ht="24.95" customHeight="1" x14ac:dyDescent="0.2">
      <c r="A41" s="18" t="s">
        <v>277</v>
      </c>
      <c r="B41" s="12">
        <f>SUM(B33:B40)</f>
        <v>12438344.330000002</v>
      </c>
      <c r="C41" s="12"/>
      <c r="D41" s="12">
        <f>SUM(D33:D40)</f>
        <v>3669</v>
      </c>
      <c r="E41" s="12"/>
      <c r="F41" s="12">
        <f>SUM(F33:F40)</f>
        <v>3669</v>
      </c>
      <c r="G41" s="12"/>
      <c r="H41" s="12">
        <f>SUM(H33:H40)</f>
        <v>1228</v>
      </c>
      <c r="I41" s="12"/>
      <c r="J41" s="12">
        <f>SUM(J33:J40)</f>
        <v>13481.92</v>
      </c>
      <c r="K41" s="12"/>
      <c r="L41" s="12">
        <f>SUM(L33:L40)</f>
        <v>0</v>
      </c>
      <c r="M41" s="12"/>
      <c r="N41" s="12">
        <f>SUM(N33:N40)</f>
        <v>0</v>
      </c>
      <c r="O41" s="12"/>
      <c r="P41" s="12">
        <f>SUM(P33:P40)</f>
        <v>12460392.250000002</v>
      </c>
      <c r="Q41" s="18" t="s">
        <v>277</v>
      </c>
      <c r="R41" s="54">
        <f>SUM(R33:R40)</f>
        <v>28690530.740000002</v>
      </c>
      <c r="S41" s="12"/>
      <c r="T41" s="54">
        <f>SUM(T33:T40)</f>
        <v>9572.49</v>
      </c>
      <c r="U41" s="12"/>
      <c r="V41" s="54">
        <f>SUM(V33:V40)</f>
        <v>207783.9</v>
      </c>
      <c r="W41" s="12"/>
      <c r="X41" s="54">
        <f>SUM(X33:X40)</f>
        <v>2893.5</v>
      </c>
      <c r="Y41" s="12"/>
      <c r="Z41" s="54">
        <f>SUM(Z33:Z40)</f>
        <v>12563.32</v>
      </c>
      <c r="AA41" s="12"/>
      <c r="AB41" s="54">
        <f>SUM(AB33:AB40)</f>
        <v>0</v>
      </c>
      <c r="AC41" s="12"/>
      <c r="AD41" s="54">
        <f>SUM(AD33:AD40)</f>
        <v>2625</v>
      </c>
      <c r="AE41" s="12"/>
      <c r="AF41" s="12">
        <f>SUM(AF33:AF40)</f>
        <v>28925968.949999999</v>
      </c>
      <c r="AG41" s="18" t="s">
        <v>277</v>
      </c>
      <c r="AH41" s="12">
        <f>SUM(AH33:AH40)</f>
        <v>12460392.250000002</v>
      </c>
      <c r="AI41" s="12"/>
      <c r="AJ41" s="12">
        <f>SUM(AJ33:AJ40)</f>
        <v>28925968.949999999</v>
      </c>
      <c r="AK41" s="12"/>
      <c r="AL41" s="12">
        <f>SUM(AL33:AL40)</f>
        <v>-16465576.700000001</v>
      </c>
      <c r="AM41" s="12"/>
      <c r="AN41" s="13">
        <f t="shared" si="15"/>
        <v>0.43076836152104087</v>
      </c>
      <c r="AO41" s="13"/>
      <c r="AP41" s="14">
        <f t="shared" si="16"/>
        <v>-0.56923163847895908</v>
      </c>
    </row>
    <row r="42" spans="1:43" s="9" customFormat="1" ht="24.95" customHeight="1" x14ac:dyDescent="0.2">
      <c r="A42" s="1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0"/>
      <c r="Q42" s="18"/>
      <c r="R42" s="54"/>
      <c r="S42" s="12"/>
      <c r="T42" s="54"/>
      <c r="U42" s="12"/>
      <c r="V42" s="54"/>
      <c r="W42" s="12"/>
      <c r="X42" s="54"/>
      <c r="Y42" s="12"/>
      <c r="Z42" s="54"/>
      <c r="AA42" s="12"/>
      <c r="AB42" s="54"/>
      <c r="AC42" s="12"/>
      <c r="AD42" s="54"/>
      <c r="AE42" s="12"/>
      <c r="AF42" s="10"/>
      <c r="AG42" s="18"/>
      <c r="AN42" s="10"/>
      <c r="AO42" s="10"/>
      <c r="AP42" s="14"/>
    </row>
    <row r="43" spans="1:43" s="9" customFormat="1" ht="24.95" customHeight="1" x14ac:dyDescent="0.2">
      <c r="A43" s="20" t="s">
        <v>275</v>
      </c>
      <c r="B43" s="21">
        <f>SUM(B41,B31,B12,B11,B10,B9,B8,B7,B13)</f>
        <v>58522816.589999996</v>
      </c>
      <c r="C43" s="21"/>
      <c r="D43" s="21">
        <f>SUM(D41,D31,D12,D11,D10,D9,D8,D7,D13)</f>
        <v>386859.19</v>
      </c>
      <c r="E43" s="21"/>
      <c r="F43" s="21">
        <f>SUM(F41,F31,F12,F11,F10,F9,F8,F7,F13)</f>
        <v>371739.66</v>
      </c>
      <c r="G43" s="21"/>
      <c r="H43" s="21">
        <f>SUM(H41,H31,H12,H11,H10,H9,H8,H7,H13)</f>
        <v>900062.97</v>
      </c>
      <c r="I43" s="21"/>
      <c r="J43" s="21">
        <f>SUM(J41,J31,J12,J11,J10,J9,J8,J7,J13)</f>
        <v>414692.83</v>
      </c>
      <c r="K43" s="21"/>
      <c r="L43" s="21">
        <f>SUM(L41,L31,L12,L11,L10,L9,L8,L7,L13)</f>
        <v>2254563.62</v>
      </c>
      <c r="M43" s="21"/>
      <c r="N43" s="21">
        <f>SUM(N41,N31,N12,N11,N10,N9,N8,N7,N13)</f>
        <v>979963.27</v>
      </c>
      <c r="O43" s="21"/>
      <c r="P43" s="21">
        <f>SUM(P41,P31,P12,P11,P10,P9,P8,P7,P13)</f>
        <v>63830698.129999995</v>
      </c>
      <c r="Q43" s="20" t="s">
        <v>275</v>
      </c>
      <c r="R43" s="56">
        <f>SUM(R41,R31,R12,R11,R10,R9,R8,R7,R13)</f>
        <v>37596024.390000038</v>
      </c>
      <c r="S43" s="12"/>
      <c r="T43" s="56">
        <f>SUM(T41,T31,T12,T11,T10,T9,T8,T7,T13)</f>
        <v>1108895.27</v>
      </c>
      <c r="U43" s="12"/>
      <c r="V43" s="56">
        <f>SUM(V41,V31,V12,V11,V10,V9,V8,V7,V13)</f>
        <v>5699088.2400000012</v>
      </c>
      <c r="W43" s="12"/>
      <c r="X43" s="56">
        <f>SUM(X41,X31,X12,X11,X10,X9,X8,X7,X13)</f>
        <v>698411.26</v>
      </c>
      <c r="Y43" s="12"/>
      <c r="Z43" s="56">
        <f>SUM(Z41,Z31,Z12,Z11,Z10,Z9,Z8,Z7,Z13)</f>
        <v>529892.14999999991</v>
      </c>
      <c r="AA43" s="12"/>
      <c r="AB43" s="56">
        <f>SUM(AB41,AB31,AB12,AB11,AB10,AB9,AB8,AB7,AB13)</f>
        <v>1939794.1400000001</v>
      </c>
      <c r="AC43" s="12"/>
      <c r="AD43" s="56">
        <f>SUM(AD41,AD31,AD12,AD11,AD10,AD9,AD8,AD7,AD13)</f>
        <v>137194.62</v>
      </c>
      <c r="AE43" s="21"/>
      <c r="AF43" s="144">
        <f>SUM(AF41,AF31,AF12,AF11,AF10,AF9,AF8,AF7,AF13)</f>
        <v>47709300.07000003</v>
      </c>
      <c r="AG43" s="20" t="s">
        <v>275</v>
      </c>
      <c r="AH43" s="21">
        <f>AH31+AH41+AH7+AH8+AH9+AH10+AH11+AH12+AH13</f>
        <v>63830698.129999995</v>
      </c>
      <c r="AI43" s="21"/>
      <c r="AJ43" s="21">
        <f>AJ31+AJ41+AJ7+AJ8+AJ9+AJ10+AJ11+AJ12+AJ13</f>
        <v>47709300.070000023</v>
      </c>
      <c r="AK43" s="21"/>
      <c r="AL43" s="21">
        <f>AL31+AL41+AL7+AL8+AL9+AL10+AL11+AL12+AL13</f>
        <v>16121398.059999969</v>
      </c>
      <c r="AM43" s="12"/>
      <c r="AN43" s="13">
        <f>AH43/AJ43</f>
        <v>1.3379089199872214</v>
      </c>
      <c r="AO43" s="13"/>
      <c r="AP43" s="14">
        <f>AN43-1</f>
        <v>0.33790891998722139</v>
      </c>
      <c r="AQ43" s="22">
        <f>AH43-P43</f>
        <v>0</v>
      </c>
    </row>
    <row r="44" spans="1:43" s="9" customFormat="1" ht="24.95" customHeight="1" x14ac:dyDescent="0.2">
      <c r="B44" s="12"/>
      <c r="C44" s="12"/>
      <c r="D44" s="12"/>
      <c r="E44" s="12"/>
      <c r="F44" s="12"/>
      <c r="G44" s="12"/>
      <c r="P44" s="10"/>
      <c r="R44" s="65"/>
      <c r="S44" s="12"/>
      <c r="T44" s="65"/>
      <c r="V44" s="65"/>
      <c r="X44" s="65"/>
      <c r="Z44" s="65"/>
      <c r="AB44" s="65"/>
      <c r="AD44" s="65"/>
      <c r="AF44" s="10"/>
      <c r="AN44" s="10"/>
      <c r="AO44" s="10"/>
      <c r="AP44" s="19"/>
    </row>
    <row r="45" spans="1:43" s="9" customFormat="1" ht="24.95" customHeight="1" x14ac:dyDescent="0.2">
      <c r="A45" s="8" t="s">
        <v>276</v>
      </c>
      <c r="B45" s="12"/>
      <c r="C45" s="12"/>
      <c r="D45" s="12"/>
      <c r="E45" s="12"/>
      <c r="F45" s="12"/>
      <c r="G45" s="12"/>
      <c r="P45" s="10"/>
      <c r="Q45" s="8" t="s">
        <v>276</v>
      </c>
      <c r="R45" s="67"/>
      <c r="S45" s="12"/>
      <c r="T45" s="65"/>
      <c r="V45" s="65"/>
      <c r="X45" s="65"/>
      <c r="Z45" s="65"/>
      <c r="AB45" s="65"/>
      <c r="AD45" s="65"/>
      <c r="AF45" s="10"/>
      <c r="AG45" s="8" t="s">
        <v>276</v>
      </c>
      <c r="AN45" s="10"/>
      <c r="AO45" s="10"/>
      <c r="AP45" s="19"/>
    </row>
    <row r="46" spans="1:43" s="9" customFormat="1" ht="24.95" customHeight="1" x14ac:dyDescent="0.2">
      <c r="A46" s="9" t="s">
        <v>286</v>
      </c>
      <c r="B46" s="12">
        <f>CNT!S63</f>
        <v>1114391.1100000001</v>
      </c>
      <c r="C46" s="12"/>
      <c r="D46" s="12">
        <f>BPM!S27</f>
        <v>8577.17</v>
      </c>
      <c r="E46" s="12"/>
      <c r="F46" s="12">
        <f>DEP!S22</f>
        <v>8577.17</v>
      </c>
      <c r="G46" s="12"/>
      <c r="H46" s="12">
        <v>0</v>
      </c>
      <c r="J46" s="12">
        <v>0</v>
      </c>
      <c r="L46" s="12">
        <v>0</v>
      </c>
      <c r="N46" s="12">
        <f>'722 Bedford St'!E28</f>
        <v>9394.19</v>
      </c>
      <c r="P46" s="12">
        <f>SUM(B46:N46)</f>
        <v>1140939.6399999999</v>
      </c>
      <c r="Q46" s="9" t="s">
        <v>286</v>
      </c>
      <c r="R46" s="54">
        <v>1112375.6499999999</v>
      </c>
      <c r="S46" s="12"/>
      <c r="T46" s="54">
        <v>8577.17</v>
      </c>
      <c r="U46" s="12"/>
      <c r="V46" s="54">
        <v>138413.75</v>
      </c>
      <c r="W46" s="12"/>
      <c r="X46" s="54">
        <v>0</v>
      </c>
      <c r="Y46" s="12"/>
      <c r="Z46" s="54">
        <v>0</v>
      </c>
      <c r="AA46" s="12"/>
      <c r="AB46" s="54">
        <v>0</v>
      </c>
      <c r="AC46" s="12"/>
      <c r="AD46" s="54">
        <v>9394.19</v>
      </c>
      <c r="AE46" s="12"/>
      <c r="AF46" s="122">
        <f>SUM(R46:AD46)</f>
        <v>1268760.7599999998</v>
      </c>
      <c r="AG46" s="9" t="s">
        <v>286</v>
      </c>
      <c r="AH46" s="12">
        <f t="shared" ref="AH46:AH61" si="17">P46</f>
        <v>1140939.6399999999</v>
      </c>
      <c r="AI46" s="12"/>
      <c r="AJ46" s="12">
        <f>AF46</f>
        <v>1268760.7599999998</v>
      </c>
      <c r="AK46" s="12"/>
      <c r="AL46" s="12">
        <f t="shared" ref="AL46:AL61" si="18">AH46-AJ46</f>
        <v>-127821.11999999988</v>
      </c>
      <c r="AM46" s="12"/>
      <c r="AN46" s="13">
        <f t="shared" ref="AN46:AN66" si="19">AH46/AJ46</f>
        <v>0.89925514405095575</v>
      </c>
      <c r="AO46" s="13"/>
      <c r="AP46" s="14">
        <f t="shared" ref="AP46:AP66" si="20">AN46-1</f>
        <v>-0.10074485594904425</v>
      </c>
    </row>
    <row r="47" spans="1:43" s="9" customFormat="1" ht="24.95" customHeight="1" x14ac:dyDescent="0.2">
      <c r="A47" s="9" t="s">
        <v>278</v>
      </c>
      <c r="B47" s="12">
        <f>CNT!S64</f>
        <v>45071.88</v>
      </c>
      <c r="C47" s="12"/>
      <c r="D47" s="12">
        <v>0</v>
      </c>
      <c r="E47" s="12"/>
      <c r="F47" s="12">
        <v>0</v>
      </c>
      <c r="G47" s="12"/>
      <c r="H47" s="12">
        <v>0</v>
      </c>
      <c r="J47" s="12">
        <v>0</v>
      </c>
      <c r="L47" s="12">
        <v>0</v>
      </c>
      <c r="N47" s="12">
        <v>0</v>
      </c>
      <c r="P47" s="12">
        <f t="shared" ref="P47:P60" si="21">SUM(B47:N47)</f>
        <v>45071.88</v>
      </c>
      <c r="Q47" s="9" t="s">
        <v>278</v>
      </c>
      <c r="R47" s="54">
        <v>45071.88</v>
      </c>
      <c r="S47" s="12"/>
      <c r="T47" s="54">
        <v>0</v>
      </c>
      <c r="U47" s="12"/>
      <c r="V47" s="54">
        <v>0</v>
      </c>
      <c r="W47" s="12"/>
      <c r="X47" s="54">
        <v>0</v>
      </c>
      <c r="Y47" s="12"/>
      <c r="Z47" s="54">
        <v>0</v>
      </c>
      <c r="AA47" s="12"/>
      <c r="AB47" s="54">
        <v>0</v>
      </c>
      <c r="AC47" s="12"/>
      <c r="AD47" s="54">
        <v>0</v>
      </c>
      <c r="AE47" s="12"/>
      <c r="AF47" s="122">
        <f t="shared" ref="AF47:AF61" si="22">SUM(R47:AD47)</f>
        <v>45071.88</v>
      </c>
      <c r="AG47" s="9" t="s">
        <v>278</v>
      </c>
      <c r="AH47" s="12">
        <f t="shared" si="17"/>
        <v>45071.88</v>
      </c>
      <c r="AI47" s="12"/>
      <c r="AJ47" s="12">
        <f t="shared" ref="AJ47:AJ61" si="23">AF47</f>
        <v>45071.88</v>
      </c>
      <c r="AK47" s="12"/>
      <c r="AL47" s="12">
        <f t="shared" si="18"/>
        <v>0</v>
      </c>
      <c r="AM47" s="12"/>
      <c r="AN47" s="13">
        <f t="shared" si="19"/>
        <v>1</v>
      </c>
      <c r="AO47" s="13"/>
      <c r="AP47" s="14">
        <f t="shared" si="20"/>
        <v>0</v>
      </c>
    </row>
    <row r="48" spans="1:43" s="9" customFormat="1" ht="24.95" customHeight="1" x14ac:dyDescent="0.2">
      <c r="A48" s="9" t="s">
        <v>288</v>
      </c>
      <c r="B48" s="12">
        <f>CNT!S65</f>
        <v>715632.48</v>
      </c>
      <c r="C48" s="12"/>
      <c r="D48" s="12">
        <v>0</v>
      </c>
      <c r="E48" s="12"/>
      <c r="F48" s="12">
        <v>0</v>
      </c>
      <c r="G48" s="12"/>
      <c r="H48" s="12">
        <v>0</v>
      </c>
      <c r="J48" s="12">
        <v>0</v>
      </c>
      <c r="L48" s="12">
        <v>0</v>
      </c>
      <c r="N48" s="12">
        <v>0</v>
      </c>
      <c r="P48" s="12">
        <f t="shared" si="21"/>
        <v>715632.48</v>
      </c>
      <c r="Q48" s="9" t="s">
        <v>288</v>
      </c>
      <c r="R48" s="54">
        <v>715632.48</v>
      </c>
      <c r="S48" s="12"/>
      <c r="T48" s="54">
        <v>0</v>
      </c>
      <c r="U48" s="12"/>
      <c r="V48" s="54">
        <v>0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0</v>
      </c>
      <c r="AE48" s="12"/>
      <c r="AF48" s="122">
        <f t="shared" si="22"/>
        <v>715632.48</v>
      </c>
      <c r="AG48" s="9" t="s">
        <v>288</v>
      </c>
      <c r="AH48" s="12">
        <f t="shared" si="17"/>
        <v>715632.48</v>
      </c>
      <c r="AI48" s="12"/>
      <c r="AJ48" s="12">
        <f t="shared" si="23"/>
        <v>715632.48</v>
      </c>
      <c r="AK48" s="12"/>
      <c r="AL48" s="12">
        <f t="shared" si="18"/>
        <v>0</v>
      </c>
      <c r="AM48" s="12"/>
      <c r="AN48" s="13">
        <f t="shared" si="19"/>
        <v>1</v>
      </c>
      <c r="AO48" s="13"/>
      <c r="AP48" s="14">
        <f t="shared" si="20"/>
        <v>0</v>
      </c>
    </row>
    <row r="49" spans="1:42" s="9" customFormat="1" ht="24.95" customHeight="1" x14ac:dyDescent="0.2">
      <c r="A49" s="9" t="s">
        <v>279</v>
      </c>
      <c r="B49" s="12">
        <f>CNT!S66</f>
        <v>4714695.95</v>
      </c>
      <c r="C49" s="12"/>
      <c r="D49" s="12">
        <v>0</v>
      </c>
      <c r="E49" s="12"/>
      <c r="F49" s="12">
        <f>DEP!S23</f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si="21"/>
        <v>4714695.95</v>
      </c>
      <c r="Q49" s="9" t="s">
        <v>279</v>
      </c>
      <c r="R49" s="54">
        <v>4704604.4800000004</v>
      </c>
      <c r="S49" s="12"/>
      <c r="T49" s="54">
        <v>0</v>
      </c>
      <c r="U49" s="12"/>
      <c r="V49" s="54">
        <v>193555.25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si="22"/>
        <v>4898159.7300000004</v>
      </c>
      <c r="AG49" s="9" t="s">
        <v>279</v>
      </c>
      <c r="AH49" s="12">
        <f t="shared" si="17"/>
        <v>4714695.95</v>
      </c>
      <c r="AI49" s="12"/>
      <c r="AJ49" s="12">
        <f t="shared" si="23"/>
        <v>4898159.7300000004</v>
      </c>
      <c r="AK49" s="12"/>
      <c r="AL49" s="12">
        <f t="shared" si="18"/>
        <v>-183463.78000000026</v>
      </c>
      <c r="AM49" s="12"/>
      <c r="AN49" s="13">
        <f t="shared" si="19"/>
        <v>0.96254434520043708</v>
      </c>
      <c r="AO49" s="13"/>
      <c r="AP49" s="14">
        <f t="shared" si="20"/>
        <v>-3.7455654799562921E-2</v>
      </c>
    </row>
    <row r="50" spans="1:42" s="9" customFormat="1" ht="24.95" customHeight="1" x14ac:dyDescent="0.2">
      <c r="A50" s="9" t="s">
        <v>280</v>
      </c>
      <c r="B50" s="12">
        <f>CNT!S67</f>
        <v>460539.38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460539.38</v>
      </c>
      <c r="Q50" s="9" t="s">
        <v>280</v>
      </c>
      <c r="R50" s="54">
        <v>460539.38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460539.38</v>
      </c>
      <c r="AG50" s="9" t="s">
        <v>280</v>
      </c>
      <c r="AH50" s="12">
        <f t="shared" si="17"/>
        <v>460539.38</v>
      </c>
      <c r="AI50" s="12"/>
      <c r="AJ50" s="12">
        <f t="shared" si="23"/>
        <v>460539.38</v>
      </c>
      <c r="AK50" s="12"/>
      <c r="AL50" s="12">
        <f t="shared" si="18"/>
        <v>0</v>
      </c>
      <c r="AM50" s="12"/>
      <c r="AN50" s="13">
        <f t="shared" si="19"/>
        <v>1</v>
      </c>
      <c r="AO50" s="13"/>
      <c r="AP50" s="14">
        <f t="shared" si="20"/>
        <v>0</v>
      </c>
    </row>
    <row r="51" spans="1:42" s="9" customFormat="1" ht="24.95" customHeight="1" x14ac:dyDescent="0.2">
      <c r="A51" s="9" t="s">
        <v>281</v>
      </c>
      <c r="B51" s="12">
        <f>CNT!S69</f>
        <v>3127064.97</v>
      </c>
      <c r="C51" s="12"/>
      <c r="D51" s="12">
        <f>BPM!S28</f>
        <v>20237.79</v>
      </c>
      <c r="E51" s="12"/>
      <c r="F51" s="12">
        <f>DEP!S24</f>
        <v>20237.79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3167540.5500000003</v>
      </c>
      <c r="Q51" s="9" t="s">
        <v>281</v>
      </c>
      <c r="R51" s="54">
        <v>3119443.63</v>
      </c>
      <c r="S51" s="12"/>
      <c r="T51" s="54">
        <v>20237.79</v>
      </c>
      <c r="U51" s="12"/>
      <c r="V51" s="54">
        <v>722636.64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3862318.06</v>
      </c>
      <c r="AG51" s="9" t="s">
        <v>281</v>
      </c>
      <c r="AH51" s="12">
        <f t="shared" si="17"/>
        <v>3167540.5500000003</v>
      </c>
      <c r="AI51" s="12"/>
      <c r="AJ51" s="12">
        <f t="shared" si="23"/>
        <v>3862318.06</v>
      </c>
      <c r="AK51" s="12"/>
      <c r="AL51" s="12">
        <f t="shared" si="18"/>
        <v>-694777.50999999978</v>
      </c>
      <c r="AM51" s="12"/>
      <c r="AN51" s="13">
        <f t="shared" si="19"/>
        <v>0.82011385411381688</v>
      </c>
      <c r="AO51" s="13"/>
      <c r="AP51" s="14">
        <f t="shared" si="20"/>
        <v>-0.17988614588618312</v>
      </c>
    </row>
    <row r="52" spans="1:42" s="9" customFormat="1" ht="24.95" customHeight="1" x14ac:dyDescent="0.2">
      <c r="A52" s="9" t="s">
        <v>595</v>
      </c>
      <c r="B52" s="12">
        <f>CNT!S70</f>
        <v>11428.88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11428.88</v>
      </c>
      <c r="Q52" s="9" t="s">
        <v>595</v>
      </c>
      <c r="R52" s="54">
        <v>11428.88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11428.88</v>
      </c>
      <c r="AG52" s="9" t="s">
        <v>595</v>
      </c>
      <c r="AH52" s="12">
        <f t="shared" si="17"/>
        <v>11428.88</v>
      </c>
      <c r="AI52" s="12"/>
      <c r="AJ52" s="12">
        <f t="shared" si="23"/>
        <v>11428.88</v>
      </c>
      <c r="AK52" s="12"/>
      <c r="AL52" s="12">
        <f t="shared" si="18"/>
        <v>0</v>
      </c>
      <c r="AM52" s="12"/>
      <c r="AN52" s="13">
        <f t="shared" si="19"/>
        <v>1</v>
      </c>
      <c r="AO52" s="13"/>
      <c r="AP52" s="14">
        <f t="shared" si="20"/>
        <v>0</v>
      </c>
    </row>
    <row r="53" spans="1:42" s="9" customFormat="1" ht="24.95" customHeight="1" x14ac:dyDescent="0.2">
      <c r="A53" s="9" t="s">
        <v>282</v>
      </c>
      <c r="B53" s="12">
        <f>CNT!S71</f>
        <v>384818.56</v>
      </c>
      <c r="C53" s="12"/>
      <c r="D53" s="12">
        <v>0</v>
      </c>
      <c r="E53" s="12"/>
      <c r="F53" s="12">
        <v>0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384818.56</v>
      </c>
      <c r="Q53" s="9" t="s">
        <v>282</v>
      </c>
      <c r="R53" s="54">
        <v>205633.94</v>
      </c>
      <c r="S53" s="12"/>
      <c r="T53" s="54">
        <v>0</v>
      </c>
      <c r="U53" s="12"/>
      <c r="V53" s="54">
        <v>0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205633.94</v>
      </c>
      <c r="AG53" s="9" t="s">
        <v>282</v>
      </c>
      <c r="AH53" s="12">
        <f t="shared" si="17"/>
        <v>384818.56</v>
      </c>
      <c r="AI53" s="12"/>
      <c r="AJ53" s="12">
        <f t="shared" si="23"/>
        <v>205633.94</v>
      </c>
      <c r="AK53" s="12"/>
      <c r="AL53" s="12">
        <f t="shared" si="18"/>
        <v>179184.62</v>
      </c>
      <c r="AM53" s="12"/>
      <c r="AN53" s="13">
        <f t="shared" si="19"/>
        <v>1.8713766803281597</v>
      </c>
      <c r="AO53" s="13"/>
      <c r="AP53" s="14">
        <f t="shared" si="20"/>
        <v>0.87137668032815974</v>
      </c>
    </row>
    <row r="54" spans="1:42" s="9" customFormat="1" ht="24.95" customHeight="1" x14ac:dyDescent="0.2">
      <c r="A54" s="9" t="s">
        <v>283</v>
      </c>
      <c r="B54" s="12">
        <f>CNT!S72</f>
        <v>2027573.66</v>
      </c>
      <c r="C54" s="12"/>
      <c r="D54" s="12">
        <v>0</v>
      </c>
      <c r="E54" s="12"/>
      <c r="F54" s="12">
        <f>DEP!S26</f>
        <v>0</v>
      </c>
      <c r="G54" s="12"/>
      <c r="H54" s="12">
        <v>0</v>
      </c>
      <c r="J54" s="12">
        <v>0</v>
      </c>
      <c r="L54" s="12">
        <v>0</v>
      </c>
      <c r="N54" s="12">
        <f>'722 Bedford St'!E32</f>
        <v>0</v>
      </c>
      <c r="P54" s="12">
        <f t="shared" si="21"/>
        <v>2027573.66</v>
      </c>
      <c r="Q54" s="9" t="s">
        <v>283</v>
      </c>
      <c r="R54" s="54">
        <v>2023589.41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557749</v>
      </c>
      <c r="AE54" s="12"/>
      <c r="AF54" s="122">
        <f t="shared" si="22"/>
        <v>2581338.41</v>
      </c>
      <c r="AG54" s="9" t="s">
        <v>283</v>
      </c>
      <c r="AH54" s="12">
        <f t="shared" si="17"/>
        <v>2027573.66</v>
      </c>
      <c r="AI54" s="12"/>
      <c r="AJ54" s="12">
        <f t="shared" si="23"/>
        <v>2581338.41</v>
      </c>
      <c r="AK54" s="12"/>
      <c r="AL54" s="12">
        <f t="shared" si="18"/>
        <v>-553764.75000000023</v>
      </c>
      <c r="AM54" s="12"/>
      <c r="AN54" s="13">
        <f t="shared" si="19"/>
        <v>0.7854737883825158</v>
      </c>
      <c r="AO54" s="13"/>
      <c r="AP54" s="14">
        <f t="shared" si="20"/>
        <v>-0.2145262116174842</v>
      </c>
    </row>
    <row r="55" spans="1:42" s="9" customFormat="1" ht="24.95" customHeight="1" x14ac:dyDescent="0.2">
      <c r="A55" s="9" t="s">
        <v>721</v>
      </c>
      <c r="B55" s="12">
        <f>CNT!S78</f>
        <v>32760.77</v>
      </c>
      <c r="C55" s="12"/>
      <c r="D55" s="12">
        <v>0</v>
      </c>
      <c r="E55" s="12"/>
      <c r="F55" s="12">
        <f>DEP!S25</f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32760.77</v>
      </c>
      <c r="Q55" s="9" t="s">
        <v>721</v>
      </c>
      <c r="R55" s="54">
        <v>0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0</v>
      </c>
      <c r="AG55" s="9" t="s">
        <v>721</v>
      </c>
      <c r="AH55" s="12">
        <f t="shared" si="17"/>
        <v>32760.77</v>
      </c>
      <c r="AI55" s="12"/>
      <c r="AJ55" s="12">
        <f t="shared" si="23"/>
        <v>0</v>
      </c>
      <c r="AK55" s="12"/>
      <c r="AL55" s="12">
        <f t="shared" si="18"/>
        <v>32760.77</v>
      </c>
      <c r="AM55" s="12"/>
      <c r="AN55" s="13" t="e">
        <f t="shared" si="19"/>
        <v>#DIV/0!</v>
      </c>
      <c r="AO55" s="13"/>
      <c r="AP55" s="14" t="e">
        <f t="shared" si="20"/>
        <v>#DIV/0!</v>
      </c>
    </row>
    <row r="56" spans="1:42" s="9" customFormat="1" ht="24.95" customHeight="1" x14ac:dyDescent="0.2">
      <c r="A56" s="9" t="s">
        <v>284</v>
      </c>
      <c r="B56" s="12">
        <f>CNT!S73</f>
        <v>5138241.6399999997</v>
      </c>
      <c r="C56" s="12"/>
      <c r="D56" s="12">
        <v>0</v>
      </c>
      <c r="E56" s="12"/>
      <c r="F56" s="12">
        <v>0</v>
      </c>
      <c r="G56" s="12"/>
      <c r="H56" s="12">
        <v>0</v>
      </c>
      <c r="J56" s="12">
        <v>0</v>
      </c>
      <c r="L56" s="12">
        <v>0</v>
      </c>
      <c r="N56" s="12">
        <v>0</v>
      </c>
      <c r="P56" s="12">
        <f t="shared" si="21"/>
        <v>5138241.6399999997</v>
      </c>
      <c r="Q56" s="9" t="s">
        <v>284</v>
      </c>
      <c r="R56" s="54">
        <v>5055104.2699999996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5055104.2699999996</v>
      </c>
      <c r="AG56" s="9" t="s">
        <v>284</v>
      </c>
      <c r="AH56" s="12">
        <f t="shared" si="17"/>
        <v>5138241.6399999997</v>
      </c>
      <c r="AI56" s="12"/>
      <c r="AJ56" s="12">
        <f t="shared" si="23"/>
        <v>5055104.2699999996</v>
      </c>
      <c r="AK56" s="12"/>
      <c r="AL56" s="12">
        <f t="shared" si="18"/>
        <v>83137.370000000112</v>
      </c>
      <c r="AM56" s="12"/>
      <c r="AN56" s="13">
        <f t="shared" si="19"/>
        <v>1.0164462225820714</v>
      </c>
      <c r="AO56" s="13"/>
      <c r="AP56" s="14">
        <f t="shared" si="20"/>
        <v>1.6446222582071401E-2</v>
      </c>
    </row>
    <row r="57" spans="1:42" s="9" customFormat="1" ht="24.95" customHeight="1" x14ac:dyDescent="0.2">
      <c r="A57" s="9" t="s">
        <v>666</v>
      </c>
      <c r="B57" s="12">
        <f>CNT!S74</f>
        <v>0</v>
      </c>
      <c r="C57" s="12"/>
      <c r="D57" s="12">
        <v>0</v>
      </c>
      <c r="E57" s="12"/>
      <c r="F57" s="12">
        <v>0</v>
      </c>
      <c r="G57" s="12"/>
      <c r="H57" s="12">
        <v>0</v>
      </c>
      <c r="J57" s="12">
        <f>BSC!F37</f>
        <v>25212.82</v>
      </c>
      <c r="L57" s="12">
        <v>0</v>
      </c>
      <c r="N57" s="12">
        <v>0</v>
      </c>
      <c r="P57" s="12">
        <f t="shared" si="21"/>
        <v>25212.82</v>
      </c>
      <c r="Q57" s="9" t="s">
        <v>666</v>
      </c>
      <c r="R57" s="54">
        <v>10344.39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10344.39</v>
      </c>
      <c r="AG57" s="9" t="s">
        <v>666</v>
      </c>
      <c r="AH57" s="12">
        <f t="shared" si="17"/>
        <v>25212.82</v>
      </c>
      <c r="AI57" s="12"/>
      <c r="AJ57" s="12">
        <v>0</v>
      </c>
      <c r="AK57" s="12"/>
      <c r="AL57" s="12">
        <f t="shared" si="18"/>
        <v>25212.82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712</v>
      </c>
      <c r="B58" s="12">
        <v>0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f>'722 Bedford St'!E27</f>
        <v>356684.97</v>
      </c>
      <c r="P58" s="12">
        <f t="shared" si="21"/>
        <v>356684.97</v>
      </c>
      <c r="Q58" s="9" t="s">
        <v>712</v>
      </c>
      <c r="R58" s="54">
        <v>0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0</v>
      </c>
      <c r="AG58" s="9" t="s">
        <v>712</v>
      </c>
      <c r="AH58" s="12">
        <f t="shared" si="17"/>
        <v>356684.97</v>
      </c>
      <c r="AI58" s="12"/>
      <c r="AJ58" s="12">
        <v>0</v>
      </c>
      <c r="AK58" s="12"/>
      <c r="AL58" s="12">
        <f t="shared" si="18"/>
        <v>356684.97</v>
      </c>
      <c r="AM58" s="12"/>
      <c r="AN58" s="13" t="e">
        <f t="shared" si="19"/>
        <v>#DIV/0!</v>
      </c>
      <c r="AO58" s="13"/>
      <c r="AP58" s="14" t="e">
        <f t="shared" si="20"/>
        <v>#DIV/0!</v>
      </c>
    </row>
    <row r="59" spans="1:42" s="9" customFormat="1" ht="24.95" customHeight="1" x14ac:dyDescent="0.2">
      <c r="A59" s="9" t="s">
        <v>733</v>
      </c>
      <c r="B59" s="12">
        <f>CNT!S77</f>
        <v>84787.5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v>0</v>
      </c>
      <c r="L59" s="12">
        <v>0</v>
      </c>
      <c r="N59" s="12">
        <v>0</v>
      </c>
      <c r="P59" s="12">
        <f t="shared" si="21"/>
        <v>84787.5</v>
      </c>
      <c r="Q59" s="9" t="s">
        <v>733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0</v>
      </c>
      <c r="AA59" s="12"/>
      <c r="AB59" s="54">
        <v>0</v>
      </c>
      <c r="AC59" s="12"/>
      <c r="AD59" s="54">
        <v>0</v>
      </c>
      <c r="AE59" s="12"/>
      <c r="AF59" s="122">
        <f t="shared" si="22"/>
        <v>0</v>
      </c>
      <c r="AG59" s="9" t="s">
        <v>733</v>
      </c>
      <c r="AH59" s="12">
        <f t="shared" si="17"/>
        <v>84787.5</v>
      </c>
      <c r="AI59" s="12"/>
      <c r="AJ59" s="12">
        <f t="shared" si="23"/>
        <v>0</v>
      </c>
      <c r="AK59" s="12"/>
      <c r="AL59" s="12">
        <f t="shared" si="18"/>
        <v>84787.5</v>
      </c>
      <c r="AM59" s="12"/>
      <c r="AN59" s="13" t="e">
        <f t="shared" si="19"/>
        <v>#DIV/0!</v>
      </c>
      <c r="AO59" s="13"/>
      <c r="AP59" s="14" t="e">
        <f t="shared" si="20"/>
        <v>#DIV/0!</v>
      </c>
    </row>
    <row r="60" spans="1:42" s="9" customFormat="1" ht="24.95" customHeight="1" x14ac:dyDescent="0.2">
      <c r="A60" s="9" t="s">
        <v>287</v>
      </c>
      <c r="B60" s="12">
        <f>CNT!S75</f>
        <v>76523.81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f>BSC!F16+BSC!F17+BSC!F18+BSC!F19+BSC!F20+BSC!F21+BSC!F22+BSC!F23+BSC!F24+BSC!F25+BSC!F26+BSC!F27+BSC!F28+BSC!F29+BSC!F30+BSC!F31+BSC!F32+BSC!F33+BSC!F34+BSC!F35+BSC!F36+BSC!F38+BSC!F41+BSC!F39+BSC!F40</f>
        <v>4177559.4099999997</v>
      </c>
      <c r="L60" s="12">
        <f>'Oliari Co'!F26-'Oliari Co'!F23+'Oliari Co'!F54</f>
        <v>4810642.5599999996</v>
      </c>
      <c r="N60" s="12">
        <f>'722 Bedford St'!E26+'722 Bedford St'!E29+'722 Bedford St'!E30+'722 Bedford St'!E31</f>
        <v>8677537.25</v>
      </c>
      <c r="P60" s="12">
        <f t="shared" si="21"/>
        <v>17742263.030000001</v>
      </c>
      <c r="Q60" s="9" t="s">
        <v>503</v>
      </c>
      <c r="R60" s="54">
        <v>76523.81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4093975.1899999995</v>
      </c>
      <c r="AA60" s="12"/>
      <c r="AB60" s="54">
        <v>4810642.5600000005</v>
      </c>
      <c r="AC60" s="12"/>
      <c r="AD60" s="54">
        <v>8677537.25</v>
      </c>
      <c r="AE60" s="12"/>
      <c r="AF60" s="122">
        <f t="shared" si="22"/>
        <v>17658678.810000002</v>
      </c>
      <c r="AG60" s="9" t="s">
        <v>503</v>
      </c>
      <c r="AH60" s="12">
        <f t="shared" si="17"/>
        <v>17742263.030000001</v>
      </c>
      <c r="AI60" s="12"/>
      <c r="AJ60" s="12">
        <f t="shared" si="23"/>
        <v>17658678.810000002</v>
      </c>
      <c r="AK60" s="12"/>
      <c r="AL60" s="12">
        <f t="shared" si="18"/>
        <v>83584.219999998808</v>
      </c>
      <c r="AM60" s="12"/>
      <c r="AN60" s="13">
        <f t="shared" si="19"/>
        <v>1.0047333224019379</v>
      </c>
      <c r="AO60" s="13"/>
      <c r="AP60" s="14">
        <f t="shared" si="20"/>
        <v>4.7333224019379116E-3</v>
      </c>
    </row>
    <row r="61" spans="1:42" s="9" customFormat="1" ht="24.95" customHeight="1" x14ac:dyDescent="0.2">
      <c r="A61" s="9" t="s">
        <v>285</v>
      </c>
      <c r="B61" s="16">
        <f>CNT!S79</f>
        <v>-9546392.1899999995</v>
      </c>
      <c r="C61" s="16"/>
      <c r="D61" s="16">
        <f>BPM!S29</f>
        <v>-19436.25</v>
      </c>
      <c r="E61" s="16"/>
      <c r="F61" s="16">
        <f>DEP!S27</f>
        <v>-19854.54</v>
      </c>
      <c r="G61" s="16"/>
      <c r="H61" s="16">
        <v>0</v>
      </c>
      <c r="I61" s="17"/>
      <c r="J61" s="16">
        <f>BSC!F42</f>
        <v>-2587991.92</v>
      </c>
      <c r="K61" s="17"/>
      <c r="L61" s="16">
        <f>'Oliari Co'!F23</f>
        <v>-1603257.42</v>
      </c>
      <c r="M61" s="17"/>
      <c r="N61" s="16">
        <f>'722 Bedford St'!E21+'722 Bedford St'!E22+'722 Bedford St'!E23+'722 Bedford St'!E24+'722 Bedford St'!E25</f>
        <v>-1338653.5</v>
      </c>
      <c r="O61" s="17"/>
      <c r="P61" s="16">
        <f>SUM(B61:N61)</f>
        <v>-15115585.819999998</v>
      </c>
      <c r="Q61" s="9" t="s">
        <v>522</v>
      </c>
      <c r="R61" s="55">
        <v>-8310212.9699999997</v>
      </c>
      <c r="S61" s="16"/>
      <c r="T61" s="55">
        <v>-14835.06</v>
      </c>
      <c r="U61" s="16"/>
      <c r="V61" s="55">
        <v>-657106.23</v>
      </c>
      <c r="W61" s="16"/>
      <c r="X61" s="55">
        <v>0</v>
      </c>
      <c r="Y61" s="16"/>
      <c r="Z61" s="55">
        <v>-2483650.1</v>
      </c>
      <c r="AA61" s="16"/>
      <c r="AB61" s="55">
        <v>-1492444.37</v>
      </c>
      <c r="AC61" s="16"/>
      <c r="AD61" s="55">
        <v>-1183512.26</v>
      </c>
      <c r="AE61" s="16"/>
      <c r="AF61" s="16">
        <f t="shared" si="22"/>
        <v>-14141760.99</v>
      </c>
      <c r="AG61" s="9" t="s">
        <v>522</v>
      </c>
      <c r="AH61" s="16">
        <f t="shared" si="17"/>
        <v>-15115585.819999998</v>
      </c>
      <c r="AI61" s="16"/>
      <c r="AJ61" s="16">
        <f t="shared" si="23"/>
        <v>-14141760.99</v>
      </c>
      <c r="AK61" s="16"/>
      <c r="AL61" s="16">
        <f t="shared" si="18"/>
        <v>-973824.82999999821</v>
      </c>
      <c r="AM61" s="12"/>
      <c r="AN61" s="13">
        <f t="shared" si="19"/>
        <v>1.0688616382845542</v>
      </c>
      <c r="AO61" s="13"/>
      <c r="AP61" s="14">
        <f t="shared" si="20"/>
        <v>6.8861638284554161E-2</v>
      </c>
    </row>
    <row r="62" spans="1:42" s="9" customFormat="1" ht="24.95" customHeight="1" x14ac:dyDescent="0.2">
      <c r="A62" s="20" t="s">
        <v>334</v>
      </c>
      <c r="B62" s="12">
        <f>SUM(B46:B61)</f>
        <v>8387138.4000000004</v>
      </c>
      <c r="C62" s="12"/>
      <c r="D62" s="12">
        <f>SUM(D46:D61)</f>
        <v>9378.7099999999991</v>
      </c>
      <c r="E62" s="12"/>
      <c r="F62" s="12">
        <f>SUM(F46:F61)</f>
        <v>8960.4199999999983</v>
      </c>
      <c r="G62" s="12"/>
      <c r="H62" s="12">
        <f>SUM(H46:H61)</f>
        <v>0</v>
      </c>
      <c r="I62" s="12"/>
      <c r="J62" s="12">
        <f>SUM(J46:J61)</f>
        <v>1614780.3099999996</v>
      </c>
      <c r="K62" s="12"/>
      <c r="L62" s="12">
        <f>SUM(L46:L61)</f>
        <v>3207385.1399999997</v>
      </c>
      <c r="M62" s="12"/>
      <c r="N62" s="12">
        <f>SUM(N46:N61)</f>
        <v>7704962.9100000001</v>
      </c>
      <c r="O62" s="12"/>
      <c r="P62" s="12">
        <f>SUM(P46:P61)</f>
        <v>20932605.890000001</v>
      </c>
      <c r="Q62" s="20" t="s">
        <v>334</v>
      </c>
      <c r="R62" s="54">
        <f>SUM(R46:R61)</f>
        <v>9230079.2300000004</v>
      </c>
      <c r="S62" s="12"/>
      <c r="T62" s="54">
        <f>SUM(T46:T61)</f>
        <v>13979.9</v>
      </c>
      <c r="U62" s="12"/>
      <c r="V62" s="54">
        <f>SUM(V46:V61)</f>
        <v>397499.41000000015</v>
      </c>
      <c r="W62" s="12"/>
      <c r="X62" s="54">
        <f>SUM(X46:X61)</f>
        <v>0</v>
      </c>
      <c r="Y62" s="12"/>
      <c r="Z62" s="54">
        <f>SUM(Z46:Z61)</f>
        <v>1610325.0899999994</v>
      </c>
      <c r="AA62" s="12"/>
      <c r="AB62" s="54">
        <f>SUM(AB46:AB61)</f>
        <v>3318198.1900000004</v>
      </c>
      <c r="AC62" s="12"/>
      <c r="AD62" s="54">
        <f>SUM(AD46:AD61)</f>
        <v>8061168.1799999997</v>
      </c>
      <c r="AE62" s="12"/>
      <c r="AF62" s="12">
        <f>SUM(AF46:AF61)</f>
        <v>22631250</v>
      </c>
      <c r="AG62" s="20" t="s">
        <v>334</v>
      </c>
      <c r="AH62" s="22">
        <f>SUM(AH46:AH61)</f>
        <v>20932605.890000001</v>
      </c>
      <c r="AI62" s="22"/>
      <c r="AJ62" s="22">
        <f>SUM(AJ46:AJ61)</f>
        <v>22620905.609999999</v>
      </c>
      <c r="AK62" s="22"/>
      <c r="AL62" s="22">
        <f>SUM(AL46:AL61)</f>
        <v>-1688299.7199999993</v>
      </c>
      <c r="AM62" s="22"/>
      <c r="AN62" s="13">
        <f t="shared" si="19"/>
        <v>0.92536551148272095</v>
      </c>
      <c r="AO62" s="13"/>
      <c r="AP62" s="14">
        <f t="shared" si="20"/>
        <v>-7.4634488517279052E-2</v>
      </c>
    </row>
    <row r="63" spans="1:42" s="9" customFormat="1" ht="24.95" customHeight="1" x14ac:dyDescent="0.2">
      <c r="A63" s="2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20"/>
      <c r="R63" s="54"/>
      <c r="S63" s="12"/>
      <c r="T63" s="54"/>
      <c r="U63" s="12"/>
      <c r="V63" s="54"/>
      <c r="W63" s="12"/>
      <c r="X63" s="54"/>
      <c r="Y63" s="12"/>
      <c r="Z63" s="54"/>
      <c r="AA63" s="12"/>
      <c r="AB63" s="54"/>
      <c r="AC63" s="12"/>
      <c r="AD63" s="54"/>
      <c r="AE63" s="12"/>
      <c r="AF63" s="10"/>
      <c r="AG63" s="20"/>
      <c r="AH63" s="22"/>
      <c r="AI63" s="22"/>
      <c r="AJ63" s="22"/>
      <c r="AK63" s="22"/>
      <c r="AL63" s="22"/>
      <c r="AM63" s="22"/>
      <c r="AN63" s="13"/>
      <c r="AO63" s="10"/>
      <c r="AP63" s="14"/>
    </row>
    <row r="64" spans="1:42" s="9" customFormat="1" ht="24.95" customHeight="1" x14ac:dyDescent="0.2">
      <c r="A64" s="9" t="s">
        <v>406</v>
      </c>
      <c r="B64" s="12">
        <f>CNT!S68+CNT!S80</f>
        <v>0</v>
      </c>
      <c r="C64" s="12"/>
      <c r="D64" s="12">
        <v>0</v>
      </c>
      <c r="E64" s="12"/>
      <c r="F64" s="12">
        <v>0</v>
      </c>
      <c r="G64" s="12"/>
      <c r="H64" s="12">
        <v>0</v>
      </c>
      <c r="I64" s="12"/>
      <c r="J64" s="12">
        <v>0</v>
      </c>
      <c r="K64" s="12"/>
      <c r="L64" s="12">
        <v>0</v>
      </c>
      <c r="M64" s="12"/>
      <c r="N64" s="12">
        <v>0</v>
      </c>
      <c r="O64" s="12"/>
      <c r="P64" s="12">
        <f>SUM(B64:N64)</f>
        <v>0</v>
      </c>
      <c r="Q64" s="9" t="s">
        <v>406</v>
      </c>
      <c r="R64" s="54">
        <v>333.25</v>
      </c>
      <c r="S64" s="12"/>
      <c r="T64" s="54">
        <v>0</v>
      </c>
      <c r="U64" s="12"/>
      <c r="V64" s="54">
        <v>0</v>
      </c>
      <c r="W64" s="12"/>
      <c r="X64" s="54">
        <v>0</v>
      </c>
      <c r="Y64" s="12"/>
      <c r="Z64" s="54">
        <v>0</v>
      </c>
      <c r="AA64" s="12"/>
      <c r="AB64" s="54">
        <v>0</v>
      </c>
      <c r="AC64" s="12"/>
      <c r="AD64" s="54">
        <v>0</v>
      </c>
      <c r="AE64" s="12"/>
      <c r="AF64" s="12">
        <f>SUM(R64:AD64)</f>
        <v>333.25</v>
      </c>
      <c r="AG64" s="9" t="s">
        <v>406</v>
      </c>
      <c r="AH64" s="22">
        <f>P64</f>
        <v>0</v>
      </c>
      <c r="AI64" s="12"/>
      <c r="AJ64" s="12">
        <f>AF64</f>
        <v>333.25</v>
      </c>
      <c r="AK64" s="12"/>
      <c r="AL64" s="22">
        <f>AH64-AJ64</f>
        <v>-333.25</v>
      </c>
      <c r="AM64" s="12"/>
      <c r="AN64" s="13">
        <f t="shared" si="19"/>
        <v>0</v>
      </c>
      <c r="AO64" s="13"/>
      <c r="AP64" s="14">
        <f t="shared" si="20"/>
        <v>-1</v>
      </c>
    </row>
    <row r="65" spans="1:43" s="9" customFormat="1" ht="24.95" customHeight="1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R65" s="54"/>
      <c r="S65" s="12"/>
      <c r="T65" s="54"/>
      <c r="U65" s="12"/>
      <c r="V65" s="54"/>
      <c r="W65" s="12"/>
      <c r="X65" s="54"/>
      <c r="Y65" s="12"/>
      <c r="Z65" s="54"/>
      <c r="AA65" s="12"/>
      <c r="AB65" s="54"/>
      <c r="AC65" s="12"/>
      <c r="AD65" s="54"/>
      <c r="AE65" s="12"/>
      <c r="AF65" s="12"/>
      <c r="AH65" s="22"/>
      <c r="AI65" s="12"/>
      <c r="AJ65" s="12"/>
      <c r="AK65" s="12"/>
      <c r="AL65" s="12"/>
      <c r="AM65" s="12"/>
      <c r="AN65" s="13"/>
      <c r="AO65" s="13"/>
      <c r="AP65" s="14"/>
    </row>
    <row r="66" spans="1:43" s="9" customFormat="1" ht="24.95" customHeight="1" thickBot="1" x14ac:dyDescent="0.25">
      <c r="A66" s="8" t="s">
        <v>289</v>
      </c>
      <c r="B66" s="23">
        <f>B64+B62+B43</f>
        <v>66909954.989999995</v>
      </c>
      <c r="C66" s="23"/>
      <c r="D66" s="23">
        <f>SUM(D62,D43,D64)</f>
        <v>396237.9</v>
      </c>
      <c r="E66" s="23"/>
      <c r="F66" s="23">
        <f>SUM(F62,F43,F64)</f>
        <v>380700.07999999996</v>
      </c>
      <c r="G66" s="23"/>
      <c r="H66" s="23">
        <f>SUM(H62,H43,H64)</f>
        <v>900062.97</v>
      </c>
      <c r="I66" s="23"/>
      <c r="J66" s="23">
        <f>SUM(J62,J43,J64)</f>
        <v>2029473.1399999997</v>
      </c>
      <c r="K66" s="23"/>
      <c r="L66" s="23">
        <f>SUM(L62,L43,L64)</f>
        <v>5461948.7599999998</v>
      </c>
      <c r="M66" s="23"/>
      <c r="N66" s="23">
        <f>SUM(N62,N43,N64)</f>
        <v>8684926.1799999997</v>
      </c>
      <c r="O66" s="23"/>
      <c r="P66" s="23">
        <f>SUM(P62,P43,P64)</f>
        <v>84763304.019999996</v>
      </c>
      <c r="Q66" s="8" t="s">
        <v>289</v>
      </c>
      <c r="R66" s="57">
        <f>SUM(R62,R43,R64)</f>
        <v>46826436.870000035</v>
      </c>
      <c r="S66" s="23"/>
      <c r="T66" s="57">
        <f>SUM(T62,T43,T64)</f>
        <v>1122875.17</v>
      </c>
      <c r="U66" s="23"/>
      <c r="V66" s="57">
        <f>SUM(V62,V43,V64)</f>
        <v>6096587.6500000013</v>
      </c>
      <c r="W66" s="23"/>
      <c r="X66" s="57">
        <f>SUM(X62,X43,X64)</f>
        <v>698411.26</v>
      </c>
      <c r="Y66" s="23"/>
      <c r="Z66" s="57">
        <f>SUM(Z62,Z43,Z64)</f>
        <v>2140217.2399999993</v>
      </c>
      <c r="AA66" s="23"/>
      <c r="AB66" s="57">
        <f>SUM(AB62,AB43,AB64)</f>
        <v>5257992.33</v>
      </c>
      <c r="AC66" s="23"/>
      <c r="AD66" s="57">
        <f>SUM(AD62,AD43,AD64)</f>
        <v>8198362.7999999998</v>
      </c>
      <c r="AE66" s="23"/>
      <c r="AF66" s="23">
        <f>SUM(AF62,AF43,AF64)</f>
        <v>70340883.320000023</v>
      </c>
      <c r="AG66" s="8" t="s">
        <v>289</v>
      </c>
      <c r="AH66" s="23">
        <f>SUM(AH62,AH43,AH64)</f>
        <v>84763304.019999996</v>
      </c>
      <c r="AI66" s="23"/>
      <c r="AJ66" s="23">
        <f>SUM(AJ62,AJ43,AJ64)</f>
        <v>70330538.930000022</v>
      </c>
      <c r="AK66" s="23"/>
      <c r="AL66" s="23">
        <f>SUM(AL62,AL43,AL64)</f>
        <v>14432765.08999997</v>
      </c>
      <c r="AM66" s="25"/>
      <c r="AN66" s="13">
        <f t="shared" si="19"/>
        <v>1.2052133441543069</v>
      </c>
      <c r="AO66" s="13"/>
      <c r="AP66" s="14">
        <f t="shared" si="20"/>
        <v>0.20521334415430692</v>
      </c>
      <c r="AQ66" s="22"/>
    </row>
    <row r="67" spans="1:43" s="9" customFormat="1" ht="24.95" customHeight="1" thickTop="1" x14ac:dyDescent="0.2">
      <c r="B67" s="12"/>
      <c r="C67" s="12"/>
      <c r="D67" s="12"/>
      <c r="E67" s="12"/>
      <c r="F67" s="12"/>
      <c r="G67" s="12"/>
      <c r="P67" s="10"/>
      <c r="R67" s="65"/>
      <c r="T67" s="65"/>
      <c r="V67" s="65"/>
      <c r="X67" s="65"/>
      <c r="Z67" s="65"/>
      <c r="AB67" s="65"/>
      <c r="AD67" s="65"/>
      <c r="AP67" s="26"/>
    </row>
    <row r="68" spans="1:43" s="9" customFormat="1" ht="24.95" customHeight="1" x14ac:dyDescent="0.2">
      <c r="A68" s="8" t="s">
        <v>105</v>
      </c>
      <c r="B68" s="12"/>
      <c r="C68" s="12"/>
      <c r="D68" s="12"/>
      <c r="E68" s="12"/>
      <c r="F68" s="12"/>
      <c r="G68" s="12"/>
      <c r="P68" s="10"/>
      <c r="Q68" s="8" t="s">
        <v>105</v>
      </c>
      <c r="R68" s="65"/>
      <c r="T68" s="65"/>
      <c r="V68" s="65"/>
      <c r="X68" s="65"/>
      <c r="Z68" s="65"/>
      <c r="AB68" s="65"/>
      <c r="AD68" s="65"/>
      <c r="AG68" s="8" t="s">
        <v>105</v>
      </c>
      <c r="AP68" s="19"/>
    </row>
    <row r="69" spans="1:43" s="9" customFormat="1" ht="24.95" customHeight="1" x14ac:dyDescent="0.2">
      <c r="A69" s="8" t="s">
        <v>290</v>
      </c>
      <c r="B69" s="12"/>
      <c r="C69" s="12"/>
      <c r="D69" s="12"/>
      <c r="E69" s="12"/>
      <c r="F69" s="12"/>
      <c r="G69" s="12"/>
      <c r="P69" s="10"/>
      <c r="Q69" s="8" t="s">
        <v>290</v>
      </c>
      <c r="R69" s="65"/>
      <c r="T69" s="65"/>
      <c r="V69" s="65"/>
      <c r="X69" s="65"/>
      <c r="Z69" s="65"/>
      <c r="AB69" s="65"/>
      <c r="AD69" s="65"/>
      <c r="AG69" s="8" t="s">
        <v>290</v>
      </c>
      <c r="AP69" s="19"/>
    </row>
    <row r="70" spans="1:43" s="9" customFormat="1" ht="24.95" customHeight="1" x14ac:dyDescent="0.2">
      <c r="A70" s="9" t="s">
        <v>700</v>
      </c>
      <c r="B70" s="12">
        <v>0</v>
      </c>
      <c r="C70" s="12"/>
      <c r="D70" s="12">
        <v>0</v>
      </c>
      <c r="E70" s="12"/>
      <c r="F70" s="12">
        <v>0</v>
      </c>
      <c r="G70" s="12"/>
      <c r="H70" s="12">
        <v>0</v>
      </c>
      <c r="J70" s="12">
        <v>0</v>
      </c>
      <c r="L70" s="12">
        <v>0</v>
      </c>
      <c r="N70" s="12">
        <v>0</v>
      </c>
      <c r="P70" s="12">
        <f>SUM(B70:N70)</f>
        <v>0</v>
      </c>
      <c r="Q70" s="9" t="s">
        <v>700</v>
      </c>
      <c r="R70" s="54">
        <v>0</v>
      </c>
      <c r="T70" s="54">
        <v>0</v>
      </c>
      <c r="U70" s="12"/>
      <c r="V70" s="54">
        <v>0</v>
      </c>
      <c r="W70" s="12"/>
      <c r="X70" s="54">
        <v>0</v>
      </c>
      <c r="Y70" s="12"/>
      <c r="Z70" s="54">
        <v>0</v>
      </c>
      <c r="AA70" s="12"/>
      <c r="AB70" s="54">
        <v>0</v>
      </c>
      <c r="AC70" s="12"/>
      <c r="AD70" s="54">
        <v>0</v>
      </c>
      <c r="AF70" s="122">
        <f>SUM(R70:AD70)</f>
        <v>0</v>
      </c>
      <c r="AG70" s="9" t="s">
        <v>700</v>
      </c>
      <c r="AH70" s="12">
        <f t="shared" ref="AH70:AH109" si="24">P70</f>
        <v>0</v>
      </c>
      <c r="AJ70" s="12">
        <f>AF70</f>
        <v>0</v>
      </c>
      <c r="AL70" s="12">
        <f t="shared" ref="AL70:AL109" si="25">AH70-AJ70</f>
        <v>0</v>
      </c>
      <c r="AN70" s="13">
        <v>0</v>
      </c>
      <c r="AP70" s="14">
        <v>0</v>
      </c>
    </row>
    <row r="71" spans="1:43" s="9" customFormat="1" ht="24.95" customHeight="1" x14ac:dyDescent="0.2">
      <c r="A71" s="9" t="s">
        <v>291</v>
      </c>
      <c r="B71" s="12">
        <f>CNT!S89</f>
        <v>0</v>
      </c>
      <c r="C71" s="12"/>
      <c r="D71" s="12">
        <v>0</v>
      </c>
      <c r="E71" s="12"/>
      <c r="F71" s="12">
        <v>0</v>
      </c>
      <c r="G71" s="12"/>
      <c r="H71" s="12">
        <v>0</v>
      </c>
      <c r="I71" s="12"/>
      <c r="J71" s="12">
        <v>0</v>
      </c>
      <c r="K71" s="12"/>
      <c r="L71" s="12">
        <v>0</v>
      </c>
      <c r="M71" s="12"/>
      <c r="N71" s="12">
        <v>0</v>
      </c>
      <c r="O71" s="12"/>
      <c r="P71" s="12">
        <f>SUM(B71:N71)</f>
        <v>0</v>
      </c>
      <c r="Q71" s="9" t="s">
        <v>291</v>
      </c>
      <c r="R71" s="54">
        <v>0</v>
      </c>
      <c r="S71" s="12"/>
      <c r="T71" s="54">
        <v>0</v>
      </c>
      <c r="U71" s="12"/>
      <c r="V71" s="54">
        <v>0</v>
      </c>
      <c r="W71" s="12"/>
      <c r="X71" s="54">
        <v>0</v>
      </c>
      <c r="Y71" s="12"/>
      <c r="Z71" s="54">
        <v>0</v>
      </c>
      <c r="AA71" s="12"/>
      <c r="AB71" s="54">
        <v>0</v>
      </c>
      <c r="AC71" s="12"/>
      <c r="AD71" s="54">
        <v>0</v>
      </c>
      <c r="AE71" s="12"/>
      <c r="AF71" s="122">
        <f>SUM(R71:AD71)</f>
        <v>0</v>
      </c>
      <c r="AG71" s="9" t="s">
        <v>291</v>
      </c>
      <c r="AH71" s="12">
        <f t="shared" si="24"/>
        <v>0</v>
      </c>
      <c r="AI71" s="12"/>
      <c r="AJ71" s="12">
        <f>AF71</f>
        <v>0</v>
      </c>
      <c r="AK71" s="12"/>
      <c r="AL71" s="12">
        <f t="shared" si="25"/>
        <v>0</v>
      </c>
      <c r="AM71" s="12"/>
      <c r="AN71" s="13">
        <v>0</v>
      </c>
      <c r="AO71" s="13"/>
      <c r="AP71" s="14">
        <v>0</v>
      </c>
    </row>
    <row r="72" spans="1:43" s="9" customFormat="1" ht="24.95" customHeight="1" x14ac:dyDescent="0.2">
      <c r="A72" s="9" t="s">
        <v>292</v>
      </c>
      <c r="B72" s="12">
        <f>CNT!S90</f>
        <v>21747303.440000001</v>
      </c>
      <c r="C72" s="12"/>
      <c r="D72" s="12">
        <f>BPM!S39</f>
        <v>4776.13</v>
      </c>
      <c r="E72" s="12"/>
      <c r="F72" s="12">
        <f>DEP!S37</f>
        <v>0</v>
      </c>
      <c r="G72" s="12"/>
      <c r="H72" s="12">
        <f>Lending!F29</f>
        <v>0</v>
      </c>
      <c r="J72" s="12">
        <f>BSC!F53</f>
        <v>0</v>
      </c>
      <c r="L72" s="12">
        <v>0</v>
      </c>
      <c r="N72" s="12">
        <v>0</v>
      </c>
      <c r="P72" s="12">
        <f t="shared" ref="P72:P109" si="26">SUM(B72:N72)</f>
        <v>21752079.57</v>
      </c>
      <c r="Q72" s="9" t="s">
        <v>292</v>
      </c>
      <c r="R72" s="54">
        <v>26856555.530000001</v>
      </c>
      <c r="S72" s="12"/>
      <c r="T72" s="54">
        <v>146465.60999999999</v>
      </c>
      <c r="U72" s="12"/>
      <c r="V72" s="54">
        <v>115.02</v>
      </c>
      <c r="W72" s="12"/>
      <c r="X72" s="54">
        <v>0</v>
      </c>
      <c r="Y72" s="12"/>
      <c r="Z72" s="54">
        <v>0</v>
      </c>
      <c r="AA72" s="12"/>
      <c r="AB72" s="54">
        <v>0</v>
      </c>
      <c r="AC72" s="12"/>
      <c r="AD72" s="54">
        <v>0</v>
      </c>
      <c r="AE72" s="12"/>
      <c r="AF72" s="122">
        <f t="shared" ref="AF72:AF109" si="27">SUM(R72:AD72)</f>
        <v>27003136.16</v>
      </c>
      <c r="AG72" s="9" t="s">
        <v>292</v>
      </c>
      <c r="AH72" s="12">
        <f t="shared" si="24"/>
        <v>21752079.57</v>
      </c>
      <c r="AI72" s="12"/>
      <c r="AJ72" s="12">
        <f t="shared" ref="AJ72:AJ109" si="28">AF72</f>
        <v>27003136.16</v>
      </c>
      <c r="AK72" s="12"/>
      <c r="AL72" s="12">
        <f t="shared" si="25"/>
        <v>-5251056.59</v>
      </c>
      <c r="AM72" s="12"/>
      <c r="AN72" s="13">
        <f t="shared" ref="AN72:AN79" si="29">AH72/AJ72</f>
        <v>0.80553901002882622</v>
      </c>
      <c r="AO72" s="13"/>
      <c r="AP72" s="14">
        <f t="shared" ref="AP72:AP110" si="30">AN72-1</f>
        <v>-0.19446098997117378</v>
      </c>
    </row>
    <row r="73" spans="1:43" s="9" customFormat="1" ht="24.95" customHeight="1" x14ac:dyDescent="0.2">
      <c r="A73" s="9" t="s">
        <v>293</v>
      </c>
      <c r="B73" s="12">
        <f>CNT!S92</f>
        <v>123.41</v>
      </c>
      <c r="C73" s="12"/>
      <c r="D73" s="12">
        <v>0</v>
      </c>
      <c r="E73" s="12"/>
      <c r="F73" s="12">
        <f>DEP!S39</f>
        <v>0</v>
      </c>
      <c r="G73" s="12"/>
      <c r="H73" s="12">
        <v>0</v>
      </c>
      <c r="I73" s="12"/>
      <c r="J73" s="12">
        <f>BSC!F55+BSC!F56</f>
        <v>2500</v>
      </c>
      <c r="K73" s="12"/>
      <c r="L73" s="12">
        <v>0</v>
      </c>
      <c r="M73" s="12"/>
      <c r="N73" s="12">
        <v>0</v>
      </c>
      <c r="O73" s="12"/>
      <c r="P73" s="12">
        <f t="shared" si="26"/>
        <v>2623.41</v>
      </c>
      <c r="Q73" s="9" t="s">
        <v>293</v>
      </c>
      <c r="R73" s="54">
        <v>0</v>
      </c>
      <c r="S73" s="12"/>
      <c r="T73" s="54">
        <v>0</v>
      </c>
      <c r="U73" s="12"/>
      <c r="V73" s="54">
        <v>0</v>
      </c>
      <c r="W73" s="12"/>
      <c r="X73" s="54">
        <v>0</v>
      </c>
      <c r="Y73" s="12"/>
      <c r="Z73" s="54">
        <v>2500</v>
      </c>
      <c r="AA73" s="12"/>
      <c r="AB73" s="54">
        <v>0</v>
      </c>
      <c r="AC73" s="12"/>
      <c r="AD73" s="54">
        <v>0</v>
      </c>
      <c r="AE73" s="12"/>
      <c r="AF73" s="122">
        <f t="shared" si="27"/>
        <v>2500</v>
      </c>
      <c r="AG73" s="9" t="s">
        <v>293</v>
      </c>
      <c r="AH73" s="12">
        <f t="shared" si="24"/>
        <v>2623.41</v>
      </c>
      <c r="AI73" s="12"/>
      <c r="AJ73" s="12">
        <f t="shared" si="28"/>
        <v>2500</v>
      </c>
      <c r="AK73" s="12"/>
      <c r="AL73" s="12">
        <f t="shared" si="25"/>
        <v>123.40999999999985</v>
      </c>
      <c r="AM73" s="12"/>
      <c r="AN73" s="13">
        <f t="shared" si="29"/>
        <v>1.049364</v>
      </c>
      <c r="AO73" s="13"/>
      <c r="AP73" s="14">
        <f t="shared" si="30"/>
        <v>4.9363999999999963E-2</v>
      </c>
    </row>
    <row r="74" spans="1:43" s="9" customFormat="1" ht="24.95" customHeight="1" x14ac:dyDescent="0.2">
      <c r="A74" s="9" t="s">
        <v>294</v>
      </c>
      <c r="B74" s="12">
        <f>CNT!S95</f>
        <v>43.91</v>
      </c>
      <c r="C74" s="12"/>
      <c r="D74" s="12">
        <f>BPM!S40</f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 t="shared" si="26"/>
        <v>43.91</v>
      </c>
      <c r="Q74" s="9" t="s">
        <v>294</v>
      </c>
      <c r="R74" s="54">
        <v>539.73</v>
      </c>
      <c r="S74" s="12"/>
      <c r="T74" s="54">
        <v>78.81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 t="shared" si="27"/>
        <v>618.54</v>
      </c>
      <c r="AG74" s="9" t="s">
        <v>294</v>
      </c>
      <c r="AH74" s="12">
        <f t="shared" si="24"/>
        <v>43.91</v>
      </c>
      <c r="AI74" s="12"/>
      <c r="AJ74" s="12">
        <f t="shared" si="28"/>
        <v>618.54</v>
      </c>
      <c r="AK74" s="12"/>
      <c r="AL74" s="12">
        <f t="shared" si="25"/>
        <v>-574.63</v>
      </c>
      <c r="AM74" s="12"/>
      <c r="AN74" s="13">
        <f t="shared" si="29"/>
        <v>7.0989750056584866E-2</v>
      </c>
      <c r="AO74" s="13"/>
      <c r="AP74" s="14">
        <f t="shared" si="30"/>
        <v>-0.92901024994341519</v>
      </c>
    </row>
    <row r="75" spans="1:43" s="9" customFormat="1" ht="24.95" customHeight="1" x14ac:dyDescent="0.2">
      <c r="A75" s="9" t="s">
        <v>295</v>
      </c>
      <c r="B75" s="12">
        <f>CNT!S91</f>
        <v>28.58</v>
      </c>
      <c r="C75" s="12"/>
      <c r="D75" s="12">
        <v>0</v>
      </c>
      <c r="E75" s="12"/>
      <c r="F75" s="12">
        <f>DEP!S38</f>
        <v>0</v>
      </c>
      <c r="G75" s="12"/>
      <c r="H75" s="12">
        <v>0</v>
      </c>
      <c r="J75" s="12">
        <v>0</v>
      </c>
      <c r="L75" s="12">
        <v>0</v>
      </c>
      <c r="N75" s="12">
        <v>0</v>
      </c>
      <c r="P75" s="12">
        <f t="shared" si="26"/>
        <v>28.58</v>
      </c>
      <c r="Q75" s="9" t="s">
        <v>295</v>
      </c>
      <c r="R75" s="54">
        <v>342.34</v>
      </c>
      <c r="S75" s="12"/>
      <c r="T75" s="54">
        <v>0</v>
      </c>
      <c r="U75" s="12"/>
      <c r="V75" s="54">
        <v>4.95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si="27"/>
        <v>347.28999999999996</v>
      </c>
      <c r="AG75" s="9" t="s">
        <v>295</v>
      </c>
      <c r="AH75" s="12">
        <f t="shared" si="24"/>
        <v>28.58</v>
      </c>
      <c r="AI75" s="12"/>
      <c r="AJ75" s="12">
        <f t="shared" si="28"/>
        <v>347.28999999999996</v>
      </c>
      <c r="AK75" s="12"/>
      <c r="AL75" s="12">
        <f t="shared" si="25"/>
        <v>-318.70999999999998</v>
      </c>
      <c r="AM75" s="12"/>
      <c r="AN75" s="13">
        <f t="shared" si="29"/>
        <v>8.2294336145584387E-2</v>
      </c>
      <c r="AO75" s="13"/>
      <c r="AP75" s="14">
        <f t="shared" si="30"/>
        <v>-0.91770566385441565</v>
      </c>
    </row>
    <row r="76" spans="1:43" s="9" customFormat="1" ht="24.95" customHeight="1" x14ac:dyDescent="0.2">
      <c r="A76" s="9" t="s">
        <v>296</v>
      </c>
      <c r="B76" s="12">
        <f>CNT!S93</f>
        <v>5533.66</v>
      </c>
      <c r="C76" s="12"/>
      <c r="D76" s="12">
        <v>0</v>
      </c>
      <c r="E76" s="12"/>
      <c r="F76" s="12">
        <v>0</v>
      </c>
      <c r="G76" s="12"/>
      <c r="H76" s="12">
        <v>0</v>
      </c>
      <c r="J76" s="12">
        <f>BSC!F58</f>
        <v>211.53</v>
      </c>
      <c r="L76" s="12">
        <v>0</v>
      </c>
      <c r="N76" s="12">
        <v>0</v>
      </c>
      <c r="P76" s="12">
        <f t="shared" si="26"/>
        <v>5745.19</v>
      </c>
      <c r="Q76" s="9" t="s">
        <v>296</v>
      </c>
      <c r="R76" s="54">
        <v>3356.24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115.38</v>
      </c>
      <c r="AA76" s="12"/>
      <c r="AB76" s="54">
        <v>0</v>
      </c>
      <c r="AC76" s="12"/>
      <c r="AD76" s="54">
        <v>0</v>
      </c>
      <c r="AE76" s="12"/>
      <c r="AF76" s="122">
        <f t="shared" si="27"/>
        <v>3471.62</v>
      </c>
      <c r="AG76" s="9" t="s">
        <v>296</v>
      </c>
      <c r="AH76" s="12">
        <f t="shared" si="24"/>
        <v>5745.19</v>
      </c>
      <c r="AI76" s="12"/>
      <c r="AJ76" s="12">
        <f t="shared" si="28"/>
        <v>3471.62</v>
      </c>
      <c r="AK76" s="12"/>
      <c r="AL76" s="12">
        <f t="shared" si="25"/>
        <v>2273.5699999999997</v>
      </c>
      <c r="AM76" s="12"/>
      <c r="AN76" s="13">
        <f t="shared" si="29"/>
        <v>1.6549017461588538</v>
      </c>
      <c r="AO76" s="13"/>
      <c r="AP76" s="14">
        <f t="shared" si="30"/>
        <v>0.65490174615885377</v>
      </c>
    </row>
    <row r="77" spans="1:43" s="9" customFormat="1" ht="24.95" customHeight="1" x14ac:dyDescent="0.2">
      <c r="A77" s="9" t="s">
        <v>711</v>
      </c>
      <c r="B77" s="12">
        <f>CNT!S94</f>
        <v>0</v>
      </c>
      <c r="C77" s="12"/>
      <c r="D77" s="12">
        <v>0</v>
      </c>
      <c r="E77" s="12"/>
      <c r="F77" s="12">
        <v>0</v>
      </c>
      <c r="G77" s="12"/>
      <c r="H77" s="12">
        <v>0</v>
      </c>
      <c r="J77" s="12">
        <v>0</v>
      </c>
      <c r="L77" s="12">
        <v>0</v>
      </c>
      <c r="N77" s="12">
        <v>0</v>
      </c>
      <c r="P77" s="12">
        <f t="shared" si="26"/>
        <v>0</v>
      </c>
      <c r="Q77" s="9" t="s">
        <v>711</v>
      </c>
      <c r="R77" s="54">
        <v>0</v>
      </c>
      <c r="S77" s="12"/>
      <c r="T77" s="54">
        <v>0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0</v>
      </c>
      <c r="AG77" s="9" t="s">
        <v>711</v>
      </c>
      <c r="AH77" s="12">
        <f t="shared" si="24"/>
        <v>0</v>
      </c>
      <c r="AI77" s="12"/>
      <c r="AJ77" s="12">
        <f t="shared" si="28"/>
        <v>0</v>
      </c>
      <c r="AK77" s="12"/>
      <c r="AL77" s="12">
        <f t="shared" si="25"/>
        <v>0</v>
      </c>
      <c r="AM77" s="12"/>
      <c r="AN77" s="13" t="e">
        <f t="shared" si="29"/>
        <v>#DIV/0!</v>
      </c>
      <c r="AO77" s="13"/>
      <c r="AP77" s="14" t="e">
        <f t="shared" si="30"/>
        <v>#DIV/0!</v>
      </c>
    </row>
    <row r="78" spans="1:43" s="9" customFormat="1" ht="24.95" customHeight="1" x14ac:dyDescent="0.2">
      <c r="A78" s="9" t="s">
        <v>390</v>
      </c>
      <c r="B78" s="12">
        <f>CNT!S120+CNT!S121+CNT!S122+CNT!S97</f>
        <v>0</v>
      </c>
      <c r="C78" s="12"/>
      <c r="D78" s="12">
        <v>0</v>
      </c>
      <c r="E78" s="12"/>
      <c r="F78" s="12">
        <v>0</v>
      </c>
      <c r="G78" s="12"/>
      <c r="H78" s="12">
        <v>0</v>
      </c>
      <c r="J78" s="12">
        <f>BSC!F63</f>
        <v>48585.25</v>
      </c>
      <c r="L78" s="12">
        <v>0</v>
      </c>
      <c r="N78" s="12">
        <v>0</v>
      </c>
      <c r="P78" s="12">
        <f t="shared" si="26"/>
        <v>48585.25</v>
      </c>
      <c r="Q78" s="9" t="s">
        <v>390</v>
      </c>
      <c r="R78" s="54">
        <v>0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46991.49</v>
      </c>
      <c r="AA78" s="12"/>
      <c r="AB78" s="54">
        <v>0</v>
      </c>
      <c r="AC78" s="12"/>
      <c r="AD78" s="54">
        <v>0</v>
      </c>
      <c r="AE78" s="12"/>
      <c r="AF78" s="122">
        <f t="shared" si="27"/>
        <v>46991.49</v>
      </c>
      <c r="AG78" s="9" t="s">
        <v>390</v>
      </c>
      <c r="AH78" s="12">
        <f t="shared" si="24"/>
        <v>48585.25</v>
      </c>
      <c r="AI78" s="12"/>
      <c r="AJ78" s="12">
        <f t="shared" si="28"/>
        <v>46991.49</v>
      </c>
      <c r="AK78" s="12"/>
      <c r="AL78" s="12">
        <f t="shared" si="25"/>
        <v>1593.760000000002</v>
      </c>
      <c r="AM78" s="12"/>
      <c r="AN78" s="13">
        <f t="shared" si="29"/>
        <v>1.0339159281818899</v>
      </c>
      <c r="AO78" s="13"/>
      <c r="AP78" s="14">
        <f t="shared" si="30"/>
        <v>3.3915928181889932E-2</v>
      </c>
    </row>
    <row r="79" spans="1:43" s="9" customFormat="1" ht="24.95" customHeight="1" x14ac:dyDescent="0.2">
      <c r="A79" s="9" t="s">
        <v>602</v>
      </c>
      <c r="B79" s="12">
        <f>CNT!S98</f>
        <v>0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v>0</v>
      </c>
      <c r="L79" s="12">
        <v>0</v>
      </c>
      <c r="N79" s="12">
        <v>0</v>
      </c>
      <c r="P79" s="12">
        <f t="shared" si="26"/>
        <v>0</v>
      </c>
      <c r="Q79" s="9" t="s">
        <v>602</v>
      </c>
      <c r="R79" s="54">
        <v>0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7"/>
        <v>0</v>
      </c>
      <c r="AG79" s="9" t="s">
        <v>602</v>
      </c>
      <c r="AH79" s="12">
        <f t="shared" si="24"/>
        <v>0</v>
      </c>
      <c r="AI79" s="12"/>
      <c r="AJ79" s="12">
        <f t="shared" si="28"/>
        <v>0</v>
      </c>
      <c r="AK79" s="12"/>
      <c r="AL79" s="12">
        <f t="shared" si="25"/>
        <v>0</v>
      </c>
      <c r="AM79" s="12"/>
      <c r="AN79" s="13" t="e">
        <f t="shared" si="29"/>
        <v>#DIV/0!</v>
      </c>
      <c r="AO79" s="13"/>
      <c r="AP79" s="14" t="e">
        <f t="shared" si="30"/>
        <v>#DIV/0!</v>
      </c>
    </row>
    <row r="80" spans="1:43" s="9" customFormat="1" ht="24.95" customHeight="1" x14ac:dyDescent="0.2">
      <c r="A80" s="9" t="s">
        <v>297</v>
      </c>
      <c r="B80" s="12">
        <f>CNT!S99</f>
        <v>8658651.8399999999</v>
      </c>
      <c r="C80" s="12"/>
      <c r="D80" s="12">
        <f>BPM!S41</f>
        <v>0</v>
      </c>
      <c r="E80" s="12"/>
      <c r="F80" s="12">
        <f>DEP!S40</f>
        <v>0</v>
      </c>
      <c r="G80" s="12"/>
      <c r="H80" s="12">
        <f>Lending!F37</f>
        <v>21162.04</v>
      </c>
      <c r="J80" s="12">
        <f>BSC!F54</f>
        <v>0</v>
      </c>
      <c r="L80" s="12">
        <v>0</v>
      </c>
      <c r="N80" s="12">
        <v>0</v>
      </c>
      <c r="P80" s="12">
        <f t="shared" si="26"/>
        <v>8679813.879999999</v>
      </c>
      <c r="Q80" s="9" t="s">
        <v>297</v>
      </c>
      <c r="R80" s="54">
        <v>1761220.75</v>
      </c>
      <c r="S80" s="12"/>
      <c r="T80" s="54">
        <v>0</v>
      </c>
      <c r="U80" s="12"/>
      <c r="V80" s="54">
        <v>258690.53</v>
      </c>
      <c r="W80" s="12"/>
      <c r="X80" s="54">
        <v>4082.8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2023994.08</v>
      </c>
      <c r="AG80" s="9" t="s">
        <v>297</v>
      </c>
      <c r="AH80" s="12">
        <f t="shared" si="24"/>
        <v>8679813.879999999</v>
      </c>
      <c r="AI80" s="12"/>
      <c r="AJ80" s="12">
        <f t="shared" si="28"/>
        <v>2023994.08</v>
      </c>
      <c r="AK80" s="12"/>
      <c r="AL80" s="12">
        <f t="shared" si="25"/>
        <v>6655819.7999999989</v>
      </c>
      <c r="AM80" s="12"/>
      <c r="AN80" s="13">
        <f t="shared" ref="AN80:AN88" si="31">AH80/AJ80</f>
        <v>4.2884581362016627</v>
      </c>
      <c r="AO80" s="13"/>
      <c r="AP80" s="14">
        <f t="shared" si="30"/>
        <v>3.2884581362016627</v>
      </c>
    </row>
    <row r="81" spans="1:42" s="9" customFormat="1" ht="24.95" customHeight="1" x14ac:dyDescent="0.2">
      <c r="A81" s="9" t="s">
        <v>561</v>
      </c>
      <c r="B81" s="12">
        <f>CNT!S100</f>
        <v>9942.8700000000008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v>0</v>
      </c>
      <c r="L81" s="12">
        <v>0</v>
      </c>
      <c r="N81" s="12">
        <v>0</v>
      </c>
      <c r="P81" s="12">
        <f t="shared" si="26"/>
        <v>9942.8700000000008</v>
      </c>
      <c r="Q81" s="9" t="s">
        <v>561</v>
      </c>
      <c r="R81" s="54">
        <v>13146.47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0</v>
      </c>
      <c r="AA81" s="12"/>
      <c r="AB81" s="54">
        <v>0</v>
      </c>
      <c r="AC81" s="12"/>
      <c r="AD81" s="54">
        <v>0</v>
      </c>
      <c r="AE81" s="12"/>
      <c r="AF81" s="122">
        <f t="shared" si="27"/>
        <v>13146.47</v>
      </c>
      <c r="AG81" s="9" t="s">
        <v>561</v>
      </c>
      <c r="AH81" s="12">
        <f t="shared" si="24"/>
        <v>9942.8700000000008</v>
      </c>
      <c r="AI81" s="12"/>
      <c r="AJ81" s="12">
        <f t="shared" si="28"/>
        <v>13146.47</v>
      </c>
      <c r="AK81" s="12"/>
      <c r="AL81" s="12">
        <f t="shared" si="25"/>
        <v>-3203.5999999999985</v>
      </c>
      <c r="AM81" s="12"/>
      <c r="AN81" s="13">
        <f t="shared" si="31"/>
        <v>0.75631481302585424</v>
      </c>
      <c r="AO81" s="13"/>
      <c r="AP81" s="14">
        <f t="shared" si="30"/>
        <v>-0.24368518697414576</v>
      </c>
    </row>
    <row r="82" spans="1:42" s="9" customFormat="1" ht="24.95" customHeight="1" x14ac:dyDescent="0.2">
      <c r="A82" s="9" t="s">
        <v>562</v>
      </c>
      <c r="B82" s="12">
        <f>CNT!S101</f>
        <v>196117.3</v>
      </c>
      <c r="C82" s="12"/>
      <c r="D82" s="12">
        <f>BPM!S42</f>
        <v>-5691.92</v>
      </c>
      <c r="E82" s="12"/>
      <c r="F82" s="12">
        <v>0</v>
      </c>
      <c r="G82" s="12"/>
      <c r="H82" s="12">
        <f>Lending!F32</f>
        <v>1250</v>
      </c>
      <c r="J82" s="12">
        <v>0</v>
      </c>
      <c r="L82" s="12">
        <f>'Oliari Co'!F62</f>
        <v>3725</v>
      </c>
      <c r="N82" s="12">
        <v>0</v>
      </c>
      <c r="P82" s="12">
        <f t="shared" si="26"/>
        <v>195400.37999999998</v>
      </c>
      <c r="Q82" s="9" t="s">
        <v>562</v>
      </c>
      <c r="R82" s="54">
        <v>194621.52</v>
      </c>
      <c r="S82" s="12"/>
      <c r="T82" s="54">
        <v>1350.84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305</v>
      </c>
      <c r="AC82" s="12"/>
      <c r="AD82" s="54">
        <v>0</v>
      </c>
      <c r="AE82" s="12"/>
      <c r="AF82" s="122">
        <f t="shared" si="27"/>
        <v>196277.36</v>
      </c>
      <c r="AG82" s="9" t="s">
        <v>562</v>
      </c>
      <c r="AH82" s="12">
        <f t="shared" si="24"/>
        <v>195400.37999999998</v>
      </c>
      <c r="AI82" s="12"/>
      <c r="AJ82" s="12">
        <f t="shared" si="28"/>
        <v>196277.36</v>
      </c>
      <c r="AK82" s="12"/>
      <c r="AL82" s="12">
        <f t="shared" si="25"/>
        <v>-876.98000000001048</v>
      </c>
      <c r="AM82" s="12"/>
      <c r="AN82" s="13">
        <f t="shared" si="31"/>
        <v>0.99553193501277981</v>
      </c>
      <c r="AO82" s="13"/>
      <c r="AP82" s="14">
        <f t="shared" si="30"/>
        <v>-4.4680649872201883E-3</v>
      </c>
    </row>
    <row r="83" spans="1:42" s="9" customFormat="1" ht="24.95" customHeight="1" x14ac:dyDescent="0.2">
      <c r="A83" s="9" t="s">
        <v>563</v>
      </c>
      <c r="B83" s="12">
        <f>CNT!S102</f>
        <v>5907.91</v>
      </c>
      <c r="C83" s="12"/>
      <c r="D83" s="12">
        <v>0</v>
      </c>
      <c r="E83" s="12"/>
      <c r="F83" s="12">
        <v>0</v>
      </c>
      <c r="G83" s="12"/>
      <c r="H83" s="12">
        <v>0</v>
      </c>
      <c r="J83" s="12">
        <v>0</v>
      </c>
      <c r="L83" s="12">
        <v>0</v>
      </c>
      <c r="N83" s="12">
        <v>0</v>
      </c>
      <c r="P83" s="12">
        <f t="shared" si="26"/>
        <v>5907.91</v>
      </c>
      <c r="Q83" s="9" t="s">
        <v>563</v>
      </c>
      <c r="R83" s="54">
        <v>5651.85</v>
      </c>
      <c r="S83" s="12"/>
      <c r="T83" s="54">
        <v>0</v>
      </c>
      <c r="U83" s="12"/>
      <c r="V83" s="54">
        <v>0</v>
      </c>
      <c r="W83" s="12"/>
      <c r="X83" s="54">
        <v>0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5651.85</v>
      </c>
      <c r="AG83" s="9" t="s">
        <v>563</v>
      </c>
      <c r="AH83" s="12">
        <f t="shared" si="24"/>
        <v>5907.91</v>
      </c>
      <c r="AI83" s="12"/>
      <c r="AJ83" s="12">
        <f t="shared" si="28"/>
        <v>5651.85</v>
      </c>
      <c r="AK83" s="12"/>
      <c r="AL83" s="12">
        <f t="shared" si="25"/>
        <v>256.05999999999949</v>
      </c>
      <c r="AM83" s="12"/>
      <c r="AN83" s="13">
        <f t="shared" si="31"/>
        <v>1.0453055194316905</v>
      </c>
      <c r="AO83" s="13"/>
      <c r="AP83" s="14">
        <f t="shared" si="30"/>
        <v>4.5305519431690477E-2</v>
      </c>
    </row>
    <row r="84" spans="1:42" s="9" customFormat="1" ht="24.95" customHeight="1" x14ac:dyDescent="0.2">
      <c r="A84" s="9" t="s">
        <v>298</v>
      </c>
      <c r="B84" s="12">
        <f>CNT!S103</f>
        <v>107731</v>
      </c>
      <c r="C84" s="12"/>
      <c r="D84" s="12">
        <v>0</v>
      </c>
      <c r="E84" s="12"/>
      <c r="F84" s="12">
        <f>DEP!S43</f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107731</v>
      </c>
      <c r="Q84" s="9" t="s">
        <v>298</v>
      </c>
      <c r="R84" s="54">
        <v>55391.82</v>
      </c>
      <c r="S84" s="12"/>
      <c r="T84" s="54">
        <v>0</v>
      </c>
      <c r="U84" s="12"/>
      <c r="V84" s="54">
        <v>1359.02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56750.84</v>
      </c>
      <c r="AG84" s="9" t="s">
        <v>298</v>
      </c>
      <c r="AH84" s="12">
        <f t="shared" si="24"/>
        <v>107731</v>
      </c>
      <c r="AI84" s="12"/>
      <c r="AJ84" s="12">
        <f t="shared" si="28"/>
        <v>56750.84</v>
      </c>
      <c r="AK84" s="12"/>
      <c r="AL84" s="12">
        <f t="shared" si="25"/>
        <v>50980.160000000003</v>
      </c>
      <c r="AM84" s="12"/>
      <c r="AN84" s="13">
        <f t="shared" si="31"/>
        <v>1.8983155139201464</v>
      </c>
      <c r="AO84" s="13"/>
      <c r="AP84" s="14">
        <f t="shared" si="30"/>
        <v>0.89831551392014641</v>
      </c>
    </row>
    <row r="85" spans="1:42" s="9" customFormat="1" ht="24.95" customHeight="1" x14ac:dyDescent="0.2">
      <c r="A85" s="9" t="s">
        <v>616</v>
      </c>
      <c r="B85" s="12">
        <f>CNT!S105</f>
        <v>3137214.6</v>
      </c>
      <c r="C85" s="12"/>
      <c r="D85" s="12">
        <v>0</v>
      </c>
      <c r="E85" s="12"/>
      <c r="F85" s="12">
        <v>0</v>
      </c>
      <c r="G85" s="12"/>
      <c r="H85" s="12">
        <v>0</v>
      </c>
      <c r="J85" s="12">
        <f>BSC!F57</f>
        <v>3750</v>
      </c>
      <c r="L85" s="12">
        <v>0</v>
      </c>
      <c r="N85" s="12">
        <v>0</v>
      </c>
      <c r="P85" s="12">
        <f t="shared" si="26"/>
        <v>3140964.6</v>
      </c>
      <c r="Q85" s="9" t="s">
        <v>616</v>
      </c>
      <c r="R85" s="54">
        <v>0</v>
      </c>
      <c r="S85" s="12"/>
      <c r="T85" s="54">
        <v>0</v>
      </c>
      <c r="U85" s="12"/>
      <c r="V85" s="54">
        <v>0</v>
      </c>
      <c r="W85" s="12"/>
      <c r="X85" s="54">
        <v>0</v>
      </c>
      <c r="Y85" s="12"/>
      <c r="Z85" s="54">
        <v>3750</v>
      </c>
      <c r="AA85" s="12"/>
      <c r="AB85" s="54">
        <v>0</v>
      </c>
      <c r="AC85" s="12"/>
      <c r="AD85" s="54">
        <v>0</v>
      </c>
      <c r="AE85" s="12"/>
      <c r="AF85" s="122">
        <f t="shared" si="27"/>
        <v>3750</v>
      </c>
      <c r="AG85" s="9" t="s">
        <v>616</v>
      </c>
      <c r="AH85" s="12">
        <f t="shared" si="24"/>
        <v>3140964.6</v>
      </c>
      <c r="AI85" s="12"/>
      <c r="AJ85" s="12">
        <f t="shared" si="28"/>
        <v>3750</v>
      </c>
      <c r="AK85" s="12"/>
      <c r="AL85" s="12">
        <f t="shared" si="25"/>
        <v>3137214.6</v>
      </c>
      <c r="AM85" s="12"/>
      <c r="AN85" s="13">
        <f t="shared" si="31"/>
        <v>837.59055999999998</v>
      </c>
      <c r="AO85" s="13"/>
      <c r="AP85" s="14">
        <f t="shared" si="30"/>
        <v>836.59055999999998</v>
      </c>
    </row>
    <row r="86" spans="1:42" s="9" customFormat="1" ht="24.95" customHeight="1" x14ac:dyDescent="0.2">
      <c r="A86" s="9" t="s">
        <v>299</v>
      </c>
      <c r="B86" s="12">
        <f>CNT!S104+CNT!S96</f>
        <v>148337.09</v>
      </c>
      <c r="C86" s="12"/>
      <c r="D86" s="12">
        <f>BPM!S43</f>
        <v>752.1</v>
      </c>
      <c r="E86" s="12"/>
      <c r="F86" s="12">
        <f>DEP!S44</f>
        <v>813.37</v>
      </c>
      <c r="G86" s="12"/>
      <c r="H86" s="12">
        <v>0</v>
      </c>
      <c r="J86" s="12">
        <f>BSC!F60</f>
        <v>6663.72</v>
      </c>
      <c r="L86" s="12">
        <v>0</v>
      </c>
      <c r="N86" s="12">
        <v>0</v>
      </c>
      <c r="P86" s="12">
        <f t="shared" si="26"/>
        <v>156566.28</v>
      </c>
      <c r="Q86" s="9" t="s">
        <v>299</v>
      </c>
      <c r="R86" s="54">
        <v>223092.79</v>
      </c>
      <c r="S86" s="12"/>
      <c r="T86" s="54">
        <v>25822.02</v>
      </c>
      <c r="U86" s="12"/>
      <c r="V86" s="54">
        <v>36939.17</v>
      </c>
      <c r="W86" s="12"/>
      <c r="X86" s="54">
        <v>0</v>
      </c>
      <c r="Y86" s="12"/>
      <c r="Z86" s="54">
        <v>7662.95</v>
      </c>
      <c r="AA86" s="12"/>
      <c r="AB86" s="54">
        <v>0</v>
      </c>
      <c r="AC86" s="12"/>
      <c r="AD86" s="54">
        <v>0</v>
      </c>
      <c r="AE86" s="12"/>
      <c r="AF86" s="122">
        <f t="shared" si="27"/>
        <v>293516.93</v>
      </c>
      <c r="AG86" s="9" t="s">
        <v>299</v>
      </c>
      <c r="AH86" s="12">
        <f t="shared" si="24"/>
        <v>156566.28</v>
      </c>
      <c r="AI86" s="12"/>
      <c r="AJ86" s="12">
        <f t="shared" si="28"/>
        <v>293516.93</v>
      </c>
      <c r="AK86" s="12"/>
      <c r="AL86" s="12">
        <f t="shared" si="25"/>
        <v>-136950.65</v>
      </c>
      <c r="AM86" s="12"/>
      <c r="AN86" s="13">
        <f>AH86/AJ86</f>
        <v>0.5334148186954667</v>
      </c>
      <c r="AO86" s="13"/>
      <c r="AP86" s="14">
        <f t="shared" si="30"/>
        <v>-0.4665851813045333</v>
      </c>
    </row>
    <row r="87" spans="1:42" s="9" customFormat="1" ht="24.95" customHeight="1" x14ac:dyDescent="0.2">
      <c r="A87" s="9" t="s">
        <v>564</v>
      </c>
      <c r="B87" s="12">
        <f>CNT!S110</f>
        <v>50000</v>
      </c>
      <c r="C87" s="12"/>
      <c r="D87" s="12">
        <v>0</v>
      </c>
      <c r="E87" s="12"/>
      <c r="F87" s="12">
        <f>DEP!S42</f>
        <v>0</v>
      </c>
      <c r="G87" s="12"/>
      <c r="H87" s="12">
        <v>0</v>
      </c>
      <c r="I87" s="12"/>
      <c r="J87" s="12">
        <v>0</v>
      </c>
      <c r="K87" s="12"/>
      <c r="L87" s="12">
        <v>0</v>
      </c>
      <c r="M87" s="12"/>
      <c r="N87" s="12">
        <v>0</v>
      </c>
      <c r="O87" s="12"/>
      <c r="P87" s="12">
        <f t="shared" si="26"/>
        <v>50000</v>
      </c>
      <c r="Q87" s="9" t="s">
        <v>564</v>
      </c>
      <c r="R87" s="54">
        <v>22639</v>
      </c>
      <c r="S87" s="12"/>
      <c r="T87" s="54">
        <v>0</v>
      </c>
      <c r="U87" s="12"/>
      <c r="V87" s="54">
        <v>13898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36537</v>
      </c>
      <c r="AG87" s="9" t="s">
        <v>564</v>
      </c>
      <c r="AH87" s="12">
        <f t="shared" si="24"/>
        <v>50000</v>
      </c>
      <c r="AI87" s="12"/>
      <c r="AJ87" s="12">
        <f t="shared" si="28"/>
        <v>36537</v>
      </c>
      <c r="AK87" s="12"/>
      <c r="AL87" s="12">
        <f t="shared" si="25"/>
        <v>13463</v>
      </c>
      <c r="AM87" s="12"/>
      <c r="AN87" s="13">
        <f>AH87/AJ87</f>
        <v>1.3684757916632455</v>
      </c>
      <c r="AO87" s="13"/>
      <c r="AP87" s="14">
        <f t="shared" si="30"/>
        <v>0.36847579166324551</v>
      </c>
    </row>
    <row r="88" spans="1:42" s="9" customFormat="1" ht="24.95" customHeight="1" x14ac:dyDescent="0.2">
      <c r="A88" s="9" t="s">
        <v>300</v>
      </c>
      <c r="B88" s="12">
        <f>CNT!S106</f>
        <v>81294.240000000005</v>
      </c>
      <c r="C88" s="12"/>
      <c r="D88" s="12">
        <f>BPM!S44+BPM!S45</f>
        <v>186.66</v>
      </c>
      <c r="E88" s="12"/>
      <c r="F88" s="12">
        <f>DEP!S45</f>
        <v>0</v>
      </c>
      <c r="G88" s="12"/>
      <c r="H88" s="12">
        <v>0</v>
      </c>
      <c r="J88" s="12">
        <f>BSC!F61</f>
        <v>0</v>
      </c>
      <c r="L88" s="12">
        <v>0</v>
      </c>
      <c r="N88" s="12">
        <v>0</v>
      </c>
      <c r="P88" s="12">
        <f t="shared" si="26"/>
        <v>81480.900000000009</v>
      </c>
      <c r="Q88" s="9" t="s">
        <v>300</v>
      </c>
      <c r="R88" s="54">
        <v>163205.93</v>
      </c>
      <c r="S88" s="12"/>
      <c r="T88" s="54">
        <v>43162.84</v>
      </c>
      <c r="U88" s="12"/>
      <c r="V88" s="54">
        <v>30659.7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7"/>
        <v>237028.47</v>
      </c>
      <c r="AG88" s="9" t="s">
        <v>300</v>
      </c>
      <c r="AH88" s="12">
        <f t="shared" si="24"/>
        <v>81480.900000000009</v>
      </c>
      <c r="AI88" s="12"/>
      <c r="AJ88" s="12">
        <f t="shared" si="28"/>
        <v>237028.47</v>
      </c>
      <c r="AK88" s="12"/>
      <c r="AL88" s="12">
        <f t="shared" si="25"/>
        <v>-155547.57</v>
      </c>
      <c r="AM88" s="12"/>
      <c r="AN88" s="13">
        <f t="shared" si="31"/>
        <v>0.34375997111233098</v>
      </c>
      <c r="AO88" s="13"/>
      <c r="AP88" s="14">
        <f t="shared" si="30"/>
        <v>-0.65624002888766908</v>
      </c>
    </row>
    <row r="89" spans="1:42" s="9" customFormat="1" ht="24.95" customHeight="1" x14ac:dyDescent="0.2">
      <c r="A89" s="9" t="s">
        <v>717</v>
      </c>
      <c r="B89" s="12">
        <f>CNT!S108</f>
        <v>60000</v>
      </c>
      <c r="C89" s="12"/>
      <c r="D89" s="12">
        <v>0</v>
      </c>
      <c r="E89" s="12"/>
      <c r="F89" s="12">
        <v>0</v>
      </c>
      <c r="G89" s="12"/>
      <c r="H89" s="12">
        <v>0</v>
      </c>
      <c r="J89" s="12">
        <v>0</v>
      </c>
      <c r="L89" s="12">
        <v>0</v>
      </c>
      <c r="N89" s="12">
        <v>0</v>
      </c>
      <c r="P89" s="12">
        <f t="shared" si="26"/>
        <v>60000</v>
      </c>
      <c r="Q89" s="9" t="s">
        <v>301</v>
      </c>
      <c r="R89" s="54">
        <v>0</v>
      </c>
      <c r="S89" s="12"/>
      <c r="T89" s="54">
        <v>0</v>
      </c>
      <c r="U89" s="12"/>
      <c r="V89" s="54">
        <v>0</v>
      </c>
      <c r="W89" s="12"/>
      <c r="X89" s="54">
        <v>0</v>
      </c>
      <c r="Y89" s="12"/>
      <c r="Z89" s="54">
        <v>0</v>
      </c>
      <c r="AA89" s="12"/>
      <c r="AB89" s="54">
        <v>0</v>
      </c>
      <c r="AC89" s="12"/>
      <c r="AD89" s="54">
        <v>0</v>
      </c>
      <c r="AE89" s="12"/>
      <c r="AF89" s="122">
        <f t="shared" si="27"/>
        <v>0</v>
      </c>
      <c r="AG89" s="9" t="s">
        <v>301</v>
      </c>
      <c r="AH89" s="12">
        <f t="shared" si="24"/>
        <v>60000</v>
      </c>
      <c r="AI89" s="12"/>
      <c r="AJ89" s="12">
        <f t="shared" si="28"/>
        <v>0</v>
      </c>
      <c r="AK89" s="12"/>
      <c r="AL89" s="12">
        <f t="shared" si="25"/>
        <v>60000</v>
      </c>
      <c r="AM89" s="12"/>
      <c r="AN89" s="13" t="e">
        <f>AH89/AJ89</f>
        <v>#DIV/0!</v>
      </c>
      <c r="AO89" s="13"/>
      <c r="AP89" s="14" t="e">
        <f t="shared" si="30"/>
        <v>#DIV/0!</v>
      </c>
    </row>
    <row r="90" spans="1:42" s="9" customFormat="1" ht="24.95" customHeight="1" x14ac:dyDescent="0.2">
      <c r="A90" s="9" t="s">
        <v>302</v>
      </c>
      <c r="B90" s="12">
        <f>CNT!S109</f>
        <v>4175.3999999999996</v>
      </c>
      <c r="C90" s="12"/>
      <c r="D90" s="12">
        <v>0</v>
      </c>
      <c r="E90" s="12"/>
      <c r="F90" s="12">
        <v>0</v>
      </c>
      <c r="G90" s="12"/>
      <c r="H90" s="12">
        <v>0</v>
      </c>
      <c r="J90" s="12">
        <v>0</v>
      </c>
      <c r="L90" s="12">
        <v>0</v>
      </c>
      <c r="N90" s="12">
        <v>0</v>
      </c>
      <c r="P90" s="12">
        <f t="shared" si="26"/>
        <v>4175.3999999999996</v>
      </c>
      <c r="Q90" s="9" t="s">
        <v>302</v>
      </c>
      <c r="R90" s="54">
        <v>2506.6799999999998</v>
      </c>
      <c r="S90" s="12"/>
      <c r="T90" s="54">
        <v>0</v>
      </c>
      <c r="U90" s="12"/>
      <c r="V90" s="54">
        <v>0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2506.6799999999998</v>
      </c>
      <c r="AG90" s="9" t="s">
        <v>302</v>
      </c>
      <c r="AH90" s="12">
        <f t="shared" si="24"/>
        <v>4175.3999999999996</v>
      </c>
      <c r="AI90" s="12"/>
      <c r="AJ90" s="12">
        <f t="shared" si="28"/>
        <v>2506.6799999999998</v>
      </c>
      <c r="AK90" s="12"/>
      <c r="AL90" s="12">
        <f t="shared" si="25"/>
        <v>1668.7199999999998</v>
      </c>
      <c r="AM90" s="12"/>
      <c r="AN90" s="13">
        <v>0</v>
      </c>
      <c r="AO90" s="13"/>
      <c r="AP90" s="14">
        <f t="shared" si="30"/>
        <v>-1</v>
      </c>
    </row>
    <row r="91" spans="1:42" s="9" customFormat="1" ht="24.95" customHeight="1" x14ac:dyDescent="0.2">
      <c r="A91" s="9" t="s">
        <v>303</v>
      </c>
      <c r="B91" s="12">
        <f>CNT!S111</f>
        <v>0</v>
      </c>
      <c r="C91" s="12"/>
      <c r="D91" s="12">
        <v>0</v>
      </c>
      <c r="E91" s="12"/>
      <c r="F91" s="12">
        <v>0</v>
      </c>
      <c r="G91" s="12"/>
      <c r="H91" s="12">
        <v>0</v>
      </c>
      <c r="J91" s="12">
        <v>0</v>
      </c>
      <c r="L91" s="12">
        <v>0</v>
      </c>
      <c r="N91" s="12">
        <v>0</v>
      </c>
      <c r="P91" s="12">
        <f t="shared" si="26"/>
        <v>0</v>
      </c>
      <c r="Q91" s="9" t="s">
        <v>303</v>
      </c>
      <c r="R91" s="54">
        <v>1142.29</v>
      </c>
      <c r="S91" s="12"/>
      <c r="T91" s="54">
        <v>0</v>
      </c>
      <c r="U91" s="12"/>
      <c r="V91" s="54">
        <v>0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1142.29</v>
      </c>
      <c r="AG91" s="9" t="s">
        <v>303</v>
      </c>
      <c r="AH91" s="12">
        <f t="shared" si="24"/>
        <v>0</v>
      </c>
      <c r="AI91" s="12"/>
      <c r="AJ91" s="12">
        <f t="shared" si="28"/>
        <v>1142.29</v>
      </c>
      <c r="AK91" s="12"/>
      <c r="AL91" s="12">
        <f t="shared" si="25"/>
        <v>-1142.29</v>
      </c>
      <c r="AM91" s="12"/>
      <c r="AN91" s="13">
        <v>0</v>
      </c>
      <c r="AO91" s="13"/>
      <c r="AP91" s="14">
        <f t="shared" si="30"/>
        <v>-1</v>
      </c>
    </row>
    <row r="92" spans="1:42" s="9" customFormat="1" ht="24.95" customHeight="1" x14ac:dyDescent="0.2">
      <c r="A92" s="9" t="s">
        <v>565</v>
      </c>
      <c r="B92" s="12">
        <v>0</v>
      </c>
      <c r="C92" s="12"/>
      <c r="D92" s="12">
        <v>0</v>
      </c>
      <c r="E92" s="12"/>
      <c r="F92" s="12">
        <f>DEP!S41</f>
        <v>-1606.92</v>
      </c>
      <c r="G92" s="12"/>
      <c r="H92" s="12">
        <v>0</v>
      </c>
      <c r="J92" s="12">
        <f>BSC!F59</f>
        <v>4250</v>
      </c>
      <c r="L92" s="12">
        <v>0</v>
      </c>
      <c r="N92" s="12">
        <f>'722 Bedford St'!E43</f>
        <v>1666.65</v>
      </c>
      <c r="P92" s="12">
        <f t="shared" si="26"/>
        <v>4309.7299999999996</v>
      </c>
      <c r="Q92" s="9" t="s">
        <v>565</v>
      </c>
      <c r="R92" s="54">
        <v>0</v>
      </c>
      <c r="S92" s="12"/>
      <c r="T92" s="54">
        <v>0</v>
      </c>
      <c r="U92" s="12"/>
      <c r="V92" s="54">
        <v>29329.67</v>
      </c>
      <c r="W92" s="12"/>
      <c r="X92" s="54">
        <v>0</v>
      </c>
      <c r="Y92" s="12"/>
      <c r="Z92" s="54">
        <v>602.5</v>
      </c>
      <c r="AA92" s="12"/>
      <c r="AB92" s="54">
        <v>0</v>
      </c>
      <c r="AC92" s="12"/>
      <c r="AD92" s="54">
        <v>0</v>
      </c>
      <c r="AE92" s="12"/>
      <c r="AF92" s="122">
        <f t="shared" si="27"/>
        <v>29932.17</v>
      </c>
      <c r="AG92" s="9" t="s">
        <v>565</v>
      </c>
      <c r="AH92" s="12">
        <f t="shared" si="24"/>
        <v>4309.7299999999996</v>
      </c>
      <c r="AI92" s="12"/>
      <c r="AJ92" s="12">
        <f t="shared" si="28"/>
        <v>29932.17</v>
      </c>
      <c r="AK92" s="12"/>
      <c r="AL92" s="12">
        <f t="shared" si="25"/>
        <v>-25622.44</v>
      </c>
      <c r="AM92" s="12"/>
      <c r="AN92" s="13">
        <f>AH92/AJ92</f>
        <v>0.14398321271060535</v>
      </c>
      <c r="AO92" s="13"/>
      <c r="AP92" s="14">
        <f t="shared" si="30"/>
        <v>-0.85601678728939468</v>
      </c>
    </row>
    <row r="93" spans="1:42" s="9" customFormat="1" ht="24.95" customHeight="1" x14ac:dyDescent="0.2">
      <c r="A93" s="9" t="s">
        <v>611</v>
      </c>
      <c r="B93" s="12"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f>'722 Bedford St'!E39+'722 Bedford St'!E40+'722 Bedford St'!E41+'722 Bedford St'!E42</f>
        <v>0</v>
      </c>
      <c r="P93" s="12">
        <f t="shared" si="26"/>
        <v>0</v>
      </c>
      <c r="Q93" s="9" t="s">
        <v>611</v>
      </c>
      <c r="R93" s="54">
        <v>0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761758.47</v>
      </c>
      <c r="AE93" s="12"/>
      <c r="AF93" s="122">
        <f t="shared" si="27"/>
        <v>761758.47</v>
      </c>
      <c r="AG93" s="9" t="s">
        <v>611</v>
      </c>
      <c r="AH93" s="12">
        <f t="shared" si="24"/>
        <v>0</v>
      </c>
      <c r="AI93" s="12"/>
      <c r="AJ93" s="12">
        <f t="shared" si="28"/>
        <v>761758.47</v>
      </c>
      <c r="AK93" s="12"/>
      <c r="AL93" s="12">
        <f t="shared" si="25"/>
        <v>-761758.47</v>
      </c>
      <c r="AM93" s="12"/>
      <c r="AN93" s="13">
        <f>AH93/AJ93</f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685</v>
      </c>
      <c r="B94" s="12">
        <f>CNT!S107</f>
        <v>-5094.75</v>
      </c>
      <c r="C94" s="12"/>
      <c r="D94" s="12">
        <v>0</v>
      </c>
      <c r="E94" s="12"/>
      <c r="F94" s="12">
        <f>DEP!S46</f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-5094.75</v>
      </c>
      <c r="Q94" s="9" t="s">
        <v>685</v>
      </c>
      <c r="R94" s="54">
        <v>0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0</v>
      </c>
      <c r="AG94" s="9" t="s">
        <v>685</v>
      </c>
      <c r="AH94" s="12">
        <f t="shared" si="24"/>
        <v>-5094.75</v>
      </c>
      <c r="AI94" s="12"/>
      <c r="AJ94" s="12">
        <f t="shared" si="28"/>
        <v>0</v>
      </c>
      <c r="AK94" s="12"/>
      <c r="AL94" s="12">
        <f t="shared" si="25"/>
        <v>-5094.75</v>
      </c>
      <c r="AM94" s="12"/>
      <c r="AN94" s="13" t="e">
        <f>AH94/AJ94</f>
        <v>#DIV/0!</v>
      </c>
      <c r="AO94" s="13"/>
      <c r="AP94" s="14" t="e">
        <f t="shared" si="30"/>
        <v>#DIV/0!</v>
      </c>
    </row>
    <row r="95" spans="1:42" s="9" customFormat="1" ht="24.95" customHeight="1" x14ac:dyDescent="0.2">
      <c r="A95" s="9" t="s">
        <v>741</v>
      </c>
      <c r="B95" s="12">
        <v>0</v>
      </c>
      <c r="C95" s="12"/>
      <c r="D95" s="12">
        <v>0</v>
      </c>
      <c r="E95" s="12"/>
      <c r="F95" s="12">
        <v>0</v>
      </c>
      <c r="G95" s="12"/>
      <c r="H95" s="12">
        <f>Lending!F33</f>
        <v>2315</v>
      </c>
      <c r="J95" s="12">
        <v>0</v>
      </c>
      <c r="L95" s="12">
        <v>0</v>
      </c>
      <c r="N95" s="12">
        <v>0</v>
      </c>
      <c r="P95" s="12">
        <f t="shared" si="26"/>
        <v>2315</v>
      </c>
      <c r="Q95" s="9" t="s">
        <v>741</v>
      </c>
      <c r="R95" s="54">
        <v>0</v>
      </c>
      <c r="S95" s="12"/>
      <c r="T95" s="54">
        <v>0</v>
      </c>
      <c r="U95" s="12"/>
      <c r="V95" s="54">
        <v>0</v>
      </c>
      <c r="W95" s="12"/>
      <c r="X95" s="54">
        <v>0</v>
      </c>
      <c r="Y95" s="12"/>
      <c r="Z95" s="54">
        <v>0</v>
      </c>
      <c r="AA95" s="12"/>
      <c r="AB95" s="54">
        <v>0</v>
      </c>
      <c r="AC95" s="12"/>
      <c r="AD95" s="54">
        <v>0</v>
      </c>
      <c r="AE95" s="12"/>
      <c r="AF95" s="122">
        <f t="shared" si="27"/>
        <v>0</v>
      </c>
      <c r="AG95" s="9" t="s">
        <v>741</v>
      </c>
      <c r="AH95" s="12">
        <f t="shared" si="24"/>
        <v>2315</v>
      </c>
      <c r="AI95" s="12"/>
      <c r="AJ95" s="12">
        <f t="shared" si="28"/>
        <v>0</v>
      </c>
      <c r="AK95" s="12"/>
      <c r="AL95" s="12">
        <f t="shared" si="25"/>
        <v>2315</v>
      </c>
      <c r="AM95" s="12"/>
      <c r="AN95" s="13" t="e">
        <f>AH95/AJ95</f>
        <v>#DIV/0!</v>
      </c>
      <c r="AO95" s="13"/>
      <c r="AP95" s="14" t="e">
        <f t="shared" si="30"/>
        <v>#DIV/0!</v>
      </c>
    </row>
    <row r="96" spans="1:42" s="9" customFormat="1" ht="24.95" customHeight="1" x14ac:dyDescent="0.2">
      <c r="A96" s="9" t="s">
        <v>304</v>
      </c>
      <c r="B96" s="12">
        <f>CNT!S112</f>
        <v>4149.3999999999996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v>0</v>
      </c>
      <c r="P96" s="12">
        <f t="shared" si="26"/>
        <v>4149.3999999999996</v>
      </c>
      <c r="Q96" s="9" t="s">
        <v>304</v>
      </c>
      <c r="R96" s="54">
        <v>-6393.08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7"/>
        <v>-6393.08</v>
      </c>
      <c r="AG96" s="9" t="s">
        <v>304</v>
      </c>
      <c r="AH96" s="12">
        <f t="shared" si="24"/>
        <v>4149.3999999999996</v>
      </c>
      <c r="AI96" s="12"/>
      <c r="AJ96" s="12">
        <f t="shared" si="28"/>
        <v>-6393.08</v>
      </c>
      <c r="AK96" s="12"/>
      <c r="AL96" s="12">
        <f t="shared" si="25"/>
        <v>10542.48</v>
      </c>
      <c r="AM96" s="12"/>
      <c r="AN96" s="13"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305</v>
      </c>
      <c r="B97" s="12">
        <f>CNT!S113</f>
        <v>0</v>
      </c>
      <c r="C97" s="12"/>
      <c r="D97" s="12">
        <v>0</v>
      </c>
      <c r="E97" s="12"/>
      <c r="F97" s="12">
        <v>0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0</v>
      </c>
      <c r="Q97" s="9" t="s">
        <v>305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305</v>
      </c>
      <c r="AH97" s="12">
        <f t="shared" si="24"/>
        <v>0</v>
      </c>
      <c r="AI97" s="12"/>
      <c r="AJ97" s="12">
        <f t="shared" si="28"/>
        <v>0</v>
      </c>
      <c r="AK97" s="12"/>
      <c r="AL97" s="12">
        <f t="shared" si="25"/>
        <v>0</v>
      </c>
      <c r="AM97" s="12"/>
      <c r="AN97" s="13">
        <v>0</v>
      </c>
      <c r="AO97" s="13"/>
      <c r="AP97" s="14">
        <f t="shared" si="30"/>
        <v>-1</v>
      </c>
    </row>
    <row r="98" spans="1:42" s="9" customFormat="1" ht="24.95" customHeight="1" x14ac:dyDescent="0.2">
      <c r="A98" s="9" t="s">
        <v>306</v>
      </c>
      <c r="B98" s="12">
        <f>CNT!S114</f>
        <v>0</v>
      </c>
      <c r="C98" s="12"/>
      <c r="D98" s="12">
        <v>0</v>
      </c>
      <c r="E98" s="12"/>
      <c r="F98" s="12">
        <v>0</v>
      </c>
      <c r="G98" s="12"/>
      <c r="H98" s="12">
        <v>0</v>
      </c>
      <c r="J98" s="12">
        <v>0</v>
      </c>
      <c r="L98" s="12">
        <v>0</v>
      </c>
      <c r="N98" s="12">
        <v>0</v>
      </c>
      <c r="P98" s="12">
        <f t="shared" si="26"/>
        <v>0</v>
      </c>
      <c r="Q98" s="9" t="s">
        <v>306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306</v>
      </c>
      <c r="AH98" s="12">
        <f t="shared" si="24"/>
        <v>0</v>
      </c>
      <c r="AI98" s="12"/>
      <c r="AJ98" s="12">
        <f t="shared" si="28"/>
        <v>0</v>
      </c>
      <c r="AK98" s="12"/>
      <c r="AL98" s="12">
        <f t="shared" si="25"/>
        <v>0</v>
      </c>
      <c r="AM98" s="12"/>
      <c r="AN98" s="13">
        <v>0</v>
      </c>
      <c r="AO98" s="13"/>
      <c r="AP98" s="14">
        <f t="shared" si="30"/>
        <v>-1</v>
      </c>
    </row>
    <row r="99" spans="1:42" s="9" customFormat="1" ht="24.95" customHeight="1" x14ac:dyDescent="0.2">
      <c r="A99" s="9" t="s">
        <v>307</v>
      </c>
      <c r="B99" s="12">
        <v>0</v>
      </c>
      <c r="C99" s="12"/>
      <c r="D99" s="12">
        <f>BPM!S47</f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307</v>
      </c>
      <c r="R99" s="54">
        <v>0</v>
      </c>
      <c r="S99" s="12"/>
      <c r="T99" s="54">
        <v>2879.5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2879.5</v>
      </c>
      <c r="AG99" s="9" t="s">
        <v>307</v>
      </c>
      <c r="AH99" s="12">
        <f t="shared" si="24"/>
        <v>0</v>
      </c>
      <c r="AI99" s="12"/>
      <c r="AJ99" s="12">
        <f t="shared" si="28"/>
        <v>2879.5</v>
      </c>
      <c r="AK99" s="12"/>
      <c r="AL99" s="12">
        <f t="shared" si="25"/>
        <v>-2879.5</v>
      </c>
      <c r="AM99" s="12"/>
      <c r="AN99" s="13">
        <f>AH99/AJ99</f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308</v>
      </c>
      <c r="B100" s="12">
        <f>CNT!S115</f>
        <v>132276.25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132276.25</v>
      </c>
      <c r="Q100" s="9" t="s">
        <v>308</v>
      </c>
      <c r="R100" s="54">
        <v>119284.99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119284.99</v>
      </c>
      <c r="AG100" s="9" t="s">
        <v>308</v>
      </c>
      <c r="AH100" s="12">
        <f t="shared" si="24"/>
        <v>132276.25</v>
      </c>
      <c r="AI100" s="12"/>
      <c r="AJ100" s="12">
        <f t="shared" si="28"/>
        <v>119284.99</v>
      </c>
      <c r="AK100" s="12"/>
      <c r="AL100" s="12">
        <f t="shared" si="25"/>
        <v>12991.259999999995</v>
      </c>
      <c r="AM100" s="12"/>
      <c r="AN100" s="13">
        <f>AH100/AJ100</f>
        <v>1.1089094277494596</v>
      </c>
      <c r="AO100" s="13"/>
      <c r="AP100" s="14">
        <f t="shared" si="30"/>
        <v>0.10890942774945955</v>
      </c>
    </row>
    <row r="101" spans="1:42" s="9" customFormat="1" ht="24.95" customHeight="1" x14ac:dyDescent="0.2">
      <c r="A101" s="9" t="s">
        <v>389</v>
      </c>
      <c r="B101" s="12"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f>BSC!F62</f>
        <v>1029763.55</v>
      </c>
      <c r="L101" s="12">
        <f>'Oliari Co'!F63</f>
        <v>106755.32</v>
      </c>
      <c r="N101" s="12">
        <v>0</v>
      </c>
      <c r="P101" s="12">
        <f t="shared" si="26"/>
        <v>1136518.8700000001</v>
      </c>
      <c r="Q101" s="9" t="s">
        <v>389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957059.03</v>
      </c>
      <c r="AA101" s="12"/>
      <c r="AB101" s="54">
        <v>96424.16</v>
      </c>
      <c r="AC101" s="12"/>
      <c r="AD101" s="54">
        <v>0</v>
      </c>
      <c r="AE101" s="12"/>
      <c r="AF101" s="122">
        <f t="shared" si="27"/>
        <v>1053483.19</v>
      </c>
      <c r="AG101" s="9" t="s">
        <v>389</v>
      </c>
      <c r="AH101" s="12">
        <f t="shared" si="24"/>
        <v>1136518.8700000001</v>
      </c>
      <c r="AI101" s="12"/>
      <c r="AJ101" s="12">
        <f t="shared" si="28"/>
        <v>1053483.19</v>
      </c>
      <c r="AK101" s="12"/>
      <c r="AL101" s="12">
        <f t="shared" si="25"/>
        <v>83035.680000000168</v>
      </c>
      <c r="AM101" s="12"/>
      <c r="AN101" s="13">
        <f>AH101/AJ101</f>
        <v>1.0788201281123433</v>
      </c>
      <c r="AO101" s="13"/>
      <c r="AP101" s="14">
        <f t="shared" si="30"/>
        <v>7.8820128112343291E-2</v>
      </c>
    </row>
    <row r="102" spans="1:42" s="9" customFormat="1" ht="24.95" customHeight="1" x14ac:dyDescent="0.2">
      <c r="A102" s="9" t="s">
        <v>309</v>
      </c>
      <c r="B102" s="12">
        <f>CNT!S116+CNT!S117</f>
        <v>6700000</v>
      </c>
      <c r="C102" s="12"/>
      <c r="D102" s="12"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250000</v>
      </c>
      <c r="P102" s="12">
        <f t="shared" si="26"/>
        <v>6950000</v>
      </c>
      <c r="Q102" s="9" t="s">
        <v>309</v>
      </c>
      <c r="R102" s="54">
        <v>5380000</v>
      </c>
      <c r="S102" s="12"/>
      <c r="T102" s="54">
        <v>0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250000</v>
      </c>
      <c r="AE102" s="12"/>
      <c r="AF102" s="122">
        <f t="shared" si="27"/>
        <v>5630000</v>
      </c>
      <c r="AG102" s="9" t="s">
        <v>309</v>
      </c>
      <c r="AH102" s="12">
        <f t="shared" si="24"/>
        <v>6950000</v>
      </c>
      <c r="AI102" s="12"/>
      <c r="AJ102" s="12">
        <f t="shared" si="28"/>
        <v>5630000</v>
      </c>
      <c r="AK102" s="12"/>
      <c r="AL102" s="12">
        <f t="shared" si="25"/>
        <v>1320000</v>
      </c>
      <c r="AM102" s="12"/>
      <c r="AN102" s="13">
        <f>AH102/AJ102</f>
        <v>1.2344582593250444</v>
      </c>
      <c r="AO102" s="13"/>
      <c r="AP102" s="14">
        <f t="shared" si="30"/>
        <v>0.23445825932504438</v>
      </c>
    </row>
    <row r="103" spans="1:42" s="9" customFormat="1" ht="24.95" customHeight="1" x14ac:dyDescent="0.2">
      <c r="A103" s="9" t="s">
        <v>310</v>
      </c>
      <c r="B103" s="12">
        <f>CNT!S119+CNT!S118+CNT!S132+CNT!S133</f>
        <v>1477429.17</v>
      </c>
      <c r="C103" s="12"/>
      <c r="D103" s="12">
        <f>BPM!S48+BPM!S49</f>
        <v>6057.83</v>
      </c>
      <c r="E103" s="12"/>
      <c r="F103" s="12">
        <f>DEP!S47+DEP!S53</f>
        <v>1877.5</v>
      </c>
      <c r="G103" s="12"/>
      <c r="H103" s="12">
        <f>Lending!F35+Lending!F36+Lending!F34</f>
        <v>432117.62</v>
      </c>
      <c r="J103" s="12">
        <f>BSC!F64+BSC!F70+BSC!F65</f>
        <v>1069394.99</v>
      </c>
      <c r="L103" s="12">
        <f>'Oliari Co'!F61</f>
        <v>0</v>
      </c>
      <c r="N103" s="12">
        <f>'722 Bedford St'!E44+'722 Bedford St'!E45+'722 Bedford St'!E46-250000</f>
        <v>57272.119999999995</v>
      </c>
      <c r="P103" s="12">
        <f t="shared" si="26"/>
        <v>3044149.2300000004</v>
      </c>
      <c r="Q103" s="9" t="s">
        <v>310</v>
      </c>
      <c r="R103" s="54">
        <v>774325</v>
      </c>
      <c r="S103" s="12"/>
      <c r="T103" s="54">
        <v>81323.83</v>
      </c>
      <c r="U103" s="12"/>
      <c r="V103" s="54">
        <v>274921.43</v>
      </c>
      <c r="W103" s="12"/>
      <c r="X103" s="54">
        <v>289633.59000000003</v>
      </c>
      <c r="Y103" s="12"/>
      <c r="Z103" s="54">
        <v>1176565.6300000001</v>
      </c>
      <c r="AA103" s="12"/>
      <c r="AB103" s="54">
        <v>0</v>
      </c>
      <c r="AC103" s="12"/>
      <c r="AD103" s="54">
        <v>-186692.5</v>
      </c>
      <c r="AE103" s="12"/>
      <c r="AF103" s="122">
        <f t="shared" si="27"/>
        <v>2410076.9800000004</v>
      </c>
      <c r="AG103" s="9" t="s">
        <v>310</v>
      </c>
      <c r="AH103" s="12">
        <f t="shared" si="24"/>
        <v>3044149.2300000004</v>
      </c>
      <c r="AI103" s="12"/>
      <c r="AJ103" s="12">
        <f t="shared" si="28"/>
        <v>2410076.9800000004</v>
      </c>
      <c r="AK103" s="12"/>
      <c r="AL103" s="12">
        <f t="shared" si="25"/>
        <v>634072.25</v>
      </c>
      <c r="AM103" s="12"/>
      <c r="AN103" s="13">
        <f>AH103/AJ103</f>
        <v>1.2630921150078782</v>
      </c>
      <c r="AO103" s="13"/>
      <c r="AP103" s="14">
        <f t="shared" si="30"/>
        <v>0.26309211500787821</v>
      </c>
    </row>
    <row r="104" spans="1:42" s="9" customFormat="1" ht="24.95" customHeight="1" x14ac:dyDescent="0.2">
      <c r="A104" s="9" t="s">
        <v>311</v>
      </c>
      <c r="B104" s="12">
        <f>CNT!S123</f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v>0</v>
      </c>
      <c r="L104" s="12">
        <v>0</v>
      </c>
      <c r="N104" s="12">
        <v>0</v>
      </c>
      <c r="P104" s="12">
        <f t="shared" si="26"/>
        <v>0</v>
      </c>
      <c r="Q104" s="9" t="s">
        <v>311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0</v>
      </c>
      <c r="AA104" s="12"/>
      <c r="AB104" s="54">
        <v>0</v>
      </c>
      <c r="AC104" s="12"/>
      <c r="AD104" s="54">
        <v>0</v>
      </c>
      <c r="AE104" s="12"/>
      <c r="AF104" s="122">
        <f t="shared" si="27"/>
        <v>0</v>
      </c>
      <c r="AG104" s="9" t="s">
        <v>311</v>
      </c>
      <c r="AH104" s="12">
        <f t="shared" si="24"/>
        <v>0</v>
      </c>
      <c r="AI104" s="12"/>
      <c r="AJ104" s="12">
        <f t="shared" si="28"/>
        <v>0</v>
      </c>
      <c r="AK104" s="12"/>
      <c r="AL104" s="12">
        <f t="shared" si="25"/>
        <v>0</v>
      </c>
      <c r="AM104" s="12"/>
      <c r="AN104" s="13">
        <v>0</v>
      </c>
      <c r="AO104" s="13"/>
      <c r="AP104" s="14">
        <f t="shared" si="30"/>
        <v>-1</v>
      </c>
    </row>
    <row r="105" spans="1:42" s="9" customFormat="1" ht="24.95" customHeight="1" x14ac:dyDescent="0.2">
      <c r="A105" s="9" t="s">
        <v>591</v>
      </c>
      <c r="B105" s="12">
        <f>CNT!S125</f>
        <v>11046.45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0</v>
      </c>
      <c r="P105" s="12">
        <f t="shared" si="26"/>
        <v>11046.45</v>
      </c>
      <c r="Q105" s="9" t="s">
        <v>591</v>
      </c>
      <c r="R105" s="54">
        <v>-15295.45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0</v>
      </c>
      <c r="AE105" s="12"/>
      <c r="AF105" s="122">
        <f t="shared" si="27"/>
        <v>-15295.45</v>
      </c>
      <c r="AG105" s="9" t="s">
        <v>591</v>
      </c>
      <c r="AH105" s="12">
        <f t="shared" si="24"/>
        <v>11046.45</v>
      </c>
      <c r="AI105" s="12"/>
      <c r="AJ105" s="12">
        <f t="shared" si="28"/>
        <v>-15295.45</v>
      </c>
      <c r="AK105" s="12"/>
      <c r="AL105" s="12">
        <f t="shared" si="25"/>
        <v>26341.9</v>
      </c>
      <c r="AM105" s="12"/>
      <c r="AN105" s="13">
        <v>0</v>
      </c>
      <c r="AO105" s="13"/>
      <c r="AP105" s="14">
        <f t="shared" si="30"/>
        <v>-1</v>
      </c>
    </row>
    <row r="106" spans="1:42" s="9" customFormat="1" ht="24.95" customHeight="1" x14ac:dyDescent="0.2">
      <c r="A106" s="9" t="s">
        <v>734</v>
      </c>
      <c r="B106" s="12">
        <f>CNT!S126</f>
        <v>68320.36</v>
      </c>
      <c r="C106" s="12"/>
      <c r="D106" s="12">
        <v>0</v>
      </c>
      <c r="E106" s="12"/>
      <c r="F106" s="12">
        <v>0</v>
      </c>
      <c r="G106" s="12"/>
      <c r="H106" s="12">
        <v>0</v>
      </c>
      <c r="J106" s="12">
        <v>0</v>
      </c>
      <c r="L106" s="12">
        <v>0</v>
      </c>
      <c r="N106" s="12">
        <v>0</v>
      </c>
      <c r="P106" s="12">
        <f t="shared" si="26"/>
        <v>68320.36</v>
      </c>
      <c r="Q106" s="9" t="s">
        <v>734</v>
      </c>
      <c r="R106" s="54">
        <v>0</v>
      </c>
      <c r="S106" s="12"/>
      <c r="T106" s="54">
        <v>0</v>
      </c>
      <c r="U106" s="12"/>
      <c r="V106" s="54">
        <v>0</v>
      </c>
      <c r="W106" s="12"/>
      <c r="X106" s="54">
        <v>0</v>
      </c>
      <c r="Y106" s="12"/>
      <c r="Z106" s="54">
        <v>0</v>
      </c>
      <c r="AA106" s="12"/>
      <c r="AB106" s="54">
        <v>0</v>
      </c>
      <c r="AC106" s="12"/>
      <c r="AD106" s="54">
        <v>0</v>
      </c>
      <c r="AE106" s="12"/>
      <c r="AF106" s="122">
        <f t="shared" si="27"/>
        <v>0</v>
      </c>
      <c r="AG106" s="9" t="s">
        <v>734</v>
      </c>
      <c r="AH106" s="12">
        <f t="shared" si="24"/>
        <v>68320.36</v>
      </c>
      <c r="AI106" s="12"/>
      <c r="AJ106" s="12">
        <f t="shared" si="28"/>
        <v>0</v>
      </c>
      <c r="AK106" s="12"/>
      <c r="AL106" s="12">
        <f t="shared" si="25"/>
        <v>68320.36</v>
      </c>
      <c r="AM106" s="12"/>
      <c r="AN106" s="13">
        <v>0</v>
      </c>
      <c r="AO106" s="13"/>
      <c r="AP106" s="14">
        <f t="shared" si="30"/>
        <v>-1</v>
      </c>
    </row>
    <row r="107" spans="1:42" s="9" customFormat="1" ht="24.95" customHeight="1" x14ac:dyDescent="0.2">
      <c r="A107" s="9" t="s">
        <v>636</v>
      </c>
      <c r="B107" s="12">
        <f>CNT!S127</f>
        <v>4914.1899999999996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4914.1899999999996</v>
      </c>
      <c r="Q107" s="9" t="s">
        <v>636</v>
      </c>
      <c r="R107" s="54">
        <v>337.58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337.58</v>
      </c>
      <c r="AG107" s="9" t="s">
        <v>636</v>
      </c>
      <c r="AH107" s="12">
        <f t="shared" si="24"/>
        <v>4914.1899999999996</v>
      </c>
      <c r="AI107" s="12"/>
      <c r="AJ107" s="12">
        <f t="shared" si="28"/>
        <v>337.58</v>
      </c>
      <c r="AK107" s="12"/>
      <c r="AL107" s="12">
        <f t="shared" si="25"/>
        <v>4576.6099999999997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623</v>
      </c>
      <c r="B108" s="12">
        <f>CNT!S128</f>
        <v>2323.1999999999998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2323.1999999999998</v>
      </c>
      <c r="Q108" s="9" t="s">
        <v>623</v>
      </c>
      <c r="R108" s="54">
        <v>756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756</v>
      </c>
      <c r="AG108" s="9" t="s">
        <v>623</v>
      </c>
      <c r="AH108" s="12">
        <f t="shared" si="24"/>
        <v>2323.1999999999998</v>
      </c>
      <c r="AI108" s="12"/>
      <c r="AJ108" s="12">
        <f t="shared" si="28"/>
        <v>756</v>
      </c>
      <c r="AK108" s="12"/>
      <c r="AL108" s="12">
        <f t="shared" si="25"/>
        <v>1567.1999999999998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312</v>
      </c>
      <c r="B109" s="16">
        <f>CNT!S124</f>
        <v>34786.629999999997</v>
      </c>
      <c r="C109" s="16"/>
      <c r="D109" s="16">
        <v>0</v>
      </c>
      <c r="E109" s="16"/>
      <c r="F109" s="16">
        <v>0</v>
      </c>
      <c r="G109" s="16"/>
      <c r="H109" s="16">
        <v>0</v>
      </c>
      <c r="I109" s="17"/>
      <c r="J109" s="16">
        <v>0</v>
      </c>
      <c r="K109" s="17"/>
      <c r="L109" s="16">
        <v>0</v>
      </c>
      <c r="M109" s="17"/>
      <c r="N109" s="16">
        <v>0</v>
      </c>
      <c r="O109" s="17"/>
      <c r="P109" s="16">
        <f t="shared" si="26"/>
        <v>34786.629999999997</v>
      </c>
      <c r="Q109" s="9" t="s">
        <v>312</v>
      </c>
      <c r="R109" s="55">
        <v>8323.9500000000007</v>
      </c>
      <c r="S109" s="16"/>
      <c r="T109" s="55">
        <v>0</v>
      </c>
      <c r="U109" s="16"/>
      <c r="V109" s="55">
        <v>0</v>
      </c>
      <c r="W109" s="16"/>
      <c r="X109" s="55">
        <v>0</v>
      </c>
      <c r="Y109" s="16"/>
      <c r="Z109" s="55">
        <v>0</v>
      </c>
      <c r="AA109" s="16"/>
      <c r="AB109" s="55">
        <v>0</v>
      </c>
      <c r="AC109" s="16"/>
      <c r="AD109" s="55">
        <v>0</v>
      </c>
      <c r="AE109" s="16"/>
      <c r="AF109" s="16">
        <f t="shared" si="27"/>
        <v>8323.9500000000007</v>
      </c>
      <c r="AG109" s="9" t="s">
        <v>312</v>
      </c>
      <c r="AH109" s="16">
        <f t="shared" si="24"/>
        <v>34786.629999999997</v>
      </c>
      <c r="AI109" s="16"/>
      <c r="AJ109" s="16">
        <f t="shared" si="28"/>
        <v>8323.9500000000007</v>
      </c>
      <c r="AK109" s="16"/>
      <c r="AL109" s="16">
        <f t="shared" si="25"/>
        <v>26462.679999999997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20" t="s">
        <v>382</v>
      </c>
      <c r="B110" s="12">
        <f>SUM(B71:B109)</f>
        <v>42642556.150000013</v>
      </c>
      <c r="C110" s="12"/>
      <c r="D110" s="12">
        <f>SUM(D71:D109)</f>
        <v>6080.8</v>
      </c>
      <c r="E110" s="12"/>
      <c r="F110" s="12">
        <f>SUM(F71:F109)</f>
        <v>1083.9499999999998</v>
      </c>
      <c r="G110" s="12"/>
      <c r="H110" s="12">
        <f>SUM(H71:H109)</f>
        <v>456844.66</v>
      </c>
      <c r="I110" s="12"/>
      <c r="J110" s="12">
        <f>SUM(J71:J109)</f>
        <v>2165119.04</v>
      </c>
      <c r="K110" s="12"/>
      <c r="L110" s="12">
        <f>SUM(L71:L109)</f>
        <v>110480.32000000001</v>
      </c>
      <c r="M110" s="12"/>
      <c r="N110" s="12">
        <f>SUM(N71:N109)</f>
        <v>308938.77</v>
      </c>
      <c r="O110" s="12"/>
      <c r="P110" s="12">
        <f>SUM(P71:P109)</f>
        <v>45691103.68999999</v>
      </c>
      <c r="Q110" s="20" t="s">
        <v>382</v>
      </c>
      <c r="R110" s="54">
        <f>SUM(R70:R109)</f>
        <v>35564751.929999992</v>
      </c>
      <c r="S110" s="12"/>
      <c r="T110" s="54">
        <f>SUM(T70:T109)</f>
        <v>301083.44999999995</v>
      </c>
      <c r="U110" s="12"/>
      <c r="V110" s="54">
        <f>SUM(V70:V109)</f>
        <v>645917.49</v>
      </c>
      <c r="W110" s="12"/>
      <c r="X110" s="54">
        <f>SUM(X70:X109)</f>
        <v>293716.39</v>
      </c>
      <c r="Y110" s="12"/>
      <c r="Z110" s="54">
        <f>SUM(Z70:Z109)</f>
        <v>2195246.98</v>
      </c>
      <c r="AA110" s="12"/>
      <c r="AB110" s="54">
        <f>SUM(AB70:AB109)</f>
        <v>96729.16</v>
      </c>
      <c r="AC110" s="12"/>
      <c r="AD110" s="54">
        <f>SUM(AD70:AD109)</f>
        <v>825065.97</v>
      </c>
      <c r="AE110" s="12"/>
      <c r="AF110" s="12">
        <f>SUM(AF70:AF109)</f>
        <v>39922511.370000005</v>
      </c>
      <c r="AG110" s="20" t="s">
        <v>382</v>
      </c>
      <c r="AH110" s="22">
        <f>SUM(AH70:AH109)</f>
        <v>45691103.68999999</v>
      </c>
      <c r="AI110" s="22">
        <f>SUM(AI70:AI109)</f>
        <v>0</v>
      </c>
      <c r="AJ110" s="22">
        <f>SUM(AJ70:AJ109)</f>
        <v>39922511.370000005</v>
      </c>
      <c r="AK110" s="22">
        <f>SUM(AK70:AK109)</f>
        <v>0</v>
      </c>
      <c r="AL110" s="22">
        <f>SUM(AL70:AL109)</f>
        <v>5768592.3199999994</v>
      </c>
      <c r="AM110" s="22"/>
      <c r="AN110" s="13">
        <f>AH110/AJ110</f>
        <v>1.1444947254579487</v>
      </c>
      <c r="AO110" s="13"/>
      <c r="AP110" s="14">
        <f t="shared" si="30"/>
        <v>0.14449472545794873</v>
      </c>
    </row>
    <row r="111" spans="1:42" s="9" customFormat="1" ht="24.95" customHeight="1" x14ac:dyDescent="0.2">
      <c r="B111" s="12"/>
      <c r="C111" s="12"/>
      <c r="D111" s="12"/>
      <c r="E111" s="12"/>
      <c r="F111" s="12"/>
      <c r="G111" s="12"/>
      <c r="P111" s="10"/>
      <c r="R111" s="65"/>
      <c r="T111" s="65"/>
      <c r="V111" s="65"/>
      <c r="X111" s="65"/>
      <c r="Z111" s="65"/>
      <c r="AB111" s="65"/>
      <c r="AD111" s="65"/>
      <c r="AF111" s="10"/>
      <c r="AN111" s="13"/>
      <c r="AO111" s="13"/>
      <c r="AP111" s="19"/>
    </row>
    <row r="112" spans="1:42" s="9" customFormat="1" ht="24.95" customHeight="1" x14ac:dyDescent="0.2">
      <c r="A112" s="8" t="s">
        <v>313</v>
      </c>
      <c r="B112" s="12"/>
      <c r="C112" s="12"/>
      <c r="D112" s="12"/>
      <c r="E112" s="12"/>
      <c r="F112" s="12"/>
      <c r="G112" s="12"/>
      <c r="P112" s="10"/>
      <c r="Q112" s="8" t="s">
        <v>313</v>
      </c>
      <c r="R112" s="65"/>
      <c r="T112" s="65"/>
      <c r="V112" s="65"/>
      <c r="X112" s="65"/>
      <c r="Z112" s="65"/>
      <c r="AB112" s="65"/>
      <c r="AD112" s="65"/>
      <c r="AF112" s="10"/>
      <c r="AG112" s="8" t="s">
        <v>313</v>
      </c>
      <c r="AN112" s="10"/>
      <c r="AO112" s="10"/>
      <c r="AP112" s="19"/>
    </row>
    <row r="113" spans="1:42" s="9" customFormat="1" ht="24.95" customHeight="1" x14ac:dyDescent="0.2">
      <c r="A113" s="9" t="s">
        <v>314</v>
      </c>
      <c r="B113" s="12">
        <v>0</v>
      </c>
      <c r="C113" s="12"/>
      <c r="D113" s="12">
        <v>0</v>
      </c>
      <c r="E113" s="12"/>
      <c r="F113" s="12">
        <v>0</v>
      </c>
      <c r="G113" s="12"/>
      <c r="H113" s="12">
        <v>0</v>
      </c>
      <c r="I113" s="12"/>
      <c r="J113" s="12">
        <v>0</v>
      </c>
      <c r="K113" s="12"/>
      <c r="L113" s="12">
        <v>0</v>
      </c>
      <c r="M113" s="12"/>
      <c r="N113" s="12">
        <v>0</v>
      </c>
      <c r="O113" s="12"/>
      <c r="P113" s="12">
        <f t="shared" ref="P113:P118" si="32">SUM(B113:N113)</f>
        <v>0</v>
      </c>
      <c r="Q113" s="9" t="s">
        <v>314</v>
      </c>
      <c r="R113" s="54">
        <v>0</v>
      </c>
      <c r="S113" s="12"/>
      <c r="T113" s="54">
        <v>0</v>
      </c>
      <c r="U113" s="12"/>
      <c r="V113" s="54">
        <v>0</v>
      </c>
      <c r="W113" s="12"/>
      <c r="X113" s="54">
        <v>0</v>
      </c>
      <c r="Y113" s="12"/>
      <c r="Z113" s="54">
        <v>0</v>
      </c>
      <c r="AA113" s="12"/>
      <c r="AB113" s="54">
        <v>0</v>
      </c>
      <c r="AC113" s="12"/>
      <c r="AD113" s="54">
        <v>0</v>
      </c>
      <c r="AE113" s="12"/>
      <c r="AF113" s="122">
        <f>SUM(R113:AD113)</f>
        <v>0</v>
      </c>
      <c r="AG113" s="9" t="s">
        <v>314</v>
      </c>
      <c r="AH113" s="12">
        <f t="shared" ref="AH113:AH118" si="33">P113</f>
        <v>0</v>
      </c>
      <c r="AI113" s="12"/>
      <c r="AJ113" s="12">
        <f t="shared" ref="AJ113:AJ118" si="34">AF113</f>
        <v>0</v>
      </c>
      <c r="AK113" s="12"/>
      <c r="AL113" s="12">
        <f t="shared" ref="AL113:AL118" si="35">AH113-AJ113</f>
        <v>0</v>
      </c>
      <c r="AM113" s="12"/>
      <c r="AN113" s="13" t="e">
        <f t="shared" ref="AN113:AN119" si="36">AH113/AJ113</f>
        <v>#DIV/0!</v>
      </c>
      <c r="AO113" s="13"/>
      <c r="AP113" s="14" t="e">
        <f t="shared" ref="AP113:AP119" si="37">AN113-1</f>
        <v>#DIV/0!</v>
      </c>
    </row>
    <row r="114" spans="1:42" s="9" customFormat="1" ht="24.95" customHeight="1" x14ac:dyDescent="0.2">
      <c r="A114" s="9" t="s">
        <v>315</v>
      </c>
      <c r="B114" s="12">
        <f>CNT!S134</f>
        <v>0</v>
      </c>
      <c r="C114" s="12"/>
      <c r="D114" s="12">
        <v>0</v>
      </c>
      <c r="E114" s="12"/>
      <c r="F114" s="12">
        <v>0</v>
      </c>
      <c r="G114" s="12"/>
      <c r="H114" s="12">
        <v>0</v>
      </c>
      <c r="J114" s="12">
        <f>BSC!F69</f>
        <v>1038675.03</v>
      </c>
      <c r="L114" s="12">
        <f>'Oliari Co'!F68</f>
        <v>247750</v>
      </c>
      <c r="N114" s="12">
        <f>'722 Bedford St'!E53</f>
        <v>0</v>
      </c>
      <c r="P114" s="12">
        <f t="shared" si="32"/>
        <v>1286425.03</v>
      </c>
      <c r="Q114" s="9" t="s">
        <v>315</v>
      </c>
      <c r="R114" s="54">
        <v>0</v>
      </c>
      <c r="S114" s="12"/>
      <c r="T114" s="54">
        <v>0</v>
      </c>
      <c r="U114" s="12"/>
      <c r="V114" s="54">
        <v>0</v>
      </c>
      <c r="W114" s="12"/>
      <c r="X114" s="54">
        <v>0</v>
      </c>
      <c r="Y114" s="12"/>
      <c r="Z114" s="54">
        <v>1038675.03</v>
      </c>
      <c r="AA114" s="12"/>
      <c r="AB114" s="54">
        <v>247750</v>
      </c>
      <c r="AC114" s="12"/>
      <c r="AD114" s="54">
        <v>3563493</v>
      </c>
      <c r="AE114" s="12"/>
      <c r="AF114" s="122">
        <f t="shared" ref="AF114:AF118" si="38">SUM(R114:AD114)</f>
        <v>4849918.03</v>
      </c>
      <c r="AG114" s="9" t="s">
        <v>315</v>
      </c>
      <c r="AH114" s="12">
        <f t="shared" si="33"/>
        <v>1286425.03</v>
      </c>
      <c r="AI114" s="12"/>
      <c r="AJ114" s="12">
        <f t="shared" si="34"/>
        <v>4849918.03</v>
      </c>
      <c r="AK114" s="12"/>
      <c r="AL114" s="12">
        <f t="shared" si="35"/>
        <v>-3563493</v>
      </c>
      <c r="AM114" s="12"/>
      <c r="AN114" s="13">
        <f t="shared" si="36"/>
        <v>0.26524675717045054</v>
      </c>
      <c r="AO114" s="13"/>
      <c r="AP114" s="14">
        <f t="shared" si="37"/>
        <v>-0.73475324282954946</v>
      </c>
    </row>
    <row r="115" spans="1:42" s="9" customFormat="1" ht="24.95" customHeight="1" x14ac:dyDescent="0.2">
      <c r="A115" s="9" t="s">
        <v>735</v>
      </c>
      <c r="B115" s="12">
        <f>CNT!S138</f>
        <v>2008842.81</v>
      </c>
      <c r="C115" s="12"/>
      <c r="D115" s="12">
        <v>0</v>
      </c>
      <c r="E115" s="12"/>
      <c r="F115" s="12">
        <v>0</v>
      </c>
      <c r="G115" s="12"/>
      <c r="H115" s="12">
        <v>0</v>
      </c>
      <c r="J115" s="12">
        <v>0</v>
      </c>
      <c r="L115" s="12">
        <v>0</v>
      </c>
      <c r="N115" s="12">
        <v>0</v>
      </c>
      <c r="P115" s="12">
        <f t="shared" si="32"/>
        <v>2008842.81</v>
      </c>
      <c r="Q115" s="9" t="s">
        <v>735</v>
      </c>
      <c r="R115" s="54">
        <v>0</v>
      </c>
      <c r="S115" s="12"/>
      <c r="T115" s="54">
        <v>0</v>
      </c>
      <c r="U115" s="12"/>
      <c r="V115" s="54">
        <v>0</v>
      </c>
      <c r="W115" s="12"/>
      <c r="X115" s="54">
        <v>0</v>
      </c>
      <c r="Y115" s="12"/>
      <c r="Z115" s="54">
        <v>0</v>
      </c>
      <c r="AA115" s="12"/>
      <c r="AB115" s="54">
        <v>0</v>
      </c>
      <c r="AC115" s="12"/>
      <c r="AD115" s="54">
        <v>0</v>
      </c>
      <c r="AE115" s="12"/>
      <c r="AF115" s="122">
        <f t="shared" si="38"/>
        <v>0</v>
      </c>
      <c r="AG115" s="9" t="s">
        <v>735</v>
      </c>
      <c r="AH115" s="12">
        <f t="shared" si="33"/>
        <v>2008842.81</v>
      </c>
      <c r="AI115" s="12"/>
      <c r="AJ115" s="12">
        <f t="shared" si="34"/>
        <v>0</v>
      </c>
      <c r="AK115" s="12"/>
      <c r="AL115" s="12">
        <f t="shared" si="35"/>
        <v>2008842.81</v>
      </c>
      <c r="AM115" s="12"/>
      <c r="AN115" s="13" t="e">
        <f t="shared" si="36"/>
        <v>#DIV/0!</v>
      </c>
      <c r="AO115" s="13"/>
      <c r="AP115" s="14" t="e">
        <f t="shared" si="37"/>
        <v>#DIV/0!</v>
      </c>
    </row>
    <row r="116" spans="1:42" s="9" customFormat="1" ht="24.95" customHeight="1" x14ac:dyDescent="0.2">
      <c r="A116" s="9" t="s">
        <v>316</v>
      </c>
      <c r="B116" s="12">
        <f>CNT!S135</f>
        <v>16907.43</v>
      </c>
      <c r="C116" s="12"/>
      <c r="D116" s="12">
        <v>0</v>
      </c>
      <c r="E116" s="12"/>
      <c r="F116" s="12">
        <v>0</v>
      </c>
      <c r="G116" s="12"/>
      <c r="H116" s="12">
        <v>0</v>
      </c>
      <c r="J116" s="12">
        <v>0</v>
      </c>
      <c r="L116" s="12">
        <v>0</v>
      </c>
      <c r="N116" s="12">
        <f>'722 Bedford St'!E50</f>
        <v>0</v>
      </c>
      <c r="P116" s="12">
        <f t="shared" si="32"/>
        <v>16907.43</v>
      </c>
      <c r="Q116" s="9" t="s">
        <v>316</v>
      </c>
      <c r="R116" s="54">
        <v>16400.21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819709.5</v>
      </c>
      <c r="AE116" s="12"/>
      <c r="AF116" s="122">
        <f t="shared" si="38"/>
        <v>836109.71</v>
      </c>
      <c r="AG116" s="9" t="s">
        <v>316</v>
      </c>
      <c r="AH116" s="12">
        <f t="shared" si="33"/>
        <v>16907.43</v>
      </c>
      <c r="AI116" s="12"/>
      <c r="AJ116" s="12">
        <f t="shared" si="34"/>
        <v>836109.71</v>
      </c>
      <c r="AK116" s="12"/>
      <c r="AL116" s="12">
        <f t="shared" si="35"/>
        <v>-819202.27999999991</v>
      </c>
      <c r="AM116" s="12"/>
      <c r="AN116" s="13">
        <f t="shared" si="36"/>
        <v>2.0221544849658546E-2</v>
      </c>
      <c r="AO116" s="13"/>
      <c r="AP116" s="14">
        <f t="shared" si="37"/>
        <v>-0.97977845515034145</v>
      </c>
    </row>
    <row r="117" spans="1:42" s="9" customFormat="1" ht="24.95" customHeight="1" x14ac:dyDescent="0.2">
      <c r="A117" s="9" t="s">
        <v>317</v>
      </c>
      <c r="B117" s="12">
        <f>CNT!S136</f>
        <v>4384.67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v>0</v>
      </c>
      <c r="L117" s="12">
        <v>0</v>
      </c>
      <c r="N117" s="12">
        <f>'722 Bedford St'!E51</f>
        <v>0</v>
      </c>
      <c r="P117" s="12">
        <f t="shared" si="32"/>
        <v>4384.67</v>
      </c>
      <c r="Q117" s="9" t="s">
        <v>317</v>
      </c>
      <c r="R117" s="54">
        <v>4253.21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0</v>
      </c>
      <c r="AA117" s="12"/>
      <c r="AB117" s="54">
        <v>0</v>
      </c>
      <c r="AC117" s="12"/>
      <c r="AD117" s="54">
        <v>855953</v>
      </c>
      <c r="AE117" s="12"/>
      <c r="AF117" s="122">
        <f t="shared" si="38"/>
        <v>860206.21</v>
      </c>
      <c r="AG117" s="9" t="s">
        <v>317</v>
      </c>
      <c r="AH117" s="12">
        <f t="shared" si="33"/>
        <v>4384.67</v>
      </c>
      <c r="AI117" s="12"/>
      <c r="AJ117" s="12">
        <f t="shared" si="34"/>
        <v>860206.21</v>
      </c>
      <c r="AK117" s="12"/>
      <c r="AL117" s="12">
        <f t="shared" si="35"/>
        <v>-855821.53999999992</v>
      </c>
      <c r="AM117" s="12"/>
      <c r="AN117" s="13">
        <f t="shared" si="36"/>
        <v>5.097231278997626E-3</v>
      </c>
      <c r="AO117" s="13"/>
      <c r="AP117" s="14">
        <f t="shared" si="37"/>
        <v>-0.99490276872100236</v>
      </c>
    </row>
    <row r="118" spans="1:42" s="9" customFormat="1" ht="24.95" customHeight="1" x14ac:dyDescent="0.2">
      <c r="A118" s="9" t="s">
        <v>318</v>
      </c>
      <c r="B118" s="16">
        <f>CNT!S137</f>
        <v>20003.259999999998</v>
      </c>
      <c r="C118" s="16"/>
      <c r="D118" s="16">
        <v>0</v>
      </c>
      <c r="E118" s="16"/>
      <c r="F118" s="16">
        <v>0</v>
      </c>
      <c r="G118" s="16"/>
      <c r="H118" s="16">
        <v>0</v>
      </c>
      <c r="I118" s="17"/>
      <c r="J118" s="16">
        <v>0</v>
      </c>
      <c r="K118" s="17"/>
      <c r="L118" s="16">
        <v>0</v>
      </c>
      <c r="M118" s="17"/>
      <c r="N118" s="16">
        <f>'722 Bedford St'!E52</f>
        <v>0</v>
      </c>
      <c r="O118" s="17"/>
      <c r="P118" s="16">
        <f t="shared" si="32"/>
        <v>20003.259999999998</v>
      </c>
      <c r="Q118" s="9" t="s">
        <v>318</v>
      </c>
      <c r="R118" s="55">
        <v>19403.03</v>
      </c>
      <c r="S118" s="16"/>
      <c r="T118" s="55">
        <v>0</v>
      </c>
      <c r="U118" s="16"/>
      <c r="V118" s="55">
        <v>0</v>
      </c>
      <c r="W118" s="16"/>
      <c r="X118" s="55">
        <v>0</v>
      </c>
      <c r="Y118" s="16"/>
      <c r="Z118" s="55">
        <v>0</v>
      </c>
      <c r="AA118" s="16"/>
      <c r="AB118" s="55">
        <v>0</v>
      </c>
      <c r="AC118" s="16"/>
      <c r="AD118" s="55">
        <v>686846.65</v>
      </c>
      <c r="AE118" s="16"/>
      <c r="AF118" s="16">
        <f t="shared" si="38"/>
        <v>706249.68</v>
      </c>
      <c r="AG118" s="9" t="s">
        <v>318</v>
      </c>
      <c r="AH118" s="16">
        <f t="shared" si="33"/>
        <v>20003.259999999998</v>
      </c>
      <c r="AI118" s="16"/>
      <c r="AJ118" s="16">
        <f t="shared" si="34"/>
        <v>706249.68</v>
      </c>
      <c r="AK118" s="16"/>
      <c r="AL118" s="16">
        <f t="shared" si="35"/>
        <v>-686246.42</v>
      </c>
      <c r="AM118" s="12"/>
      <c r="AN118" s="13">
        <f t="shared" si="36"/>
        <v>2.8323212833172535E-2</v>
      </c>
      <c r="AO118" s="13"/>
      <c r="AP118" s="14">
        <f t="shared" si="37"/>
        <v>-0.97167678716682748</v>
      </c>
    </row>
    <row r="119" spans="1:42" s="9" customFormat="1" ht="24.95" customHeight="1" x14ac:dyDescent="0.2">
      <c r="A119" s="20" t="s">
        <v>319</v>
      </c>
      <c r="B119" s="12">
        <f>SUM(B113:B118)</f>
        <v>2050138.17</v>
      </c>
      <c r="C119" s="12"/>
      <c r="D119" s="12">
        <f>SUM(D113:D118)</f>
        <v>0</v>
      </c>
      <c r="E119" s="12"/>
      <c r="F119" s="12">
        <f>SUM(F113:F118)</f>
        <v>0</v>
      </c>
      <c r="G119" s="12"/>
      <c r="H119" s="12">
        <f>SUM(H113:H118)</f>
        <v>0</v>
      </c>
      <c r="I119" s="12"/>
      <c r="J119" s="12">
        <f>SUM(J113:J118)</f>
        <v>1038675.03</v>
      </c>
      <c r="K119" s="12"/>
      <c r="L119" s="12">
        <f>SUM(L113:L118)</f>
        <v>247750</v>
      </c>
      <c r="M119" s="12"/>
      <c r="N119" s="12">
        <f>SUM(N113:N118)</f>
        <v>0</v>
      </c>
      <c r="O119" s="12"/>
      <c r="P119" s="12">
        <f>SUM(P113:P118)</f>
        <v>3336563.1999999997</v>
      </c>
      <c r="Q119" s="20" t="s">
        <v>319</v>
      </c>
      <c r="R119" s="54">
        <f>SUM(R113:R118)</f>
        <v>40056.449999999997</v>
      </c>
      <c r="S119" s="12"/>
      <c r="T119" s="54">
        <f>SUM(T113:T118)</f>
        <v>0</v>
      </c>
      <c r="U119" s="12"/>
      <c r="V119" s="54">
        <f>SUM(V113:V118)</f>
        <v>0</v>
      </c>
      <c r="W119" s="12"/>
      <c r="X119" s="54">
        <f>SUM(X113:X118)</f>
        <v>0</v>
      </c>
      <c r="Y119" s="12"/>
      <c r="Z119" s="54">
        <f>SUM(Z113:Z118)</f>
        <v>1038675.03</v>
      </c>
      <c r="AA119" s="12"/>
      <c r="AB119" s="54">
        <f>SUM(AB113:AB118)</f>
        <v>247750</v>
      </c>
      <c r="AC119" s="12"/>
      <c r="AD119" s="54">
        <f>SUM(AD113:AD118)</f>
        <v>5926002.1500000004</v>
      </c>
      <c r="AE119" s="12"/>
      <c r="AF119" s="12">
        <f>SUM(AF113:AF118)</f>
        <v>7252483.6299999999</v>
      </c>
      <c r="AG119" s="20" t="s">
        <v>319</v>
      </c>
      <c r="AH119" s="12">
        <f>SUM(AH113:AH118)</f>
        <v>3336563.1999999997</v>
      </c>
      <c r="AI119" s="12"/>
      <c r="AJ119" s="12">
        <f>SUM(AJ113:AJ118)</f>
        <v>7252483.6299999999</v>
      </c>
      <c r="AK119" s="12"/>
      <c r="AL119" s="12">
        <f>SUM(AL113:AL118)</f>
        <v>-3915920.4299999997</v>
      </c>
      <c r="AM119" s="12"/>
      <c r="AN119" s="13">
        <f t="shared" si="36"/>
        <v>0.46005801187861484</v>
      </c>
      <c r="AO119" s="13"/>
      <c r="AP119" s="14">
        <f t="shared" si="37"/>
        <v>-0.53994198812138516</v>
      </c>
    </row>
    <row r="120" spans="1:42" s="9" customFormat="1" ht="24.95" customHeight="1" x14ac:dyDescent="0.2">
      <c r="A120" s="20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O120" s="12"/>
      <c r="P120" s="10"/>
      <c r="Q120" s="20"/>
      <c r="R120" s="54"/>
      <c r="S120" s="12"/>
      <c r="T120" s="65"/>
      <c r="V120" s="65"/>
      <c r="X120" s="65"/>
      <c r="Z120" s="65"/>
      <c r="AB120" s="65"/>
      <c r="AD120" s="65"/>
      <c r="AF120" s="10"/>
      <c r="AG120" s="20"/>
      <c r="AN120" s="10"/>
      <c r="AO120" s="10"/>
      <c r="AP120" s="14"/>
    </row>
    <row r="121" spans="1:42" s="9" customFormat="1" ht="24.95" customHeight="1" x14ac:dyDescent="0.2">
      <c r="A121" s="27" t="s">
        <v>320</v>
      </c>
      <c r="B121" s="21">
        <f>B119+B110</f>
        <v>44692694.320000015</v>
      </c>
      <c r="C121" s="21"/>
      <c r="D121" s="21">
        <f>D119+D110</f>
        <v>6080.8</v>
      </c>
      <c r="E121" s="21"/>
      <c r="F121" s="21">
        <f>F119+F110</f>
        <v>1083.9499999999998</v>
      </c>
      <c r="G121" s="21"/>
      <c r="H121" s="21">
        <f>H119+H110</f>
        <v>456844.66</v>
      </c>
      <c r="I121" s="21"/>
      <c r="J121" s="21">
        <f>J119+J110</f>
        <v>3203794.0700000003</v>
      </c>
      <c r="K121" s="21"/>
      <c r="L121" s="21">
        <f>L119+L110</f>
        <v>358230.32</v>
      </c>
      <c r="M121" s="21"/>
      <c r="N121" s="21">
        <f>N119+N110</f>
        <v>308938.77</v>
      </c>
      <c r="O121" s="21"/>
      <c r="P121" s="21">
        <f>P119+P110</f>
        <v>49027666.889999993</v>
      </c>
      <c r="Q121" s="27" t="s">
        <v>320</v>
      </c>
      <c r="R121" s="56">
        <f>R119+R110</f>
        <v>35604808.379999995</v>
      </c>
      <c r="S121" s="21"/>
      <c r="T121" s="56">
        <f>T119+T110</f>
        <v>301083.44999999995</v>
      </c>
      <c r="U121" s="21"/>
      <c r="V121" s="56">
        <f>V119+V110</f>
        <v>645917.49</v>
      </c>
      <c r="W121" s="21"/>
      <c r="X121" s="56">
        <f>X119+X110</f>
        <v>293716.39</v>
      </c>
      <c r="Y121" s="21"/>
      <c r="Z121" s="56">
        <f>Z119+Z110</f>
        <v>3233922.01</v>
      </c>
      <c r="AA121" s="21"/>
      <c r="AB121" s="56">
        <f>AB119+AB110</f>
        <v>344479.16000000003</v>
      </c>
      <c r="AC121" s="21"/>
      <c r="AD121" s="56">
        <f>AD119+AD110</f>
        <v>6751068.1200000001</v>
      </c>
      <c r="AE121" s="21"/>
      <c r="AF121" s="21">
        <f>AF119+AF110</f>
        <v>47174995.000000007</v>
      </c>
      <c r="AG121" s="27" t="s">
        <v>320</v>
      </c>
      <c r="AH121" s="21">
        <f>AH110+AH119</f>
        <v>49027666.889999993</v>
      </c>
      <c r="AI121" s="21"/>
      <c r="AJ121" s="21">
        <f>AJ110+AJ119</f>
        <v>47174995.000000007</v>
      </c>
      <c r="AK121" s="21"/>
      <c r="AL121" s="21">
        <f>AL110+AL119</f>
        <v>1852671.8899999997</v>
      </c>
      <c r="AM121" s="12"/>
      <c r="AN121" s="13">
        <f>AH121/AJ121</f>
        <v>1.0392723282747562</v>
      </c>
      <c r="AO121" s="13"/>
      <c r="AP121" s="14">
        <f>AN121-1</f>
        <v>3.9272328274756241E-2</v>
      </c>
    </row>
    <row r="122" spans="1:42" s="9" customFormat="1" ht="24.95" customHeight="1" x14ac:dyDescent="0.2">
      <c r="B122" s="12"/>
      <c r="C122" s="12"/>
      <c r="D122" s="12"/>
      <c r="E122" s="12"/>
      <c r="F122" s="12"/>
      <c r="G122" s="12"/>
      <c r="P122" s="10"/>
      <c r="R122" s="65"/>
      <c r="T122" s="65"/>
      <c r="V122" s="65"/>
      <c r="X122" s="65"/>
      <c r="Z122" s="65"/>
      <c r="AB122" s="65"/>
      <c r="AD122" s="65"/>
      <c r="AF122" s="10"/>
      <c r="AN122" s="10"/>
      <c r="AO122" s="10"/>
      <c r="AP122" s="19"/>
    </row>
    <row r="123" spans="1:42" s="9" customFormat="1" ht="24.95" customHeight="1" x14ac:dyDescent="0.2">
      <c r="A123" s="8" t="s">
        <v>160</v>
      </c>
      <c r="B123" s="12"/>
      <c r="C123" s="12"/>
      <c r="D123" s="12"/>
      <c r="E123" s="12"/>
      <c r="F123" s="12"/>
      <c r="G123" s="12"/>
      <c r="P123" s="10"/>
      <c r="Q123" s="8" t="s">
        <v>160</v>
      </c>
      <c r="R123" s="65"/>
      <c r="T123" s="65"/>
      <c r="V123" s="65"/>
      <c r="X123" s="65"/>
      <c r="Z123" s="65"/>
      <c r="AB123" s="65"/>
      <c r="AD123" s="65"/>
      <c r="AF123" s="10"/>
      <c r="AG123" s="8" t="s">
        <v>160</v>
      </c>
      <c r="AN123" s="10"/>
      <c r="AO123" s="10"/>
      <c r="AP123" s="19"/>
    </row>
    <row r="124" spans="1:42" s="9" customFormat="1" ht="24.95" customHeight="1" x14ac:dyDescent="0.2">
      <c r="A124" s="9" t="s">
        <v>321</v>
      </c>
      <c r="B124" s="12">
        <f>CNT!S145</f>
        <v>152325</v>
      </c>
      <c r="C124" s="12"/>
      <c r="D124" s="12">
        <v>0</v>
      </c>
      <c r="E124" s="12"/>
      <c r="F124" s="12">
        <f>DEP!S57</f>
        <v>0</v>
      </c>
      <c r="G124" s="12"/>
      <c r="H124" s="12">
        <v>0</v>
      </c>
      <c r="I124" s="12"/>
      <c r="J124" s="12">
        <f>BSC!F74</f>
        <v>25000.03</v>
      </c>
      <c r="K124" s="12"/>
      <c r="L124" s="12">
        <v>0</v>
      </c>
      <c r="M124" s="12"/>
      <c r="N124" s="12">
        <v>0</v>
      </c>
      <c r="O124" s="12"/>
      <c r="P124" s="12">
        <f>SUM(B124:N124)</f>
        <v>177325.03</v>
      </c>
      <c r="Q124" s="9" t="s">
        <v>321</v>
      </c>
      <c r="R124" s="54">
        <v>152325</v>
      </c>
      <c r="S124" s="12"/>
      <c r="T124" s="54">
        <v>0</v>
      </c>
      <c r="U124" s="12"/>
      <c r="V124" s="54">
        <v>1000</v>
      </c>
      <c r="W124" s="12"/>
      <c r="X124" s="54">
        <v>0</v>
      </c>
      <c r="Y124" s="12"/>
      <c r="Z124" s="54">
        <v>25000.03</v>
      </c>
      <c r="AA124" s="12"/>
      <c r="AB124" s="54">
        <v>0</v>
      </c>
      <c r="AC124" s="12"/>
      <c r="AD124" s="54">
        <v>0</v>
      </c>
      <c r="AE124" s="12"/>
      <c r="AF124" s="122">
        <f>SUM(R124:AD124)</f>
        <v>178325.03</v>
      </c>
      <c r="AG124" s="9" t="s">
        <v>321</v>
      </c>
      <c r="AH124" s="12">
        <f t="shared" ref="AH124:AH135" si="39">P124</f>
        <v>177325.03</v>
      </c>
      <c r="AI124" s="12"/>
      <c r="AJ124" s="12">
        <f>AF124</f>
        <v>178325.03</v>
      </c>
      <c r="AK124" s="12"/>
      <c r="AL124" s="12">
        <f t="shared" ref="AL124:AL135" si="40">AH124-AJ124</f>
        <v>-1000</v>
      </c>
      <c r="AM124" s="12"/>
      <c r="AN124" s="13">
        <f t="shared" ref="AN124:AN138" si="41">AH124/AJ124</f>
        <v>0.99439226226402433</v>
      </c>
      <c r="AO124" s="13"/>
      <c r="AP124" s="14">
        <f t="shared" ref="AP124:AP138" si="42">AN124-1</f>
        <v>-5.6077377359756708E-3</v>
      </c>
    </row>
    <row r="125" spans="1:42" s="9" customFormat="1" ht="24.95" customHeight="1" x14ac:dyDescent="0.2">
      <c r="A125" s="9" t="s">
        <v>322</v>
      </c>
      <c r="B125" s="12">
        <f>CNT!S146</f>
        <v>1709758</v>
      </c>
      <c r="C125" s="12"/>
      <c r="D125" s="12">
        <v>0</v>
      </c>
      <c r="E125" s="12"/>
      <c r="F125" s="12">
        <v>0</v>
      </c>
      <c r="G125" s="12"/>
      <c r="H125" s="12">
        <v>0</v>
      </c>
      <c r="I125" s="12"/>
      <c r="J125" s="12">
        <v>0</v>
      </c>
      <c r="K125" s="12"/>
      <c r="L125" s="12">
        <v>0</v>
      </c>
      <c r="M125" s="12"/>
      <c r="N125" s="12">
        <v>0</v>
      </c>
      <c r="O125" s="12"/>
      <c r="P125" s="12">
        <f t="shared" ref="P125:P135" si="43">SUM(B125:N125)</f>
        <v>1709758</v>
      </c>
      <c r="Q125" s="9" t="s">
        <v>322</v>
      </c>
      <c r="R125" s="54">
        <v>1709758</v>
      </c>
      <c r="S125" s="12"/>
      <c r="T125" s="54">
        <v>0</v>
      </c>
      <c r="U125" s="12"/>
      <c r="V125" s="54">
        <v>0</v>
      </c>
      <c r="W125" s="12"/>
      <c r="X125" s="54">
        <v>0</v>
      </c>
      <c r="Y125" s="12"/>
      <c r="Z125" s="54">
        <v>0</v>
      </c>
      <c r="AA125" s="12"/>
      <c r="AB125" s="54">
        <v>0</v>
      </c>
      <c r="AC125" s="12"/>
      <c r="AD125" s="54">
        <v>0</v>
      </c>
      <c r="AE125" s="12"/>
      <c r="AF125" s="122">
        <f t="shared" ref="AF125:AF135" si="44">SUM(R125:AD125)</f>
        <v>1709758</v>
      </c>
      <c r="AG125" s="9" t="s">
        <v>322</v>
      </c>
      <c r="AH125" s="12">
        <f t="shared" si="39"/>
        <v>1709758</v>
      </c>
      <c r="AI125" s="12"/>
      <c r="AJ125" s="12">
        <f t="shared" ref="AJ125:AJ135" si="45">AF125</f>
        <v>1709758</v>
      </c>
      <c r="AK125" s="12"/>
      <c r="AL125" s="12">
        <f t="shared" si="40"/>
        <v>0</v>
      </c>
      <c r="AM125" s="12"/>
      <c r="AN125" s="13">
        <f t="shared" si="41"/>
        <v>1</v>
      </c>
      <c r="AO125" s="13"/>
      <c r="AP125" s="14">
        <f t="shared" si="42"/>
        <v>0</v>
      </c>
    </row>
    <row r="126" spans="1:42" s="9" customFormat="1" ht="24.95" customHeight="1" x14ac:dyDescent="0.2">
      <c r="A126" s="9" t="s">
        <v>323</v>
      </c>
      <c r="B126" s="12">
        <f>CNT!S147</f>
        <v>20424264.579999998</v>
      </c>
      <c r="C126" s="12"/>
      <c r="D126" s="12">
        <f>BPM!S57</f>
        <v>9330.59</v>
      </c>
      <c r="E126" s="12"/>
      <c r="F126" s="12">
        <f>DEP!S58</f>
        <v>-1210.3800000000001</v>
      </c>
      <c r="G126" s="12"/>
      <c r="H126" s="12">
        <f>Lending!F43</f>
        <v>17826.29</v>
      </c>
      <c r="I126" s="12"/>
      <c r="J126" s="12">
        <f>BSC!F76</f>
        <v>-9948.6</v>
      </c>
      <c r="K126" s="12"/>
      <c r="L126" s="12">
        <f>'Oliari Co'!F91</f>
        <v>73934.19</v>
      </c>
      <c r="M126" s="12"/>
      <c r="N126" s="12">
        <f>'722 Bedford St'!E68</f>
        <v>97601.25</v>
      </c>
      <c r="O126" s="12"/>
      <c r="P126" s="12">
        <f t="shared" si="43"/>
        <v>20611797.919999998</v>
      </c>
      <c r="Q126" s="9" t="s">
        <v>323</v>
      </c>
      <c r="R126" s="54">
        <v>-66559.55</v>
      </c>
      <c r="S126" s="12"/>
      <c r="T126" s="54">
        <v>-151404.25</v>
      </c>
      <c r="U126" s="12"/>
      <c r="V126" s="54">
        <v>452845.75</v>
      </c>
      <c r="W126" s="12"/>
      <c r="X126" s="54">
        <v>13697.36</v>
      </c>
      <c r="Y126" s="12"/>
      <c r="Z126" s="54">
        <v>75398.34</v>
      </c>
      <c r="AA126" s="12"/>
      <c r="AB126" s="54">
        <v>80349.919999999998</v>
      </c>
      <c r="AC126" s="12"/>
      <c r="AD126" s="54">
        <v>4570.54</v>
      </c>
      <c r="AE126" s="12"/>
      <c r="AF126" s="122">
        <f t="shared" si="44"/>
        <v>408898.11</v>
      </c>
      <c r="AG126" s="9" t="s">
        <v>323</v>
      </c>
      <c r="AH126" s="12">
        <f t="shared" si="39"/>
        <v>20611797.919999998</v>
      </c>
      <c r="AI126" s="12"/>
      <c r="AJ126" s="12">
        <f t="shared" si="45"/>
        <v>408898.11</v>
      </c>
      <c r="AK126" s="12"/>
      <c r="AL126" s="12">
        <f t="shared" si="40"/>
        <v>20202899.809999999</v>
      </c>
      <c r="AM126" s="12"/>
      <c r="AN126" s="13">
        <f t="shared" si="41"/>
        <v>50.408151605298443</v>
      </c>
      <c r="AO126" s="13"/>
      <c r="AP126" s="13">
        <f t="shared" si="42"/>
        <v>49.408151605298443</v>
      </c>
    </row>
    <row r="127" spans="1:42" s="9" customFormat="1" ht="24.95" customHeight="1" x14ac:dyDescent="0.2">
      <c r="A127" s="9" t="s">
        <v>324</v>
      </c>
      <c r="B127" s="12">
        <f>CNT!S148</f>
        <v>-51086.91</v>
      </c>
      <c r="C127" s="12"/>
      <c r="D127" s="12">
        <f>BPM!S58</f>
        <v>380826.51</v>
      </c>
      <c r="E127" s="12"/>
      <c r="F127" s="12">
        <f>DEP!S59</f>
        <v>380826.51</v>
      </c>
      <c r="G127" s="12"/>
      <c r="H127" s="12">
        <f>Lending!F42</f>
        <v>425392.02</v>
      </c>
      <c r="I127" s="12"/>
      <c r="J127" s="12">
        <f>BSC!F75</f>
        <v>-1189372.3600000001</v>
      </c>
      <c r="K127" s="12"/>
      <c r="L127" s="12">
        <f>'Oliari Co'!F77+'Oliari Co'!F84+'Oliari Co'!F85+'Oliari Co'!F90</f>
        <v>5029784.25</v>
      </c>
      <c r="M127" s="12"/>
      <c r="N127" s="12">
        <f>'722 Bedford St'!E63+'722 Bedford St'!E64+'722 Bedford St'!E65+'722 Bedford St'!E66+'722 Bedford St'!E67</f>
        <v>2152258.9300000002</v>
      </c>
      <c r="O127" s="12"/>
      <c r="P127" s="12">
        <f t="shared" si="43"/>
        <v>7128628.9499999993</v>
      </c>
      <c r="Q127" s="9" t="s">
        <v>324</v>
      </c>
      <c r="R127" s="54">
        <v>9444105.0399999991</v>
      </c>
      <c r="S127" s="12"/>
      <c r="T127" s="54">
        <v>2285317.17</v>
      </c>
      <c r="U127" s="12"/>
      <c r="V127" s="54">
        <v>0</v>
      </c>
      <c r="W127" s="12"/>
      <c r="X127" s="54">
        <v>390997.51</v>
      </c>
      <c r="Y127" s="12"/>
      <c r="Z127" s="54">
        <v>-1194103.1399999999</v>
      </c>
      <c r="AA127" s="12"/>
      <c r="AB127" s="54">
        <v>4833163.25</v>
      </c>
      <c r="AC127" s="12"/>
      <c r="AD127" s="54">
        <v>1442724.1400000001</v>
      </c>
      <c r="AE127" s="12"/>
      <c r="AF127" s="122">
        <f t="shared" si="44"/>
        <v>17202203.969999999</v>
      </c>
      <c r="AG127" s="9" t="s">
        <v>324</v>
      </c>
      <c r="AH127" s="12">
        <f t="shared" si="39"/>
        <v>7128628.9499999993</v>
      </c>
      <c r="AI127" s="12"/>
      <c r="AJ127" s="12">
        <f t="shared" si="45"/>
        <v>17202203.969999999</v>
      </c>
      <c r="AK127" s="12"/>
      <c r="AL127" s="12">
        <f t="shared" si="40"/>
        <v>-10073575.02</v>
      </c>
      <c r="AM127" s="12"/>
      <c r="AN127" s="13">
        <f t="shared" si="41"/>
        <v>0.41440207094579634</v>
      </c>
      <c r="AO127" s="13"/>
      <c r="AP127" s="14">
        <f t="shared" si="42"/>
        <v>-0.58559792905420371</v>
      </c>
    </row>
    <row r="128" spans="1:42" s="9" customFormat="1" ht="24.95" customHeight="1" x14ac:dyDescent="0.2">
      <c r="A128" s="9" t="s">
        <v>548</v>
      </c>
      <c r="B128" s="12">
        <f>CNT!S149</f>
        <v>0</v>
      </c>
      <c r="C128" s="12"/>
      <c r="D128" s="12">
        <v>0</v>
      </c>
      <c r="E128" s="12"/>
      <c r="F128" s="12">
        <f>DEP!S60+DEP!S61+DEP!S62+DEP!S63+DEP!S64</f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f>'722 Bedford St'!E57+'722 Bedford St'!E58+'722 Bedford St'!E59+'722 Bedford St'!E60+'722 Bedford St'!E61+'722 Bedford St'!E62</f>
        <v>6126127.2300000004</v>
      </c>
      <c r="O128" s="12"/>
      <c r="P128" s="12">
        <f t="shared" si="43"/>
        <v>6126127.2300000004</v>
      </c>
      <c r="Q128" s="9" t="s">
        <v>548</v>
      </c>
      <c r="R128" s="54">
        <v>0</v>
      </c>
      <c r="S128" s="12"/>
      <c r="T128" s="54">
        <v>0</v>
      </c>
      <c r="U128" s="12"/>
      <c r="V128" s="54">
        <v>4996824.41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si="44"/>
        <v>4996824.41</v>
      </c>
      <c r="AG128" s="9" t="s">
        <v>548</v>
      </c>
      <c r="AH128" s="12">
        <f t="shared" si="39"/>
        <v>6126127.2300000004</v>
      </c>
      <c r="AI128" s="12"/>
      <c r="AJ128" s="12">
        <f>AF128</f>
        <v>4996824.41</v>
      </c>
      <c r="AK128" s="12"/>
      <c r="AL128" s="12">
        <f t="shared" si="40"/>
        <v>1129302.8200000003</v>
      </c>
      <c r="AM128" s="12"/>
      <c r="AN128" s="13">
        <v>0</v>
      </c>
      <c r="AO128" s="13"/>
      <c r="AP128" s="14">
        <f>AN128-1</f>
        <v>-1</v>
      </c>
    </row>
    <row r="129" spans="1:42" s="9" customFormat="1" ht="24.95" customHeight="1" x14ac:dyDescent="0.2">
      <c r="A129" s="9" t="s">
        <v>325</v>
      </c>
      <c r="B129" s="12">
        <f>CNT!S150</f>
        <v>0</v>
      </c>
      <c r="C129" s="12"/>
      <c r="D129" s="12">
        <v>0</v>
      </c>
      <c r="E129" s="12"/>
      <c r="F129" s="12">
        <v>0</v>
      </c>
      <c r="G129" s="12"/>
      <c r="H129" s="12">
        <v>0</v>
      </c>
      <c r="I129" s="12"/>
      <c r="J129" s="12">
        <v>0</v>
      </c>
      <c r="K129" s="12"/>
      <c r="L129" s="12">
        <v>0</v>
      </c>
      <c r="M129" s="12"/>
      <c r="N129" s="12">
        <v>0</v>
      </c>
      <c r="O129" s="12"/>
      <c r="P129" s="12">
        <f t="shared" si="43"/>
        <v>0</v>
      </c>
      <c r="Q129" s="9" t="s">
        <v>325</v>
      </c>
      <c r="R129" s="54">
        <v>0</v>
      </c>
      <c r="S129" s="12"/>
      <c r="T129" s="54">
        <v>0</v>
      </c>
      <c r="U129" s="12"/>
      <c r="V129" s="54">
        <v>0</v>
      </c>
      <c r="W129" s="12"/>
      <c r="X129" s="54">
        <v>0</v>
      </c>
      <c r="Y129" s="12"/>
      <c r="Z129" s="54">
        <v>0</v>
      </c>
      <c r="AA129" s="12"/>
      <c r="AB129" s="54">
        <v>0</v>
      </c>
      <c r="AC129" s="12"/>
      <c r="AD129" s="54">
        <v>0</v>
      </c>
      <c r="AE129" s="12"/>
      <c r="AF129" s="122">
        <f t="shared" si="44"/>
        <v>0</v>
      </c>
      <c r="AG129" s="9" t="s">
        <v>325</v>
      </c>
      <c r="AH129" s="12">
        <f t="shared" si="39"/>
        <v>0</v>
      </c>
      <c r="AI129" s="12"/>
      <c r="AJ129" s="12">
        <f t="shared" si="45"/>
        <v>0</v>
      </c>
      <c r="AK129" s="12"/>
      <c r="AL129" s="12">
        <f t="shared" si="40"/>
        <v>0</v>
      </c>
      <c r="AM129" s="12"/>
      <c r="AN129" s="13" t="e">
        <f t="shared" si="41"/>
        <v>#DIV/0!</v>
      </c>
      <c r="AO129" s="13"/>
      <c r="AP129" s="14" t="e">
        <f t="shared" si="42"/>
        <v>#DIV/0!</v>
      </c>
    </row>
    <row r="130" spans="1:42" s="9" customFormat="1" ht="24.95" customHeight="1" x14ac:dyDescent="0.2">
      <c r="A130" s="9" t="s">
        <v>326</v>
      </c>
      <c r="B130" s="12">
        <f>CNT!S154</f>
        <v>0</v>
      </c>
      <c r="C130" s="12"/>
      <c r="D130" s="12">
        <v>0</v>
      </c>
      <c r="E130" s="12"/>
      <c r="F130" s="12">
        <v>0</v>
      </c>
      <c r="G130" s="12"/>
      <c r="H130" s="12">
        <v>0</v>
      </c>
      <c r="I130" s="12"/>
      <c r="J130" s="12">
        <v>0</v>
      </c>
      <c r="K130" s="12"/>
      <c r="L130" s="12">
        <v>0</v>
      </c>
      <c r="M130" s="12"/>
      <c r="N130" s="12">
        <v>0</v>
      </c>
      <c r="O130" s="12"/>
      <c r="P130" s="12">
        <f t="shared" si="43"/>
        <v>0</v>
      </c>
      <c r="Q130" s="9" t="s">
        <v>326</v>
      </c>
      <c r="R130" s="54">
        <v>0</v>
      </c>
      <c r="S130" s="12"/>
      <c r="T130" s="54">
        <v>0</v>
      </c>
      <c r="U130" s="12"/>
      <c r="V130" s="54">
        <v>0</v>
      </c>
      <c r="W130" s="12"/>
      <c r="X130" s="54">
        <v>0</v>
      </c>
      <c r="Y130" s="12"/>
      <c r="Z130" s="54">
        <v>0</v>
      </c>
      <c r="AA130" s="12"/>
      <c r="AB130" s="54">
        <v>0</v>
      </c>
      <c r="AC130" s="12"/>
      <c r="AD130" s="54">
        <v>0</v>
      </c>
      <c r="AE130" s="12"/>
      <c r="AF130" s="122">
        <f t="shared" si="44"/>
        <v>0</v>
      </c>
      <c r="AG130" s="9" t="s">
        <v>326</v>
      </c>
      <c r="AH130" s="12">
        <f t="shared" si="39"/>
        <v>0</v>
      </c>
      <c r="AI130" s="12"/>
      <c r="AJ130" s="12">
        <f t="shared" si="45"/>
        <v>0</v>
      </c>
      <c r="AK130" s="12"/>
      <c r="AL130" s="12">
        <f t="shared" si="40"/>
        <v>0</v>
      </c>
      <c r="AM130" s="12"/>
      <c r="AN130" s="13" t="e">
        <f t="shared" si="41"/>
        <v>#DIV/0!</v>
      </c>
      <c r="AO130" s="13"/>
      <c r="AP130" s="14" t="e">
        <f t="shared" si="42"/>
        <v>#DIV/0!</v>
      </c>
    </row>
    <row r="131" spans="1:42" s="9" customFormat="1" ht="24.95" customHeight="1" x14ac:dyDescent="0.2">
      <c r="A131" s="9" t="s">
        <v>327</v>
      </c>
      <c r="B131" s="12">
        <v>0</v>
      </c>
      <c r="C131" s="12"/>
      <c r="D131" s="12">
        <f>BPM!S59</f>
        <v>0</v>
      </c>
      <c r="E131" s="12"/>
      <c r="F131" s="12">
        <v>0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v>0</v>
      </c>
      <c r="O131" s="12"/>
      <c r="P131" s="12">
        <f t="shared" si="43"/>
        <v>0</v>
      </c>
      <c r="Q131" s="9" t="s">
        <v>327</v>
      </c>
      <c r="R131" s="54">
        <v>0</v>
      </c>
      <c r="S131" s="12"/>
      <c r="T131" s="54">
        <v>-6560.6</v>
      </c>
      <c r="U131" s="12"/>
      <c r="V131" s="54">
        <v>0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-6560.6</v>
      </c>
      <c r="AG131" s="9" t="s">
        <v>327</v>
      </c>
      <c r="AH131" s="12">
        <f t="shared" si="39"/>
        <v>0</v>
      </c>
      <c r="AI131" s="12"/>
      <c r="AJ131" s="12">
        <f t="shared" si="45"/>
        <v>-6560.6</v>
      </c>
      <c r="AK131" s="12"/>
      <c r="AL131" s="12">
        <f t="shared" si="40"/>
        <v>6560.6</v>
      </c>
      <c r="AM131" s="12"/>
      <c r="AN131" s="13">
        <f t="shared" si="41"/>
        <v>0</v>
      </c>
      <c r="AO131" s="13"/>
      <c r="AP131" s="14">
        <f t="shared" si="42"/>
        <v>-1</v>
      </c>
    </row>
    <row r="132" spans="1:42" s="9" customFormat="1" ht="24.95" customHeight="1" x14ac:dyDescent="0.2">
      <c r="A132" s="9" t="s">
        <v>332</v>
      </c>
      <c r="B132" s="12">
        <v>0</v>
      </c>
      <c r="C132" s="12"/>
      <c r="D132" s="12">
        <f>BPM!S63</f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0</v>
      </c>
      <c r="Q132" s="9" t="s">
        <v>332</v>
      </c>
      <c r="R132" s="54">
        <v>0</v>
      </c>
      <c r="S132" s="12"/>
      <c r="T132" s="54">
        <v>-6560.6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-6560.6</v>
      </c>
      <c r="AG132" s="9" t="s">
        <v>332</v>
      </c>
      <c r="AH132" s="12">
        <f t="shared" si="39"/>
        <v>0</v>
      </c>
      <c r="AI132" s="12"/>
      <c r="AJ132" s="12">
        <f t="shared" si="45"/>
        <v>-6560.6</v>
      </c>
      <c r="AK132" s="12"/>
      <c r="AL132" s="12">
        <f t="shared" si="40"/>
        <v>6560.6</v>
      </c>
      <c r="AM132" s="12"/>
      <c r="AN132" s="13">
        <f t="shared" si="41"/>
        <v>0</v>
      </c>
      <c r="AO132" s="13"/>
      <c r="AP132" s="14">
        <f t="shared" si="42"/>
        <v>-1</v>
      </c>
    </row>
    <row r="133" spans="1:42" s="9" customFormat="1" ht="24.95" customHeight="1" x14ac:dyDescent="0.2">
      <c r="A133" s="9" t="s">
        <v>328</v>
      </c>
      <c r="B133" s="12">
        <f>CNT!S151</f>
        <v>-6000</v>
      </c>
      <c r="C133" s="12"/>
      <c r="D133" s="12">
        <f>BPM!S60</f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f>'Oliari Co'!F88</f>
        <v>0</v>
      </c>
      <c r="M133" s="12"/>
      <c r="N133" s="12">
        <v>0</v>
      </c>
      <c r="O133" s="12"/>
      <c r="P133" s="12">
        <f t="shared" si="43"/>
        <v>-6000</v>
      </c>
      <c r="Q133" s="9" t="s">
        <v>328</v>
      </c>
      <c r="R133" s="54">
        <v>-6000</v>
      </c>
      <c r="S133" s="12"/>
      <c r="T133" s="54">
        <v>-433000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-439000</v>
      </c>
      <c r="AG133" s="9" t="s">
        <v>328</v>
      </c>
      <c r="AH133" s="12">
        <f t="shared" si="39"/>
        <v>-6000</v>
      </c>
      <c r="AI133" s="12"/>
      <c r="AJ133" s="12">
        <f t="shared" si="45"/>
        <v>-439000</v>
      </c>
      <c r="AK133" s="12"/>
      <c r="AL133" s="12">
        <f t="shared" si="40"/>
        <v>433000</v>
      </c>
      <c r="AM133" s="12"/>
      <c r="AN133" s="13">
        <f t="shared" si="41"/>
        <v>1.366742596810934E-2</v>
      </c>
      <c r="AO133" s="13"/>
      <c r="AP133" s="14">
        <f t="shared" si="42"/>
        <v>-0.98633257403189067</v>
      </c>
    </row>
    <row r="134" spans="1:42" s="9" customFormat="1" ht="24.95" customHeight="1" x14ac:dyDescent="0.2">
      <c r="A134" s="9" t="s">
        <v>329</v>
      </c>
      <c r="B134" s="12">
        <f>CNT!S152</f>
        <v>-6000</v>
      </c>
      <c r="C134" s="12"/>
      <c r="D134" s="12">
        <f>BPM!S61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f>'Oliari Co'!F87</f>
        <v>0</v>
      </c>
      <c r="M134" s="12"/>
      <c r="N134" s="12">
        <v>0</v>
      </c>
      <c r="O134" s="12"/>
      <c r="P134" s="12">
        <f t="shared" si="43"/>
        <v>-6000</v>
      </c>
      <c r="Q134" s="9" t="s">
        <v>329</v>
      </c>
      <c r="R134" s="54">
        <v>-6000</v>
      </c>
      <c r="S134" s="12"/>
      <c r="T134" s="54">
        <v>-433000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-439000</v>
      </c>
      <c r="AG134" s="9" t="s">
        <v>329</v>
      </c>
      <c r="AH134" s="12">
        <f t="shared" si="39"/>
        <v>-6000</v>
      </c>
      <c r="AI134" s="12"/>
      <c r="AJ134" s="12">
        <f t="shared" si="45"/>
        <v>-439000</v>
      </c>
      <c r="AK134" s="12"/>
      <c r="AL134" s="12">
        <f t="shared" si="40"/>
        <v>433000</v>
      </c>
      <c r="AM134" s="12"/>
      <c r="AN134" s="13">
        <f t="shared" si="41"/>
        <v>1.366742596810934E-2</v>
      </c>
      <c r="AO134" s="13"/>
      <c r="AP134" s="14">
        <f t="shared" si="42"/>
        <v>-0.98633257403189067</v>
      </c>
    </row>
    <row r="135" spans="1:42" s="9" customFormat="1" ht="24.95" customHeight="1" x14ac:dyDescent="0.2">
      <c r="A135" s="9" t="s">
        <v>330</v>
      </c>
      <c r="B135" s="16">
        <f>CNT!S153</f>
        <v>-6000</v>
      </c>
      <c r="C135" s="16"/>
      <c r="D135" s="16">
        <f>BPM!S62</f>
        <v>0</v>
      </c>
      <c r="E135" s="16"/>
      <c r="F135" s="16">
        <v>0</v>
      </c>
      <c r="G135" s="16"/>
      <c r="H135" s="16">
        <v>0</v>
      </c>
      <c r="I135" s="16"/>
      <c r="J135" s="16">
        <v>0</v>
      </c>
      <c r="K135" s="16"/>
      <c r="L135" s="16">
        <f>'Oliari Co'!F89</f>
        <v>0</v>
      </c>
      <c r="M135" s="16"/>
      <c r="N135" s="16">
        <v>0</v>
      </c>
      <c r="O135" s="16"/>
      <c r="P135" s="16">
        <f t="shared" si="43"/>
        <v>-6000</v>
      </c>
      <c r="Q135" s="9" t="s">
        <v>330</v>
      </c>
      <c r="R135" s="55">
        <v>-6000</v>
      </c>
      <c r="S135" s="16"/>
      <c r="T135" s="55">
        <v>-433000</v>
      </c>
      <c r="U135" s="16"/>
      <c r="V135" s="55">
        <v>0</v>
      </c>
      <c r="W135" s="16"/>
      <c r="X135" s="55">
        <v>0</v>
      </c>
      <c r="Y135" s="16"/>
      <c r="Z135" s="55">
        <v>0</v>
      </c>
      <c r="AA135" s="16"/>
      <c r="AB135" s="55">
        <v>0</v>
      </c>
      <c r="AC135" s="16"/>
      <c r="AD135" s="55">
        <v>0</v>
      </c>
      <c r="AE135" s="16"/>
      <c r="AF135" s="16">
        <f t="shared" si="44"/>
        <v>-439000</v>
      </c>
      <c r="AG135" s="9" t="s">
        <v>330</v>
      </c>
      <c r="AH135" s="16">
        <f t="shared" si="39"/>
        <v>-6000</v>
      </c>
      <c r="AI135" s="16"/>
      <c r="AJ135" s="16">
        <f t="shared" si="45"/>
        <v>-439000</v>
      </c>
      <c r="AK135" s="16"/>
      <c r="AL135" s="16">
        <f t="shared" si="40"/>
        <v>433000</v>
      </c>
      <c r="AM135" s="12"/>
      <c r="AN135" s="13">
        <f t="shared" si="41"/>
        <v>1.366742596810934E-2</v>
      </c>
      <c r="AO135" s="13"/>
      <c r="AP135" s="14">
        <f t="shared" si="42"/>
        <v>-0.98633257403189067</v>
      </c>
    </row>
    <row r="136" spans="1:42" s="9" customFormat="1" ht="24.95" customHeight="1" x14ac:dyDescent="0.2">
      <c r="A136" s="27" t="s">
        <v>331</v>
      </c>
      <c r="B136" s="12">
        <f>SUM(B124:B135)</f>
        <v>22217260.669999998</v>
      </c>
      <c r="C136" s="12"/>
      <c r="D136" s="12">
        <f>SUM(D124:D135)</f>
        <v>390157.10000000003</v>
      </c>
      <c r="E136" s="12"/>
      <c r="F136" s="12">
        <f>SUM(F124:F135)</f>
        <v>379616.13</v>
      </c>
      <c r="G136" s="12"/>
      <c r="H136" s="12">
        <f>SUM(H124:H135)</f>
        <v>443218.31</v>
      </c>
      <c r="I136" s="12"/>
      <c r="J136" s="12">
        <f>SUM(J124:J135)</f>
        <v>-1174320.9300000002</v>
      </c>
      <c r="K136" s="12"/>
      <c r="L136" s="12">
        <f>SUM(L124:L135)</f>
        <v>5103718.4400000004</v>
      </c>
      <c r="M136" s="12"/>
      <c r="N136" s="12">
        <f>SUM(N124:N135)</f>
        <v>8375987.4100000001</v>
      </c>
      <c r="O136" s="12"/>
      <c r="P136" s="12">
        <f>SUM(P124:P135)</f>
        <v>35735637.129999995</v>
      </c>
      <c r="Q136" s="27" t="s">
        <v>331</v>
      </c>
      <c r="R136" s="54">
        <f>SUM(R124:R135)</f>
        <v>11221628.489999998</v>
      </c>
      <c r="S136" s="12"/>
      <c r="T136" s="54">
        <f>SUM(T124:T135)</f>
        <v>821791.71999999974</v>
      </c>
      <c r="U136" s="12"/>
      <c r="V136" s="54">
        <f>SUM(V124:V135)</f>
        <v>5450670.1600000001</v>
      </c>
      <c r="W136" s="12"/>
      <c r="X136" s="54">
        <f>SUM(X124:X135)</f>
        <v>404694.87</v>
      </c>
      <c r="Y136" s="12"/>
      <c r="Z136" s="54">
        <f>SUM(Z124:Z135)</f>
        <v>-1093704.77</v>
      </c>
      <c r="AA136" s="12"/>
      <c r="AB136" s="54">
        <f>SUM(AB124:AB135)</f>
        <v>4913513.17</v>
      </c>
      <c r="AC136" s="12"/>
      <c r="AD136" s="54">
        <f>SUM(AD124:AD135)</f>
        <v>1447294.6800000002</v>
      </c>
      <c r="AE136" s="12"/>
      <c r="AF136" s="12">
        <f>SUM(AF124:AF135)</f>
        <v>23165888.319999997</v>
      </c>
      <c r="AG136" s="27" t="s">
        <v>331</v>
      </c>
      <c r="AH136" s="22">
        <f>SUM(AH124:AH135)</f>
        <v>35735637.129999995</v>
      </c>
      <c r="AI136" s="22"/>
      <c r="AJ136" s="22">
        <f>SUM(AJ124:AJ135)</f>
        <v>23165888.319999997</v>
      </c>
      <c r="AK136" s="22"/>
      <c r="AL136" s="22">
        <f>SUM(AL124:AL135)</f>
        <v>12569748.809999999</v>
      </c>
      <c r="AM136" s="22"/>
      <c r="AN136" s="13">
        <f t="shared" si="41"/>
        <v>1.5425973153443917</v>
      </c>
      <c r="AO136" s="13"/>
      <c r="AP136" s="14">
        <f t="shared" si="42"/>
        <v>0.54259731534439171</v>
      </c>
    </row>
    <row r="137" spans="1:42" s="9" customFormat="1" ht="24.95" customHeight="1" x14ac:dyDescent="0.2">
      <c r="B137" s="12"/>
      <c r="C137" s="12"/>
      <c r="D137" s="12"/>
      <c r="E137" s="12"/>
      <c r="F137" s="12"/>
      <c r="G137" s="12"/>
      <c r="P137" s="10"/>
      <c r="R137" s="65"/>
      <c r="T137" s="65"/>
      <c r="V137" s="65"/>
      <c r="X137" s="65"/>
      <c r="Z137" s="65"/>
      <c r="AB137" s="65"/>
      <c r="AD137" s="65"/>
      <c r="AF137" s="10"/>
      <c r="AN137" s="13"/>
      <c r="AO137" s="13"/>
      <c r="AP137" s="19"/>
    </row>
    <row r="138" spans="1:42" s="9" customFormat="1" ht="24.95" customHeight="1" thickBot="1" x14ac:dyDescent="0.25">
      <c r="A138" s="8" t="s">
        <v>333</v>
      </c>
      <c r="B138" s="23">
        <f>SUM(B136,B119,B110)</f>
        <v>66909954.99000001</v>
      </c>
      <c r="C138" s="23"/>
      <c r="D138" s="23">
        <f>SUM(D136,D119,D110)</f>
        <v>396237.9</v>
      </c>
      <c r="E138" s="23"/>
      <c r="F138" s="23">
        <f>SUM(F136,F119,F110)</f>
        <v>380700.08</v>
      </c>
      <c r="G138" s="23"/>
      <c r="H138" s="23">
        <f>SUM(H136,H119,H110)</f>
        <v>900062.97</v>
      </c>
      <c r="I138" s="23"/>
      <c r="J138" s="23">
        <f>SUM(J136,J119,J110)</f>
        <v>2029473.14</v>
      </c>
      <c r="K138" s="23"/>
      <c r="L138" s="23">
        <f>SUM(L136,L119,L110)</f>
        <v>5461948.7600000007</v>
      </c>
      <c r="M138" s="23"/>
      <c r="N138" s="23">
        <f>SUM(N136,N119,N110)</f>
        <v>8684926.1799999997</v>
      </c>
      <c r="O138" s="23"/>
      <c r="P138" s="23">
        <f>SUM(P136,P119,P110)</f>
        <v>84763304.019999981</v>
      </c>
      <c r="Q138" s="8" t="s">
        <v>333</v>
      </c>
      <c r="R138" s="57">
        <f>SUM(R136,R119,R110)</f>
        <v>46826436.86999999</v>
      </c>
      <c r="S138" s="23"/>
      <c r="T138" s="57">
        <f>SUM(T136,T119,T110)</f>
        <v>1122875.1699999997</v>
      </c>
      <c r="U138" s="23"/>
      <c r="V138" s="57">
        <f>SUM(V136,V119,V110)</f>
        <v>6096587.6500000004</v>
      </c>
      <c r="W138" s="23"/>
      <c r="X138" s="57">
        <f>SUM(X136,X119,X110)</f>
        <v>698411.26</v>
      </c>
      <c r="Y138" s="24"/>
      <c r="Z138" s="66">
        <f>SUM(Z136,Z119,Z110)</f>
        <v>2140217.2400000002</v>
      </c>
      <c r="AA138" s="24"/>
      <c r="AB138" s="66">
        <f>SUM(AB136,AB119,AB110)</f>
        <v>5257992.33</v>
      </c>
      <c r="AC138" s="24"/>
      <c r="AD138" s="66">
        <f>SUM(AD136,AD119,AD110)</f>
        <v>8198362.7999999998</v>
      </c>
      <c r="AE138" s="24"/>
      <c r="AF138" s="23">
        <f>SUM(AF136,AF119,AF110)</f>
        <v>70340883.319999993</v>
      </c>
      <c r="AG138" s="8" t="s">
        <v>333</v>
      </c>
      <c r="AH138" s="23">
        <f>SUM(AH136,AH119,AH110)</f>
        <v>84763304.019999981</v>
      </c>
      <c r="AI138" s="23"/>
      <c r="AJ138" s="23">
        <f>SUM(AJ136,AJ119,AJ110)</f>
        <v>70340883.319999993</v>
      </c>
      <c r="AK138" s="23"/>
      <c r="AL138" s="23">
        <f>SUM(AL136,AL119,AL110)</f>
        <v>14422420.699999999</v>
      </c>
      <c r="AM138" s="25"/>
      <c r="AN138" s="13">
        <f t="shared" si="41"/>
        <v>1.2050361044570401</v>
      </c>
      <c r="AO138" s="13"/>
      <c r="AP138" s="14">
        <f t="shared" si="42"/>
        <v>0.20503610445704012</v>
      </c>
    </row>
    <row r="139" spans="1:42" ht="15.75" thickTop="1" x14ac:dyDescent="0.2">
      <c r="B139" s="3">
        <f>B138-B66</f>
        <v>0</v>
      </c>
      <c r="C139" s="3"/>
      <c r="D139" s="3">
        <f>D138-D66</f>
        <v>0</v>
      </c>
      <c r="E139" s="3"/>
      <c r="F139" s="3">
        <f>F138-F66</f>
        <v>0</v>
      </c>
      <c r="G139" s="3"/>
      <c r="H139" s="3">
        <f>H138-H66</f>
        <v>0</v>
      </c>
      <c r="I139" s="3"/>
      <c r="J139" s="3">
        <f>J138-J66</f>
        <v>0</v>
      </c>
      <c r="K139" s="3"/>
      <c r="L139" s="3">
        <f>L138-L66</f>
        <v>0</v>
      </c>
      <c r="M139" s="3"/>
      <c r="N139" s="3">
        <f>N138-N66</f>
        <v>0</v>
      </c>
      <c r="O139" s="3"/>
      <c r="P139" s="3">
        <f>P138-P66</f>
        <v>0</v>
      </c>
      <c r="R139" s="58">
        <f>R66-R138</f>
        <v>0</v>
      </c>
      <c r="S139" s="3"/>
      <c r="T139" s="58">
        <f>T138-T66</f>
        <v>0</v>
      </c>
      <c r="U139" s="3"/>
      <c r="V139" s="58">
        <f>V138-V66</f>
        <v>0</v>
      </c>
      <c r="W139" s="3"/>
      <c r="X139" s="58">
        <f>X138-X66</f>
        <v>0</v>
      </c>
      <c r="Y139" s="3"/>
      <c r="Z139" s="58">
        <f>Z138-Z66</f>
        <v>0</v>
      </c>
      <c r="AA139" s="3"/>
      <c r="AB139" s="58">
        <f>AB138-AB66</f>
        <v>0</v>
      </c>
      <c r="AC139" s="3"/>
      <c r="AD139" s="58">
        <f>AD138-AD66</f>
        <v>0</v>
      </c>
      <c r="AE139" s="3"/>
      <c r="AF139" s="3">
        <f>AF138-AF66</f>
        <v>0</v>
      </c>
      <c r="AG139" s="3"/>
      <c r="AH139" s="3">
        <f>AH138-AH66</f>
        <v>0</v>
      </c>
      <c r="AI139" s="3"/>
      <c r="AJ139" s="3">
        <f>AJ138-AJ66</f>
        <v>10344.389999970794</v>
      </c>
      <c r="AK139" s="3"/>
      <c r="AL139" s="3">
        <f>AL138-AL66</f>
        <v>-10344.389999970794</v>
      </c>
      <c r="AM139" s="3"/>
      <c r="AN139" s="4">
        <f>AN138-AN66</f>
        <v>-1.7723969726679556E-4</v>
      </c>
      <c r="AO139" s="3"/>
      <c r="AP139" s="3">
        <f>AP138-AP66</f>
        <v>-1.7723969726679556E-4</v>
      </c>
    </row>
    <row r="140" spans="1:42" x14ac:dyDescent="0.2">
      <c r="B140" s="3">
        <f>B138-CNT!U157</f>
        <v>0</v>
      </c>
      <c r="C140" s="3"/>
      <c r="D140" s="3">
        <f>D138-BPM!U69</f>
        <v>0</v>
      </c>
      <c r="E140" s="3"/>
      <c r="F140" s="3">
        <f>F138-DEP!U67</f>
        <v>0</v>
      </c>
      <c r="G140" s="3"/>
      <c r="H140" s="38">
        <f>H138-Lending!F45</f>
        <v>0</v>
      </c>
      <c r="J140" s="38">
        <f>J138-BSC!F78</f>
        <v>0</v>
      </c>
      <c r="L140" s="38">
        <f>L138-'Oliari Co'!F93</f>
        <v>0</v>
      </c>
      <c r="N140" s="38">
        <f>N138-'722 Bedford St'!E70</f>
        <v>0</v>
      </c>
      <c r="P140" s="7">
        <f>P138-SUM(B138:N138)</f>
        <v>0</v>
      </c>
    </row>
    <row r="141" spans="1:42" x14ac:dyDescent="0.2">
      <c r="R141" s="58"/>
      <c r="S141" s="3"/>
      <c r="T141" s="58"/>
      <c r="U141" s="3"/>
      <c r="V141" s="58"/>
      <c r="W141" s="3"/>
      <c r="X141" s="58"/>
      <c r="Y141" s="3"/>
      <c r="Z141" s="58"/>
      <c r="AA141" s="3"/>
      <c r="AB141" s="58"/>
      <c r="AC141" s="3"/>
      <c r="AD141" s="58"/>
    </row>
    <row r="142" spans="1:42" x14ac:dyDescent="0.2">
      <c r="R142" s="58"/>
      <c r="T142" s="58"/>
      <c r="V142" s="58"/>
      <c r="X142" s="58"/>
      <c r="Z142" s="58"/>
      <c r="AB142" s="58"/>
      <c r="AD142" s="58"/>
    </row>
    <row r="143" spans="1:42" x14ac:dyDescent="0.2">
      <c r="A143" s="50" t="s">
        <v>533</v>
      </c>
    </row>
    <row r="144" spans="1:42" x14ac:dyDescent="0.2">
      <c r="A144" s="50"/>
    </row>
    <row r="145" spans="1:17" x14ac:dyDescent="0.2">
      <c r="A145" s="50"/>
      <c r="F145" s="38"/>
      <c r="H145" s="38"/>
    </row>
    <row r="146" spans="1:17" x14ac:dyDescent="0.2">
      <c r="A146" s="2" t="s">
        <v>534</v>
      </c>
      <c r="B146" s="38">
        <f t="shared" ref="B146:N146" si="46">B11</f>
        <v>647525.96</v>
      </c>
      <c r="C146" s="38">
        <f t="shared" si="46"/>
        <v>0</v>
      </c>
      <c r="D146" s="38">
        <f t="shared" si="46"/>
        <v>0</v>
      </c>
      <c r="E146" s="38">
        <f t="shared" si="46"/>
        <v>0</v>
      </c>
      <c r="F146" s="38">
        <f t="shared" si="46"/>
        <v>0</v>
      </c>
      <c r="G146" s="38">
        <f t="shared" si="46"/>
        <v>0</v>
      </c>
      <c r="H146" s="38">
        <f t="shared" si="46"/>
        <v>0</v>
      </c>
      <c r="I146" s="38">
        <f t="shared" si="46"/>
        <v>0</v>
      </c>
      <c r="J146" s="38">
        <f t="shared" si="46"/>
        <v>200000</v>
      </c>
      <c r="K146" s="38">
        <f t="shared" si="46"/>
        <v>0</v>
      </c>
      <c r="L146" s="38">
        <f t="shared" si="46"/>
        <v>1652601.93</v>
      </c>
      <c r="M146" s="38">
        <f t="shared" si="46"/>
        <v>0</v>
      </c>
      <c r="N146" s="38">
        <f t="shared" si="46"/>
        <v>784437.5</v>
      </c>
      <c r="P146" s="7">
        <f>SUM(B146:N146)</f>
        <v>3284565.3899999997</v>
      </c>
    </row>
    <row r="147" spans="1:17" x14ac:dyDescent="0.2">
      <c r="A147" s="2" t="s">
        <v>535</v>
      </c>
      <c r="B147" s="38">
        <f>B103+B102</f>
        <v>8177429.1699999999</v>
      </c>
      <c r="C147" s="38">
        <f t="shared" ref="C147:M147" si="47">C103+C102</f>
        <v>0</v>
      </c>
      <c r="D147" s="38">
        <f>D103+D102</f>
        <v>6057.83</v>
      </c>
      <c r="E147" s="38">
        <f t="shared" si="47"/>
        <v>0</v>
      </c>
      <c r="F147" s="38">
        <f>F103+F102</f>
        <v>1877.5</v>
      </c>
      <c r="G147" s="38">
        <f t="shared" si="47"/>
        <v>0</v>
      </c>
      <c r="H147" s="38">
        <f>H103+H102</f>
        <v>432117.62</v>
      </c>
      <c r="I147" s="38">
        <f t="shared" si="47"/>
        <v>0</v>
      </c>
      <c r="J147" s="38">
        <f>J103+J102+J78</f>
        <v>1117980.24</v>
      </c>
      <c r="K147" s="38">
        <f t="shared" si="47"/>
        <v>0</v>
      </c>
      <c r="L147" s="38">
        <f>L103+L102</f>
        <v>0</v>
      </c>
      <c r="M147" s="38">
        <f t="shared" si="47"/>
        <v>0</v>
      </c>
      <c r="N147" s="38">
        <f>N103+N102</f>
        <v>307272.12</v>
      </c>
      <c r="P147" s="7">
        <f>SUM(B147:N147)</f>
        <v>10042734.479999999</v>
      </c>
    </row>
    <row r="148" spans="1:17" x14ac:dyDescent="0.2">
      <c r="A148" s="2" t="s">
        <v>536</v>
      </c>
      <c r="H148" s="38"/>
      <c r="P148" s="68">
        <f>P146-P147</f>
        <v>-6758169.0899999989</v>
      </c>
    </row>
    <row r="149" spans="1:17" x14ac:dyDescent="0.2">
      <c r="Q149" s="62"/>
    </row>
    <row r="150" spans="1:17" x14ac:dyDescent="0.2">
      <c r="A150" s="2" t="s">
        <v>538</v>
      </c>
      <c r="B150" s="3">
        <v>-9046717.2699999996</v>
      </c>
      <c r="D150" s="3">
        <v>-17763.09</v>
      </c>
      <c r="F150" s="3">
        <v>-797776.31</v>
      </c>
      <c r="H150" s="3">
        <v>0</v>
      </c>
      <c r="J150" s="3">
        <v>-2545935.86</v>
      </c>
      <c r="L150" s="3">
        <v>-1557487.12</v>
      </c>
      <c r="N150" s="3">
        <v>-1265921.3999999999</v>
      </c>
      <c r="Q150" s="51"/>
    </row>
    <row r="151" spans="1:17" x14ac:dyDescent="0.2">
      <c r="A151" s="2" t="s">
        <v>539</v>
      </c>
      <c r="B151" s="63">
        <f>B61</f>
        <v>-9546392.1899999995</v>
      </c>
      <c r="C151" s="48"/>
      <c r="D151" s="63">
        <f>D61</f>
        <v>-19436.25</v>
      </c>
      <c r="E151" s="48"/>
      <c r="F151" s="63">
        <f>F61</f>
        <v>-19854.54</v>
      </c>
      <c r="G151" s="48"/>
      <c r="H151" s="63">
        <f>H61</f>
        <v>0</v>
      </c>
      <c r="I151" s="48"/>
      <c r="J151" s="63">
        <f>J61</f>
        <v>-2587991.92</v>
      </c>
      <c r="K151" s="48"/>
      <c r="L151" s="63">
        <f>L61</f>
        <v>-1603257.42</v>
      </c>
      <c r="M151" s="48"/>
      <c r="N151" s="63">
        <f>N61</f>
        <v>-1338653.5</v>
      </c>
      <c r="O151" s="48"/>
      <c r="P151" s="49">
        <f>SUM(B151:N151)</f>
        <v>-15115585.819999998</v>
      </c>
    </row>
    <row r="152" spans="1:17" x14ac:dyDescent="0.2">
      <c r="A152" s="2" t="s">
        <v>540</v>
      </c>
      <c r="B152" s="38">
        <f>B150-B151</f>
        <v>499674.91999999993</v>
      </c>
      <c r="D152" s="38">
        <f>D150-D151</f>
        <v>1673.1599999999999</v>
      </c>
      <c r="F152" s="38">
        <f>F150-F151</f>
        <v>-777921.77</v>
      </c>
      <c r="H152" s="38">
        <f>H150-H151</f>
        <v>0</v>
      </c>
      <c r="J152" s="38">
        <f>J150-J151</f>
        <v>42056.060000000056</v>
      </c>
      <c r="L152" s="38">
        <f>L150-L151</f>
        <v>45770.299999999814</v>
      </c>
      <c r="N152" s="38">
        <f>N150-N151</f>
        <v>72732.100000000093</v>
      </c>
    </row>
    <row r="153" spans="1:17" x14ac:dyDescent="0.2">
      <c r="B153" s="38"/>
      <c r="D153" s="38"/>
      <c r="F153" s="38"/>
      <c r="H153" s="38"/>
      <c r="J153" s="38"/>
      <c r="L153" s="38"/>
      <c r="N153" s="38"/>
    </row>
    <row r="154" spans="1:17" x14ac:dyDescent="0.2">
      <c r="A154" s="2" t="s">
        <v>537</v>
      </c>
      <c r="B154" s="38">
        <f>'[2]Comp YTD 2020-2019 '!$B$65</f>
        <v>319429.12</v>
      </c>
      <c r="D154" s="38">
        <f>'[2]Comp YTD 2020-2019 '!$C$65</f>
        <v>1254.8700000000001</v>
      </c>
      <c r="F154" s="38">
        <f>'[2]Comp YTD 2020-2019 '!$D$65</f>
        <v>40113.81</v>
      </c>
      <c r="H154" s="38">
        <f>'[2]Comp YTD 2020-2019 '!$E$65</f>
        <v>0</v>
      </c>
      <c r="J154" s="38">
        <f>'[2]Comp YTD 2020-2019 '!$F$65</f>
        <v>25242.090000000004</v>
      </c>
      <c r="L154" s="38">
        <f>'[2]Comp YTD 2020-2019 '!$G$65</f>
        <v>27755.820000000003</v>
      </c>
      <c r="N154" s="38">
        <f>'[2]Comp YTD 2020-2019 '!$H$65</f>
        <v>43639.26</v>
      </c>
      <c r="P154" s="7">
        <f>SUM(B154:N154)</f>
        <v>457434.97000000003</v>
      </c>
    </row>
    <row r="155" spans="1:17" x14ac:dyDescent="0.2">
      <c r="A155" s="2" t="s">
        <v>536</v>
      </c>
      <c r="B155" s="71">
        <f>B152-B154</f>
        <v>180245.79999999993</v>
      </c>
      <c r="C155" s="70"/>
      <c r="D155" s="71">
        <f>D152-D154</f>
        <v>418.28999999999974</v>
      </c>
      <c r="E155" s="70"/>
      <c r="F155" s="71">
        <f>F152-F154</f>
        <v>-818035.58000000007</v>
      </c>
      <c r="G155" s="70"/>
      <c r="H155" s="71">
        <f>H152-H154</f>
        <v>0</v>
      </c>
      <c r="I155" s="70"/>
      <c r="J155" s="71">
        <f>J152-J154</f>
        <v>16813.970000000052</v>
      </c>
      <c r="K155" s="70"/>
      <c r="L155" s="71">
        <f>L152-L154</f>
        <v>18014.47999999981</v>
      </c>
      <c r="M155" s="70"/>
      <c r="N155" s="71">
        <f>N152-N154</f>
        <v>29092.840000000091</v>
      </c>
    </row>
    <row r="157" spans="1:17" x14ac:dyDescent="0.2">
      <c r="A157" s="2" t="s">
        <v>558</v>
      </c>
      <c r="B157" s="69">
        <f>B126-'[2]Comp YTD 2020-2019 '!$B$175</f>
        <v>15687083.100000495</v>
      </c>
      <c r="C157" s="70" t="s">
        <v>536</v>
      </c>
      <c r="D157" s="69">
        <f>D126-'[2]Comp YTD 2020-2019 '!$C$175</f>
        <v>-3801.1399999993409</v>
      </c>
      <c r="E157" s="70"/>
      <c r="F157" s="69">
        <f>F126-'[2]Comp YTD 2020-2019 '!$D$175</f>
        <v>-835018.02000000014</v>
      </c>
      <c r="G157" s="70"/>
      <c r="H157" s="69">
        <f>H126-'[2]Comp YTD 2020-2019 '!$E$175</f>
        <v>5864.0199999999986</v>
      </c>
      <c r="I157" s="70"/>
      <c r="J157" s="69">
        <f>J126-'[2]Comp YTD 2020-2019 '!$F$175</f>
        <v>-57613.119999999995</v>
      </c>
      <c r="K157" s="70"/>
      <c r="L157" s="69">
        <f>L126-'[2]Comp YTD 2020-2019 '!$G$175</f>
        <v>23590.520000000004</v>
      </c>
      <c r="M157" s="70"/>
      <c r="N157" s="69">
        <f>N126-'[2]Comp YTD 2020-2019 '!$H$175</f>
        <v>39053</v>
      </c>
      <c r="O157" s="70"/>
      <c r="P157" s="68">
        <v>0</v>
      </c>
      <c r="Q157" s="2" t="s">
        <v>536</v>
      </c>
    </row>
    <row r="158" spans="1:17" x14ac:dyDescent="0.2">
      <c r="B158" s="38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3" max="16383" man="1"/>
    <brk id="66" max="33" man="1"/>
    <brk id="110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63"/>
  <sheetViews>
    <sheetView showGridLines="0" topLeftCell="A122" workbookViewId="0">
      <selection activeCell="S148" sqref="S14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2.8554687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5" ht="12" customHeight="1" x14ac:dyDescent="0.2"/>
    <row r="3" spans="1:25" ht="12" customHeight="1" x14ac:dyDescent="0.2">
      <c r="A3" s="158" t="s">
        <v>737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1:25" ht="12" customHeight="1" x14ac:dyDescent="0.2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1:25" ht="12" customHeight="1" x14ac:dyDescent="0.2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25" ht="12" customHeight="1" x14ac:dyDescent="0.2"/>
    <row r="7" spans="1:25" ht="12" customHeight="1" x14ac:dyDescent="0.2">
      <c r="B7" s="157" t="s">
        <v>3</v>
      </c>
      <c r="C7" s="157"/>
      <c r="D7" s="157"/>
      <c r="E7" s="157"/>
      <c r="F7" s="157"/>
      <c r="G7" s="157"/>
      <c r="H7" s="157"/>
      <c r="I7" s="157"/>
      <c r="J7" s="157"/>
      <c r="K7" s="157"/>
    </row>
    <row r="8" spans="1:25" ht="12" customHeight="1" x14ac:dyDescent="0.2"/>
    <row r="9" spans="1:25" ht="12" customHeight="1" x14ac:dyDescent="0.2">
      <c r="C9" s="156">
        <v>1120</v>
      </c>
      <c r="D9" s="156"/>
      <c r="E9" s="156"/>
      <c r="F9" s="156"/>
      <c r="H9" s="76" t="s">
        <v>217</v>
      </c>
      <c r="S9" s="148"/>
    </row>
    <row r="10" spans="1:25" ht="12" customHeight="1" x14ac:dyDescent="0.2">
      <c r="C10" s="156" t="s">
        <v>4</v>
      </c>
      <c r="D10" s="156"/>
      <c r="E10" s="156"/>
      <c r="F10" s="156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8">
        <v>500</v>
      </c>
    </row>
    <row r="11" spans="1:25" ht="12" customHeight="1" x14ac:dyDescent="0.2">
      <c r="C11" s="156" t="s">
        <v>6</v>
      </c>
      <c r="D11" s="156"/>
      <c r="E11" s="156"/>
      <c r="F11" s="156"/>
      <c r="H11" s="76" t="s">
        <v>7</v>
      </c>
      <c r="I11" s="76"/>
      <c r="J11" s="76"/>
      <c r="K11" s="76"/>
      <c r="L11" s="76"/>
      <c r="M11" s="76"/>
      <c r="N11" s="76"/>
      <c r="O11" s="76"/>
      <c r="P11" s="76"/>
      <c r="Q11" s="76"/>
      <c r="S11" s="148">
        <v>-54138.64</v>
      </c>
    </row>
    <row r="12" spans="1:25" ht="12" customHeight="1" x14ac:dyDescent="0.2">
      <c r="C12" s="156" t="s">
        <v>8</v>
      </c>
      <c r="D12" s="156"/>
      <c r="E12" s="156"/>
      <c r="F12" s="156"/>
      <c r="H12" s="76" t="s">
        <v>9</v>
      </c>
      <c r="I12" s="76"/>
      <c r="J12" s="76"/>
      <c r="K12" s="76"/>
      <c r="L12" s="76"/>
      <c r="M12" s="76"/>
      <c r="N12" s="76"/>
      <c r="O12" s="76"/>
      <c r="P12" s="76"/>
      <c r="Q12" s="76"/>
      <c r="S12" s="148">
        <v>28889985.670000002</v>
      </c>
    </row>
    <row r="13" spans="1:25" ht="12" hidden="1" customHeight="1" x14ac:dyDescent="0.2">
      <c r="C13" s="156" t="s">
        <v>10</v>
      </c>
      <c r="D13" s="156"/>
      <c r="E13" s="156"/>
      <c r="F13" s="156"/>
      <c r="H13" s="76" t="s">
        <v>11</v>
      </c>
      <c r="I13" s="76"/>
      <c r="J13" s="76"/>
      <c r="K13" s="76"/>
      <c r="L13" s="76"/>
      <c r="M13" s="76"/>
      <c r="N13" s="76"/>
      <c r="O13" s="76"/>
      <c r="P13" s="76"/>
      <c r="Q13" s="76"/>
      <c r="S13" s="148"/>
      <c r="Y13" s="76"/>
    </row>
    <row r="14" spans="1:25" ht="12" customHeight="1" x14ac:dyDescent="0.2">
      <c r="C14" s="156" t="s">
        <v>12</v>
      </c>
      <c r="D14" s="156"/>
      <c r="E14" s="156"/>
      <c r="F14" s="156"/>
      <c r="H14" s="76" t="s">
        <v>13</v>
      </c>
      <c r="I14" s="76"/>
      <c r="J14" s="76"/>
      <c r="K14" s="76"/>
      <c r="L14" s="76"/>
      <c r="M14" s="76"/>
      <c r="N14" s="76"/>
      <c r="O14" s="76"/>
      <c r="P14" s="76"/>
      <c r="Q14" s="76"/>
      <c r="S14" s="148">
        <v>200632.08</v>
      </c>
    </row>
    <row r="15" spans="1:25" ht="12" customHeight="1" x14ac:dyDescent="0.2">
      <c r="C15" s="156" t="s">
        <v>14</v>
      </c>
      <c r="D15" s="156"/>
      <c r="E15" s="156"/>
      <c r="F15" s="156"/>
      <c r="H15" s="76" t="s">
        <v>15</v>
      </c>
      <c r="I15" s="76"/>
      <c r="J15" s="76"/>
      <c r="K15" s="76"/>
      <c r="L15" s="76"/>
      <c r="M15" s="76"/>
      <c r="N15" s="76"/>
      <c r="O15" s="76"/>
      <c r="P15" s="76"/>
      <c r="Q15" s="76"/>
      <c r="S15" s="148">
        <v>2247636.6800000002</v>
      </c>
    </row>
    <row r="16" spans="1:25" ht="12" customHeight="1" x14ac:dyDescent="0.2">
      <c r="C16" s="156" t="s">
        <v>16</v>
      </c>
      <c r="D16" s="156"/>
      <c r="E16" s="156"/>
      <c r="F16" s="156"/>
      <c r="H16" s="76" t="s">
        <v>17</v>
      </c>
      <c r="I16" s="76"/>
      <c r="J16" s="76"/>
      <c r="K16" s="76"/>
      <c r="L16" s="76"/>
      <c r="M16" s="76"/>
      <c r="N16" s="76"/>
      <c r="O16" s="76"/>
      <c r="P16" s="76"/>
      <c r="Q16" s="76"/>
      <c r="S16" s="148">
        <v>56135096.590000004</v>
      </c>
    </row>
    <row r="17" spans="3:34" ht="12" customHeight="1" x14ac:dyDescent="0.2">
      <c r="C17" s="156">
        <v>1220</v>
      </c>
      <c r="D17" s="156"/>
      <c r="E17" s="156"/>
      <c r="F17" s="156"/>
      <c r="H17" s="76" t="s">
        <v>585</v>
      </c>
      <c r="I17" s="76"/>
      <c r="J17" s="76"/>
      <c r="K17" s="76"/>
      <c r="L17" s="76"/>
      <c r="M17" s="76"/>
      <c r="N17" s="76"/>
      <c r="O17" s="76"/>
      <c r="P17" s="76"/>
      <c r="Q17" s="76"/>
      <c r="S17" s="148">
        <v>4479.93</v>
      </c>
    </row>
    <row r="18" spans="3:34" ht="12" customHeight="1" x14ac:dyDescent="0.2">
      <c r="C18" s="156" t="s">
        <v>18</v>
      </c>
      <c r="D18" s="156"/>
      <c r="E18" s="156"/>
      <c r="F18" s="156"/>
      <c r="H18" s="76" t="s">
        <v>19</v>
      </c>
      <c r="I18" s="76"/>
      <c r="J18" s="76"/>
      <c r="K18" s="76"/>
      <c r="L18" s="76"/>
      <c r="M18" s="76"/>
      <c r="N18" s="76"/>
      <c r="O18" s="76"/>
      <c r="P18" s="76"/>
      <c r="Q18" s="76"/>
      <c r="S18" s="148">
        <v>65587662.109999999</v>
      </c>
      <c r="AG18" s="76"/>
    </row>
    <row r="19" spans="3:34" ht="12" customHeight="1" x14ac:dyDescent="0.2">
      <c r="C19" s="156" t="s">
        <v>20</v>
      </c>
      <c r="D19" s="156"/>
      <c r="E19" s="156"/>
      <c r="F19" s="156"/>
      <c r="H19" s="76" t="s">
        <v>21</v>
      </c>
      <c r="I19" s="76"/>
      <c r="J19" s="76"/>
      <c r="K19" s="76"/>
      <c r="L19" s="76"/>
      <c r="M19" s="76"/>
      <c r="N19" s="76"/>
      <c r="O19" s="76"/>
      <c r="P19" s="76"/>
      <c r="Q19" s="76"/>
      <c r="S19" s="148">
        <v>130004967.23999999</v>
      </c>
    </row>
    <row r="20" spans="3:34" ht="12" customHeight="1" x14ac:dyDescent="0.2">
      <c r="C20" s="156" t="s">
        <v>22</v>
      </c>
      <c r="D20" s="156"/>
      <c r="E20" s="156"/>
      <c r="F20" s="156"/>
      <c r="H20" s="76" t="s">
        <v>23</v>
      </c>
      <c r="I20" s="76"/>
      <c r="J20" s="76"/>
      <c r="K20" s="76"/>
      <c r="L20" s="76"/>
      <c r="M20" s="76"/>
      <c r="N20" s="76"/>
      <c r="O20" s="76"/>
      <c r="P20" s="76"/>
      <c r="Q20" s="76"/>
      <c r="S20" s="148">
        <v>-1364434.48</v>
      </c>
    </row>
    <row r="21" spans="3:34" ht="12" customHeight="1" x14ac:dyDescent="0.2">
      <c r="C21" s="156" t="s">
        <v>24</v>
      </c>
      <c r="D21" s="156"/>
      <c r="E21" s="156"/>
      <c r="F21" s="156"/>
      <c r="H21" s="76" t="s">
        <v>25</v>
      </c>
      <c r="I21" s="76"/>
      <c r="J21" s="76"/>
      <c r="K21" s="76"/>
      <c r="L21" s="76"/>
      <c r="M21" s="76"/>
      <c r="N21" s="76"/>
      <c r="O21" s="76"/>
      <c r="P21" s="76"/>
      <c r="Q21" s="76"/>
      <c r="S21" s="148">
        <v>595454.85</v>
      </c>
      <c r="AH21" s="76"/>
    </row>
    <row r="22" spans="3:34" ht="12" customHeight="1" x14ac:dyDescent="0.2">
      <c r="C22" s="156" t="s">
        <v>26</v>
      </c>
      <c r="D22" s="156"/>
      <c r="E22" s="156"/>
      <c r="F22" s="156"/>
      <c r="H22" s="76" t="s">
        <v>27</v>
      </c>
      <c r="I22" s="76"/>
      <c r="J22" s="76"/>
      <c r="K22" s="76"/>
      <c r="L22" s="76"/>
      <c r="M22" s="76"/>
      <c r="N22" s="76"/>
      <c r="O22" s="76"/>
      <c r="P22" s="76"/>
      <c r="Q22" s="76"/>
      <c r="S22" s="148">
        <v>-421</v>
      </c>
      <c r="AH22" s="76"/>
    </row>
    <row r="23" spans="3:34" ht="12" customHeight="1" x14ac:dyDescent="0.2">
      <c r="C23" s="156" t="s">
        <v>28</v>
      </c>
      <c r="D23" s="156"/>
      <c r="E23" s="156"/>
      <c r="F23" s="156"/>
      <c r="H23" s="76" t="s">
        <v>29</v>
      </c>
      <c r="I23" s="76"/>
      <c r="J23" s="76"/>
      <c r="K23" s="76"/>
      <c r="L23" s="76"/>
      <c r="M23" s="76"/>
      <c r="N23" s="76"/>
      <c r="O23" s="76"/>
      <c r="P23" s="76"/>
      <c r="Q23" s="76"/>
      <c r="S23" s="148">
        <v>177371.82</v>
      </c>
    </row>
    <row r="24" spans="3:34" ht="12" customHeight="1" x14ac:dyDescent="0.2">
      <c r="C24" s="156" t="s">
        <v>30</v>
      </c>
      <c r="D24" s="156"/>
      <c r="E24" s="156"/>
      <c r="F24" s="156"/>
      <c r="H24" s="76" t="s">
        <v>31</v>
      </c>
      <c r="I24" s="76"/>
      <c r="J24" s="76"/>
      <c r="K24" s="76"/>
      <c r="L24" s="76"/>
      <c r="M24" s="76"/>
      <c r="N24" s="76"/>
      <c r="O24" s="76"/>
      <c r="P24" s="76"/>
      <c r="Q24" s="76"/>
      <c r="S24" s="148">
        <v>70044.240000000005</v>
      </c>
    </row>
    <row r="25" spans="3:34" ht="12" customHeight="1" x14ac:dyDescent="0.2">
      <c r="C25" s="156" t="s">
        <v>32</v>
      </c>
      <c r="D25" s="156"/>
      <c r="E25" s="156"/>
      <c r="F25" s="156"/>
      <c r="H25" s="76" t="s">
        <v>33</v>
      </c>
      <c r="I25" s="76"/>
      <c r="J25" s="76"/>
      <c r="K25" s="76"/>
      <c r="L25" s="76"/>
      <c r="M25" s="76"/>
      <c r="N25" s="76"/>
      <c r="O25" s="76"/>
      <c r="P25" s="76"/>
      <c r="Q25" s="76"/>
      <c r="S25" s="148">
        <v>-35824115</v>
      </c>
    </row>
    <row r="26" spans="3:34" ht="12" customHeight="1" x14ac:dyDescent="0.2">
      <c r="C26" s="156" t="s">
        <v>34</v>
      </c>
      <c r="D26" s="156"/>
      <c r="E26" s="156"/>
      <c r="F26" s="156"/>
      <c r="H26" s="76" t="s">
        <v>35</v>
      </c>
      <c r="I26" s="76"/>
      <c r="J26" s="76"/>
      <c r="K26" s="76"/>
      <c r="L26" s="76"/>
      <c r="M26" s="76"/>
      <c r="N26" s="76"/>
      <c r="O26" s="76"/>
      <c r="P26" s="76"/>
      <c r="Q26" s="76"/>
      <c r="S26" s="148">
        <v>-172399956.80000001</v>
      </c>
    </row>
    <row r="27" spans="3:34" ht="12" customHeight="1" x14ac:dyDescent="0.2">
      <c r="C27" s="156" t="s">
        <v>36</v>
      </c>
      <c r="D27" s="156"/>
      <c r="E27" s="156"/>
      <c r="F27" s="156"/>
      <c r="H27" s="76" t="s">
        <v>37</v>
      </c>
      <c r="I27" s="76"/>
      <c r="J27" s="76"/>
      <c r="K27" s="76"/>
      <c r="L27" s="76"/>
      <c r="M27" s="76"/>
      <c r="N27" s="76"/>
      <c r="O27" s="76"/>
      <c r="P27" s="76"/>
      <c r="Q27" s="76"/>
      <c r="S27" s="148">
        <v>-30081777.469999999</v>
      </c>
    </row>
    <row r="28" spans="3:34" ht="12" customHeight="1" x14ac:dyDescent="0.2">
      <c r="C28" s="156" t="s">
        <v>38</v>
      </c>
      <c r="D28" s="156"/>
      <c r="E28" s="156"/>
      <c r="F28" s="156"/>
      <c r="H28" s="76" t="s">
        <v>39</v>
      </c>
      <c r="I28" s="76"/>
      <c r="J28" s="76"/>
      <c r="K28" s="76"/>
      <c r="L28" s="76"/>
      <c r="M28" s="76"/>
      <c r="N28" s="76"/>
      <c r="O28" s="76"/>
      <c r="P28" s="76"/>
      <c r="Q28" s="76"/>
      <c r="S28" s="148">
        <v>-14259.71</v>
      </c>
    </row>
    <row r="29" spans="3:34" ht="12" customHeight="1" x14ac:dyDescent="0.2">
      <c r="C29" s="156" t="s">
        <v>40</v>
      </c>
      <c r="D29" s="156"/>
      <c r="E29" s="156"/>
      <c r="F29" s="156"/>
      <c r="H29" s="76" t="s">
        <v>41</v>
      </c>
      <c r="I29" s="76"/>
      <c r="J29" s="76"/>
      <c r="K29" s="76"/>
      <c r="L29" s="76"/>
      <c r="M29" s="76"/>
      <c r="N29" s="76"/>
      <c r="O29" s="76"/>
      <c r="P29" s="76"/>
      <c r="Q29" s="76"/>
      <c r="S29" s="148">
        <v>230160.83</v>
      </c>
    </row>
    <row r="30" spans="3:34" ht="12" customHeight="1" x14ac:dyDescent="0.2">
      <c r="C30" s="156" t="s">
        <v>42</v>
      </c>
      <c r="D30" s="156"/>
      <c r="E30" s="156"/>
      <c r="F30" s="156"/>
      <c r="H30" s="76" t="s">
        <v>43</v>
      </c>
      <c r="I30" s="76"/>
      <c r="J30" s="76"/>
      <c r="K30" s="76"/>
      <c r="L30" s="76"/>
      <c r="M30" s="76"/>
      <c r="N30" s="76"/>
      <c r="O30" s="76"/>
      <c r="P30" s="76"/>
      <c r="Q30" s="76"/>
      <c r="S30" s="148">
        <v>-16630.02</v>
      </c>
    </row>
    <row r="31" spans="3:34" ht="12" customHeight="1" x14ac:dyDescent="0.2">
      <c r="C31" s="156">
        <v>1238</v>
      </c>
      <c r="D31" s="156"/>
      <c r="E31" s="156"/>
      <c r="F31" s="156"/>
      <c r="H31" s="76" t="s">
        <v>586</v>
      </c>
      <c r="I31" s="76"/>
      <c r="J31" s="76"/>
      <c r="K31" s="76"/>
      <c r="L31" s="76"/>
      <c r="M31" s="76"/>
      <c r="N31" s="76"/>
      <c r="O31" s="76"/>
      <c r="P31" s="76"/>
      <c r="Q31" s="76"/>
      <c r="S31" s="148"/>
    </row>
    <row r="32" spans="3:34" ht="12" customHeight="1" x14ac:dyDescent="0.2">
      <c r="C32" s="156" t="s">
        <v>44</v>
      </c>
      <c r="D32" s="156"/>
      <c r="E32" s="156"/>
      <c r="F32" s="156"/>
      <c r="H32" s="76" t="s">
        <v>45</v>
      </c>
      <c r="I32" s="76"/>
      <c r="J32" s="76"/>
      <c r="K32" s="76"/>
      <c r="L32" s="76"/>
      <c r="M32" s="76"/>
      <c r="N32" s="76"/>
      <c r="O32" s="76"/>
      <c r="P32" s="76"/>
      <c r="Q32" s="76"/>
      <c r="S32" s="148"/>
    </row>
    <row r="33" spans="3:19" ht="12" customHeight="1" x14ac:dyDescent="0.2">
      <c r="C33" s="156" t="s">
        <v>46</v>
      </c>
      <c r="D33" s="156"/>
      <c r="E33" s="156"/>
      <c r="F33" s="156"/>
      <c r="H33" s="76" t="s">
        <v>47</v>
      </c>
      <c r="I33" s="76"/>
      <c r="J33" s="76"/>
      <c r="K33" s="76"/>
      <c r="L33" s="76"/>
      <c r="M33" s="76"/>
      <c r="N33" s="76"/>
      <c r="O33" s="76"/>
      <c r="P33" s="76"/>
      <c r="Q33" s="76"/>
      <c r="S33" s="148">
        <v>9268.0499999999993</v>
      </c>
    </row>
    <row r="34" spans="3:19" ht="12" customHeight="1" x14ac:dyDescent="0.2">
      <c r="C34" s="156" t="s">
        <v>48</v>
      </c>
      <c r="D34" s="156"/>
      <c r="E34" s="156"/>
      <c r="F34" s="156"/>
      <c r="H34" s="76" t="s">
        <v>49</v>
      </c>
      <c r="I34" s="76"/>
      <c r="J34" s="76"/>
      <c r="K34" s="76"/>
      <c r="L34" s="76"/>
      <c r="M34" s="76"/>
      <c r="N34" s="76"/>
      <c r="O34" s="76"/>
      <c r="P34" s="76"/>
      <c r="Q34" s="76"/>
      <c r="S34" s="148">
        <v>186334.02</v>
      </c>
    </row>
    <row r="35" spans="3:19" ht="12" customHeight="1" x14ac:dyDescent="0.2">
      <c r="C35" s="156" t="s">
        <v>50</v>
      </c>
      <c r="D35" s="156"/>
      <c r="E35" s="156"/>
      <c r="F35" s="156"/>
      <c r="H35" s="76" t="s">
        <v>51</v>
      </c>
      <c r="I35" s="76"/>
      <c r="J35" s="76"/>
      <c r="K35" s="76"/>
      <c r="L35" s="76"/>
      <c r="M35" s="76"/>
      <c r="N35" s="76"/>
      <c r="O35" s="76"/>
      <c r="P35" s="76"/>
      <c r="Q35" s="76"/>
      <c r="S35" s="148">
        <v>11735738.35</v>
      </c>
    </row>
    <row r="36" spans="3:19" ht="12" customHeight="1" x14ac:dyDescent="0.2">
      <c r="C36" s="156" t="s">
        <v>52</v>
      </c>
      <c r="D36" s="156"/>
      <c r="E36" s="156"/>
      <c r="F36" s="156"/>
      <c r="H36" s="76" t="s">
        <v>53</v>
      </c>
      <c r="I36" s="76"/>
      <c r="J36" s="76"/>
      <c r="K36" s="76"/>
      <c r="L36" s="76"/>
      <c r="M36" s="76"/>
      <c r="N36" s="76"/>
      <c r="O36" s="76"/>
      <c r="P36" s="76"/>
      <c r="Q36" s="76"/>
      <c r="S36" s="148">
        <v>379730.38</v>
      </c>
    </row>
    <row r="37" spans="3:19" ht="12" customHeight="1" x14ac:dyDescent="0.2">
      <c r="C37" s="156" t="s">
        <v>54</v>
      </c>
      <c r="D37" s="156"/>
      <c r="E37" s="156"/>
      <c r="F37" s="156"/>
      <c r="H37" s="76" t="s">
        <v>55</v>
      </c>
      <c r="I37" s="76"/>
      <c r="J37" s="76"/>
      <c r="K37" s="76"/>
      <c r="L37" s="76"/>
      <c r="M37" s="76"/>
      <c r="N37" s="76"/>
      <c r="O37" s="76"/>
      <c r="P37" s="76"/>
      <c r="Q37" s="76"/>
      <c r="S37" s="148">
        <v>115000</v>
      </c>
    </row>
    <row r="38" spans="3:19" ht="12" customHeight="1" x14ac:dyDescent="0.2">
      <c r="C38" s="156">
        <v>1248</v>
      </c>
      <c r="D38" s="156"/>
      <c r="E38" s="156"/>
      <c r="F38" s="156"/>
      <c r="H38" s="76" t="s">
        <v>603</v>
      </c>
      <c r="I38" s="76"/>
      <c r="J38" s="76"/>
      <c r="K38" s="76"/>
      <c r="L38" s="76"/>
      <c r="M38" s="76"/>
      <c r="N38" s="76"/>
      <c r="O38" s="76"/>
      <c r="P38" s="76"/>
      <c r="Q38" s="76"/>
      <c r="S38" s="148"/>
    </row>
    <row r="39" spans="3:19" ht="12" customHeight="1" x14ac:dyDescent="0.2">
      <c r="C39" s="156">
        <v>1249</v>
      </c>
      <c r="D39" s="156"/>
      <c r="E39" s="156"/>
      <c r="F39" s="156"/>
      <c r="H39" s="76" t="s">
        <v>662</v>
      </c>
      <c r="I39" s="76"/>
      <c r="J39" s="76"/>
      <c r="K39" s="76"/>
      <c r="L39" s="76"/>
      <c r="M39" s="76"/>
      <c r="N39" s="76"/>
      <c r="O39" s="76"/>
      <c r="P39" s="76"/>
      <c r="Q39" s="76"/>
      <c r="S39" s="148">
        <v>9659.48</v>
      </c>
    </row>
    <row r="40" spans="3:19" ht="12" customHeight="1" x14ac:dyDescent="0.2">
      <c r="C40" s="156" t="s">
        <v>58</v>
      </c>
      <c r="D40" s="156"/>
      <c r="E40" s="156"/>
      <c r="F40" s="156"/>
      <c r="H40" s="76" t="s">
        <v>59</v>
      </c>
      <c r="I40" s="76"/>
      <c r="J40" s="76"/>
      <c r="K40" s="76"/>
      <c r="L40" s="76"/>
      <c r="M40" s="76"/>
      <c r="N40" s="76"/>
      <c r="O40" s="76"/>
      <c r="P40" s="76"/>
      <c r="Q40" s="76"/>
      <c r="S40" s="148">
        <v>-996784.02</v>
      </c>
    </row>
    <row r="41" spans="3:19" ht="12" customHeight="1" x14ac:dyDescent="0.2">
      <c r="C41" s="156">
        <v>1252</v>
      </c>
      <c r="D41" s="156"/>
      <c r="E41" s="156"/>
      <c r="F41" s="156"/>
      <c r="H41" s="76" t="s">
        <v>589</v>
      </c>
      <c r="I41" s="76"/>
      <c r="J41" s="76"/>
      <c r="K41" s="76"/>
      <c r="L41" s="76"/>
      <c r="M41" s="76"/>
      <c r="N41" s="76"/>
      <c r="O41" s="76"/>
      <c r="P41" s="76"/>
      <c r="Q41" s="76"/>
      <c r="S41" s="148">
        <v>2614.0500000000002</v>
      </c>
    </row>
    <row r="42" spans="3:19" ht="12" customHeight="1" x14ac:dyDescent="0.2">
      <c r="C42" s="156">
        <v>1253</v>
      </c>
      <c r="D42" s="156"/>
      <c r="E42" s="156"/>
      <c r="F42" s="156"/>
      <c r="H42" s="76" t="s">
        <v>200</v>
      </c>
      <c r="I42" s="76"/>
      <c r="J42" s="76"/>
      <c r="K42" s="76"/>
      <c r="L42" s="76"/>
      <c r="M42" s="76"/>
      <c r="N42" s="76"/>
      <c r="O42" s="76"/>
      <c r="P42" s="76"/>
      <c r="Q42" s="76"/>
      <c r="S42" s="148">
        <v>780</v>
      </c>
    </row>
    <row r="43" spans="3:19" ht="12" customHeight="1" x14ac:dyDescent="0.2">
      <c r="C43" s="156">
        <v>1255</v>
      </c>
      <c r="D43" s="156"/>
      <c r="E43" s="156"/>
      <c r="F43" s="156"/>
      <c r="H43" s="76" t="s">
        <v>554</v>
      </c>
      <c r="I43" s="76"/>
      <c r="J43" s="76"/>
      <c r="K43" s="76"/>
      <c r="L43" s="76"/>
      <c r="M43" s="76"/>
      <c r="N43" s="76"/>
      <c r="O43" s="76"/>
      <c r="P43" s="76"/>
      <c r="Q43" s="76"/>
      <c r="S43" s="148">
        <v>431055.17</v>
      </c>
    </row>
    <row r="44" spans="3:19" ht="12" customHeight="1" x14ac:dyDescent="0.2">
      <c r="C44" s="156" t="s">
        <v>60</v>
      </c>
      <c r="D44" s="156"/>
      <c r="E44" s="156"/>
      <c r="F44" s="156"/>
      <c r="H44" s="76" t="s">
        <v>61</v>
      </c>
      <c r="I44" s="76"/>
      <c r="J44" s="76"/>
      <c r="K44" s="76"/>
      <c r="L44" s="76"/>
      <c r="M44" s="76"/>
      <c r="N44" s="76"/>
      <c r="O44" s="76"/>
      <c r="P44" s="76"/>
      <c r="Q44" s="76"/>
      <c r="S44" s="148">
        <v>1062.48</v>
      </c>
    </row>
    <row r="45" spans="3:19" ht="12" customHeight="1" x14ac:dyDescent="0.2">
      <c r="C45" s="156" t="s">
        <v>62</v>
      </c>
      <c r="D45" s="156"/>
      <c r="E45" s="156"/>
      <c r="F45" s="156"/>
      <c r="H45" s="76" t="s">
        <v>63</v>
      </c>
      <c r="I45" s="76"/>
      <c r="J45" s="76"/>
      <c r="K45" s="76"/>
      <c r="L45" s="76"/>
      <c r="M45" s="76"/>
      <c r="N45" s="76"/>
      <c r="O45" s="76"/>
      <c r="P45" s="76"/>
      <c r="Q45" s="76"/>
      <c r="S45" s="148">
        <v>1877.5</v>
      </c>
    </row>
    <row r="46" spans="3:19" ht="12" customHeight="1" x14ac:dyDescent="0.2">
      <c r="C46" s="156" t="s">
        <v>64</v>
      </c>
      <c r="D46" s="156"/>
      <c r="E46" s="156"/>
      <c r="F46" s="156"/>
      <c r="H46" s="76" t="s">
        <v>65</v>
      </c>
      <c r="I46" s="76"/>
      <c r="J46" s="76"/>
      <c r="K46" s="76"/>
      <c r="L46" s="76"/>
      <c r="M46" s="76"/>
      <c r="N46" s="76"/>
      <c r="O46" s="76"/>
      <c r="P46" s="76"/>
      <c r="Q46" s="76"/>
      <c r="S46" s="148">
        <v>-3566238.99</v>
      </c>
    </row>
    <row r="47" spans="3:19" ht="12" customHeight="1" x14ac:dyDescent="0.2">
      <c r="C47" s="156" t="s">
        <v>66</v>
      </c>
      <c r="D47" s="156"/>
      <c r="E47" s="156"/>
      <c r="F47" s="156"/>
      <c r="H47" s="76" t="s">
        <v>67</v>
      </c>
      <c r="I47" s="76"/>
      <c r="J47" s="76"/>
      <c r="K47" s="76"/>
      <c r="L47" s="76"/>
      <c r="M47" s="76"/>
      <c r="N47" s="76"/>
      <c r="O47" s="76"/>
      <c r="P47" s="76"/>
      <c r="Q47" s="76"/>
      <c r="S47" s="148">
        <v>-26814.28</v>
      </c>
    </row>
    <row r="48" spans="3:19" ht="12" customHeight="1" x14ac:dyDescent="0.2">
      <c r="C48" s="156" t="s">
        <v>68</v>
      </c>
      <c r="D48" s="156"/>
      <c r="E48" s="156"/>
      <c r="F48" s="156"/>
      <c r="H48" s="76" t="s">
        <v>69</v>
      </c>
      <c r="I48" s="76"/>
      <c r="J48" s="76"/>
      <c r="K48" s="76"/>
      <c r="L48" s="76"/>
      <c r="M48" s="76"/>
      <c r="N48" s="76"/>
      <c r="O48" s="76"/>
      <c r="P48" s="76"/>
      <c r="Q48" s="76"/>
      <c r="S48" s="148">
        <v>5452274.8399999999</v>
      </c>
    </row>
    <row r="49" spans="2:27" ht="12" customHeight="1" x14ac:dyDescent="0.2">
      <c r="C49" s="156" t="s">
        <v>70</v>
      </c>
      <c r="D49" s="156"/>
      <c r="E49" s="156"/>
      <c r="F49" s="156"/>
      <c r="H49" s="76" t="s">
        <v>397</v>
      </c>
      <c r="I49" s="76"/>
      <c r="J49" s="76"/>
      <c r="K49" s="76"/>
      <c r="L49" s="76"/>
      <c r="M49" s="76"/>
      <c r="N49" s="76"/>
      <c r="O49" s="76"/>
      <c r="P49" s="76"/>
      <c r="Q49" s="76"/>
      <c r="S49" s="148">
        <v>93409.88</v>
      </c>
    </row>
    <row r="50" spans="2:27" ht="12" customHeight="1" x14ac:dyDescent="0.2">
      <c r="C50" s="156" t="s">
        <v>71</v>
      </c>
      <c r="D50" s="156"/>
      <c r="E50" s="156"/>
      <c r="F50" s="156"/>
      <c r="H50" s="76" t="s">
        <v>398</v>
      </c>
      <c r="I50" s="76"/>
      <c r="J50" s="76"/>
      <c r="K50" s="76"/>
      <c r="L50" s="76"/>
      <c r="M50" s="76"/>
      <c r="N50" s="76"/>
      <c r="O50" s="76"/>
      <c r="P50" s="76"/>
      <c r="Q50" s="76"/>
      <c r="S50" s="148">
        <v>133886.72</v>
      </c>
    </row>
    <row r="51" spans="2:27" ht="12" customHeight="1" x14ac:dyDescent="0.2">
      <c r="C51" s="156" t="s">
        <v>72</v>
      </c>
      <c r="D51" s="156"/>
      <c r="E51" s="156"/>
      <c r="F51" s="156"/>
      <c r="H51" s="76" t="s">
        <v>399</v>
      </c>
      <c r="I51" s="76"/>
      <c r="J51" s="76"/>
      <c r="K51" s="76"/>
      <c r="L51" s="76"/>
      <c r="M51" s="76"/>
      <c r="N51" s="76"/>
      <c r="O51" s="76"/>
      <c r="P51" s="76"/>
      <c r="Q51" s="76"/>
      <c r="S51" s="148">
        <v>160594.39000000001</v>
      </c>
    </row>
    <row r="52" spans="2:27" ht="12" customHeight="1" x14ac:dyDescent="0.2">
      <c r="C52" s="156" t="s">
        <v>619</v>
      </c>
      <c r="D52" s="156"/>
      <c r="E52" s="156"/>
      <c r="F52" s="156"/>
      <c r="H52" s="76" t="s">
        <v>620</v>
      </c>
      <c r="I52" s="76"/>
      <c r="J52" s="76"/>
      <c r="K52" s="76"/>
      <c r="L52" s="76"/>
      <c r="M52" s="76"/>
      <c r="N52" s="76"/>
      <c r="O52" s="76"/>
      <c r="P52" s="76"/>
      <c r="Q52" s="76"/>
      <c r="S52" s="148"/>
    </row>
    <row r="53" spans="2:27" ht="12" customHeight="1" x14ac:dyDescent="0.2">
      <c r="C53" s="156" t="s">
        <v>628</v>
      </c>
      <c r="D53" s="156"/>
      <c r="E53" s="156"/>
      <c r="F53" s="156"/>
      <c r="H53" s="76" t="s">
        <v>713</v>
      </c>
      <c r="I53" s="76"/>
      <c r="J53" s="76"/>
      <c r="K53" s="76"/>
      <c r="L53" s="76"/>
      <c r="M53" s="76"/>
      <c r="N53" s="76"/>
      <c r="O53" s="76"/>
      <c r="P53" s="76"/>
      <c r="Q53" s="76"/>
      <c r="S53" s="148"/>
    </row>
    <row r="54" spans="2:27" ht="12" customHeight="1" x14ac:dyDescent="0.2">
      <c r="C54" s="156" t="s">
        <v>618</v>
      </c>
      <c r="D54" s="156"/>
      <c r="E54" s="156"/>
      <c r="F54" s="156"/>
      <c r="H54" s="76" t="s">
        <v>617</v>
      </c>
      <c r="I54" s="76"/>
      <c r="J54" s="76"/>
      <c r="K54" s="76"/>
      <c r="L54" s="76"/>
      <c r="M54" s="76"/>
      <c r="N54" s="76"/>
      <c r="O54" s="76"/>
      <c r="P54" s="76"/>
      <c r="Q54" s="76"/>
      <c r="S54" s="148">
        <v>17.55</v>
      </c>
    </row>
    <row r="55" spans="2:27" ht="12" customHeight="1" x14ac:dyDescent="0.2">
      <c r="C55" s="146" t="s">
        <v>552</v>
      </c>
      <c r="D55" s="146"/>
      <c r="E55" s="146"/>
      <c r="F55" s="146"/>
      <c r="H55" s="76" t="s">
        <v>553</v>
      </c>
      <c r="I55" s="76"/>
      <c r="J55" s="76"/>
      <c r="K55" s="76"/>
      <c r="L55" s="76"/>
      <c r="M55" s="76"/>
      <c r="N55" s="76"/>
      <c r="O55" s="76"/>
      <c r="P55" s="76"/>
      <c r="Q55" s="76"/>
      <c r="S55" s="148">
        <v>1060.95</v>
      </c>
    </row>
    <row r="56" spans="2:27" ht="12" customHeight="1" x14ac:dyDescent="0.2">
      <c r="C56" s="146" t="s">
        <v>598</v>
      </c>
      <c r="D56" s="146"/>
      <c r="E56" s="146"/>
      <c r="F56" s="146"/>
      <c r="H56" s="76" t="s">
        <v>599</v>
      </c>
      <c r="I56" s="76"/>
      <c r="J56" s="76"/>
      <c r="K56" s="76"/>
      <c r="L56" s="76"/>
      <c r="M56" s="76"/>
      <c r="N56" s="76"/>
      <c r="O56" s="76"/>
      <c r="P56" s="76"/>
      <c r="Q56" s="76"/>
      <c r="S56" s="148">
        <v>6.93</v>
      </c>
    </row>
    <row r="57" spans="2:27" ht="12" customHeight="1" x14ac:dyDescent="0.2">
      <c r="C57" s="156" t="s">
        <v>401</v>
      </c>
      <c r="D57" s="156"/>
      <c r="E57" s="156"/>
      <c r="F57" s="156"/>
      <c r="H57" s="76" t="s">
        <v>400</v>
      </c>
      <c r="I57" s="76"/>
      <c r="J57" s="76"/>
      <c r="K57" s="76"/>
      <c r="L57" s="76"/>
      <c r="M57" s="76"/>
      <c r="N57" s="76"/>
      <c r="O57" s="76"/>
      <c r="P57" s="76"/>
      <c r="Q57" s="76"/>
      <c r="S57" s="148">
        <v>10024.219999999999</v>
      </c>
    </row>
    <row r="58" spans="2:27" ht="12" customHeight="1" x14ac:dyDescent="0.2">
      <c r="C58" s="156"/>
      <c r="D58" s="156"/>
      <c r="E58" s="156"/>
      <c r="F58" s="156"/>
      <c r="H58" s="76"/>
      <c r="I58" s="76"/>
      <c r="J58" s="76"/>
      <c r="K58" s="76"/>
      <c r="L58" s="76"/>
      <c r="M58" s="76"/>
      <c r="N58" s="76"/>
      <c r="O58" s="76"/>
      <c r="P58" s="76"/>
      <c r="Q58" s="76"/>
      <c r="S58" s="148"/>
    </row>
    <row r="59" spans="2:27" ht="12" customHeight="1" x14ac:dyDescent="0.2">
      <c r="H59" s="157" t="s">
        <v>73</v>
      </c>
      <c r="I59" s="157"/>
      <c r="J59" s="157"/>
      <c r="K59" s="157"/>
      <c r="L59" s="157"/>
      <c r="M59" s="157"/>
      <c r="N59" s="157"/>
      <c r="O59" s="157"/>
      <c r="P59" s="157"/>
      <c r="U59" s="160">
        <f>SUM(S9:S57)</f>
        <v>58522816.590000004</v>
      </c>
      <c r="V59" s="160"/>
      <c r="W59" s="160"/>
      <c r="Y59" s="77"/>
      <c r="AA59" s="77"/>
    </row>
    <row r="60" spans="2:27" ht="12" customHeight="1" x14ac:dyDescent="0.2"/>
    <row r="61" spans="2:27" ht="12" customHeight="1" x14ac:dyDescent="0.2">
      <c r="B61" s="157" t="s">
        <v>74</v>
      </c>
      <c r="C61" s="157"/>
      <c r="D61" s="157"/>
      <c r="E61" s="157"/>
      <c r="F61" s="157"/>
      <c r="G61" s="157"/>
      <c r="H61" s="157"/>
      <c r="I61" s="157"/>
      <c r="J61" s="157"/>
      <c r="K61" s="157"/>
    </row>
    <row r="62" spans="2:27" ht="12" customHeight="1" x14ac:dyDescent="0.2"/>
    <row r="63" spans="2:27" ht="12" customHeight="1" x14ac:dyDescent="0.2">
      <c r="C63" s="156" t="s">
        <v>75</v>
      </c>
      <c r="D63" s="156"/>
      <c r="E63" s="156"/>
      <c r="F63" s="156"/>
      <c r="H63" s="156" t="s">
        <v>76</v>
      </c>
      <c r="I63" s="156"/>
      <c r="J63" s="156"/>
      <c r="K63" s="156"/>
      <c r="L63" s="156"/>
      <c r="M63" s="156"/>
      <c r="N63" s="156"/>
      <c r="O63" s="156"/>
      <c r="P63" s="156"/>
      <c r="Q63" s="156"/>
      <c r="S63" s="148">
        <v>1114391.1100000001</v>
      </c>
    </row>
    <row r="64" spans="2:27" ht="12" customHeight="1" x14ac:dyDescent="0.2">
      <c r="C64" s="156" t="s">
        <v>77</v>
      </c>
      <c r="D64" s="156"/>
      <c r="E64" s="156"/>
      <c r="F64" s="156"/>
      <c r="H64" s="156" t="s">
        <v>78</v>
      </c>
      <c r="I64" s="156"/>
      <c r="J64" s="156"/>
      <c r="K64" s="156"/>
      <c r="L64" s="156"/>
      <c r="M64" s="156"/>
      <c r="N64" s="156"/>
      <c r="O64" s="156"/>
      <c r="P64" s="156"/>
      <c r="Q64" s="156"/>
      <c r="S64" s="148">
        <v>45071.88</v>
      </c>
    </row>
    <row r="65" spans="3:19" ht="12" customHeight="1" x14ac:dyDescent="0.2">
      <c r="C65" s="156" t="s">
        <v>79</v>
      </c>
      <c r="D65" s="156"/>
      <c r="E65" s="156"/>
      <c r="F65" s="156"/>
      <c r="H65" s="156" t="s">
        <v>80</v>
      </c>
      <c r="I65" s="156"/>
      <c r="J65" s="156"/>
      <c r="K65" s="156"/>
      <c r="L65" s="156"/>
      <c r="M65" s="156"/>
      <c r="N65" s="156"/>
      <c r="O65" s="156"/>
      <c r="P65" s="156"/>
      <c r="Q65" s="156"/>
      <c r="S65" s="148">
        <v>715632.48</v>
      </c>
    </row>
    <row r="66" spans="3:19" ht="12" customHeight="1" x14ac:dyDescent="0.2">
      <c r="C66" s="156" t="s">
        <v>81</v>
      </c>
      <c r="D66" s="156"/>
      <c r="E66" s="156"/>
      <c r="F66" s="156"/>
      <c r="H66" s="156" t="s">
        <v>82</v>
      </c>
      <c r="I66" s="156"/>
      <c r="J66" s="156"/>
      <c r="K66" s="156"/>
      <c r="L66" s="156"/>
      <c r="M66" s="156"/>
      <c r="N66" s="156"/>
      <c r="O66" s="156"/>
      <c r="P66" s="156"/>
      <c r="Q66" s="156"/>
      <c r="S66" s="148">
        <v>4714695.95</v>
      </c>
    </row>
    <row r="67" spans="3:19" ht="12" customHeight="1" x14ac:dyDescent="0.2">
      <c r="C67" s="156" t="s">
        <v>83</v>
      </c>
      <c r="D67" s="156"/>
      <c r="E67" s="156"/>
      <c r="F67" s="156"/>
      <c r="H67" s="156" t="s">
        <v>84</v>
      </c>
      <c r="I67" s="156"/>
      <c r="J67" s="156"/>
      <c r="K67" s="156"/>
      <c r="L67" s="156"/>
      <c r="M67" s="156"/>
      <c r="N67" s="156"/>
      <c r="O67" s="156"/>
      <c r="P67" s="156"/>
      <c r="Q67" s="156"/>
      <c r="S67" s="148">
        <v>460539.38</v>
      </c>
    </row>
    <row r="68" spans="3:19" ht="14.25" customHeight="1" x14ac:dyDescent="0.2">
      <c r="C68" s="156" t="s">
        <v>85</v>
      </c>
      <c r="D68" s="156"/>
      <c r="E68" s="156"/>
      <c r="F68" s="156"/>
      <c r="H68" s="156" t="s">
        <v>86</v>
      </c>
      <c r="I68" s="156"/>
      <c r="J68" s="156"/>
      <c r="K68" s="156"/>
      <c r="L68" s="156"/>
      <c r="M68" s="156"/>
      <c r="N68" s="156"/>
      <c r="O68" s="156"/>
      <c r="P68" s="156"/>
      <c r="Q68" s="156"/>
      <c r="S68" s="148">
        <v>0</v>
      </c>
    </row>
    <row r="69" spans="3:19" ht="12" customHeight="1" x14ac:dyDescent="0.2">
      <c r="C69" s="156" t="s">
        <v>87</v>
      </c>
      <c r="D69" s="156"/>
      <c r="E69" s="156"/>
      <c r="F69" s="156"/>
      <c r="H69" s="156" t="s">
        <v>88</v>
      </c>
      <c r="I69" s="156"/>
      <c r="J69" s="156"/>
      <c r="K69" s="156"/>
      <c r="L69" s="156"/>
      <c r="M69" s="156"/>
      <c r="N69" s="156"/>
      <c r="O69" s="156"/>
      <c r="P69" s="156"/>
      <c r="Q69" s="156"/>
      <c r="S69" s="151">
        <v>3127064.97</v>
      </c>
    </row>
    <row r="70" spans="3:19" ht="12.75" customHeight="1" x14ac:dyDescent="0.2">
      <c r="C70" s="156" t="s">
        <v>89</v>
      </c>
      <c r="D70" s="156"/>
      <c r="E70" s="156"/>
      <c r="F70" s="156"/>
      <c r="H70" s="156" t="s">
        <v>90</v>
      </c>
      <c r="I70" s="156"/>
      <c r="J70" s="156"/>
      <c r="K70" s="156"/>
      <c r="L70" s="156"/>
      <c r="M70" s="156"/>
      <c r="N70" s="156"/>
      <c r="O70" s="156"/>
      <c r="P70" s="156"/>
      <c r="Q70" s="156"/>
      <c r="S70" s="151">
        <v>11428.88</v>
      </c>
    </row>
    <row r="71" spans="3:19" ht="12" customHeight="1" x14ac:dyDescent="0.2">
      <c r="C71" s="156" t="s">
        <v>91</v>
      </c>
      <c r="D71" s="156"/>
      <c r="E71" s="156"/>
      <c r="F71" s="156"/>
      <c r="H71" s="156" t="s">
        <v>92</v>
      </c>
      <c r="I71" s="156"/>
      <c r="J71" s="156"/>
      <c r="K71" s="156"/>
      <c r="L71" s="156"/>
      <c r="M71" s="156"/>
      <c r="N71" s="156"/>
      <c r="O71" s="156"/>
      <c r="P71" s="156"/>
      <c r="Q71" s="156"/>
      <c r="S71" s="151">
        <v>384818.56</v>
      </c>
    </row>
    <row r="72" spans="3:19" ht="12" customHeight="1" x14ac:dyDescent="0.2">
      <c r="C72" s="156" t="s">
        <v>93</v>
      </c>
      <c r="D72" s="156"/>
      <c r="E72" s="156"/>
      <c r="F72" s="156"/>
      <c r="H72" s="156" t="s">
        <v>94</v>
      </c>
      <c r="I72" s="156"/>
      <c r="J72" s="156"/>
      <c r="K72" s="156"/>
      <c r="L72" s="156"/>
      <c r="M72" s="156"/>
      <c r="N72" s="156"/>
      <c r="O72" s="156"/>
      <c r="P72" s="156"/>
      <c r="Q72" s="156"/>
      <c r="S72" s="148">
        <v>2027573.66</v>
      </c>
    </row>
    <row r="73" spans="3:19" ht="12" customHeight="1" x14ac:dyDescent="0.2">
      <c r="C73" s="156" t="s">
        <v>95</v>
      </c>
      <c r="D73" s="156"/>
      <c r="E73" s="156"/>
      <c r="F73" s="156"/>
      <c r="H73" s="156" t="s">
        <v>96</v>
      </c>
      <c r="I73" s="156"/>
      <c r="J73" s="156"/>
      <c r="K73" s="156"/>
      <c r="L73" s="156"/>
      <c r="M73" s="156"/>
      <c r="N73" s="156"/>
      <c r="O73" s="156"/>
      <c r="P73" s="156"/>
      <c r="Q73" s="156"/>
      <c r="S73" s="148">
        <v>5138241.6399999997</v>
      </c>
    </row>
    <row r="74" spans="3:19" ht="12" customHeight="1" x14ac:dyDescent="0.2">
      <c r="C74" s="156">
        <v>1327</v>
      </c>
      <c r="D74" s="156"/>
      <c r="E74" s="156"/>
      <c r="F74" s="156"/>
      <c r="H74" s="146" t="s">
        <v>663</v>
      </c>
      <c r="I74" s="146"/>
      <c r="J74" s="146"/>
      <c r="K74" s="146"/>
      <c r="L74" s="146"/>
      <c r="M74" s="146"/>
      <c r="N74" s="146"/>
      <c r="O74" s="146"/>
      <c r="P74" s="146"/>
      <c r="Q74" s="146"/>
      <c r="S74" s="148">
        <v>0</v>
      </c>
    </row>
    <row r="75" spans="3:19" ht="12" customHeight="1" x14ac:dyDescent="0.2">
      <c r="C75" s="156" t="s">
        <v>97</v>
      </c>
      <c r="D75" s="156"/>
      <c r="E75" s="156"/>
      <c r="F75" s="156"/>
      <c r="H75" s="156" t="s">
        <v>98</v>
      </c>
      <c r="I75" s="156"/>
      <c r="J75" s="156"/>
      <c r="K75" s="156"/>
      <c r="L75" s="156"/>
      <c r="M75" s="156"/>
      <c r="N75" s="156"/>
      <c r="O75" s="156"/>
      <c r="P75" s="156"/>
      <c r="Q75" s="156"/>
      <c r="S75" s="148">
        <v>76523.81</v>
      </c>
    </row>
    <row r="76" spans="3:19" ht="12" customHeight="1" x14ac:dyDescent="0.2">
      <c r="C76" s="156">
        <v>1336</v>
      </c>
      <c r="D76" s="156"/>
      <c r="E76" s="156"/>
      <c r="F76" s="156"/>
      <c r="H76" s="156" t="s">
        <v>672</v>
      </c>
      <c r="I76" s="156"/>
      <c r="J76" s="156"/>
      <c r="K76" s="156"/>
      <c r="L76" s="156"/>
      <c r="M76" s="156"/>
      <c r="N76" s="156"/>
      <c r="O76" s="156"/>
      <c r="P76" s="156"/>
      <c r="Q76" s="156"/>
      <c r="S76" s="148">
        <v>0</v>
      </c>
    </row>
    <row r="77" spans="3:19" ht="12" customHeight="1" x14ac:dyDescent="0.2">
      <c r="C77" s="156">
        <v>1340</v>
      </c>
      <c r="D77" s="156"/>
      <c r="E77" s="156"/>
      <c r="F77" s="156"/>
      <c r="H77" s="156" t="s">
        <v>729</v>
      </c>
      <c r="I77" s="156"/>
      <c r="J77" s="156"/>
      <c r="K77" s="156"/>
      <c r="L77" s="156"/>
      <c r="M77" s="156"/>
      <c r="N77" s="156"/>
      <c r="O77" s="156"/>
      <c r="P77" s="156"/>
      <c r="Q77" s="156"/>
      <c r="S77" s="148">
        <v>84787.5</v>
      </c>
    </row>
    <row r="78" spans="3:19" ht="12" customHeight="1" x14ac:dyDescent="0.2">
      <c r="C78" s="156">
        <v>1350</v>
      </c>
      <c r="D78" s="156"/>
      <c r="E78" s="156"/>
      <c r="F78" s="156"/>
      <c r="H78" s="156" t="s">
        <v>720</v>
      </c>
      <c r="I78" s="156"/>
      <c r="J78" s="156"/>
      <c r="K78" s="156"/>
      <c r="L78" s="156"/>
      <c r="M78" s="156"/>
      <c r="N78" s="156"/>
      <c r="O78" s="156"/>
      <c r="P78" s="156"/>
      <c r="Q78" s="156"/>
      <c r="S78" s="148">
        <v>32760.77</v>
      </c>
    </row>
    <row r="79" spans="3:19" ht="12" customHeight="1" x14ac:dyDescent="0.2">
      <c r="C79" s="156" t="s">
        <v>99</v>
      </c>
      <c r="D79" s="156"/>
      <c r="E79" s="156"/>
      <c r="F79" s="156"/>
      <c r="H79" s="156" t="s">
        <v>100</v>
      </c>
      <c r="I79" s="156"/>
      <c r="J79" s="156"/>
      <c r="K79" s="156"/>
      <c r="L79" s="156"/>
      <c r="M79" s="156"/>
      <c r="N79" s="156"/>
      <c r="O79" s="156"/>
      <c r="P79" s="156"/>
      <c r="Q79" s="156"/>
      <c r="S79" s="148">
        <v>-9546392.1899999995</v>
      </c>
    </row>
    <row r="80" spans="3:19" ht="12" customHeight="1" x14ac:dyDescent="0.2">
      <c r="C80" s="156" t="s">
        <v>101</v>
      </c>
      <c r="D80" s="156"/>
      <c r="E80" s="156"/>
      <c r="F80" s="156"/>
      <c r="H80" s="156" t="s">
        <v>102</v>
      </c>
      <c r="I80" s="156"/>
      <c r="J80" s="156"/>
      <c r="K80" s="156"/>
      <c r="L80" s="156"/>
      <c r="M80" s="156"/>
      <c r="N80" s="156"/>
      <c r="O80" s="156"/>
      <c r="P80" s="156"/>
      <c r="Q80" s="156"/>
      <c r="S80" s="148"/>
    </row>
    <row r="81" spans="1:23" ht="12" customHeight="1" x14ac:dyDescent="0.2">
      <c r="H81" s="157" t="s">
        <v>103</v>
      </c>
      <c r="I81" s="157"/>
      <c r="J81" s="157"/>
      <c r="K81" s="157"/>
      <c r="L81" s="157"/>
      <c r="M81" s="157"/>
      <c r="N81" s="157"/>
      <c r="O81" s="157"/>
      <c r="P81" s="157"/>
      <c r="U81" s="161">
        <f>SUM(S63:S80)</f>
        <v>8387138.4000000004</v>
      </c>
      <c r="V81" s="161"/>
      <c r="W81" s="161"/>
    </row>
    <row r="82" spans="1:23" ht="12" customHeight="1" x14ac:dyDescent="0.2">
      <c r="H82" s="147"/>
      <c r="I82" s="147"/>
      <c r="J82" s="147"/>
      <c r="K82" s="147"/>
      <c r="L82" s="147"/>
      <c r="M82" s="147"/>
      <c r="N82" s="147"/>
      <c r="O82" s="147"/>
      <c r="P82" s="147"/>
      <c r="U82" s="78"/>
      <c r="V82" s="78"/>
      <c r="W82" s="78"/>
    </row>
    <row r="83" spans="1:23" ht="12" customHeight="1" x14ac:dyDescent="0.2">
      <c r="D83" s="156" t="s">
        <v>101</v>
      </c>
      <c r="E83" s="156"/>
      <c r="F83" s="156"/>
      <c r="G83" s="156"/>
      <c r="H83" s="156" t="s">
        <v>673</v>
      </c>
      <c r="I83" s="156"/>
      <c r="J83" s="156"/>
      <c r="K83" s="156"/>
      <c r="L83" s="156"/>
      <c r="M83" s="156"/>
      <c r="N83" s="156"/>
      <c r="O83" s="156"/>
      <c r="P83" s="156"/>
      <c r="Q83" s="156"/>
      <c r="S83" s="148">
        <v>0</v>
      </c>
      <c r="U83" s="78"/>
      <c r="V83" s="78"/>
      <c r="W83" s="78"/>
    </row>
    <row r="84" spans="1:23" ht="12" customHeight="1" thickBot="1" x14ac:dyDescent="0.25">
      <c r="I84" s="157" t="s">
        <v>104</v>
      </c>
      <c r="J84" s="157"/>
      <c r="K84" s="157"/>
      <c r="L84" s="157"/>
      <c r="M84" s="157"/>
      <c r="N84" s="157"/>
      <c r="O84" s="157"/>
      <c r="P84" s="157"/>
      <c r="U84" s="162">
        <f>U59+U81+S83</f>
        <v>66909954.990000002</v>
      </c>
      <c r="V84" s="162"/>
      <c r="W84" s="162"/>
    </row>
    <row r="85" spans="1:23" ht="12" customHeight="1" x14ac:dyDescent="0.2"/>
    <row r="86" spans="1:23" ht="12" customHeight="1" x14ac:dyDescent="0.2">
      <c r="A86" s="157" t="s">
        <v>105</v>
      </c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</row>
    <row r="87" spans="1:23" ht="12" customHeight="1" x14ac:dyDescent="0.2"/>
    <row r="88" spans="1:23" ht="12" customHeight="1" x14ac:dyDescent="0.2">
      <c r="B88" s="157" t="s">
        <v>106</v>
      </c>
      <c r="C88" s="157"/>
      <c r="D88" s="157"/>
      <c r="E88" s="157"/>
      <c r="F88" s="157"/>
      <c r="G88" s="157"/>
      <c r="H88" s="157"/>
      <c r="I88" s="157"/>
      <c r="J88" s="157"/>
      <c r="K88" s="157"/>
    </row>
    <row r="89" spans="1:23" ht="12" customHeight="1" x14ac:dyDescent="0.2">
      <c r="C89" s="156" t="s">
        <v>107</v>
      </c>
      <c r="D89" s="156"/>
      <c r="E89" s="156"/>
      <c r="F89" s="156"/>
      <c r="H89" s="76" t="s">
        <v>108</v>
      </c>
      <c r="I89" s="76"/>
      <c r="J89" s="76"/>
      <c r="K89" s="76"/>
      <c r="L89" s="76"/>
      <c r="M89" s="76"/>
      <c r="N89" s="76"/>
      <c r="O89" s="76"/>
      <c r="P89" s="76"/>
      <c r="Q89" s="76"/>
      <c r="S89" s="148">
        <v>0</v>
      </c>
    </row>
    <row r="90" spans="1:23" ht="12" customHeight="1" x14ac:dyDescent="0.2">
      <c r="C90" s="156" t="s">
        <v>109</v>
      </c>
      <c r="D90" s="156"/>
      <c r="E90" s="156"/>
      <c r="F90" s="156"/>
      <c r="H90" s="76" t="s">
        <v>110</v>
      </c>
      <c r="I90" s="76"/>
      <c r="J90" s="76"/>
      <c r="K90" s="76"/>
      <c r="L90" s="76"/>
      <c r="M90" s="76"/>
      <c r="N90" s="76"/>
      <c r="O90" s="76"/>
      <c r="P90" s="76"/>
      <c r="Q90" s="76"/>
      <c r="S90" s="148">
        <v>21747303.440000001</v>
      </c>
    </row>
    <row r="91" spans="1:23" ht="12" customHeight="1" x14ac:dyDescent="0.2">
      <c r="C91" s="156" t="s">
        <v>111</v>
      </c>
      <c r="D91" s="156"/>
      <c r="E91" s="156"/>
      <c r="F91" s="156"/>
      <c r="H91" s="76" t="s">
        <v>112</v>
      </c>
      <c r="I91" s="76"/>
      <c r="J91" s="76"/>
      <c r="K91" s="76"/>
      <c r="L91" s="76"/>
      <c r="M91" s="76"/>
      <c r="N91" s="76"/>
      <c r="O91" s="76"/>
      <c r="P91" s="76"/>
      <c r="Q91" s="76"/>
      <c r="S91" s="148">
        <v>28.58</v>
      </c>
    </row>
    <row r="92" spans="1:23" ht="12" customHeight="1" x14ac:dyDescent="0.2">
      <c r="C92" s="156">
        <v>2125</v>
      </c>
      <c r="D92" s="156"/>
      <c r="E92" s="156"/>
      <c r="F92" s="156"/>
      <c r="H92" s="76" t="s">
        <v>680</v>
      </c>
      <c r="I92" s="76"/>
      <c r="J92" s="76"/>
      <c r="K92" s="76"/>
      <c r="L92" s="76"/>
      <c r="M92" s="76"/>
      <c r="N92" s="76"/>
      <c r="O92" s="76"/>
      <c r="P92" s="76"/>
      <c r="Q92" s="76"/>
      <c r="S92" s="148">
        <v>123.41</v>
      </c>
    </row>
    <row r="93" spans="1:23" ht="12" customHeight="1" x14ac:dyDescent="0.2">
      <c r="C93" s="156" t="s">
        <v>113</v>
      </c>
      <c r="D93" s="156"/>
      <c r="E93" s="156"/>
      <c r="F93" s="156"/>
      <c r="H93" s="76" t="s">
        <v>114</v>
      </c>
      <c r="I93" s="76"/>
      <c r="J93" s="76"/>
      <c r="K93" s="76"/>
      <c r="L93" s="76"/>
      <c r="M93" s="76"/>
      <c r="N93" s="76"/>
      <c r="O93" s="76"/>
      <c r="P93" s="76"/>
      <c r="Q93" s="76"/>
      <c r="S93" s="148">
        <v>5533.66</v>
      </c>
    </row>
    <row r="94" spans="1:23" ht="12" customHeight="1" x14ac:dyDescent="0.2">
      <c r="C94" s="156">
        <v>2127</v>
      </c>
      <c r="D94" s="156"/>
      <c r="E94" s="156"/>
      <c r="F94" s="156"/>
      <c r="H94" s="76" t="s">
        <v>714</v>
      </c>
      <c r="I94" s="76"/>
      <c r="J94" s="76"/>
      <c r="K94" s="76"/>
      <c r="L94" s="76"/>
      <c r="M94" s="76"/>
      <c r="N94" s="76"/>
      <c r="O94" s="76"/>
      <c r="P94" s="76"/>
      <c r="Q94" s="76"/>
      <c r="S94" s="148">
        <v>0</v>
      </c>
    </row>
    <row r="95" spans="1:23" ht="12" customHeight="1" x14ac:dyDescent="0.2">
      <c r="C95" s="156">
        <v>2150</v>
      </c>
      <c r="D95" s="156"/>
      <c r="E95" s="156"/>
      <c r="F95" s="156"/>
      <c r="H95" s="76" t="s">
        <v>189</v>
      </c>
      <c r="I95" s="76"/>
      <c r="J95" s="76"/>
      <c r="K95" s="76"/>
      <c r="L95" s="76"/>
      <c r="M95" s="76"/>
      <c r="N95" s="76"/>
      <c r="O95" s="76"/>
      <c r="P95" s="76"/>
      <c r="Q95" s="76"/>
      <c r="S95" s="148">
        <v>43.91</v>
      </c>
    </row>
    <row r="96" spans="1:23" ht="12" customHeight="1" x14ac:dyDescent="0.2">
      <c r="C96" s="156">
        <v>2155</v>
      </c>
      <c r="D96" s="156"/>
      <c r="E96" s="156"/>
      <c r="F96" s="156"/>
      <c r="H96" s="76" t="s">
        <v>681</v>
      </c>
      <c r="I96" s="76"/>
      <c r="J96" s="76"/>
      <c r="K96" s="76"/>
      <c r="L96" s="76"/>
      <c r="M96" s="76"/>
      <c r="N96" s="76"/>
      <c r="O96" s="76"/>
      <c r="P96" s="76"/>
      <c r="Q96" s="76"/>
      <c r="S96" s="148">
        <v>0</v>
      </c>
    </row>
    <row r="97" spans="3:19" ht="12" customHeight="1" x14ac:dyDescent="0.2">
      <c r="C97" s="156" t="s">
        <v>115</v>
      </c>
      <c r="D97" s="156"/>
      <c r="E97" s="156"/>
      <c r="F97" s="156"/>
      <c r="H97" s="76" t="s">
        <v>116</v>
      </c>
      <c r="I97" s="76"/>
      <c r="J97" s="76"/>
      <c r="K97" s="76"/>
      <c r="L97" s="76"/>
      <c r="M97" s="76"/>
      <c r="N97" s="76"/>
      <c r="O97" s="76"/>
      <c r="P97" s="76"/>
      <c r="Q97" s="76"/>
      <c r="S97" s="148">
        <v>0</v>
      </c>
    </row>
    <row r="98" spans="3:19" ht="12" customHeight="1" x14ac:dyDescent="0.2">
      <c r="C98" s="149" t="s">
        <v>600</v>
      </c>
      <c r="D98" s="146"/>
      <c r="E98" s="146"/>
      <c r="F98" s="146"/>
      <c r="H98" s="76" t="s">
        <v>601</v>
      </c>
      <c r="I98" s="76"/>
      <c r="J98" s="76"/>
      <c r="K98" s="76"/>
      <c r="L98" s="76"/>
      <c r="M98" s="76"/>
      <c r="N98" s="76"/>
      <c r="O98" s="76"/>
      <c r="P98" s="76"/>
      <c r="Q98" s="76"/>
      <c r="S98" s="148">
        <v>0</v>
      </c>
    </row>
    <row r="99" spans="3:19" ht="12" customHeight="1" x14ac:dyDescent="0.2">
      <c r="C99" s="156" t="s">
        <v>117</v>
      </c>
      <c r="D99" s="156"/>
      <c r="E99" s="156"/>
      <c r="F99" s="156"/>
      <c r="H99" s="76" t="s">
        <v>118</v>
      </c>
      <c r="I99" s="76"/>
      <c r="J99" s="76"/>
      <c r="K99" s="76"/>
      <c r="L99" s="76"/>
      <c r="M99" s="76"/>
      <c r="N99" s="76"/>
      <c r="O99" s="76"/>
      <c r="P99" s="76"/>
      <c r="Q99" s="76"/>
      <c r="S99" s="148">
        <v>8658651.8399999999</v>
      </c>
    </row>
    <row r="100" spans="3:19" ht="12" customHeight="1" x14ac:dyDescent="0.2">
      <c r="C100" s="156" t="s">
        <v>119</v>
      </c>
      <c r="D100" s="156"/>
      <c r="E100" s="156"/>
      <c r="F100" s="156"/>
      <c r="H100" s="76" t="s">
        <v>120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8">
        <v>9942.8700000000008</v>
      </c>
    </row>
    <row r="101" spans="3:19" ht="12" customHeight="1" x14ac:dyDescent="0.2">
      <c r="C101" s="156" t="s">
        <v>121</v>
      </c>
      <c r="D101" s="156"/>
      <c r="E101" s="156"/>
      <c r="F101" s="156"/>
      <c r="H101" s="76" t="s">
        <v>122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8">
        <v>196117.3</v>
      </c>
    </row>
    <row r="102" spans="3:19" ht="12" customHeight="1" x14ac:dyDescent="0.2">
      <c r="C102" s="156" t="s">
        <v>123</v>
      </c>
      <c r="D102" s="156"/>
      <c r="E102" s="156"/>
      <c r="F102" s="156"/>
      <c r="H102" s="76" t="s">
        <v>124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8">
        <v>5907.91</v>
      </c>
    </row>
    <row r="103" spans="3:19" ht="12" customHeight="1" x14ac:dyDescent="0.2">
      <c r="C103" s="156" t="s">
        <v>125</v>
      </c>
      <c r="D103" s="156"/>
      <c r="E103" s="156"/>
      <c r="F103" s="156"/>
      <c r="H103" s="76" t="s">
        <v>126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8">
        <v>107731</v>
      </c>
    </row>
    <row r="104" spans="3:19" ht="12" customHeight="1" x14ac:dyDescent="0.2">
      <c r="C104" s="156" t="s">
        <v>127</v>
      </c>
      <c r="D104" s="156"/>
      <c r="E104" s="156"/>
      <c r="F104" s="156"/>
      <c r="H104" s="76" t="s">
        <v>128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8">
        <v>148337.09</v>
      </c>
    </row>
    <row r="105" spans="3:19" ht="12" customHeight="1" x14ac:dyDescent="0.2">
      <c r="C105" s="156">
        <v>2231</v>
      </c>
      <c r="D105" s="156"/>
      <c r="E105" s="156"/>
      <c r="F105" s="156"/>
      <c r="H105" s="76" t="s">
        <v>686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8">
        <v>3137214.6</v>
      </c>
    </row>
    <row r="106" spans="3:19" ht="12" customHeight="1" x14ac:dyDescent="0.2">
      <c r="C106" s="156" t="s">
        <v>129</v>
      </c>
      <c r="D106" s="156"/>
      <c r="E106" s="156"/>
      <c r="F106" s="156"/>
      <c r="H106" s="76" t="s">
        <v>130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8">
        <v>81294.240000000005</v>
      </c>
    </row>
    <row r="107" spans="3:19" ht="12" customHeight="1" x14ac:dyDescent="0.2">
      <c r="C107" s="156">
        <v>2241</v>
      </c>
      <c r="D107" s="156"/>
      <c r="E107" s="156"/>
      <c r="F107" s="156"/>
      <c r="H107" s="76" t="s">
        <v>684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8">
        <v>-5094.75</v>
      </c>
    </row>
    <row r="108" spans="3:19" ht="12" customHeight="1" x14ac:dyDescent="0.2">
      <c r="C108" s="156" t="s">
        <v>131</v>
      </c>
      <c r="D108" s="156"/>
      <c r="E108" s="156"/>
      <c r="F108" s="156"/>
      <c r="H108" s="76" t="s">
        <v>716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8">
        <v>60000</v>
      </c>
    </row>
    <row r="109" spans="3:19" ht="12" customHeight="1" x14ac:dyDescent="0.2">
      <c r="C109" s="156" t="s">
        <v>132</v>
      </c>
      <c r="D109" s="156"/>
      <c r="E109" s="156"/>
      <c r="F109" s="156"/>
      <c r="H109" s="76" t="s">
        <v>133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8">
        <v>4175.3999999999996</v>
      </c>
    </row>
    <row r="110" spans="3:19" ht="12" customHeight="1" x14ac:dyDescent="0.2">
      <c r="C110" s="156">
        <v>2245</v>
      </c>
      <c r="D110" s="156"/>
      <c r="E110" s="156"/>
      <c r="F110" s="156"/>
      <c r="H110" s="76" t="s">
        <v>633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8">
        <v>50000</v>
      </c>
    </row>
    <row r="111" spans="3:19" ht="12" customHeight="1" x14ac:dyDescent="0.2">
      <c r="C111" s="156" t="s">
        <v>134</v>
      </c>
      <c r="D111" s="156"/>
      <c r="E111" s="156"/>
      <c r="F111" s="156"/>
      <c r="H111" s="76" t="s">
        <v>135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8"/>
    </row>
    <row r="112" spans="3:19" ht="12" customHeight="1" x14ac:dyDescent="0.2">
      <c r="C112" s="156" t="s">
        <v>136</v>
      </c>
      <c r="D112" s="156"/>
      <c r="E112" s="156"/>
      <c r="F112" s="156"/>
      <c r="H112" s="76" t="s">
        <v>137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8">
        <v>4149.3999999999996</v>
      </c>
    </row>
    <row r="113" spans="3:19" ht="12" customHeight="1" x14ac:dyDescent="0.2">
      <c r="C113" s="156" t="s">
        <v>138</v>
      </c>
      <c r="D113" s="156"/>
      <c r="E113" s="156"/>
      <c r="F113" s="156"/>
      <c r="H113" s="76" t="s">
        <v>139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8"/>
    </row>
    <row r="114" spans="3:19" ht="12" customHeight="1" x14ac:dyDescent="0.2">
      <c r="C114" s="156" t="s">
        <v>140</v>
      </c>
      <c r="D114" s="156"/>
      <c r="E114" s="156"/>
      <c r="F114" s="156"/>
      <c r="H114" s="76" t="s">
        <v>141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8"/>
    </row>
    <row r="115" spans="3:19" ht="12" customHeight="1" x14ac:dyDescent="0.2">
      <c r="C115" s="156" t="s">
        <v>142</v>
      </c>
      <c r="D115" s="156"/>
      <c r="E115" s="156"/>
      <c r="F115" s="156"/>
      <c r="H115" s="76" t="s">
        <v>143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8">
        <v>132276.25</v>
      </c>
    </row>
    <row r="116" spans="3:19" ht="12" customHeight="1" x14ac:dyDescent="0.2">
      <c r="C116" s="156" t="s">
        <v>144</v>
      </c>
      <c r="D116" s="156"/>
      <c r="E116" s="156"/>
      <c r="F116" s="156"/>
      <c r="H116" s="76" t="s">
        <v>402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8">
        <v>6700000</v>
      </c>
    </row>
    <row r="117" spans="3:19" ht="12" customHeight="1" x14ac:dyDescent="0.2">
      <c r="C117" s="156">
        <v>2301</v>
      </c>
      <c r="D117" s="156"/>
      <c r="E117" s="156"/>
      <c r="F117" s="156"/>
      <c r="H117" s="76" t="s">
        <v>403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8"/>
    </row>
    <row r="118" spans="3:19" ht="12" customHeight="1" x14ac:dyDescent="0.2">
      <c r="C118" s="163" t="s">
        <v>236</v>
      </c>
      <c r="D118" s="163"/>
      <c r="E118" s="163"/>
      <c r="F118" s="163"/>
      <c r="H118" s="163" t="s">
        <v>574</v>
      </c>
      <c r="I118" s="163"/>
      <c r="J118" s="163"/>
      <c r="K118" s="163"/>
      <c r="L118" s="163"/>
      <c r="M118" s="163"/>
      <c r="N118" s="163"/>
      <c r="O118" s="163"/>
      <c r="P118" s="163"/>
      <c r="Q118" s="163"/>
      <c r="S118" s="148">
        <v>759437.5</v>
      </c>
    </row>
    <row r="119" spans="3:19" ht="12" customHeight="1" x14ac:dyDescent="0.2">
      <c r="C119" s="163" t="s">
        <v>236</v>
      </c>
      <c r="D119" s="163"/>
      <c r="E119" s="163"/>
      <c r="F119" s="163"/>
      <c r="H119" s="163" t="s">
        <v>568</v>
      </c>
      <c r="I119" s="163"/>
      <c r="J119" s="163"/>
      <c r="K119" s="163"/>
      <c r="L119" s="163"/>
      <c r="M119" s="163"/>
      <c r="N119" s="163"/>
      <c r="O119" s="163"/>
      <c r="P119" s="163"/>
      <c r="Q119" s="163"/>
      <c r="S119" s="148">
        <v>17991.669999999998</v>
      </c>
    </row>
    <row r="120" spans="3:19" ht="12" customHeight="1" x14ac:dyDescent="0.2">
      <c r="C120" s="164" t="s">
        <v>541</v>
      </c>
      <c r="D120" s="156"/>
      <c r="E120" s="156"/>
      <c r="F120" s="156"/>
      <c r="H120" s="156" t="s">
        <v>545</v>
      </c>
      <c r="I120" s="156"/>
      <c r="J120" s="156"/>
      <c r="K120" s="156"/>
      <c r="L120" s="156"/>
      <c r="M120" s="156"/>
      <c r="N120" s="156"/>
      <c r="O120" s="156"/>
      <c r="P120" s="156"/>
      <c r="Q120" s="156"/>
      <c r="S120" s="148"/>
    </row>
    <row r="121" spans="3:19" ht="12" customHeight="1" x14ac:dyDescent="0.2">
      <c r="C121" s="164" t="s">
        <v>542</v>
      </c>
      <c r="D121" s="156"/>
      <c r="E121" s="156"/>
      <c r="F121" s="156"/>
      <c r="H121" s="156" t="s">
        <v>543</v>
      </c>
      <c r="I121" s="156"/>
      <c r="J121" s="156"/>
      <c r="K121" s="156"/>
      <c r="L121" s="156"/>
      <c r="M121" s="156"/>
      <c r="N121" s="156"/>
      <c r="O121" s="156"/>
      <c r="P121" s="156"/>
      <c r="Q121" s="156"/>
      <c r="S121" s="148"/>
    </row>
    <row r="122" spans="3:19" ht="12" customHeight="1" x14ac:dyDescent="0.2">
      <c r="C122" s="164">
        <v>2433</v>
      </c>
      <c r="D122" s="156"/>
      <c r="E122" s="156"/>
      <c r="F122" s="156"/>
      <c r="H122" s="156" t="s">
        <v>544</v>
      </c>
      <c r="I122" s="156"/>
      <c r="J122" s="156"/>
      <c r="K122" s="156"/>
      <c r="L122" s="156"/>
      <c r="M122" s="156"/>
      <c r="N122" s="156"/>
      <c r="O122" s="156"/>
      <c r="P122" s="156"/>
      <c r="Q122" s="156"/>
      <c r="S122" s="148"/>
    </row>
    <row r="123" spans="3:19" ht="12" customHeight="1" x14ac:dyDescent="0.2">
      <c r="C123" s="156" t="s">
        <v>146</v>
      </c>
      <c r="D123" s="156"/>
      <c r="E123" s="156"/>
      <c r="F123" s="156"/>
      <c r="H123" s="76" t="s">
        <v>404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48"/>
    </row>
    <row r="124" spans="3:19" ht="12" customHeight="1" x14ac:dyDescent="0.2">
      <c r="C124" s="156" t="s">
        <v>147</v>
      </c>
      <c r="D124" s="156"/>
      <c r="E124" s="156"/>
      <c r="F124" s="156"/>
      <c r="H124" s="76" t="s">
        <v>556</v>
      </c>
      <c r="I124" s="76"/>
      <c r="J124" s="76"/>
      <c r="K124" s="76"/>
      <c r="L124" s="76"/>
      <c r="M124" s="76"/>
      <c r="N124" s="76"/>
      <c r="O124" s="76"/>
      <c r="P124" s="76"/>
      <c r="Q124" s="76"/>
      <c r="S124" s="148">
        <v>34786.629999999997</v>
      </c>
    </row>
    <row r="125" spans="3:19" ht="12" customHeight="1" x14ac:dyDescent="0.2">
      <c r="C125" s="156" t="s">
        <v>587</v>
      </c>
      <c r="D125" s="156"/>
      <c r="E125" s="156"/>
      <c r="F125" s="156"/>
      <c r="H125" s="76" t="s">
        <v>588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48">
        <v>11046.45</v>
      </c>
    </row>
    <row r="126" spans="3:19" ht="12" customHeight="1" x14ac:dyDescent="0.2">
      <c r="C126" s="156" t="s">
        <v>730</v>
      </c>
      <c r="D126" s="156"/>
      <c r="E126" s="156"/>
      <c r="F126" s="156"/>
      <c r="H126" s="76" t="s">
        <v>731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48">
        <v>68320.36</v>
      </c>
    </row>
    <row r="127" spans="3:19" ht="12" customHeight="1" x14ac:dyDescent="0.2">
      <c r="C127" s="156" t="s">
        <v>634</v>
      </c>
      <c r="D127" s="156"/>
      <c r="E127" s="156"/>
      <c r="F127" s="156"/>
      <c r="H127" s="76" t="s">
        <v>635</v>
      </c>
      <c r="I127" s="76"/>
      <c r="J127" s="76"/>
      <c r="K127" s="76"/>
      <c r="L127" s="76"/>
      <c r="M127" s="76"/>
      <c r="N127" s="76"/>
      <c r="O127" s="76"/>
      <c r="P127" s="76"/>
      <c r="Q127" s="76"/>
      <c r="S127" s="148">
        <v>4914.1899999999996</v>
      </c>
    </row>
    <row r="128" spans="3:19" ht="12" customHeight="1" x14ac:dyDescent="0.2">
      <c r="C128" s="156" t="s">
        <v>621</v>
      </c>
      <c r="D128" s="156"/>
      <c r="E128" s="156"/>
      <c r="F128" s="156"/>
      <c r="H128" s="76" t="s">
        <v>622</v>
      </c>
      <c r="I128" s="76"/>
      <c r="J128" s="76"/>
      <c r="K128" s="76"/>
      <c r="L128" s="76"/>
      <c r="M128" s="76"/>
      <c r="N128" s="76"/>
      <c r="O128" s="76"/>
      <c r="P128" s="76"/>
      <c r="Q128" s="76"/>
      <c r="S128" s="148">
        <v>2323.1999999999998</v>
      </c>
    </row>
    <row r="129" spans="1:25" ht="12" customHeight="1" x14ac:dyDescent="0.2">
      <c r="H129" s="157" t="s">
        <v>148</v>
      </c>
      <c r="I129" s="157"/>
      <c r="J129" s="157"/>
      <c r="K129" s="157"/>
      <c r="L129" s="157"/>
      <c r="M129" s="157"/>
      <c r="N129" s="157"/>
      <c r="O129" s="157"/>
      <c r="P129" s="157"/>
      <c r="U129" s="160">
        <f>SUM(S89:S128)</f>
        <v>41942556.150000006</v>
      </c>
      <c r="V129" s="160"/>
      <c r="W129" s="160"/>
      <c r="Y129" s="77"/>
    </row>
    <row r="130" spans="1:25" ht="12" customHeight="1" x14ac:dyDescent="0.2"/>
    <row r="131" spans="1:25" ht="12" customHeight="1" x14ac:dyDescent="0.2">
      <c r="B131" s="157" t="s">
        <v>149</v>
      </c>
      <c r="C131" s="157"/>
      <c r="D131" s="157"/>
      <c r="E131" s="157"/>
      <c r="F131" s="157"/>
      <c r="G131" s="157"/>
      <c r="H131" s="157"/>
      <c r="I131" s="157"/>
      <c r="J131" s="157"/>
      <c r="K131" s="157"/>
    </row>
    <row r="132" spans="1:25" ht="12" customHeight="1" x14ac:dyDescent="0.2">
      <c r="B132" s="147"/>
      <c r="C132" s="156">
        <v>2403</v>
      </c>
      <c r="D132" s="156"/>
      <c r="E132" s="156"/>
      <c r="F132" s="156"/>
      <c r="G132" s="147"/>
      <c r="H132" s="156" t="s">
        <v>664</v>
      </c>
      <c r="I132" s="156"/>
      <c r="J132" s="156"/>
      <c r="K132" s="156"/>
      <c r="L132" s="156"/>
      <c r="M132" s="156"/>
      <c r="N132" s="156"/>
      <c r="O132" s="156"/>
      <c r="P132" s="156"/>
      <c r="Q132" s="156"/>
      <c r="S132" s="148">
        <v>200000</v>
      </c>
    </row>
    <row r="133" spans="1:25" ht="12" customHeight="1" x14ac:dyDescent="0.2">
      <c r="B133" s="147"/>
      <c r="C133" s="156">
        <v>2404</v>
      </c>
      <c r="D133" s="156"/>
      <c r="E133" s="156"/>
      <c r="F133" s="156"/>
      <c r="G133" s="147"/>
      <c r="H133" s="156" t="s">
        <v>665</v>
      </c>
      <c r="I133" s="156"/>
      <c r="J133" s="156"/>
      <c r="K133" s="156"/>
      <c r="L133" s="156"/>
      <c r="M133" s="156"/>
      <c r="N133" s="156"/>
      <c r="O133" s="156"/>
      <c r="P133" s="156"/>
      <c r="Q133" s="156"/>
      <c r="S133" s="148">
        <v>500000</v>
      </c>
    </row>
    <row r="134" spans="1:25" ht="12" customHeight="1" x14ac:dyDescent="0.2">
      <c r="C134" s="156" t="s">
        <v>150</v>
      </c>
      <c r="D134" s="156"/>
      <c r="E134" s="156"/>
      <c r="F134" s="156"/>
      <c r="H134" s="156" t="s">
        <v>151</v>
      </c>
      <c r="I134" s="156"/>
      <c r="J134" s="156"/>
      <c r="K134" s="156"/>
      <c r="L134" s="156"/>
      <c r="M134" s="156"/>
      <c r="N134" s="156"/>
      <c r="O134" s="156"/>
      <c r="P134" s="156"/>
      <c r="Q134" s="156"/>
      <c r="S134" s="148">
        <v>0</v>
      </c>
    </row>
    <row r="135" spans="1:25" ht="12" customHeight="1" x14ac:dyDescent="0.2">
      <c r="C135" s="156" t="s">
        <v>152</v>
      </c>
      <c r="D135" s="156"/>
      <c r="E135" s="156"/>
      <c r="F135" s="156"/>
      <c r="H135" s="156" t="s">
        <v>153</v>
      </c>
      <c r="I135" s="156"/>
      <c r="J135" s="156"/>
      <c r="K135" s="156"/>
      <c r="L135" s="156"/>
      <c r="M135" s="156"/>
      <c r="N135" s="156"/>
      <c r="O135" s="156"/>
      <c r="P135" s="156"/>
      <c r="Q135" s="156"/>
      <c r="S135" s="148">
        <v>16907.43</v>
      </c>
    </row>
    <row r="136" spans="1:25" ht="12" customHeight="1" x14ac:dyDescent="0.2">
      <c r="C136" s="156" t="s">
        <v>154</v>
      </c>
      <c r="D136" s="156"/>
      <c r="E136" s="156"/>
      <c r="F136" s="156"/>
      <c r="H136" s="156" t="s">
        <v>155</v>
      </c>
      <c r="I136" s="156"/>
      <c r="J136" s="156"/>
      <c r="K136" s="156"/>
      <c r="L136" s="156"/>
      <c r="M136" s="156"/>
      <c r="N136" s="156"/>
      <c r="O136" s="156"/>
      <c r="P136" s="156"/>
      <c r="Q136" s="156"/>
      <c r="S136" s="148">
        <v>4384.67</v>
      </c>
    </row>
    <row r="137" spans="1:25" ht="12" customHeight="1" x14ac:dyDescent="0.2">
      <c r="C137" s="156" t="s">
        <v>156</v>
      </c>
      <c r="D137" s="156"/>
      <c r="E137" s="156"/>
      <c r="F137" s="156"/>
      <c r="H137" s="156" t="s">
        <v>157</v>
      </c>
      <c r="I137" s="156"/>
      <c r="J137" s="156"/>
      <c r="K137" s="156"/>
      <c r="L137" s="156"/>
      <c r="M137" s="156"/>
      <c r="N137" s="156"/>
      <c r="O137" s="156"/>
      <c r="P137" s="156"/>
      <c r="Q137" s="156"/>
      <c r="S137" s="148">
        <v>20003.259999999998</v>
      </c>
    </row>
    <row r="138" spans="1:25" ht="12" customHeight="1" x14ac:dyDescent="0.2">
      <c r="C138" s="156">
        <v>2434</v>
      </c>
      <c r="D138" s="156"/>
      <c r="E138" s="156"/>
      <c r="F138" s="156"/>
      <c r="H138" s="156" t="s">
        <v>732</v>
      </c>
      <c r="I138" s="156"/>
      <c r="J138" s="156"/>
      <c r="K138" s="156"/>
      <c r="L138" s="156"/>
      <c r="M138" s="156"/>
      <c r="N138" s="156"/>
      <c r="O138" s="156"/>
      <c r="P138" s="156"/>
      <c r="Q138" s="156"/>
      <c r="S138" s="148">
        <v>2008842.81</v>
      </c>
    </row>
    <row r="139" spans="1:25" ht="12" customHeight="1" x14ac:dyDescent="0.2">
      <c r="C139" s="146"/>
      <c r="D139" s="146"/>
      <c r="E139" s="146"/>
      <c r="F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S139" s="148"/>
    </row>
    <row r="140" spans="1:25" ht="12" customHeight="1" x14ac:dyDescent="0.2">
      <c r="H140" s="157" t="s">
        <v>158</v>
      </c>
      <c r="I140" s="157"/>
      <c r="J140" s="157"/>
      <c r="K140" s="157"/>
      <c r="L140" s="157"/>
      <c r="M140" s="157"/>
      <c r="N140" s="157"/>
      <c r="O140" s="157"/>
      <c r="P140" s="157"/>
      <c r="U140" s="161">
        <f>SUM(S132:S138)</f>
        <v>2750138.17</v>
      </c>
      <c r="V140" s="161"/>
      <c r="W140" s="161"/>
    </row>
    <row r="141" spans="1:25" ht="12" customHeight="1" x14ac:dyDescent="0.2"/>
    <row r="142" spans="1:25" ht="12" customHeight="1" x14ac:dyDescent="0.2">
      <c r="I142" s="157" t="s">
        <v>159</v>
      </c>
      <c r="J142" s="157"/>
      <c r="K142" s="157"/>
      <c r="L142" s="157"/>
      <c r="M142" s="157"/>
      <c r="N142" s="157"/>
      <c r="O142" s="157"/>
      <c r="P142" s="157"/>
      <c r="U142" s="160">
        <f>U129+U140</f>
        <v>44692694.320000008</v>
      </c>
      <c r="V142" s="160"/>
      <c r="W142" s="160"/>
    </row>
    <row r="143" spans="1:25" ht="12" customHeight="1" x14ac:dyDescent="0.2"/>
    <row r="144" spans="1:25" ht="12" customHeight="1" x14ac:dyDescent="0.2">
      <c r="A144" s="157" t="s">
        <v>160</v>
      </c>
      <c r="B144" s="157"/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</row>
    <row r="145" spans="3:23" ht="12" customHeight="1" x14ac:dyDescent="0.2">
      <c r="C145" s="156" t="s">
        <v>161</v>
      </c>
      <c r="D145" s="156"/>
      <c r="E145" s="156"/>
      <c r="F145" s="156"/>
      <c r="H145" s="156" t="s">
        <v>162</v>
      </c>
      <c r="I145" s="156"/>
      <c r="J145" s="156"/>
      <c r="K145" s="156"/>
      <c r="L145" s="156"/>
      <c r="M145" s="156"/>
      <c r="N145" s="156"/>
      <c r="O145" s="156"/>
      <c r="P145" s="156"/>
      <c r="Q145" s="156"/>
      <c r="S145" s="148">
        <v>152325</v>
      </c>
    </row>
    <row r="146" spans="3:23" ht="12" customHeight="1" x14ac:dyDescent="0.2">
      <c r="C146" s="156" t="s">
        <v>163</v>
      </c>
      <c r="D146" s="156"/>
      <c r="E146" s="156"/>
      <c r="F146" s="156"/>
      <c r="H146" s="156" t="s">
        <v>164</v>
      </c>
      <c r="I146" s="156"/>
      <c r="J146" s="156"/>
      <c r="K146" s="156"/>
      <c r="L146" s="156"/>
      <c r="M146" s="156"/>
      <c r="N146" s="156"/>
      <c r="O146" s="156"/>
      <c r="P146" s="156"/>
      <c r="Q146" s="156"/>
      <c r="S146" s="148">
        <v>1709758</v>
      </c>
    </row>
    <row r="147" spans="3:23" ht="12" customHeight="1" x14ac:dyDescent="0.2">
      <c r="C147" s="156" t="s">
        <v>165</v>
      </c>
      <c r="D147" s="156"/>
      <c r="E147" s="156"/>
      <c r="F147" s="156"/>
      <c r="H147" s="156" t="s">
        <v>166</v>
      </c>
      <c r="I147" s="156"/>
      <c r="J147" s="156"/>
      <c r="K147" s="156"/>
      <c r="L147" s="156"/>
      <c r="M147" s="156"/>
      <c r="N147" s="156"/>
      <c r="O147" s="156"/>
      <c r="P147" s="156"/>
      <c r="Q147" s="156"/>
      <c r="S147" s="148">
        <v>20424264.579999998</v>
      </c>
    </row>
    <row r="148" spans="3:23" ht="11.25" customHeight="1" x14ac:dyDescent="0.2">
      <c r="C148" s="156" t="s">
        <v>165</v>
      </c>
      <c r="D148" s="156"/>
      <c r="E148" s="156"/>
      <c r="F148" s="156"/>
      <c r="H148" s="156" t="s">
        <v>167</v>
      </c>
      <c r="I148" s="156"/>
      <c r="J148" s="156"/>
      <c r="K148" s="156"/>
      <c r="L148" s="156"/>
      <c r="M148" s="156"/>
      <c r="N148" s="156"/>
      <c r="O148" s="156"/>
      <c r="P148" s="156"/>
      <c r="Q148" s="156"/>
      <c r="S148" s="148">
        <v>-51086.91</v>
      </c>
    </row>
    <row r="149" spans="3:23" ht="11.25" customHeight="1" x14ac:dyDescent="0.2">
      <c r="C149" s="164" t="s">
        <v>546</v>
      </c>
      <c r="D149" s="156"/>
      <c r="E149" s="156"/>
      <c r="F149" s="156"/>
      <c r="H149" s="156" t="s">
        <v>547</v>
      </c>
      <c r="I149" s="156"/>
      <c r="J149" s="156"/>
      <c r="K149" s="156"/>
      <c r="L149" s="156"/>
      <c r="M149" s="156"/>
      <c r="N149" s="156"/>
      <c r="O149" s="156"/>
      <c r="P149" s="156"/>
      <c r="Q149" s="156"/>
      <c r="S149" s="148">
        <v>0</v>
      </c>
    </row>
    <row r="150" spans="3:23" ht="12" customHeight="1" x14ac:dyDescent="0.2">
      <c r="C150" s="156" t="s">
        <v>168</v>
      </c>
      <c r="D150" s="156"/>
      <c r="E150" s="156"/>
      <c r="F150" s="156"/>
      <c r="H150" s="156" t="s">
        <v>169</v>
      </c>
      <c r="I150" s="156"/>
      <c r="J150" s="156"/>
      <c r="K150" s="156"/>
      <c r="L150" s="156"/>
      <c r="M150" s="156"/>
      <c r="N150" s="156"/>
      <c r="O150" s="156"/>
      <c r="P150" s="156"/>
      <c r="Q150" s="156"/>
      <c r="S150" s="148">
        <v>0</v>
      </c>
    </row>
    <row r="151" spans="3:23" ht="12" customHeight="1" x14ac:dyDescent="0.2">
      <c r="C151" s="156" t="s">
        <v>170</v>
      </c>
      <c r="D151" s="156"/>
      <c r="E151" s="156"/>
      <c r="F151" s="156"/>
      <c r="H151" s="156" t="s">
        <v>171</v>
      </c>
      <c r="I151" s="156"/>
      <c r="J151" s="156"/>
      <c r="K151" s="156"/>
      <c r="L151" s="156"/>
      <c r="M151" s="156"/>
      <c r="N151" s="156"/>
      <c r="O151" s="156"/>
      <c r="P151" s="156"/>
      <c r="Q151" s="156"/>
      <c r="S151" s="148">
        <v>-6000</v>
      </c>
    </row>
    <row r="152" spans="3:23" ht="12" customHeight="1" x14ac:dyDescent="0.2">
      <c r="C152" s="156" t="s">
        <v>172</v>
      </c>
      <c r="D152" s="156"/>
      <c r="E152" s="156"/>
      <c r="F152" s="156"/>
      <c r="H152" s="156" t="s">
        <v>173</v>
      </c>
      <c r="I152" s="156"/>
      <c r="J152" s="156"/>
      <c r="K152" s="156"/>
      <c r="L152" s="156"/>
      <c r="M152" s="156"/>
      <c r="N152" s="156"/>
      <c r="O152" s="156"/>
      <c r="P152" s="156"/>
      <c r="Q152" s="156"/>
      <c r="S152" s="148">
        <v>-6000</v>
      </c>
    </row>
    <row r="153" spans="3:23" ht="12" customHeight="1" x14ac:dyDescent="0.2">
      <c r="C153" s="156" t="s">
        <v>174</v>
      </c>
      <c r="D153" s="156"/>
      <c r="E153" s="156"/>
      <c r="F153" s="156"/>
      <c r="H153" s="156" t="s">
        <v>175</v>
      </c>
      <c r="I153" s="156"/>
      <c r="J153" s="156"/>
      <c r="K153" s="156"/>
      <c r="L153" s="156"/>
      <c r="M153" s="156"/>
      <c r="N153" s="156"/>
      <c r="O153" s="156"/>
      <c r="P153" s="156"/>
      <c r="Q153" s="156"/>
      <c r="S153" s="78">
        <v>-6000</v>
      </c>
    </row>
    <row r="154" spans="3:23" ht="12" customHeight="1" x14ac:dyDescent="0.2">
      <c r="C154" s="156">
        <v>3554</v>
      </c>
      <c r="D154" s="156"/>
      <c r="E154" s="156"/>
      <c r="F154" s="156"/>
      <c r="H154" s="156" t="s">
        <v>232</v>
      </c>
      <c r="I154" s="156"/>
      <c r="J154" s="156"/>
      <c r="K154" s="156"/>
      <c r="L154" s="156"/>
      <c r="M154" s="156"/>
      <c r="N154" s="156"/>
      <c r="O154" s="156"/>
      <c r="P154" s="156"/>
      <c r="Q154" s="156"/>
      <c r="S154" s="150">
        <v>0</v>
      </c>
    </row>
    <row r="155" spans="3:23" ht="12" customHeight="1" x14ac:dyDescent="0.2">
      <c r="I155" s="157" t="s">
        <v>176</v>
      </c>
      <c r="J155" s="157"/>
      <c r="K155" s="157"/>
      <c r="L155" s="157"/>
      <c r="M155" s="157"/>
      <c r="N155" s="157"/>
      <c r="O155" s="157"/>
      <c r="P155" s="157"/>
      <c r="U155" s="160">
        <f>SUM(S145:S154)</f>
        <v>22217260.669999998</v>
      </c>
      <c r="V155" s="160"/>
      <c r="W155" s="160"/>
    </row>
    <row r="156" spans="3:23" ht="12" customHeight="1" x14ac:dyDescent="0.2">
      <c r="I156" s="157" t="s">
        <v>177</v>
      </c>
      <c r="J156" s="157"/>
      <c r="K156" s="157"/>
      <c r="L156" s="157"/>
      <c r="M156" s="157"/>
      <c r="N156" s="157"/>
      <c r="O156" s="157"/>
      <c r="P156" s="157"/>
    </row>
    <row r="157" spans="3:23" ht="12" customHeight="1" thickBot="1" x14ac:dyDescent="0.25">
      <c r="I157" s="157"/>
      <c r="J157" s="157"/>
      <c r="K157" s="157"/>
      <c r="L157" s="157"/>
      <c r="M157" s="157"/>
      <c r="N157" s="157"/>
      <c r="O157" s="157"/>
      <c r="P157" s="157"/>
      <c r="U157" s="165">
        <f>U142+U155</f>
        <v>66909954.99000001</v>
      </c>
      <c r="V157" s="165"/>
      <c r="W157" s="165"/>
    </row>
    <row r="158" spans="3:23" ht="12" customHeight="1" thickTop="1" x14ac:dyDescent="0.2">
      <c r="U158" s="160"/>
      <c r="V158" s="160"/>
      <c r="W158" s="160"/>
    </row>
    <row r="159" spans="3:23" ht="12" customHeight="1" x14ac:dyDescent="0.2">
      <c r="U159" s="160"/>
      <c r="V159" s="160"/>
      <c r="W159" s="160"/>
    </row>
    <row r="160" spans="3:23" ht="12" customHeight="1" x14ac:dyDescent="0.2">
      <c r="S160" s="75" t="s">
        <v>405</v>
      </c>
      <c r="U160" s="160">
        <f>U84-U157</f>
        <v>0</v>
      </c>
      <c r="V160" s="160"/>
      <c r="W160" s="160"/>
    </row>
    <row r="161" ht="12" customHeight="1" x14ac:dyDescent="0.2"/>
    <row r="162" ht="12" customHeight="1" x14ac:dyDescent="0.2"/>
    <row r="163" ht="12" customHeight="1" x14ac:dyDescent="0.2"/>
  </sheetData>
  <mergeCells count="192">
    <mergeCell ref="I142:P142"/>
    <mergeCell ref="U142:W142"/>
    <mergeCell ref="A144:M144"/>
    <mergeCell ref="U159:W159"/>
    <mergeCell ref="C145:F145"/>
    <mergeCell ref="H145:Q145"/>
    <mergeCell ref="C146:F146"/>
    <mergeCell ref="U129:W129"/>
    <mergeCell ref="B131:K131"/>
    <mergeCell ref="C134:F134"/>
    <mergeCell ref="H134:Q134"/>
    <mergeCell ref="C136:F136"/>
    <mergeCell ref="C135:F135"/>
    <mergeCell ref="H146:Q146"/>
    <mergeCell ref="C149:F149"/>
    <mergeCell ref="H149:Q149"/>
    <mergeCell ref="H140:P140"/>
    <mergeCell ref="C147:F147"/>
    <mergeCell ref="H147:Q147"/>
    <mergeCell ref="C148:F148"/>
    <mergeCell ref="H148:Q148"/>
    <mergeCell ref="U140:W140"/>
    <mergeCell ref="C137:F137"/>
    <mergeCell ref="H137:Q137"/>
    <mergeCell ref="C117:F117"/>
    <mergeCell ref="C120:F120"/>
    <mergeCell ref="C121:F121"/>
    <mergeCell ref="C122:F122"/>
    <mergeCell ref="C125:F125"/>
    <mergeCell ref="C128:F128"/>
    <mergeCell ref="C110:F110"/>
    <mergeCell ref="C127:F127"/>
    <mergeCell ref="U160:W160"/>
    <mergeCell ref="I155:P155"/>
    <mergeCell ref="U155:W155"/>
    <mergeCell ref="I156:P157"/>
    <mergeCell ref="U157:W157"/>
    <mergeCell ref="U158:W158"/>
    <mergeCell ref="H151:Q151"/>
    <mergeCell ref="C152:F152"/>
    <mergeCell ref="H152:Q152"/>
    <mergeCell ref="C153:F153"/>
    <mergeCell ref="H153:Q153"/>
    <mergeCell ref="C154:F154"/>
    <mergeCell ref="H154:Q154"/>
    <mergeCell ref="C150:F150"/>
    <mergeCell ref="C151:F151"/>
    <mergeCell ref="H150:Q150"/>
    <mergeCell ref="C118:F118"/>
    <mergeCell ref="H120:Q120"/>
    <mergeCell ref="H121:Q121"/>
    <mergeCell ref="H122:Q122"/>
    <mergeCell ref="H135:Q135"/>
    <mergeCell ref="H136:Q136"/>
    <mergeCell ref="C119:F119"/>
    <mergeCell ref="H119:Q119"/>
    <mergeCell ref="H129:P129"/>
    <mergeCell ref="C123:F123"/>
    <mergeCell ref="C124:F124"/>
    <mergeCell ref="C133:F133"/>
    <mergeCell ref="C132:F132"/>
    <mergeCell ref="H133:Q133"/>
    <mergeCell ref="H132:Q132"/>
    <mergeCell ref="H118:Q118"/>
    <mergeCell ref="C126:F126"/>
    <mergeCell ref="U81:W81"/>
    <mergeCell ref="C90:F90"/>
    <mergeCell ref="C91:F91"/>
    <mergeCell ref="C93:F93"/>
    <mergeCell ref="I84:P84"/>
    <mergeCell ref="U84:W84"/>
    <mergeCell ref="A86:M86"/>
    <mergeCell ref="B88:K88"/>
    <mergeCell ref="C89:F89"/>
    <mergeCell ref="D83:G83"/>
    <mergeCell ref="H83:Q83"/>
    <mergeCell ref="C92:F92"/>
    <mergeCell ref="C116:F116"/>
    <mergeCell ref="C109:F109"/>
    <mergeCell ref="C111:F111"/>
    <mergeCell ref="C112:F112"/>
    <mergeCell ref="C104:F104"/>
    <mergeCell ref="C106:F106"/>
    <mergeCell ref="C108:F108"/>
    <mergeCell ref="C101:F101"/>
    <mergeCell ref="C102:F102"/>
    <mergeCell ref="C103:F103"/>
    <mergeCell ref="C113:F113"/>
    <mergeCell ref="C114:F114"/>
    <mergeCell ref="C115:F115"/>
    <mergeCell ref="C105:F105"/>
    <mergeCell ref="U59:W59"/>
    <mergeCell ref="C47:F47"/>
    <mergeCell ref="C48:F48"/>
    <mergeCell ref="C49:F49"/>
    <mergeCell ref="C57:F57"/>
    <mergeCell ref="B61:K61"/>
    <mergeCell ref="C58:F58"/>
    <mergeCell ref="C44:F44"/>
    <mergeCell ref="C45:F45"/>
    <mergeCell ref="C46:F46"/>
    <mergeCell ref="C54:F54"/>
    <mergeCell ref="C52:F52"/>
    <mergeCell ref="C17:F17"/>
    <mergeCell ref="C9:F9"/>
    <mergeCell ref="C37:F37"/>
    <mergeCell ref="C40:F40"/>
    <mergeCell ref="C43:F43"/>
    <mergeCell ref="C50:F50"/>
    <mergeCell ref="C51:F51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41:F41"/>
    <mergeCell ref="C39:F39"/>
    <mergeCell ref="C18:F18"/>
    <mergeCell ref="C19:F19"/>
    <mergeCell ref="C20:F20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C79:F79"/>
    <mergeCell ref="H79:Q79"/>
    <mergeCell ref="C107:F107"/>
    <mergeCell ref="C80:F80"/>
    <mergeCell ref="C78:F78"/>
    <mergeCell ref="H78:Q78"/>
    <mergeCell ref="C74:F74"/>
    <mergeCell ref="C77:F77"/>
    <mergeCell ref="H77:Q77"/>
    <mergeCell ref="H80:Q80"/>
    <mergeCell ref="H81:P81"/>
    <mergeCell ref="C76:F76"/>
    <mergeCell ref="H76:Q76"/>
    <mergeCell ref="C97:F97"/>
    <mergeCell ref="C99:F99"/>
    <mergeCell ref="C100:F100"/>
    <mergeCell ref="C96:F96"/>
    <mergeCell ref="C94:F94"/>
    <mergeCell ref="C95:F95"/>
    <mergeCell ref="C138:F138"/>
    <mergeCell ref="H138:Q138"/>
    <mergeCell ref="C21:F21"/>
    <mergeCell ref="C22:F22"/>
    <mergeCell ref="C23:F23"/>
    <mergeCell ref="C65:F65"/>
    <mergeCell ref="H65:Q65"/>
    <mergeCell ref="C66:F66"/>
    <mergeCell ref="H66:Q66"/>
    <mergeCell ref="C67:F67"/>
    <mergeCell ref="H67:Q67"/>
    <mergeCell ref="C27:F27"/>
    <mergeCell ref="H59:P59"/>
    <mergeCell ref="C63:F63"/>
    <mergeCell ref="H63:Q63"/>
    <mergeCell ref="C64:F64"/>
    <mergeCell ref="H64:Q64"/>
    <mergeCell ref="C38:F38"/>
    <mergeCell ref="C53:F53"/>
    <mergeCell ref="C42:F42"/>
    <mergeCell ref="C73:F73"/>
    <mergeCell ref="H73:Q73"/>
    <mergeCell ref="C75:F75"/>
    <mergeCell ref="H75:Q75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70"/>
  <sheetViews>
    <sheetView showGridLines="0" topLeftCell="A32" workbookViewId="0">
      <selection activeCell="AA73" sqref="AA7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4" ht="12" customHeight="1" x14ac:dyDescent="0.2">
      <c r="A2" s="158" t="s">
        <v>737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12" customHeight="1" x14ac:dyDescent="0.2">
      <c r="A3" s="159" t="s">
        <v>194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4" ht="12" customHeight="1" x14ac:dyDescent="0.2"/>
    <row r="5" spans="1:24" ht="12" customHeight="1" x14ac:dyDescent="0.2">
      <c r="A5" s="157" t="s">
        <v>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24" ht="12" customHeight="1" x14ac:dyDescent="0.2">
      <c r="B6" s="157" t="s">
        <v>3</v>
      </c>
      <c r="C6" s="157"/>
      <c r="D6" s="157"/>
      <c r="E6" s="157"/>
      <c r="F6" s="157"/>
      <c r="G6" s="157"/>
      <c r="H6" s="157"/>
      <c r="I6" s="157"/>
      <c r="J6" s="157"/>
      <c r="K6" s="157"/>
    </row>
    <row r="7" spans="1:24" ht="12" customHeight="1" x14ac:dyDescent="0.2">
      <c r="C7" s="156" t="s">
        <v>6</v>
      </c>
      <c r="D7" s="156"/>
      <c r="E7" s="156"/>
      <c r="F7" s="156"/>
      <c r="H7" s="156" t="s">
        <v>195</v>
      </c>
      <c r="I7" s="156"/>
      <c r="J7" s="156"/>
      <c r="K7" s="156"/>
      <c r="L7" s="156"/>
      <c r="M7" s="156"/>
      <c r="N7" s="156"/>
      <c r="O7" s="156"/>
      <c r="P7" s="156"/>
      <c r="Q7" s="156"/>
      <c r="S7" s="125">
        <v>358857.12</v>
      </c>
    </row>
    <row r="8" spans="1:24" ht="12" customHeight="1" x14ac:dyDescent="0.2">
      <c r="C8" s="156" t="s">
        <v>16</v>
      </c>
      <c r="D8" s="156"/>
      <c r="E8" s="156"/>
      <c r="F8" s="156"/>
      <c r="H8" s="156" t="s">
        <v>17</v>
      </c>
      <c r="I8" s="156"/>
      <c r="J8" s="156"/>
      <c r="K8" s="156"/>
      <c r="L8" s="156"/>
      <c r="M8" s="156"/>
      <c r="N8" s="156"/>
      <c r="O8" s="156"/>
      <c r="P8" s="156"/>
      <c r="Q8" s="156"/>
      <c r="S8" s="125">
        <v>9213.5400000000009</v>
      </c>
    </row>
    <row r="9" spans="1:24" ht="12" customHeight="1" x14ac:dyDescent="0.2">
      <c r="A9" s="75">
        <v>1235</v>
      </c>
      <c r="C9" s="156" t="s">
        <v>182</v>
      </c>
      <c r="D9" s="156"/>
      <c r="E9" s="156"/>
      <c r="F9" s="156"/>
      <c r="H9" s="156" t="s">
        <v>61</v>
      </c>
      <c r="I9" s="156"/>
      <c r="J9" s="156"/>
      <c r="K9" s="156"/>
      <c r="L9" s="156"/>
      <c r="M9" s="156"/>
      <c r="N9" s="156"/>
      <c r="O9" s="156"/>
      <c r="P9" s="156"/>
      <c r="Q9" s="156"/>
      <c r="S9" s="125"/>
    </row>
    <row r="10" spans="1:24" ht="12" customHeight="1" x14ac:dyDescent="0.2">
      <c r="C10" s="156" t="s">
        <v>182</v>
      </c>
      <c r="D10" s="156"/>
      <c r="E10" s="156"/>
      <c r="F10" s="156"/>
      <c r="H10" s="156" t="s">
        <v>183</v>
      </c>
      <c r="I10" s="156"/>
      <c r="J10" s="156"/>
      <c r="K10" s="156"/>
      <c r="L10" s="156"/>
      <c r="M10" s="156"/>
      <c r="N10" s="156"/>
      <c r="O10" s="156"/>
      <c r="P10" s="156"/>
      <c r="Q10" s="156"/>
      <c r="S10" s="145"/>
    </row>
    <row r="11" spans="1:24" ht="12" customHeight="1" x14ac:dyDescent="0.2">
      <c r="C11" s="156">
        <v>1239</v>
      </c>
      <c r="D11" s="156"/>
      <c r="E11" s="156"/>
      <c r="F11" s="156"/>
      <c r="H11" s="156" t="s">
        <v>45</v>
      </c>
      <c r="I11" s="156"/>
      <c r="J11" s="156"/>
      <c r="K11" s="156"/>
      <c r="L11" s="156"/>
      <c r="M11" s="156"/>
      <c r="N11" s="156"/>
      <c r="O11" s="156"/>
      <c r="P11" s="156"/>
      <c r="Q11" s="156"/>
      <c r="S11" s="125"/>
    </row>
    <row r="12" spans="1:24" ht="12" customHeight="1" x14ac:dyDescent="0.2">
      <c r="C12" s="156" t="s">
        <v>46</v>
      </c>
      <c r="D12" s="156"/>
      <c r="E12" s="156"/>
      <c r="F12" s="156"/>
      <c r="H12" s="156" t="s">
        <v>196</v>
      </c>
      <c r="I12" s="156"/>
      <c r="J12" s="156"/>
      <c r="K12" s="156"/>
      <c r="L12" s="156"/>
      <c r="M12" s="156"/>
      <c r="N12" s="156"/>
      <c r="O12" s="156"/>
      <c r="P12" s="156"/>
      <c r="Q12" s="156"/>
      <c r="S12" s="125">
        <v>3669</v>
      </c>
    </row>
    <row r="13" spans="1:24" ht="12" customHeight="1" x14ac:dyDescent="0.2">
      <c r="C13" s="156" t="s">
        <v>48</v>
      </c>
      <c r="D13" s="156"/>
      <c r="E13" s="156"/>
      <c r="F13" s="156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/>
    </row>
    <row r="14" spans="1:24" ht="12" customHeight="1" x14ac:dyDescent="0.2">
      <c r="C14" s="156">
        <v>1243</v>
      </c>
      <c r="D14" s="156"/>
      <c r="E14" s="156"/>
      <c r="F14" s="156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56" t="s">
        <v>197</v>
      </c>
      <c r="D15" s="156"/>
      <c r="E15" s="156"/>
      <c r="F15" s="156"/>
      <c r="H15" s="156" t="s">
        <v>198</v>
      </c>
      <c r="I15" s="156"/>
      <c r="J15" s="156"/>
      <c r="K15" s="156"/>
      <c r="L15" s="156"/>
      <c r="M15" s="156"/>
      <c r="N15" s="156"/>
      <c r="O15" s="156"/>
      <c r="P15" s="156"/>
      <c r="Q15" s="156"/>
      <c r="S15" s="125"/>
    </row>
    <row r="16" spans="1:24" ht="12" customHeight="1" x14ac:dyDescent="0.2">
      <c r="C16" s="156">
        <v>1251</v>
      </c>
      <c r="D16" s="156"/>
      <c r="E16" s="156"/>
      <c r="F16" s="156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/>
    </row>
    <row r="17" spans="2:23" ht="12" customHeight="1" x14ac:dyDescent="0.2">
      <c r="C17" s="156">
        <v>1252</v>
      </c>
      <c r="D17" s="156"/>
      <c r="E17" s="156"/>
      <c r="F17" s="156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/>
    </row>
    <row r="18" spans="2:23" ht="12" customHeight="1" x14ac:dyDescent="0.2">
      <c r="C18" s="156">
        <v>1253</v>
      </c>
      <c r="D18" s="156"/>
      <c r="E18" s="156"/>
      <c r="F18" s="156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/>
    </row>
    <row r="19" spans="2:23" ht="12" customHeight="1" x14ac:dyDescent="0.2">
      <c r="H19" s="157" t="s">
        <v>73</v>
      </c>
      <c r="I19" s="157"/>
      <c r="J19" s="157"/>
      <c r="K19" s="157"/>
      <c r="L19" s="157"/>
      <c r="M19" s="157"/>
      <c r="N19" s="157"/>
      <c r="O19" s="157"/>
      <c r="P19" s="157"/>
      <c r="U19" s="160">
        <f>SUM(S7:S18)</f>
        <v>371739.66</v>
      </c>
      <c r="V19" s="160"/>
      <c r="W19" s="160"/>
    </row>
    <row r="20" spans="2:23" ht="12" customHeight="1" x14ac:dyDescent="0.2"/>
    <row r="21" spans="2:23" ht="12" customHeight="1" x14ac:dyDescent="0.2">
      <c r="B21" s="157" t="s">
        <v>74</v>
      </c>
      <c r="C21" s="157"/>
      <c r="D21" s="157"/>
      <c r="E21" s="157"/>
      <c r="F21" s="157"/>
      <c r="G21" s="157"/>
      <c r="H21" s="157"/>
      <c r="I21" s="157"/>
      <c r="J21" s="157"/>
      <c r="K21" s="157"/>
    </row>
    <row r="22" spans="2:23" ht="12" customHeight="1" x14ac:dyDescent="0.2">
      <c r="C22" s="156" t="s">
        <v>75</v>
      </c>
      <c r="D22" s="156"/>
      <c r="E22" s="156"/>
      <c r="F22" s="156"/>
      <c r="H22" s="156" t="s">
        <v>186</v>
      </c>
      <c r="I22" s="156"/>
      <c r="J22" s="156"/>
      <c r="K22" s="156"/>
      <c r="L22" s="156"/>
      <c r="M22" s="156"/>
      <c r="N22" s="156"/>
      <c r="O22" s="156"/>
      <c r="P22" s="156"/>
      <c r="Q22" s="156"/>
      <c r="S22" s="125">
        <v>8577.17</v>
      </c>
    </row>
    <row r="23" spans="2:23" ht="12" customHeight="1" x14ac:dyDescent="0.2">
      <c r="C23" s="156" t="s">
        <v>81</v>
      </c>
      <c r="D23" s="156"/>
      <c r="E23" s="156"/>
      <c r="F23" s="156"/>
      <c r="H23" s="156" t="s">
        <v>201</v>
      </c>
      <c r="I23" s="156"/>
      <c r="J23" s="156"/>
      <c r="K23" s="156"/>
      <c r="L23" s="156"/>
      <c r="M23" s="156"/>
      <c r="N23" s="156"/>
      <c r="O23" s="156"/>
      <c r="P23" s="156"/>
      <c r="Q23" s="156"/>
      <c r="S23" s="125"/>
    </row>
    <row r="24" spans="2:23" ht="12" customHeight="1" x14ac:dyDescent="0.2">
      <c r="C24" s="156" t="s">
        <v>87</v>
      </c>
      <c r="D24" s="156"/>
      <c r="E24" s="156"/>
      <c r="F24" s="156"/>
      <c r="H24" s="156" t="s">
        <v>88</v>
      </c>
      <c r="I24" s="156"/>
      <c r="J24" s="156"/>
      <c r="K24" s="156"/>
      <c r="L24" s="156"/>
      <c r="M24" s="156"/>
      <c r="N24" s="156"/>
      <c r="O24" s="156"/>
      <c r="P24" s="156"/>
      <c r="Q24" s="156"/>
      <c r="S24" s="125">
        <v>20237.79</v>
      </c>
    </row>
    <row r="25" spans="2:23" ht="12" customHeight="1" x14ac:dyDescent="0.2">
      <c r="C25" s="156">
        <v>1335</v>
      </c>
      <c r="D25" s="156"/>
      <c r="E25" s="156"/>
      <c r="F25" s="156"/>
      <c r="H25" s="156" t="s">
        <v>720</v>
      </c>
      <c r="I25" s="156"/>
      <c r="J25" s="156"/>
      <c r="K25" s="156"/>
      <c r="L25" s="156"/>
      <c r="M25" s="156"/>
      <c r="N25" s="156"/>
      <c r="O25" s="156"/>
      <c r="P25" s="156"/>
      <c r="Q25" s="156"/>
      <c r="S25" s="145"/>
    </row>
    <row r="26" spans="2:23" ht="12" customHeight="1" x14ac:dyDescent="0.2">
      <c r="C26" s="156">
        <v>1335</v>
      </c>
      <c r="D26" s="156"/>
      <c r="E26" s="156"/>
      <c r="F26" s="156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/>
    </row>
    <row r="27" spans="2:23" ht="12" customHeight="1" x14ac:dyDescent="0.2">
      <c r="C27" s="156" t="s">
        <v>99</v>
      </c>
      <c r="D27" s="156"/>
      <c r="E27" s="156"/>
      <c r="F27" s="156"/>
      <c r="H27" s="156" t="s">
        <v>187</v>
      </c>
      <c r="I27" s="156"/>
      <c r="J27" s="156"/>
      <c r="K27" s="156"/>
      <c r="L27" s="156"/>
      <c r="M27" s="156"/>
      <c r="N27" s="156"/>
      <c r="O27" s="156"/>
      <c r="P27" s="156"/>
      <c r="Q27" s="156"/>
      <c r="S27" s="126">
        <v>-19854.54</v>
      </c>
    </row>
    <row r="28" spans="2:23" ht="12" customHeight="1" x14ac:dyDescent="0.2">
      <c r="H28" s="157" t="s">
        <v>103</v>
      </c>
      <c r="I28" s="157"/>
      <c r="J28" s="157"/>
      <c r="K28" s="157"/>
      <c r="L28" s="157"/>
      <c r="M28" s="157"/>
      <c r="N28" s="157"/>
      <c r="O28" s="157"/>
      <c r="P28" s="157"/>
      <c r="U28" s="161">
        <f>SUM(S22:S27)</f>
        <v>8960.4199999999983</v>
      </c>
      <c r="V28" s="161"/>
      <c r="W28" s="161"/>
    </row>
    <row r="29" spans="2:23" ht="12" customHeight="1" x14ac:dyDescent="0.2"/>
    <row r="30" spans="2:23" ht="12" customHeight="1" x14ac:dyDescent="0.2">
      <c r="B30" s="157" t="s">
        <v>218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56">
        <v>1420</v>
      </c>
      <c r="D31" s="156"/>
      <c r="E31" s="156"/>
      <c r="F31" s="156"/>
      <c r="H31" s="156" t="s">
        <v>697</v>
      </c>
      <c r="I31" s="156"/>
      <c r="J31" s="156"/>
      <c r="K31" s="156"/>
      <c r="L31" s="156"/>
      <c r="M31" s="156"/>
      <c r="N31" s="156"/>
      <c r="O31" s="156"/>
      <c r="P31" s="156"/>
      <c r="Q31" s="156"/>
      <c r="S31" s="141"/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57" t="s">
        <v>104</v>
      </c>
      <c r="J33" s="157"/>
      <c r="K33" s="157"/>
      <c r="L33" s="157"/>
      <c r="M33" s="157"/>
      <c r="N33" s="157"/>
      <c r="O33" s="157"/>
      <c r="P33" s="157"/>
      <c r="U33" s="162">
        <f>U19+U28+S31</f>
        <v>380700.07999999996</v>
      </c>
      <c r="V33" s="162"/>
      <c r="W33" s="162"/>
    </row>
    <row r="34" spans="1:23" ht="12" customHeight="1" thickTop="1" x14ac:dyDescent="0.2"/>
    <row r="35" spans="1:23" ht="12" customHeight="1" x14ac:dyDescent="0.2">
      <c r="A35" s="157" t="s">
        <v>105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1:23" ht="12" customHeight="1" x14ac:dyDescent="0.2">
      <c r="B36" s="157" t="s">
        <v>106</v>
      </c>
      <c r="C36" s="157"/>
      <c r="D36" s="157"/>
      <c r="E36" s="157"/>
      <c r="F36" s="157"/>
      <c r="G36" s="157"/>
      <c r="H36" s="157"/>
      <c r="I36" s="157"/>
      <c r="J36" s="157"/>
      <c r="K36" s="157"/>
    </row>
    <row r="37" spans="1:23" ht="12" customHeight="1" x14ac:dyDescent="0.2">
      <c r="C37" s="156" t="s">
        <v>109</v>
      </c>
      <c r="D37" s="156"/>
      <c r="E37" s="156"/>
      <c r="F37" s="156"/>
      <c r="H37" s="156" t="s">
        <v>110</v>
      </c>
      <c r="I37" s="156"/>
      <c r="J37" s="156"/>
      <c r="K37" s="156"/>
      <c r="L37" s="156"/>
      <c r="M37" s="156"/>
      <c r="N37" s="156"/>
      <c r="O37" s="156"/>
      <c r="P37" s="156"/>
      <c r="Q37" s="156"/>
      <c r="S37" s="125"/>
    </row>
    <row r="38" spans="1:23" ht="12" customHeight="1" x14ac:dyDescent="0.2">
      <c r="C38" s="156">
        <v>2124</v>
      </c>
      <c r="D38" s="156"/>
      <c r="E38" s="156"/>
      <c r="F38" s="156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/>
    </row>
    <row r="39" spans="1:23" ht="12" customHeight="1" x14ac:dyDescent="0.2">
      <c r="C39" s="156">
        <v>2125</v>
      </c>
      <c r="D39" s="156"/>
      <c r="E39" s="156"/>
      <c r="F39" s="156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56" t="s">
        <v>117</v>
      </c>
      <c r="D40" s="156"/>
      <c r="E40" s="156"/>
      <c r="F40" s="156"/>
      <c r="H40" s="156" t="s">
        <v>118</v>
      </c>
      <c r="I40" s="156"/>
      <c r="J40" s="156"/>
      <c r="K40" s="156"/>
      <c r="L40" s="156"/>
      <c r="M40" s="156"/>
      <c r="N40" s="156"/>
      <c r="O40" s="156"/>
      <c r="P40" s="156"/>
      <c r="Q40" s="156"/>
      <c r="S40" s="125"/>
    </row>
    <row r="41" spans="1:23" ht="12" customHeight="1" x14ac:dyDescent="0.2">
      <c r="C41" s="156" t="s">
        <v>119</v>
      </c>
      <c r="D41" s="156"/>
      <c r="E41" s="156"/>
      <c r="F41" s="156"/>
      <c r="H41" s="156" t="s">
        <v>190</v>
      </c>
      <c r="I41" s="156"/>
      <c r="J41" s="156"/>
      <c r="K41" s="156"/>
      <c r="L41" s="156"/>
      <c r="M41" s="156"/>
      <c r="N41" s="156"/>
      <c r="O41" s="156"/>
      <c r="P41" s="156"/>
      <c r="Q41" s="156"/>
      <c r="S41" s="125">
        <v>-1606.92</v>
      </c>
    </row>
    <row r="42" spans="1:23" ht="12" customHeight="1" x14ac:dyDescent="0.2">
      <c r="C42" s="156">
        <v>2215</v>
      </c>
      <c r="D42" s="156"/>
      <c r="E42" s="156"/>
      <c r="F42" s="156"/>
      <c r="H42" s="156" t="s">
        <v>637</v>
      </c>
      <c r="I42" s="156"/>
      <c r="J42" s="156"/>
      <c r="K42" s="156"/>
      <c r="L42" s="156"/>
      <c r="M42" s="156"/>
      <c r="N42" s="156"/>
      <c r="O42" s="156"/>
      <c r="P42" s="156"/>
      <c r="Q42" s="156"/>
      <c r="S42" s="125"/>
    </row>
    <row r="43" spans="1:23" ht="12" customHeight="1" x14ac:dyDescent="0.2">
      <c r="C43" s="156" t="s">
        <v>125</v>
      </c>
      <c r="D43" s="156"/>
      <c r="E43" s="156"/>
      <c r="F43" s="156"/>
      <c r="H43" s="156" t="s">
        <v>202</v>
      </c>
      <c r="I43" s="156"/>
      <c r="J43" s="156"/>
      <c r="K43" s="156"/>
      <c r="L43" s="156"/>
      <c r="M43" s="156"/>
      <c r="N43" s="156"/>
      <c r="O43" s="156"/>
      <c r="P43" s="156"/>
      <c r="Q43" s="156"/>
      <c r="S43" s="125"/>
    </row>
    <row r="44" spans="1:23" ht="12" customHeight="1" x14ac:dyDescent="0.2">
      <c r="C44" s="156" t="s">
        <v>127</v>
      </c>
      <c r="D44" s="156"/>
      <c r="E44" s="156"/>
      <c r="F44" s="156"/>
      <c r="H44" s="156" t="s">
        <v>203</v>
      </c>
      <c r="I44" s="156"/>
      <c r="J44" s="156"/>
      <c r="K44" s="156"/>
      <c r="L44" s="156"/>
      <c r="M44" s="156"/>
      <c r="N44" s="156"/>
      <c r="O44" s="156"/>
      <c r="P44" s="156"/>
      <c r="Q44" s="156"/>
      <c r="S44" s="125">
        <v>813.37</v>
      </c>
    </row>
    <row r="45" spans="1:23" ht="12" customHeight="1" x14ac:dyDescent="0.2">
      <c r="C45" s="156" t="s">
        <v>129</v>
      </c>
      <c r="D45" s="156"/>
      <c r="E45" s="156"/>
      <c r="F45" s="156"/>
      <c r="H45" s="156" t="s">
        <v>191</v>
      </c>
      <c r="I45" s="156"/>
      <c r="J45" s="156"/>
      <c r="K45" s="156"/>
      <c r="L45" s="156"/>
      <c r="M45" s="156"/>
      <c r="N45" s="156"/>
      <c r="O45" s="156"/>
      <c r="P45" s="156"/>
      <c r="Q45" s="156"/>
      <c r="S45" s="125"/>
    </row>
    <row r="46" spans="1:23" ht="12" customHeight="1" x14ac:dyDescent="0.2">
      <c r="C46" s="156">
        <v>2241</v>
      </c>
      <c r="D46" s="156"/>
      <c r="E46" s="156"/>
      <c r="F46" s="156"/>
      <c r="H46" s="156" t="s">
        <v>684</v>
      </c>
      <c r="I46" s="156"/>
      <c r="J46" s="156"/>
      <c r="K46" s="156"/>
      <c r="L46" s="156"/>
      <c r="M46" s="156"/>
      <c r="N46" s="156"/>
      <c r="O46" s="156"/>
      <c r="P46" s="156"/>
      <c r="Q46" s="156"/>
      <c r="S46" s="125"/>
    </row>
    <row r="47" spans="1:23" ht="12" customHeight="1" x14ac:dyDescent="0.2">
      <c r="C47" s="156" t="s">
        <v>204</v>
      </c>
      <c r="D47" s="156"/>
      <c r="E47" s="156"/>
      <c r="F47" s="156"/>
      <c r="H47" s="156" t="s">
        <v>205</v>
      </c>
      <c r="I47" s="156"/>
      <c r="J47" s="156"/>
      <c r="K47" s="156"/>
      <c r="L47" s="156"/>
      <c r="M47" s="156"/>
      <c r="N47" s="156"/>
      <c r="O47" s="156"/>
      <c r="P47" s="156"/>
      <c r="Q47" s="156"/>
      <c r="S47" s="125">
        <v>1877.5</v>
      </c>
    </row>
    <row r="48" spans="1:23" ht="12" customHeight="1" x14ac:dyDescent="0.2">
      <c r="H48" s="157" t="s">
        <v>148</v>
      </c>
      <c r="I48" s="157"/>
      <c r="J48" s="157"/>
      <c r="K48" s="157"/>
      <c r="L48" s="157"/>
      <c r="M48" s="157"/>
      <c r="N48" s="157"/>
      <c r="O48" s="157"/>
      <c r="P48" s="157"/>
      <c r="U48" s="167">
        <f>SUM(S37:S47)</f>
        <v>1083.9499999999998</v>
      </c>
      <c r="V48" s="167"/>
      <c r="W48" s="167"/>
    </row>
    <row r="49" spans="1:23" ht="12" customHeight="1" x14ac:dyDescent="0.2">
      <c r="I49" s="157" t="s">
        <v>159</v>
      </c>
      <c r="J49" s="157"/>
      <c r="K49" s="157"/>
      <c r="L49" s="157"/>
      <c r="M49" s="157"/>
      <c r="N49" s="157"/>
      <c r="O49" s="157"/>
      <c r="P49" s="157"/>
      <c r="U49" s="166">
        <f>U48</f>
        <v>1083.9499999999998</v>
      </c>
      <c r="V49" s="166"/>
      <c r="W49" s="166"/>
    </row>
    <row r="50" spans="1:23" ht="12" customHeight="1" x14ac:dyDescent="0.2"/>
    <row r="51" spans="1:23" ht="12" customHeight="1" x14ac:dyDescent="0.2">
      <c r="A51" s="157" t="s">
        <v>105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</row>
    <row r="52" spans="1:23" ht="12" customHeight="1" x14ac:dyDescent="0.2">
      <c r="B52" s="157" t="s">
        <v>149</v>
      </c>
      <c r="C52" s="157"/>
      <c r="D52" s="157"/>
      <c r="E52" s="157"/>
      <c r="F52" s="157"/>
      <c r="G52" s="157"/>
      <c r="H52" s="157"/>
      <c r="I52" s="157"/>
      <c r="J52" s="157"/>
      <c r="K52" s="157"/>
    </row>
    <row r="53" spans="1:23" ht="12" customHeight="1" x14ac:dyDescent="0.2">
      <c r="C53" s="156">
        <v>2402</v>
      </c>
      <c r="D53" s="156"/>
      <c r="E53" s="156"/>
      <c r="F53" s="156"/>
      <c r="H53" s="156" t="s">
        <v>555</v>
      </c>
      <c r="I53" s="156"/>
      <c r="J53" s="156"/>
      <c r="K53" s="156"/>
      <c r="L53" s="156"/>
      <c r="M53" s="156"/>
      <c r="N53" s="156"/>
      <c r="O53" s="156"/>
      <c r="P53" s="156"/>
      <c r="Q53" s="156"/>
      <c r="S53" s="125"/>
    </row>
    <row r="54" spans="1:23" ht="12" customHeight="1" x14ac:dyDescent="0.2">
      <c r="H54" s="157" t="s">
        <v>148</v>
      </c>
      <c r="I54" s="157"/>
      <c r="J54" s="157"/>
      <c r="K54" s="157"/>
      <c r="L54" s="157"/>
      <c r="M54" s="157"/>
      <c r="N54" s="157"/>
      <c r="O54" s="157"/>
      <c r="P54" s="157"/>
      <c r="U54" s="167">
        <f>SUM(S53:S53)</f>
        <v>0</v>
      </c>
      <c r="V54" s="167"/>
      <c r="W54" s="167"/>
    </row>
    <row r="55" spans="1:23" ht="12" customHeight="1" x14ac:dyDescent="0.2">
      <c r="I55" s="157" t="s">
        <v>159</v>
      </c>
      <c r="J55" s="157"/>
      <c r="K55" s="157"/>
      <c r="L55" s="157"/>
      <c r="M55" s="157"/>
      <c r="N55" s="157"/>
      <c r="O55" s="157"/>
      <c r="P55" s="157"/>
      <c r="U55" s="166">
        <f>U54</f>
        <v>0</v>
      </c>
      <c r="V55" s="166"/>
      <c r="W55" s="166"/>
    </row>
    <row r="56" spans="1:23" ht="12" customHeight="1" x14ac:dyDescent="0.2">
      <c r="A56" s="157" t="s">
        <v>160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</row>
    <row r="57" spans="1:23" ht="12" customHeight="1" x14ac:dyDescent="0.2">
      <c r="C57" s="156" t="s">
        <v>161</v>
      </c>
      <c r="D57" s="156"/>
      <c r="E57" s="156"/>
      <c r="F57" s="156"/>
      <c r="H57" s="156" t="s">
        <v>162</v>
      </c>
      <c r="I57" s="156"/>
      <c r="J57" s="156"/>
      <c r="K57" s="156"/>
      <c r="L57" s="156"/>
      <c r="M57" s="156"/>
      <c r="N57" s="156"/>
      <c r="O57" s="156"/>
      <c r="P57" s="156"/>
      <c r="Q57" s="156"/>
      <c r="S57" s="125"/>
    </row>
    <row r="58" spans="1:23" ht="12" customHeight="1" x14ac:dyDescent="0.2">
      <c r="C58" s="156" t="s">
        <v>165</v>
      </c>
      <c r="D58" s="156"/>
      <c r="E58" s="156"/>
      <c r="F58" s="156"/>
      <c r="H58" s="156" t="s">
        <v>166</v>
      </c>
      <c r="I58" s="156"/>
      <c r="J58" s="156"/>
      <c r="K58" s="156"/>
      <c r="L58" s="156"/>
      <c r="M58" s="156"/>
      <c r="N58" s="156"/>
      <c r="O58" s="156"/>
      <c r="P58" s="156"/>
      <c r="Q58" s="156"/>
      <c r="S58" s="143">
        <v>-1210.3800000000001</v>
      </c>
      <c r="W58" s="143"/>
    </row>
    <row r="59" spans="1:23" ht="12" customHeight="1" x14ac:dyDescent="0.2">
      <c r="C59" s="156" t="s">
        <v>165</v>
      </c>
      <c r="D59" s="156"/>
      <c r="E59" s="156"/>
      <c r="F59" s="156"/>
      <c r="H59" s="156" t="s">
        <v>193</v>
      </c>
      <c r="I59" s="156"/>
      <c r="J59" s="156"/>
      <c r="K59" s="156"/>
      <c r="L59" s="156"/>
      <c r="M59" s="156"/>
      <c r="N59" s="156"/>
      <c r="O59" s="156"/>
      <c r="P59" s="156"/>
      <c r="Q59" s="156"/>
      <c r="S59" s="143">
        <v>380826.51</v>
      </c>
    </row>
    <row r="60" spans="1:23" ht="12" customHeight="1" x14ac:dyDescent="0.2">
      <c r="C60" s="156" t="s">
        <v>206</v>
      </c>
      <c r="D60" s="156"/>
      <c r="E60" s="156"/>
      <c r="F60" s="156"/>
      <c r="H60" s="156" t="s">
        <v>207</v>
      </c>
      <c r="I60" s="156"/>
      <c r="J60" s="156"/>
      <c r="K60" s="156"/>
      <c r="L60" s="156"/>
      <c r="M60" s="156"/>
      <c r="N60" s="156"/>
      <c r="O60" s="156"/>
      <c r="P60" s="156"/>
      <c r="Q60" s="156"/>
      <c r="S60" s="125"/>
    </row>
    <row r="61" spans="1:23" ht="12" customHeight="1" x14ac:dyDescent="0.2">
      <c r="C61" s="156" t="s">
        <v>208</v>
      </c>
      <c r="D61" s="156"/>
      <c r="E61" s="156"/>
      <c r="F61" s="156"/>
      <c r="H61" s="156" t="s">
        <v>209</v>
      </c>
      <c r="I61" s="156"/>
      <c r="J61" s="156"/>
      <c r="K61" s="156"/>
      <c r="L61" s="156"/>
      <c r="M61" s="156"/>
      <c r="N61" s="156"/>
      <c r="O61" s="156"/>
      <c r="P61" s="156"/>
      <c r="Q61" s="156"/>
      <c r="S61" s="125"/>
    </row>
    <row r="62" spans="1:23" ht="12" customHeight="1" x14ac:dyDescent="0.2">
      <c r="C62" s="156" t="s">
        <v>210</v>
      </c>
      <c r="D62" s="156"/>
      <c r="E62" s="156"/>
      <c r="F62" s="156"/>
      <c r="H62" s="156" t="s">
        <v>211</v>
      </c>
      <c r="I62" s="156"/>
      <c r="J62" s="156"/>
      <c r="K62" s="156"/>
      <c r="L62" s="156"/>
      <c r="M62" s="156"/>
      <c r="N62" s="156"/>
      <c r="O62" s="156"/>
      <c r="P62" s="156"/>
      <c r="Q62" s="156"/>
      <c r="S62" s="125"/>
    </row>
    <row r="63" spans="1:23" ht="12" customHeight="1" x14ac:dyDescent="0.2">
      <c r="C63" s="156" t="s">
        <v>212</v>
      </c>
      <c r="D63" s="156"/>
      <c r="E63" s="156"/>
      <c r="F63" s="156"/>
      <c r="H63" s="156" t="s">
        <v>213</v>
      </c>
      <c r="I63" s="156"/>
      <c r="J63" s="156"/>
      <c r="K63" s="156"/>
      <c r="L63" s="156"/>
      <c r="M63" s="156"/>
      <c r="N63" s="156"/>
      <c r="O63" s="156"/>
      <c r="P63" s="156"/>
      <c r="Q63" s="156"/>
      <c r="S63" s="125"/>
    </row>
    <row r="64" spans="1:23" ht="12" customHeight="1" x14ac:dyDescent="0.2">
      <c r="C64" s="156" t="s">
        <v>214</v>
      </c>
      <c r="D64" s="156"/>
      <c r="E64" s="156"/>
      <c r="F64" s="156"/>
      <c r="H64" s="156" t="s">
        <v>215</v>
      </c>
      <c r="I64" s="156"/>
      <c r="J64" s="156"/>
      <c r="K64" s="156"/>
      <c r="L64" s="156"/>
      <c r="M64" s="156"/>
      <c r="N64" s="156"/>
      <c r="O64" s="156"/>
      <c r="P64" s="156"/>
      <c r="Q64" s="156"/>
      <c r="S64" s="127"/>
    </row>
    <row r="65" spans="9:23" ht="12" customHeight="1" x14ac:dyDescent="0.2">
      <c r="I65" s="157" t="s">
        <v>176</v>
      </c>
      <c r="J65" s="157"/>
      <c r="K65" s="157"/>
      <c r="L65" s="157"/>
      <c r="M65" s="157"/>
      <c r="N65" s="157"/>
      <c r="O65" s="157"/>
      <c r="P65" s="157"/>
      <c r="U65" s="167">
        <f>SUM(S57:S64)</f>
        <v>379616.13</v>
      </c>
      <c r="V65" s="167"/>
      <c r="W65" s="167"/>
    </row>
    <row r="66" spans="9:23" ht="12" customHeight="1" x14ac:dyDescent="0.2">
      <c r="I66" s="157" t="s">
        <v>177</v>
      </c>
      <c r="J66" s="157"/>
      <c r="K66" s="157"/>
      <c r="L66" s="157"/>
      <c r="M66" s="157"/>
      <c r="N66" s="157"/>
      <c r="O66" s="157"/>
      <c r="P66" s="157"/>
    </row>
    <row r="67" spans="9:23" ht="12" customHeight="1" thickBot="1" x14ac:dyDescent="0.25">
      <c r="I67" s="157"/>
      <c r="J67" s="157"/>
      <c r="K67" s="157"/>
      <c r="L67" s="157"/>
      <c r="M67" s="157"/>
      <c r="N67" s="157"/>
      <c r="O67" s="157"/>
      <c r="P67" s="157"/>
      <c r="U67" s="162">
        <f>U49+U55+U65</f>
        <v>380700.08</v>
      </c>
      <c r="V67" s="162"/>
      <c r="W67" s="162"/>
    </row>
    <row r="68" spans="9:23" ht="6" customHeight="1" thickTop="1" x14ac:dyDescent="0.2"/>
    <row r="69" spans="9:23" ht="12.75" customHeight="1" thickBot="1" x14ac:dyDescent="0.25">
      <c r="U69" s="162">
        <f>U67-U33</f>
        <v>0</v>
      </c>
      <c r="V69" s="162"/>
    </row>
    <row r="70" spans="9:23" ht="12.75" customHeight="1" thickTop="1" x14ac:dyDescent="0.2"/>
  </sheetData>
  <mergeCells count="101">
    <mergeCell ref="C11:F11"/>
    <mergeCell ref="H11:Q11"/>
    <mergeCell ref="C9:F9"/>
    <mergeCell ref="H9:Q9"/>
    <mergeCell ref="U69:V69"/>
    <mergeCell ref="C13:F13"/>
    <mergeCell ref="C26:F26"/>
    <mergeCell ref="C38:F38"/>
    <mergeCell ref="I65:P65"/>
    <mergeCell ref="U65:W65"/>
    <mergeCell ref="I66:P67"/>
    <mergeCell ref="U67:W67"/>
    <mergeCell ref="C62:F62"/>
    <mergeCell ref="H62:Q62"/>
    <mergeCell ref="C58:F58"/>
    <mergeCell ref="H58:Q58"/>
    <mergeCell ref="C63:F63"/>
    <mergeCell ref="H63:Q63"/>
    <mergeCell ref="C64:F64"/>
    <mergeCell ref="H64:Q64"/>
    <mergeCell ref="C59:F59"/>
    <mergeCell ref="H59:Q59"/>
    <mergeCell ref="C60:F60"/>
    <mergeCell ref="H60:Q60"/>
    <mergeCell ref="A56:M56"/>
    <mergeCell ref="C43:F43"/>
    <mergeCell ref="H43:Q43"/>
    <mergeCell ref="C44:F44"/>
    <mergeCell ref="H44:Q44"/>
    <mergeCell ref="C45:F45"/>
    <mergeCell ref="H45:Q45"/>
    <mergeCell ref="C61:F61"/>
    <mergeCell ref="H61:Q61"/>
    <mergeCell ref="C57:F57"/>
    <mergeCell ref="H57:Q57"/>
    <mergeCell ref="A51:M51"/>
    <mergeCell ref="B52:K52"/>
    <mergeCell ref="C53:F53"/>
    <mergeCell ref="H53:Q53"/>
    <mergeCell ref="H54:P54"/>
    <mergeCell ref="I55:P55"/>
    <mergeCell ref="C15:F15"/>
    <mergeCell ref="H15:Q15"/>
    <mergeCell ref="H19:P19"/>
    <mergeCell ref="C25:F25"/>
    <mergeCell ref="H25:Q25"/>
    <mergeCell ref="C47:F47"/>
    <mergeCell ref="H47:Q47"/>
    <mergeCell ref="H48:P48"/>
    <mergeCell ref="I49:P49"/>
    <mergeCell ref="C12:F12"/>
    <mergeCell ref="H12:Q12"/>
    <mergeCell ref="C42:F42"/>
    <mergeCell ref="H42:Q42"/>
    <mergeCell ref="U19:W19"/>
    <mergeCell ref="C16:F16"/>
    <mergeCell ref="C17:F17"/>
    <mergeCell ref="C18:F18"/>
    <mergeCell ref="H41:Q41"/>
    <mergeCell ref="C39:F39"/>
    <mergeCell ref="C24:F24"/>
    <mergeCell ref="H24:Q24"/>
    <mergeCell ref="C27:F27"/>
    <mergeCell ref="H27:Q27"/>
    <mergeCell ref="H28:P28"/>
    <mergeCell ref="U28:W28"/>
    <mergeCell ref="H40:Q40"/>
    <mergeCell ref="C41:F41"/>
    <mergeCell ref="C14:F14"/>
    <mergeCell ref="B21:K21"/>
    <mergeCell ref="C22:F22"/>
    <mergeCell ref="H22:Q22"/>
    <mergeCell ref="C23:F23"/>
    <mergeCell ref="H23:Q23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5:W55"/>
    <mergeCell ref="U49:W49"/>
    <mergeCell ref="U48:W48"/>
    <mergeCell ref="B30:K30"/>
    <mergeCell ref="C31:F31"/>
    <mergeCell ref="H31:Q31"/>
    <mergeCell ref="C46:F46"/>
    <mergeCell ref="H46:Q46"/>
    <mergeCell ref="U54:W54"/>
    <mergeCell ref="I33:P33"/>
    <mergeCell ref="U33:W33"/>
    <mergeCell ref="A35:M35"/>
    <mergeCell ref="B36:K36"/>
    <mergeCell ref="C37:F37"/>
    <mergeCell ref="H37:Q37"/>
    <mergeCell ref="C40:F4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73"/>
  <sheetViews>
    <sheetView showGridLines="0" workbookViewId="0">
      <selection activeCell="AC51" sqref="AC51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4" ht="9.9499999999999993" customHeight="1" x14ac:dyDescent="0.2"/>
    <row r="3" spans="1:24" ht="12.75" customHeight="1" x14ac:dyDescent="0.2">
      <c r="A3" s="158" t="s">
        <v>727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1:24" ht="16.5" customHeight="1" x14ac:dyDescent="0.2">
      <c r="A4" s="159" t="s">
        <v>178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57" t="s">
        <v>2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24" ht="9.9499999999999993" customHeight="1" x14ac:dyDescent="0.2"/>
    <row r="9" spans="1:24" ht="9.9499999999999993" customHeight="1" x14ac:dyDescent="0.2">
      <c r="B9" s="157" t="s">
        <v>3</v>
      </c>
      <c r="C9" s="157"/>
      <c r="D9" s="157"/>
      <c r="E9" s="157"/>
      <c r="F9" s="157"/>
      <c r="G9" s="157"/>
      <c r="H9" s="157"/>
      <c r="I9" s="157"/>
      <c r="J9" s="157"/>
      <c r="K9" s="157"/>
    </row>
    <row r="10" spans="1:24" ht="9.9499999999999993" customHeight="1" x14ac:dyDescent="0.2"/>
    <row r="11" spans="1:24" ht="9.9499999999999993" customHeight="1" x14ac:dyDescent="0.2">
      <c r="C11" s="156" t="s">
        <v>8</v>
      </c>
      <c r="D11" s="156"/>
      <c r="E11" s="156"/>
      <c r="F11" s="156"/>
      <c r="H11" s="156" t="s">
        <v>179</v>
      </c>
      <c r="I11" s="156"/>
      <c r="J11" s="156"/>
      <c r="K11" s="156"/>
      <c r="L11" s="156"/>
      <c r="M11" s="156"/>
      <c r="N11" s="156"/>
      <c r="O11" s="156"/>
      <c r="P11" s="156"/>
      <c r="Q11" s="156"/>
      <c r="S11" s="89">
        <v>360346.45</v>
      </c>
    </row>
    <row r="12" spans="1:24" ht="9.9499999999999993" customHeight="1" x14ac:dyDescent="0.2">
      <c r="C12" s="156" t="s">
        <v>16</v>
      </c>
      <c r="D12" s="156"/>
      <c r="E12" s="156"/>
      <c r="F12" s="156"/>
      <c r="H12" s="156" t="s">
        <v>17</v>
      </c>
      <c r="I12" s="156"/>
      <c r="J12" s="156"/>
      <c r="K12" s="156"/>
      <c r="L12" s="156"/>
      <c r="M12" s="156"/>
      <c r="N12" s="156"/>
      <c r="O12" s="156"/>
      <c r="P12" s="156"/>
      <c r="Q12" s="156"/>
      <c r="S12" s="89">
        <v>22843.74</v>
      </c>
    </row>
    <row r="13" spans="1:24" ht="9.9499999999999993" customHeight="1" x14ac:dyDescent="0.2">
      <c r="C13" s="156" t="s">
        <v>180</v>
      </c>
      <c r="D13" s="156"/>
      <c r="E13" s="156"/>
      <c r="F13" s="156"/>
      <c r="H13" s="156" t="s">
        <v>181</v>
      </c>
      <c r="I13" s="156"/>
      <c r="J13" s="156"/>
      <c r="K13" s="156"/>
      <c r="L13" s="156"/>
      <c r="M13" s="156"/>
      <c r="N13" s="156"/>
      <c r="O13" s="156"/>
      <c r="P13" s="156"/>
      <c r="Q13" s="156"/>
      <c r="S13" s="89"/>
    </row>
    <row r="14" spans="1:24" ht="9.9499999999999993" customHeight="1" x14ac:dyDescent="0.2">
      <c r="C14" s="156" t="s">
        <v>18</v>
      </c>
      <c r="D14" s="156"/>
      <c r="E14" s="156"/>
      <c r="F14" s="156"/>
      <c r="H14" s="156" t="s">
        <v>19</v>
      </c>
      <c r="I14" s="156"/>
      <c r="J14" s="156"/>
      <c r="K14" s="156"/>
      <c r="L14" s="156"/>
      <c r="M14" s="156"/>
      <c r="N14" s="156"/>
      <c r="O14" s="156"/>
      <c r="P14" s="156"/>
      <c r="Q14" s="156"/>
      <c r="S14" s="89"/>
    </row>
    <row r="15" spans="1:24" ht="9.9499999999999993" customHeight="1" x14ac:dyDescent="0.2">
      <c r="C15" s="156" t="s">
        <v>20</v>
      </c>
      <c r="D15" s="156"/>
      <c r="E15" s="156"/>
      <c r="F15" s="156"/>
      <c r="H15" s="156" t="s">
        <v>21</v>
      </c>
      <c r="I15" s="156"/>
      <c r="J15" s="156"/>
      <c r="K15" s="156"/>
      <c r="L15" s="156"/>
      <c r="M15" s="156"/>
      <c r="N15" s="156"/>
      <c r="O15" s="156"/>
      <c r="P15" s="156"/>
      <c r="Q15" s="156"/>
      <c r="S15" s="89"/>
    </row>
    <row r="16" spans="1:24" ht="9.9499999999999993" customHeight="1" x14ac:dyDescent="0.2">
      <c r="C16" s="156" t="s">
        <v>22</v>
      </c>
      <c r="D16" s="156"/>
      <c r="E16" s="156"/>
      <c r="F16" s="156"/>
      <c r="H16" s="156" t="s">
        <v>23</v>
      </c>
      <c r="I16" s="156"/>
      <c r="J16" s="156"/>
      <c r="K16" s="156"/>
      <c r="L16" s="156"/>
      <c r="M16" s="156"/>
      <c r="N16" s="156"/>
      <c r="O16" s="156"/>
      <c r="P16" s="156"/>
      <c r="Q16" s="156"/>
      <c r="S16" s="89"/>
    </row>
    <row r="17" spans="2:23" ht="9.9499999999999993" customHeight="1" x14ac:dyDescent="0.2">
      <c r="C17" s="156">
        <v>1226</v>
      </c>
      <c r="D17" s="156"/>
      <c r="E17" s="156"/>
      <c r="F17" s="156"/>
      <c r="H17" s="156" t="s">
        <v>234</v>
      </c>
      <c r="I17" s="156"/>
      <c r="J17" s="156"/>
      <c r="K17" s="156"/>
      <c r="L17" s="156"/>
      <c r="M17" s="156"/>
      <c r="N17" s="156"/>
      <c r="O17" s="156"/>
      <c r="P17" s="156"/>
      <c r="Q17" s="156"/>
      <c r="S17" s="89"/>
    </row>
    <row r="18" spans="2:23" ht="9.9499999999999993" customHeight="1" x14ac:dyDescent="0.2">
      <c r="C18" s="156" t="s">
        <v>182</v>
      </c>
      <c r="D18" s="156"/>
      <c r="E18" s="156"/>
      <c r="F18" s="156"/>
      <c r="H18" s="156" t="s">
        <v>183</v>
      </c>
      <c r="I18" s="156"/>
      <c r="J18" s="156"/>
      <c r="K18" s="156"/>
      <c r="L18" s="156"/>
      <c r="M18" s="156"/>
      <c r="N18" s="156"/>
      <c r="O18" s="156"/>
      <c r="P18" s="156"/>
      <c r="Q18" s="156"/>
      <c r="S18" s="89"/>
    </row>
    <row r="19" spans="2:23" ht="9.9499999999999993" customHeight="1" x14ac:dyDescent="0.2">
      <c r="C19" s="156" t="s">
        <v>54</v>
      </c>
      <c r="D19" s="156"/>
      <c r="E19" s="156"/>
      <c r="F19" s="156"/>
      <c r="H19" s="156" t="s">
        <v>184</v>
      </c>
      <c r="I19" s="156"/>
      <c r="J19" s="156"/>
      <c r="K19" s="156"/>
      <c r="L19" s="156"/>
      <c r="M19" s="156"/>
      <c r="N19" s="156"/>
      <c r="O19" s="156"/>
      <c r="P19" s="156"/>
      <c r="Q19" s="156"/>
      <c r="S19" s="89">
        <v>3669</v>
      </c>
    </row>
    <row r="20" spans="2:23" ht="9.9499999999999993" customHeight="1" x14ac:dyDescent="0.2">
      <c r="C20" s="156" t="s">
        <v>56</v>
      </c>
      <c r="D20" s="156"/>
      <c r="E20" s="156"/>
      <c r="F20" s="156"/>
      <c r="H20" s="156" t="s">
        <v>185</v>
      </c>
      <c r="I20" s="156"/>
      <c r="J20" s="156"/>
      <c r="K20" s="156"/>
      <c r="L20" s="156"/>
      <c r="M20" s="156"/>
      <c r="N20" s="156"/>
      <c r="O20" s="156"/>
      <c r="P20" s="156"/>
      <c r="Q20" s="156"/>
      <c r="S20" s="89">
        <v>0</v>
      </c>
    </row>
    <row r="21" spans="2:23" ht="9.9499999999999993" customHeight="1" x14ac:dyDescent="0.2">
      <c r="C21" s="156">
        <v>1250</v>
      </c>
      <c r="D21" s="156"/>
      <c r="E21" s="156"/>
      <c r="F21" s="156"/>
      <c r="H21" s="156" t="s">
        <v>59</v>
      </c>
      <c r="I21" s="156"/>
      <c r="J21" s="156"/>
      <c r="K21" s="156"/>
      <c r="L21" s="156"/>
      <c r="M21" s="156"/>
      <c r="N21" s="156"/>
      <c r="O21" s="156"/>
      <c r="P21" s="156"/>
      <c r="Q21" s="156"/>
      <c r="S21" s="91"/>
    </row>
    <row r="22" spans="2:23" ht="9.9499999999999993" customHeight="1" x14ac:dyDescent="0.2"/>
    <row r="23" spans="2:23" ht="9.9499999999999993" customHeight="1" x14ac:dyDescent="0.2">
      <c r="H23" s="157" t="s">
        <v>73</v>
      </c>
      <c r="I23" s="157"/>
      <c r="J23" s="157"/>
      <c r="K23" s="157"/>
      <c r="L23" s="157"/>
      <c r="M23" s="157"/>
      <c r="N23" s="157"/>
      <c r="O23" s="157"/>
      <c r="P23" s="157"/>
      <c r="U23" s="160">
        <f>SUM(S11:S21)</f>
        <v>386859.19</v>
      </c>
      <c r="V23" s="160"/>
      <c r="W23" s="160"/>
    </row>
    <row r="24" spans="2:23" ht="9.9499999999999993" customHeight="1" x14ac:dyDescent="0.2"/>
    <row r="25" spans="2:23" ht="9.9499999999999993" customHeight="1" x14ac:dyDescent="0.2">
      <c r="B25" s="157" t="s">
        <v>74</v>
      </c>
      <c r="C25" s="157"/>
      <c r="D25" s="157"/>
      <c r="E25" s="157"/>
      <c r="F25" s="157"/>
      <c r="G25" s="157"/>
      <c r="H25" s="157"/>
      <c r="I25" s="157"/>
      <c r="J25" s="157"/>
      <c r="K25" s="157"/>
    </row>
    <row r="26" spans="2:23" ht="9.9499999999999993" customHeight="1" x14ac:dyDescent="0.2"/>
    <row r="27" spans="2:23" ht="9.9499999999999993" customHeight="1" x14ac:dyDescent="0.2">
      <c r="C27" s="156" t="s">
        <v>75</v>
      </c>
      <c r="D27" s="156"/>
      <c r="E27" s="156"/>
      <c r="F27" s="156"/>
      <c r="H27" s="156" t="s">
        <v>186</v>
      </c>
      <c r="I27" s="156"/>
      <c r="J27" s="156"/>
      <c r="K27" s="156"/>
      <c r="L27" s="156"/>
      <c r="M27" s="156"/>
      <c r="N27" s="156"/>
      <c r="O27" s="156"/>
      <c r="P27" s="156"/>
      <c r="Q27" s="156"/>
      <c r="S27" s="89">
        <v>8577.17</v>
      </c>
    </row>
    <row r="28" spans="2:23" ht="9.9499999999999993" customHeight="1" x14ac:dyDescent="0.2">
      <c r="C28" s="156" t="s">
        <v>87</v>
      </c>
      <c r="D28" s="156"/>
      <c r="E28" s="156"/>
      <c r="F28" s="156"/>
      <c r="H28" s="156" t="s">
        <v>88</v>
      </c>
      <c r="I28" s="156"/>
      <c r="J28" s="156"/>
      <c r="K28" s="156"/>
      <c r="L28" s="156"/>
      <c r="M28" s="156"/>
      <c r="N28" s="156"/>
      <c r="O28" s="156"/>
      <c r="P28" s="156"/>
      <c r="Q28" s="156"/>
      <c r="S28" s="89">
        <v>20237.79</v>
      </c>
    </row>
    <row r="29" spans="2:23" ht="9.9499999999999993" customHeight="1" x14ac:dyDescent="0.2">
      <c r="C29" s="156" t="s">
        <v>99</v>
      </c>
      <c r="D29" s="156"/>
      <c r="E29" s="156"/>
      <c r="F29" s="156"/>
      <c r="H29" s="156" t="s">
        <v>187</v>
      </c>
      <c r="I29" s="156"/>
      <c r="J29" s="156"/>
      <c r="K29" s="156"/>
      <c r="L29" s="156"/>
      <c r="M29" s="156"/>
      <c r="N29" s="156"/>
      <c r="O29" s="156"/>
      <c r="P29" s="156"/>
      <c r="Q29" s="156"/>
      <c r="S29" s="91">
        <v>-19436.25</v>
      </c>
    </row>
    <row r="30" spans="2:23" ht="9.9499999999999993" customHeight="1" x14ac:dyDescent="0.2"/>
    <row r="31" spans="2:23" ht="9.9499999999999993" customHeight="1" x14ac:dyDescent="0.2">
      <c r="H31" s="157" t="s">
        <v>103</v>
      </c>
      <c r="I31" s="157"/>
      <c r="J31" s="157"/>
      <c r="K31" s="157"/>
      <c r="L31" s="157"/>
      <c r="M31" s="157"/>
      <c r="N31" s="157"/>
      <c r="O31" s="157"/>
      <c r="P31" s="157"/>
      <c r="U31" s="161">
        <f>SUM(S27:S29)</f>
        <v>9378.7099999999991</v>
      </c>
      <c r="V31" s="161"/>
      <c r="W31" s="161"/>
    </row>
    <row r="32" spans="2:23" ht="9.9499999999999993" customHeight="1" x14ac:dyDescent="0.2"/>
    <row r="33" spans="1:23" ht="9.9499999999999993" customHeight="1" thickBot="1" x14ac:dyDescent="0.25">
      <c r="I33" s="157" t="s">
        <v>104</v>
      </c>
      <c r="J33" s="157"/>
      <c r="K33" s="157"/>
      <c r="L33" s="157"/>
      <c r="M33" s="157"/>
      <c r="N33" s="157"/>
      <c r="O33" s="157"/>
      <c r="P33" s="157"/>
      <c r="U33" s="162">
        <f>U23+U31</f>
        <v>396237.9</v>
      </c>
      <c r="V33" s="162"/>
      <c r="W33" s="162"/>
    </row>
    <row r="34" spans="1:23" ht="9.9499999999999993" customHeight="1" thickTop="1" x14ac:dyDescent="0.2"/>
    <row r="35" spans="1:23" ht="9.9499999999999993" customHeight="1" x14ac:dyDescent="0.2">
      <c r="A35" s="157" t="s">
        <v>105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</row>
    <row r="36" spans="1:23" ht="9.9499999999999993" customHeight="1" x14ac:dyDescent="0.2"/>
    <row r="37" spans="1:23" ht="9.9499999999999993" customHeight="1" x14ac:dyDescent="0.2">
      <c r="B37" s="157" t="s">
        <v>106</v>
      </c>
      <c r="C37" s="157"/>
      <c r="D37" s="157"/>
      <c r="E37" s="157"/>
      <c r="F37" s="157"/>
      <c r="G37" s="157"/>
      <c r="H37" s="157"/>
      <c r="I37" s="157"/>
      <c r="J37" s="157"/>
      <c r="K37" s="157"/>
    </row>
    <row r="38" spans="1:23" ht="9.9499999999999993" customHeight="1" x14ac:dyDescent="0.2"/>
    <row r="39" spans="1:23" ht="9.9499999999999993" customHeight="1" x14ac:dyDescent="0.2">
      <c r="C39" s="156" t="s">
        <v>109</v>
      </c>
      <c r="D39" s="156"/>
      <c r="E39" s="156"/>
      <c r="F39" s="156"/>
      <c r="H39" s="156" t="s">
        <v>110</v>
      </c>
      <c r="I39" s="156"/>
      <c r="J39" s="156"/>
      <c r="K39" s="156"/>
      <c r="L39" s="156"/>
      <c r="M39" s="156"/>
      <c r="N39" s="156"/>
      <c r="O39" s="156"/>
      <c r="P39" s="156"/>
      <c r="Q39" s="156"/>
      <c r="S39" s="89">
        <v>4776.13</v>
      </c>
    </row>
    <row r="40" spans="1:23" ht="9.9499999999999993" customHeight="1" x14ac:dyDescent="0.2">
      <c r="C40" s="156" t="s">
        <v>188</v>
      </c>
      <c r="D40" s="156"/>
      <c r="E40" s="156"/>
      <c r="F40" s="156"/>
      <c r="H40" s="156" t="s">
        <v>189</v>
      </c>
      <c r="I40" s="156"/>
      <c r="J40" s="156"/>
      <c r="K40" s="156"/>
      <c r="L40" s="156"/>
      <c r="M40" s="156"/>
      <c r="N40" s="156"/>
      <c r="O40" s="156"/>
      <c r="P40" s="156"/>
      <c r="Q40" s="156"/>
      <c r="S40" s="89"/>
    </row>
    <row r="41" spans="1:23" ht="9.9499999999999993" customHeight="1" x14ac:dyDescent="0.2">
      <c r="C41" s="156">
        <v>2175</v>
      </c>
      <c r="D41" s="156"/>
      <c r="E41" s="156"/>
      <c r="F41" s="156"/>
      <c r="H41" s="156" t="s">
        <v>118</v>
      </c>
      <c r="I41" s="156"/>
      <c r="J41" s="156"/>
      <c r="K41" s="156"/>
      <c r="L41" s="156"/>
      <c r="M41" s="156"/>
      <c r="N41" s="156"/>
      <c r="O41" s="156"/>
      <c r="P41" s="156"/>
      <c r="Q41" s="156"/>
      <c r="S41" s="89"/>
    </row>
    <row r="42" spans="1:23" ht="9.9499999999999993" customHeight="1" x14ac:dyDescent="0.2">
      <c r="C42" s="156" t="s">
        <v>121</v>
      </c>
      <c r="D42" s="156"/>
      <c r="E42" s="156"/>
      <c r="F42" s="156"/>
      <c r="H42" s="156" t="s">
        <v>190</v>
      </c>
      <c r="I42" s="156"/>
      <c r="J42" s="156"/>
      <c r="K42" s="156"/>
      <c r="L42" s="156"/>
      <c r="M42" s="156"/>
      <c r="N42" s="156"/>
      <c r="O42" s="156"/>
      <c r="P42" s="156"/>
      <c r="Q42" s="156"/>
      <c r="S42" s="89">
        <v>-5691.92</v>
      </c>
    </row>
    <row r="43" spans="1:23" ht="9.9499999999999993" customHeight="1" x14ac:dyDescent="0.2">
      <c r="C43" s="156">
        <v>2230</v>
      </c>
      <c r="D43" s="156"/>
      <c r="E43" s="156"/>
      <c r="F43" s="156"/>
      <c r="H43" s="156" t="s">
        <v>597</v>
      </c>
      <c r="I43" s="156"/>
      <c r="J43" s="156"/>
      <c r="K43" s="156"/>
      <c r="L43" s="156"/>
      <c r="M43" s="156"/>
      <c r="N43" s="156"/>
      <c r="O43" s="156"/>
      <c r="P43" s="156"/>
      <c r="Q43" s="156"/>
      <c r="S43" s="89">
        <v>752.1</v>
      </c>
    </row>
    <row r="44" spans="1:23" ht="9.9499999999999993" customHeight="1" x14ac:dyDescent="0.2">
      <c r="C44" s="156" t="s">
        <v>129</v>
      </c>
      <c r="D44" s="156"/>
      <c r="E44" s="156"/>
      <c r="F44" s="156"/>
      <c r="H44" s="156" t="s">
        <v>191</v>
      </c>
      <c r="I44" s="156"/>
      <c r="J44" s="156"/>
      <c r="K44" s="156"/>
      <c r="L44" s="156"/>
      <c r="M44" s="156"/>
      <c r="N44" s="156"/>
      <c r="O44" s="156"/>
      <c r="P44" s="156"/>
      <c r="Q44" s="156"/>
      <c r="S44" s="89">
        <v>186.66</v>
      </c>
    </row>
    <row r="45" spans="1:23" ht="9.9499999999999993" customHeight="1" x14ac:dyDescent="0.2">
      <c r="C45" s="156">
        <v>2241</v>
      </c>
      <c r="D45" s="156"/>
      <c r="E45" s="156"/>
      <c r="F45" s="156"/>
      <c r="H45" s="156" t="s">
        <v>584</v>
      </c>
      <c r="I45" s="156"/>
      <c r="J45" s="156"/>
      <c r="K45" s="156"/>
      <c r="L45" s="156"/>
      <c r="M45" s="156"/>
      <c r="N45" s="156"/>
      <c r="O45" s="156"/>
      <c r="P45" s="156"/>
      <c r="Q45" s="156"/>
      <c r="S45" s="89">
        <v>0</v>
      </c>
    </row>
    <row r="46" spans="1:23" ht="9.9499999999999993" customHeight="1" x14ac:dyDescent="0.2">
      <c r="S46" s="89"/>
    </row>
    <row r="47" spans="1:23" ht="9.9499999999999993" customHeight="1" x14ac:dyDescent="0.2">
      <c r="C47" s="156" t="s">
        <v>131</v>
      </c>
      <c r="D47" s="156"/>
      <c r="E47" s="156"/>
      <c r="F47" s="156"/>
      <c r="H47" s="156" t="s">
        <v>192</v>
      </c>
      <c r="I47" s="156"/>
      <c r="J47" s="156"/>
      <c r="K47" s="156"/>
      <c r="L47" s="156"/>
      <c r="M47" s="156"/>
      <c r="N47" s="156"/>
      <c r="O47" s="156"/>
      <c r="P47" s="156"/>
      <c r="Q47" s="156"/>
      <c r="S47" s="89">
        <v>0</v>
      </c>
    </row>
    <row r="48" spans="1:23" ht="9.9499999999999993" customHeight="1" x14ac:dyDescent="0.2">
      <c r="C48" s="156">
        <v>2400</v>
      </c>
      <c r="D48" s="156"/>
      <c r="E48" s="156"/>
      <c r="F48" s="156"/>
      <c r="H48" s="156" t="s">
        <v>205</v>
      </c>
      <c r="I48" s="156"/>
      <c r="J48" s="156"/>
      <c r="K48" s="156"/>
      <c r="L48" s="156"/>
      <c r="M48" s="156"/>
      <c r="N48" s="156"/>
      <c r="O48" s="156"/>
      <c r="P48" s="156"/>
      <c r="Q48" s="156"/>
      <c r="S48" s="89">
        <v>6057.83</v>
      </c>
    </row>
    <row r="49" spans="1:23" ht="9.9499999999999993" customHeight="1" x14ac:dyDescent="0.2">
      <c r="C49" s="156">
        <v>2401</v>
      </c>
      <c r="D49" s="156"/>
      <c r="E49" s="156"/>
      <c r="F49" s="156"/>
      <c r="H49" s="156" t="s">
        <v>575</v>
      </c>
      <c r="I49" s="156"/>
      <c r="J49" s="156"/>
      <c r="K49" s="156"/>
      <c r="L49" s="156"/>
      <c r="M49" s="156"/>
      <c r="N49" s="156"/>
      <c r="O49" s="156"/>
      <c r="P49" s="156"/>
      <c r="Q49" s="156"/>
      <c r="S49" s="79">
        <v>0</v>
      </c>
    </row>
    <row r="50" spans="1:23" ht="9.9499999999999993" customHeight="1" x14ac:dyDescent="0.2"/>
    <row r="51" spans="1:23" ht="9.9499999999999993" customHeight="1" x14ac:dyDescent="0.2">
      <c r="H51" s="157" t="s">
        <v>148</v>
      </c>
      <c r="I51" s="157"/>
      <c r="J51" s="157"/>
      <c r="K51" s="157"/>
      <c r="L51" s="157"/>
      <c r="M51" s="157"/>
      <c r="N51" s="157"/>
      <c r="O51" s="157"/>
      <c r="P51" s="157"/>
      <c r="U51" s="160">
        <f>SUM(S39:S49)</f>
        <v>6080.8</v>
      </c>
      <c r="V51" s="160"/>
      <c r="W51" s="160"/>
    </row>
    <row r="52" spans="1:23" ht="9.9499999999999993" customHeight="1" x14ac:dyDescent="0.2"/>
    <row r="53" spans="1:23" ht="9.9499999999999993" customHeight="1" x14ac:dyDescent="0.2">
      <c r="I53" s="157" t="s">
        <v>159</v>
      </c>
      <c r="J53" s="157"/>
      <c r="K53" s="157"/>
      <c r="L53" s="157"/>
      <c r="M53" s="157"/>
      <c r="N53" s="157"/>
      <c r="O53" s="157"/>
      <c r="P53" s="157"/>
      <c r="U53" s="160">
        <f>U51</f>
        <v>6080.8</v>
      </c>
      <c r="V53" s="160"/>
      <c r="W53" s="160"/>
    </row>
    <row r="54" spans="1:23" ht="9.9499999999999993" customHeight="1" x14ac:dyDescent="0.2"/>
    <row r="55" spans="1:23" ht="9.9499999999999993" customHeight="1" x14ac:dyDescent="0.2">
      <c r="A55" s="157" t="s">
        <v>160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</row>
    <row r="56" spans="1:23" ht="9.9499999999999993" customHeight="1" x14ac:dyDescent="0.2"/>
    <row r="57" spans="1:23" ht="9.9499999999999993" customHeight="1" x14ac:dyDescent="0.2">
      <c r="C57" s="156" t="s">
        <v>165</v>
      </c>
      <c r="D57" s="156"/>
      <c r="E57" s="156"/>
      <c r="F57" s="156"/>
      <c r="H57" s="156" t="s">
        <v>166</v>
      </c>
      <c r="I57" s="156"/>
      <c r="J57" s="156"/>
      <c r="K57" s="156"/>
      <c r="L57" s="156"/>
      <c r="M57" s="156"/>
      <c r="N57" s="156"/>
      <c r="O57" s="156"/>
      <c r="P57" s="156"/>
      <c r="Q57" s="156"/>
      <c r="S57" s="89">
        <v>9330.59</v>
      </c>
    </row>
    <row r="58" spans="1:23" ht="9.9499999999999993" customHeight="1" x14ac:dyDescent="0.2">
      <c r="C58" s="156" t="s">
        <v>165</v>
      </c>
      <c r="D58" s="156"/>
      <c r="E58" s="156"/>
      <c r="F58" s="156"/>
      <c r="H58" s="156" t="s">
        <v>193</v>
      </c>
      <c r="I58" s="156"/>
      <c r="J58" s="156"/>
      <c r="K58" s="156"/>
      <c r="L58" s="156"/>
      <c r="M58" s="156"/>
      <c r="N58" s="156"/>
      <c r="O58" s="156"/>
      <c r="P58" s="156"/>
      <c r="Q58" s="156"/>
      <c r="S58" s="78">
        <v>380826.51</v>
      </c>
    </row>
    <row r="59" spans="1:23" ht="9.9499999999999993" customHeight="1" x14ac:dyDescent="0.2">
      <c r="C59" s="156">
        <v>3550</v>
      </c>
      <c r="D59" s="156"/>
      <c r="E59" s="156"/>
      <c r="F59" s="156"/>
      <c r="H59" s="156" t="s">
        <v>646</v>
      </c>
      <c r="I59" s="156"/>
      <c r="J59" s="156"/>
      <c r="K59" s="156"/>
      <c r="L59" s="156"/>
      <c r="M59" s="156"/>
      <c r="N59" s="156"/>
      <c r="O59" s="156"/>
      <c r="P59" s="156"/>
      <c r="Q59" s="156"/>
      <c r="S59" s="78"/>
    </row>
    <row r="60" spans="1:23" ht="9.9499999999999993" customHeight="1" x14ac:dyDescent="0.2">
      <c r="C60" s="156">
        <v>3551</v>
      </c>
      <c r="D60" s="156"/>
      <c r="E60" s="156"/>
      <c r="F60" s="156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56">
        <v>3552</v>
      </c>
      <c r="D61" s="156"/>
      <c r="E61" s="156"/>
      <c r="F61" s="156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56">
        <v>3553</v>
      </c>
      <c r="D62" s="156"/>
      <c r="E62" s="156"/>
      <c r="F62" s="156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56">
        <v>3554</v>
      </c>
      <c r="D63" s="156"/>
      <c r="E63" s="156"/>
      <c r="F63" s="156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57" t="s">
        <v>176</v>
      </c>
      <c r="J66" s="157"/>
      <c r="K66" s="157"/>
      <c r="L66" s="157"/>
      <c r="M66" s="157"/>
      <c r="N66" s="157"/>
      <c r="O66" s="157"/>
      <c r="P66" s="157"/>
      <c r="U66" s="160">
        <f>SUM(S57:S65)</f>
        <v>390157.10000000003</v>
      </c>
      <c r="V66" s="160"/>
      <c r="W66" s="160"/>
    </row>
    <row r="67" spans="1:23" ht="9.9499999999999993" customHeight="1" x14ac:dyDescent="0.2"/>
    <row r="68" spans="1:23" ht="9.9499999999999993" customHeight="1" x14ac:dyDescent="0.2">
      <c r="I68" s="157" t="s">
        <v>177</v>
      </c>
      <c r="J68" s="157"/>
      <c r="K68" s="157"/>
      <c r="L68" s="157"/>
      <c r="M68" s="157"/>
      <c r="N68" s="157"/>
      <c r="O68" s="157"/>
      <c r="P68" s="157"/>
      <c r="U68" s="160"/>
      <c r="V68" s="160"/>
      <c r="W68" s="160"/>
    </row>
    <row r="69" spans="1:23" ht="9.9499999999999993" customHeight="1" x14ac:dyDescent="0.2">
      <c r="I69" s="157"/>
      <c r="J69" s="157"/>
      <c r="K69" s="157"/>
      <c r="L69" s="157"/>
      <c r="M69" s="157"/>
      <c r="N69" s="157"/>
      <c r="O69" s="157"/>
      <c r="P69" s="157"/>
      <c r="U69" s="160">
        <f>U53+U66</f>
        <v>396237.9</v>
      </c>
      <c r="V69" s="160"/>
      <c r="W69" s="160"/>
    </row>
    <row r="70" spans="1:23" ht="9.9499999999999993" customHeight="1" x14ac:dyDescent="0.2">
      <c r="U70" s="160"/>
      <c r="V70" s="160"/>
      <c r="W70" s="160"/>
    </row>
    <row r="71" spans="1:23" ht="6" customHeight="1" x14ac:dyDescent="0.2"/>
    <row r="72" spans="1:23" ht="12" customHeight="1" x14ac:dyDescent="0.2">
      <c r="A72" s="168"/>
      <c r="B72" s="168"/>
      <c r="C72" s="168"/>
      <c r="D72" s="168"/>
      <c r="F72" s="170"/>
      <c r="G72" s="170"/>
      <c r="H72" s="170"/>
      <c r="I72" s="170"/>
      <c r="J72" s="170"/>
      <c r="V72" s="92">
        <f>U33-U69</f>
        <v>0</v>
      </c>
      <c r="W72" s="93"/>
    </row>
    <row r="73" spans="1:23" ht="12" customHeight="1" x14ac:dyDescent="0.2">
      <c r="A73" s="168"/>
      <c r="B73" s="168"/>
      <c r="C73" s="168"/>
      <c r="D73" s="168"/>
      <c r="F73" s="169"/>
      <c r="G73" s="169"/>
      <c r="H73" s="169"/>
      <c r="I73" s="169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7"/>
  <sheetViews>
    <sheetView workbookViewId="0">
      <selection activeCell="J51" sqref="J51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1" t="s">
        <v>739</v>
      </c>
      <c r="B2" s="172"/>
      <c r="C2" s="172"/>
      <c r="D2" s="172"/>
      <c r="E2" s="172"/>
      <c r="F2" s="173"/>
    </row>
    <row r="3" spans="1:19" x14ac:dyDescent="0.2">
      <c r="A3" s="174"/>
      <c r="B3" s="175"/>
      <c r="C3" s="175"/>
      <c r="D3" s="175"/>
      <c r="E3" s="175"/>
      <c r="F3" s="176"/>
    </row>
    <row r="4" spans="1:19" x14ac:dyDescent="0.2">
      <c r="A4" s="174"/>
      <c r="B4" s="175"/>
      <c r="C4" s="175"/>
      <c r="D4" s="175"/>
      <c r="E4" s="175"/>
      <c r="F4" s="176"/>
    </row>
    <row r="5" spans="1:19" x14ac:dyDescent="0.2">
      <c r="A5" s="177"/>
      <c r="B5" s="178"/>
      <c r="C5" s="178"/>
      <c r="D5" s="178"/>
      <c r="E5" s="178"/>
      <c r="F5" s="179"/>
    </row>
    <row r="8" spans="1:19" ht="13.5" thickBot="1" x14ac:dyDescent="0.25">
      <c r="A8" s="87"/>
      <c r="B8" s="87"/>
      <c r="C8" s="87"/>
      <c r="D8" s="87"/>
      <c r="E8" s="87"/>
      <c r="F8" s="113" t="s">
        <v>738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22981.27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22981.27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875853.7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875853.7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1228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900062.97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900062.97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1250</v>
      </c>
    </row>
    <row r="33" spans="1:6" x14ac:dyDescent="0.2">
      <c r="A33" s="80"/>
      <c r="B33" s="80"/>
      <c r="C33" s="80"/>
      <c r="D33" s="80"/>
      <c r="E33" s="80" t="s">
        <v>740</v>
      </c>
      <c r="F33" s="114">
        <v>2315</v>
      </c>
    </row>
    <row r="34" spans="1:6" x14ac:dyDescent="0.2">
      <c r="A34" s="80"/>
      <c r="B34" s="80"/>
      <c r="C34" s="80"/>
      <c r="D34" s="80"/>
      <c r="E34" s="80" t="s">
        <v>573</v>
      </c>
      <c r="F34" s="114">
        <v>0</v>
      </c>
    </row>
    <row r="35" spans="1:6" x14ac:dyDescent="0.2">
      <c r="A35" s="80"/>
      <c r="B35" s="80"/>
      <c r="C35" s="80"/>
      <c r="D35" s="80"/>
      <c r="E35" s="80" t="s">
        <v>518</v>
      </c>
      <c r="F35" s="114">
        <v>431055.14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1062.48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21162.04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456844.66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456844.66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456844.66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17826.29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443218.31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900062.97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I80"/>
  <sheetViews>
    <sheetView topLeftCell="A46" zoomScaleNormal="100" workbookViewId="0">
      <selection activeCell="M84" sqref="M84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738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0"/>
      <c r="I4" s="180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0"/>
      <c r="I5" s="180"/>
    </row>
    <row r="6" spans="1:9" x14ac:dyDescent="0.2">
      <c r="A6" s="81"/>
      <c r="B6" s="81"/>
      <c r="C6" s="81"/>
      <c r="D6" s="81" t="s">
        <v>338</v>
      </c>
      <c r="E6" s="81"/>
      <c r="F6" s="103">
        <v>158783.31</v>
      </c>
      <c r="H6" s="180"/>
      <c r="I6" s="180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42192.6</v>
      </c>
      <c r="H7" s="180"/>
      <c r="I7" s="180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201210.91</v>
      </c>
      <c r="H8" s="180"/>
      <c r="I8" s="180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201210.91</v>
      </c>
      <c r="H9" s="180"/>
      <c r="I9" s="180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0"/>
      <c r="I10" s="180"/>
    </row>
    <row r="11" spans="1:9" x14ac:dyDescent="0.2">
      <c r="A11" s="81"/>
      <c r="B11" s="81"/>
      <c r="C11" s="81"/>
      <c r="D11" s="81" t="s">
        <v>660</v>
      </c>
      <c r="E11" s="81"/>
      <c r="F11" s="103">
        <v>0</v>
      </c>
      <c r="H11" s="180"/>
      <c r="I11" s="180"/>
    </row>
    <row r="12" spans="1:9" x14ac:dyDescent="0.2">
      <c r="A12" s="81"/>
      <c r="B12" s="81"/>
      <c r="C12" s="81"/>
      <c r="D12" s="81" t="s">
        <v>708</v>
      </c>
      <c r="E12" s="81"/>
      <c r="F12" s="142">
        <v>0</v>
      </c>
      <c r="H12" s="180"/>
      <c r="I12" s="180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200000</v>
      </c>
      <c r="H13" s="180"/>
      <c r="I13" s="180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200000</v>
      </c>
      <c r="H14" s="180"/>
      <c r="I14" s="180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0"/>
      <c r="I15" s="180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458729.25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7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365</v>
      </c>
      <c r="D42" s="81"/>
      <c r="E42" s="81"/>
      <c r="F42" s="109">
        <v>-2587991.92</v>
      </c>
    </row>
    <row r="43" spans="1:7" x14ac:dyDescent="0.2">
      <c r="A43" s="81"/>
      <c r="B43" s="81" t="s">
        <v>366</v>
      </c>
      <c r="C43" s="81"/>
      <c r="D43" s="81"/>
      <c r="E43" s="81"/>
      <c r="F43" s="103">
        <f>ROUND(SUM(F15:F42),5)</f>
        <v>1614780.31</v>
      </c>
    </row>
    <row r="44" spans="1:7" x14ac:dyDescent="0.2">
      <c r="A44" s="81"/>
      <c r="B44" s="81" t="s">
        <v>218</v>
      </c>
      <c r="C44" s="81"/>
      <c r="D44" s="81"/>
      <c r="E44" s="81"/>
      <c r="F44" s="103"/>
    </row>
    <row r="45" spans="1:7" x14ac:dyDescent="0.2">
      <c r="A45" s="81"/>
      <c r="B45" s="81"/>
      <c r="C45" s="81" t="s">
        <v>396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367</v>
      </c>
      <c r="D46" s="81"/>
      <c r="E46" s="81"/>
      <c r="F46" s="103">
        <v>13481.92</v>
      </c>
    </row>
    <row r="47" spans="1:7" ht="13.5" thickBot="1" x14ac:dyDescent="0.25">
      <c r="A47" s="81"/>
      <c r="B47" s="81" t="s">
        <v>368</v>
      </c>
      <c r="C47" s="81"/>
      <c r="D47" s="81"/>
      <c r="E47" s="81"/>
      <c r="F47" s="105">
        <f>ROUND(SUM(F44:F46),5)</f>
        <v>13481.92</v>
      </c>
    </row>
    <row r="48" spans="1:7" ht="13.5" thickBot="1" x14ac:dyDescent="0.25">
      <c r="A48" s="83" t="s">
        <v>369</v>
      </c>
      <c r="B48" s="83"/>
      <c r="C48" s="83"/>
      <c r="D48" s="83"/>
      <c r="E48" s="83"/>
      <c r="F48" s="106">
        <f>ROUND(F2+F9+F43+F47+F14,5)</f>
        <v>2029473.14</v>
      </c>
      <c r="G48" s="100"/>
    </row>
    <row r="49" spans="1:6" ht="13.5" thickTop="1" x14ac:dyDescent="0.2">
      <c r="A49" s="81" t="s">
        <v>370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371</v>
      </c>
      <c r="E52" s="81"/>
      <c r="F52" s="103"/>
    </row>
    <row r="53" spans="1:6" x14ac:dyDescent="0.2">
      <c r="A53" s="81"/>
      <c r="B53" s="81"/>
      <c r="C53" s="81"/>
      <c r="D53" s="81"/>
      <c r="E53" s="81" t="s">
        <v>613</v>
      </c>
      <c r="F53" s="103"/>
    </row>
    <row r="54" spans="1:6" x14ac:dyDescent="0.2">
      <c r="A54" s="81"/>
      <c r="B54" s="81"/>
      <c r="C54" s="81"/>
      <c r="D54" s="81"/>
      <c r="E54" s="81" t="s">
        <v>372</v>
      </c>
      <c r="F54" s="103"/>
    </row>
    <row r="55" spans="1:6" x14ac:dyDescent="0.2">
      <c r="A55" s="81"/>
      <c r="B55" s="81"/>
      <c r="C55" s="81"/>
      <c r="D55" s="81"/>
      <c r="E55" s="81" t="s">
        <v>373</v>
      </c>
      <c r="F55" s="103">
        <v>2500</v>
      </c>
    </row>
    <row r="56" spans="1:6" x14ac:dyDescent="0.2">
      <c r="A56" s="81"/>
      <c r="B56" s="81"/>
      <c r="C56" s="81"/>
      <c r="D56" s="81"/>
      <c r="E56" s="81" t="s">
        <v>374</v>
      </c>
      <c r="F56" s="103"/>
    </row>
    <row r="57" spans="1:6" x14ac:dyDescent="0.2">
      <c r="A57" s="81"/>
      <c r="B57" s="81"/>
      <c r="C57" s="81"/>
      <c r="D57" s="81"/>
      <c r="E57" s="81" t="s">
        <v>592</v>
      </c>
      <c r="F57" s="103">
        <v>3750</v>
      </c>
    </row>
    <row r="58" spans="1:6" x14ac:dyDescent="0.2">
      <c r="A58" s="81"/>
      <c r="B58" s="81"/>
      <c r="C58" s="81"/>
      <c r="D58" s="81"/>
      <c r="E58" s="81" t="s">
        <v>375</v>
      </c>
      <c r="F58" s="103">
        <v>211.53</v>
      </c>
    </row>
    <row r="59" spans="1:6" x14ac:dyDescent="0.2">
      <c r="A59" s="81"/>
      <c r="B59" s="81"/>
      <c r="C59" s="81"/>
      <c r="D59" s="81"/>
      <c r="E59" s="81" t="s">
        <v>376</v>
      </c>
      <c r="F59" s="103">
        <v>4250</v>
      </c>
    </row>
    <row r="60" spans="1:6" x14ac:dyDescent="0.2">
      <c r="A60" s="81"/>
      <c r="B60" s="81"/>
      <c r="C60" s="81"/>
      <c r="D60" s="81"/>
      <c r="E60" s="81" t="s">
        <v>530</v>
      </c>
      <c r="F60" s="103">
        <v>6663.72</v>
      </c>
    </row>
    <row r="61" spans="1:6" x14ac:dyDescent="0.2">
      <c r="A61" s="81"/>
      <c r="B61" s="81"/>
      <c r="C61" s="81"/>
      <c r="D61" s="81"/>
      <c r="E61" s="81" t="s">
        <v>377</v>
      </c>
      <c r="F61" s="103"/>
    </row>
    <row r="62" spans="1:6" x14ac:dyDescent="0.2">
      <c r="A62" s="81"/>
      <c r="B62" s="81"/>
      <c r="C62" s="81"/>
      <c r="D62" s="81"/>
      <c r="E62" s="81" t="s">
        <v>378</v>
      </c>
      <c r="F62" s="103">
        <v>1029763.55</v>
      </c>
    </row>
    <row r="63" spans="1:6" x14ac:dyDescent="0.2">
      <c r="A63" s="81"/>
      <c r="B63" s="81"/>
      <c r="C63" s="81"/>
      <c r="D63" s="81"/>
      <c r="E63" s="81" t="s">
        <v>379</v>
      </c>
      <c r="F63" s="103">
        <v>48585.25</v>
      </c>
    </row>
    <row r="64" spans="1:6" x14ac:dyDescent="0.2">
      <c r="A64" s="81"/>
      <c r="B64" s="81"/>
      <c r="C64" s="81"/>
      <c r="D64" s="81"/>
      <c r="E64" s="81" t="s">
        <v>380</v>
      </c>
      <c r="F64" s="103">
        <v>-16630.02</v>
      </c>
    </row>
    <row r="65" spans="1:7" ht="13.5" thickBot="1" x14ac:dyDescent="0.25">
      <c r="A65" s="81"/>
      <c r="B65" s="81"/>
      <c r="C65" s="81"/>
      <c r="D65" s="81"/>
      <c r="E65" s="81" t="s">
        <v>615</v>
      </c>
      <c r="F65" s="103"/>
    </row>
    <row r="66" spans="1:7" ht="13.5" thickBot="1" x14ac:dyDescent="0.25">
      <c r="A66" s="81"/>
      <c r="B66" s="81"/>
      <c r="C66" s="81"/>
      <c r="D66" s="81" t="s">
        <v>381</v>
      </c>
      <c r="E66" s="81"/>
      <c r="F66" s="104">
        <f>ROUND(SUM(F52:F65),5)</f>
        <v>1079094.03</v>
      </c>
    </row>
    <row r="67" spans="1:7" x14ac:dyDescent="0.2">
      <c r="A67" s="81"/>
      <c r="B67" s="81"/>
      <c r="C67" s="81" t="s">
        <v>382</v>
      </c>
      <c r="D67" s="81"/>
      <c r="E67" s="81"/>
      <c r="F67" s="103">
        <f>ROUND(F51+F66,5)</f>
        <v>1079094.03</v>
      </c>
    </row>
    <row r="68" spans="1:7" x14ac:dyDescent="0.2">
      <c r="A68" s="81"/>
      <c r="B68" s="81"/>
      <c r="C68" s="81" t="s">
        <v>149</v>
      </c>
      <c r="D68" s="81"/>
      <c r="E68" s="81"/>
      <c r="F68" s="103"/>
    </row>
    <row r="69" spans="1:7" x14ac:dyDescent="0.2">
      <c r="A69" s="81"/>
      <c r="B69" s="81"/>
      <c r="C69" s="81"/>
      <c r="D69" s="81" t="s">
        <v>383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384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319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320</v>
      </c>
      <c r="C72" s="81"/>
      <c r="D72" s="81"/>
      <c r="E72" s="81"/>
      <c r="F72" s="103">
        <f>ROUND(F50+F67+F71,5)</f>
        <v>3203794.07</v>
      </c>
    </row>
    <row r="73" spans="1:7" x14ac:dyDescent="0.2">
      <c r="A73" s="81"/>
      <c r="B73" s="81" t="s">
        <v>160</v>
      </c>
      <c r="C73" s="81"/>
      <c r="D73" s="81"/>
      <c r="E73" s="81"/>
      <c r="F73" s="103"/>
    </row>
    <row r="74" spans="1:7" x14ac:dyDescent="0.2">
      <c r="A74" s="81"/>
      <c r="B74" s="81"/>
      <c r="C74" s="81" t="s">
        <v>385</v>
      </c>
      <c r="D74" s="81"/>
      <c r="E74" s="81"/>
      <c r="F74" s="103">
        <v>25000.03</v>
      </c>
    </row>
    <row r="75" spans="1:7" x14ac:dyDescent="0.2">
      <c r="A75" s="81"/>
      <c r="B75" s="81"/>
      <c r="C75" s="81" t="s">
        <v>386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387</v>
      </c>
      <c r="D76" s="81"/>
      <c r="E76" s="81"/>
      <c r="F76" s="103">
        <v>-9948.6</v>
      </c>
    </row>
    <row r="77" spans="1:7" ht="13.5" thickBot="1" x14ac:dyDescent="0.25">
      <c r="A77" s="81"/>
      <c r="B77" s="81" t="s">
        <v>331</v>
      </c>
      <c r="C77" s="81"/>
      <c r="D77" s="81"/>
      <c r="E77" s="81"/>
      <c r="F77" s="105">
        <f>ROUND(SUM(F73:F76),5)</f>
        <v>-1174320.93</v>
      </c>
    </row>
    <row r="78" spans="1:7" ht="13.5" thickBot="1" x14ac:dyDescent="0.25">
      <c r="A78" s="83" t="s">
        <v>388</v>
      </c>
      <c r="B78" s="83"/>
      <c r="C78" s="83"/>
      <c r="D78" s="83"/>
      <c r="E78" s="83"/>
      <c r="F78" s="106">
        <f>ROUND(F49+F72+F77,5)</f>
        <v>2029473.14</v>
      </c>
      <c r="G78" s="100"/>
    </row>
    <row r="79" spans="1:7" ht="13.5" thickTop="1" x14ac:dyDescent="0.2"/>
    <row r="80" spans="1:7" x14ac:dyDescent="0.2">
      <c r="E80" s="85" t="s">
        <v>392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10"/>
  <sheetViews>
    <sheetView topLeftCell="A40" workbookViewId="0">
      <selection activeCell="H77" sqref="H77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1" t="s">
        <v>407</v>
      </c>
      <c r="C2" s="181"/>
      <c r="D2" s="181"/>
      <c r="E2" s="181"/>
      <c r="F2" s="181"/>
    </row>
    <row r="3" spans="1:19" x14ac:dyDescent="0.2">
      <c r="A3" s="100"/>
      <c r="B3" s="181"/>
      <c r="C3" s="181"/>
      <c r="D3" s="181"/>
      <c r="E3" s="181"/>
      <c r="F3" s="18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738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601961.68999999994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601961.68999999994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1134610.26</v>
      </c>
    </row>
    <row r="13" spans="1:19" x14ac:dyDescent="0.2">
      <c r="A13" s="83"/>
      <c r="B13" s="83"/>
      <c r="C13" s="83"/>
      <c r="D13" s="83" t="s">
        <v>569</v>
      </c>
      <c r="E13" s="83"/>
      <c r="F13" s="103">
        <v>500000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17991.669999999998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1652601.93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2254563.62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-1603257.42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124798.59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5461948.7599999998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3725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106755.32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110480.32000000001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110480.32000000001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358230.32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73934.19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5103718.4400000004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5461948.7599999998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72"/>
  <sheetViews>
    <sheetView topLeftCell="A40" zoomScaleNormal="100" workbookViewId="0">
      <selection activeCell="M80" sqref="M80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1" t="s">
        <v>502</v>
      </c>
      <c r="C2" s="181"/>
      <c r="D2" s="181"/>
      <c r="E2" s="181"/>
    </row>
    <row r="3" spans="1:19" x14ac:dyDescent="0.2">
      <c r="B3" s="181"/>
      <c r="C3" s="181"/>
      <c r="D3" s="181"/>
      <c r="E3" s="181"/>
    </row>
    <row r="5" spans="1:19" ht="13.5" thickBot="1" x14ac:dyDescent="0.25">
      <c r="A5" s="101"/>
      <c r="B5" s="101"/>
      <c r="C5" s="101"/>
      <c r="D5" s="101"/>
      <c r="E5" s="102" t="s">
        <v>738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195525.77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195525.77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f>750000+9437.5</f>
        <v>759437.5</v>
      </c>
      <c r="G14" s="75" t="s">
        <v>572</v>
      </c>
    </row>
    <row r="15" spans="1:19" x14ac:dyDescent="0.2">
      <c r="A15" s="83"/>
      <c r="B15" s="83"/>
      <c r="C15" s="83" t="s">
        <v>652</v>
      </c>
      <c r="E15" s="103"/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784437.5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979963.27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-1026710.05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-120460.75</v>
      </c>
    </row>
    <row r="24" spans="1:5" x14ac:dyDescent="0.2">
      <c r="A24" s="83"/>
      <c r="B24" s="83"/>
      <c r="C24" s="83" t="s">
        <v>485</v>
      </c>
      <c r="D24" s="83"/>
      <c r="E24" s="103">
        <v>-182088.5</v>
      </c>
    </row>
    <row r="25" spans="1:5" x14ac:dyDescent="0.2">
      <c r="A25" s="83"/>
      <c r="B25" s="83"/>
      <c r="C25" s="83" t="s">
        <v>638</v>
      </c>
      <c r="D25" s="83"/>
      <c r="E25" s="103">
        <v>0</v>
      </c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356684.97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>
        <v>0</v>
      </c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7704962.9100000001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8684926.1799999997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1666.65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307272.12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308938.77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308938.77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308938.77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97601.25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8375987.4100000001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8684926.1799999997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Mark Pezza</cp:lastModifiedBy>
  <cp:lastPrinted>2020-05-29T15:26:20Z</cp:lastPrinted>
  <dcterms:created xsi:type="dcterms:W3CDTF">2018-05-14T12:52:26Z</dcterms:created>
  <dcterms:modified xsi:type="dcterms:W3CDTF">2020-09-23T20:34:51Z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