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ounting\Published Financial Reports\Combined 2020\"/>
    </mc:Choice>
  </mc:AlternateContent>
  <xr:revisionPtr revIDLastSave="0" documentId="13_ncr:1_{7BDF64E9-702E-4C77-B5D6-5E09AAF67080}" xr6:coauthVersionLast="45" xr6:coauthVersionMax="45" xr10:uidLastSave="{00000000-0000-0000-0000-000000000000}"/>
  <bookViews>
    <workbookView xWindow="5775" yWindow="1860" windowWidth="21600" windowHeight="11835" tabRatio="900" xr2:uid="{00000000-000D-0000-FFFF-FFFF00000000}"/>
  </bookViews>
  <sheets>
    <sheet name="Consolidated Summary Balance  " sheetId="12" r:id="rId1"/>
    <sheet name="Consolidated Balance Sheet" sheetId="7" r:id="rId2"/>
    <sheet name="CNT" sheetId="1" r:id="rId3"/>
    <sheet name="DEP" sheetId="3" r:id="rId4"/>
    <sheet name="BPM" sheetId="2" r:id="rId5"/>
    <sheet name="Lending" sheetId="17" r:id="rId6"/>
    <sheet name="BSC" sheetId="8" r:id="rId7"/>
    <sheet name="Oliari Co" sheetId="11" r:id="rId8"/>
    <sheet name="722 Bedford St" sheetId="14" r:id="rId9"/>
    <sheet name="CNT 12.31.18" sheetId="4" state="hidden" r:id="rId10"/>
    <sheet name="BPM 12.31.18" sheetId="5" state="hidden" r:id="rId11"/>
    <sheet name="DEP 12.31.18" sheetId="6" state="hidden" r:id="rId12"/>
    <sheet name="BSC 12.31.18" sheetId="9" state="hidden" r:id="rId13"/>
    <sheet name="Oliari Co 12.31.18" sheetId="10" state="hidden" r:id="rId14"/>
    <sheet name="722 Bedford St 12.31.18" sheetId="15" state="hidden" r:id="rId15"/>
    <sheet name="CNT Lending 12.31.18" sheetId="16" state="hidden" r:id="rId16"/>
  </sheets>
  <externalReferences>
    <externalReference r:id="rId17"/>
  </externalReferences>
  <definedNames>
    <definedName name="_xlnm.Print_Area" localSheetId="8">'722 Bedford St'!$A$1:$F$70</definedName>
    <definedName name="_xlnm.Print_Area" localSheetId="1">'Consolidated Balance Sheet'!$A$5:$AP$135</definedName>
    <definedName name="_xlnm.Print_Area" localSheetId="0">'Consolidated Summary Balance  '!$A$8:$AP$58</definedName>
    <definedName name="_xlnm.Print_Titles" localSheetId="1">'Consolidated Balance Sheet'!$1:$4</definedName>
    <definedName name="_xlnm.Print_Titles" localSheetId="0">'Consolidated Summary Balance  '!$4:$7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54" i="7" l="1"/>
  <c r="H154" i="7"/>
  <c r="N151" i="7"/>
  <c r="L151" i="7"/>
  <c r="J151" i="7"/>
  <c r="H151" i="7"/>
  <c r="F151" i="7"/>
  <c r="D151" i="7"/>
  <c r="B151" i="7"/>
  <c r="B55" i="7"/>
  <c r="U127" i="1"/>
  <c r="U139" i="1"/>
  <c r="N125" i="7"/>
  <c r="E14" i="14"/>
  <c r="F55" i="7" l="1"/>
  <c r="P55" i="7" s="1"/>
  <c r="AH55" i="7" s="1"/>
  <c r="AN55" i="7" s="1"/>
  <c r="AP55" i="7" s="1"/>
  <c r="AJ55" i="7"/>
  <c r="AF55" i="7"/>
  <c r="AL55" i="7" l="1"/>
  <c r="B28" i="7"/>
  <c r="B10" i="7"/>
  <c r="Z38" i="12" l="1"/>
  <c r="AF58" i="7" l="1"/>
  <c r="N58" i="7"/>
  <c r="P58" i="7" s="1"/>
  <c r="AH58" i="7" s="1"/>
  <c r="AF77" i="7"/>
  <c r="AJ77" i="7" s="1"/>
  <c r="B77" i="7"/>
  <c r="P77" i="7" s="1"/>
  <c r="AH77" i="7" s="1"/>
  <c r="AL58" i="7" l="1"/>
  <c r="AN58" i="7"/>
  <c r="AP58" i="7" s="1"/>
  <c r="AN77" i="7"/>
  <c r="AP77" i="7" s="1"/>
  <c r="AL77" i="7"/>
  <c r="T38" i="12"/>
  <c r="V38" i="12"/>
  <c r="X38" i="12"/>
  <c r="AB38" i="12"/>
  <c r="AD38" i="12"/>
  <c r="AD24" i="12"/>
  <c r="AB24" i="12"/>
  <c r="Z24" i="12"/>
  <c r="X24" i="12"/>
  <c r="V24" i="12"/>
  <c r="T24" i="12"/>
  <c r="R24" i="12"/>
  <c r="R62" i="7"/>
  <c r="AD54" i="12"/>
  <c r="AB54" i="12"/>
  <c r="Z54" i="12"/>
  <c r="X54" i="12"/>
  <c r="V54" i="12"/>
  <c r="T54" i="12"/>
  <c r="R54" i="12"/>
  <c r="AD37" i="12"/>
  <c r="AB37" i="12"/>
  <c r="Z37" i="12"/>
  <c r="X37" i="12"/>
  <c r="V37" i="12"/>
  <c r="T37" i="12"/>
  <c r="R37" i="12"/>
  <c r="AD36" i="12"/>
  <c r="AB36" i="12"/>
  <c r="Z36" i="12"/>
  <c r="X36" i="12"/>
  <c r="V36" i="12"/>
  <c r="T36" i="12"/>
  <c r="R36" i="12"/>
  <c r="AD35" i="12"/>
  <c r="AB35" i="12"/>
  <c r="Z35" i="12"/>
  <c r="X35" i="12"/>
  <c r="V35" i="12"/>
  <c r="T35" i="12"/>
  <c r="AD34" i="12"/>
  <c r="AB34" i="12"/>
  <c r="Z34" i="12"/>
  <c r="X34" i="12"/>
  <c r="V34" i="12"/>
  <c r="T34" i="12"/>
  <c r="R34" i="12"/>
  <c r="AD25" i="12"/>
  <c r="AB25" i="12"/>
  <c r="Z25" i="12"/>
  <c r="X25" i="12"/>
  <c r="V25" i="12"/>
  <c r="T25" i="12"/>
  <c r="R25" i="12"/>
  <c r="AD20" i="12"/>
  <c r="AD19" i="12"/>
  <c r="AD18" i="12"/>
  <c r="AD17" i="12"/>
  <c r="AB20" i="12"/>
  <c r="AB19" i="12"/>
  <c r="AB18" i="12"/>
  <c r="AB17" i="12"/>
  <c r="Z20" i="12"/>
  <c r="Z19" i="12"/>
  <c r="Z18" i="12"/>
  <c r="Z17" i="12"/>
  <c r="X20" i="12"/>
  <c r="X19" i="12"/>
  <c r="X18" i="12"/>
  <c r="X17" i="12"/>
  <c r="V20" i="12"/>
  <c r="V19" i="12"/>
  <c r="V18" i="12"/>
  <c r="V17" i="12"/>
  <c r="T20" i="12"/>
  <c r="T19" i="12"/>
  <c r="T18" i="12"/>
  <c r="T17" i="12"/>
  <c r="R20" i="12"/>
  <c r="R19" i="12"/>
  <c r="R18" i="12"/>
  <c r="AB16" i="12"/>
  <c r="Z16" i="12"/>
  <c r="X16" i="12"/>
  <c r="V16" i="12"/>
  <c r="T16" i="12"/>
  <c r="R16" i="12"/>
  <c r="AB15" i="12"/>
  <c r="Z15" i="12"/>
  <c r="X15" i="12"/>
  <c r="V15" i="12"/>
  <c r="T15" i="12"/>
  <c r="R15" i="12"/>
  <c r="AB14" i="12"/>
  <c r="Z14" i="12"/>
  <c r="X14" i="12"/>
  <c r="V14" i="12"/>
  <c r="T14" i="12"/>
  <c r="R14" i="12"/>
  <c r="AB13" i="12"/>
  <c r="Z13" i="12"/>
  <c r="X13" i="12"/>
  <c r="V13" i="12"/>
  <c r="T13" i="12"/>
  <c r="R13" i="12"/>
  <c r="AB12" i="12"/>
  <c r="Z12" i="12"/>
  <c r="X12" i="12"/>
  <c r="V12" i="12"/>
  <c r="T12" i="12"/>
  <c r="R12" i="12"/>
  <c r="AB11" i="12"/>
  <c r="Z11" i="12"/>
  <c r="X11" i="12"/>
  <c r="V11" i="12"/>
  <c r="T11" i="12"/>
  <c r="R11" i="12"/>
  <c r="AB10" i="12"/>
  <c r="Z10" i="12"/>
  <c r="X10" i="12"/>
  <c r="V10" i="12"/>
  <c r="T10" i="12"/>
  <c r="R10" i="12"/>
  <c r="B40" i="7" l="1"/>
  <c r="J40" i="7" l="1"/>
  <c r="F36" i="15" l="1"/>
  <c r="S18" i="6"/>
  <c r="AK108" i="7"/>
  <c r="AI108" i="7"/>
  <c r="P70" i="7"/>
  <c r="AH70" i="7" s="1"/>
  <c r="AF70" i="7" l="1"/>
  <c r="AJ70" i="7" s="1"/>
  <c r="AL70" i="7" s="1"/>
  <c r="F37" i="15"/>
  <c r="U117" i="4"/>
  <c r="F9" i="7" l="1"/>
  <c r="F92" i="10" l="1"/>
  <c r="F24" i="15"/>
  <c r="U43" i="5" l="1"/>
  <c r="N11" i="7" l="1"/>
  <c r="B94" i="7"/>
  <c r="B85" i="7"/>
  <c r="AF94" i="7" l="1"/>
  <c r="AJ94" i="7" s="1"/>
  <c r="F94" i="7"/>
  <c r="P94" i="7" s="1"/>
  <c r="AH94" i="7" s="1"/>
  <c r="AN94" i="7" l="1"/>
  <c r="AP94" i="7" s="1"/>
  <c r="AL94" i="7"/>
  <c r="F10" i="9"/>
  <c r="AF126" i="7" l="1"/>
  <c r="AF127" i="7"/>
  <c r="AF128" i="7"/>
  <c r="AF129" i="7"/>
  <c r="AF130" i="7"/>
  <c r="AF131" i="7"/>
  <c r="AF132" i="7"/>
  <c r="AF79" i="7"/>
  <c r="AF85" i="7"/>
  <c r="AF93" i="7"/>
  <c r="AF104" i="7"/>
  <c r="AF105" i="7"/>
  <c r="AF106" i="7"/>
  <c r="AF57" i="7"/>
  <c r="AF59" i="7"/>
  <c r="AF39" i="7"/>
  <c r="AF25" i="7"/>
  <c r="AJ25" i="7" s="1"/>
  <c r="B86" i="7" l="1"/>
  <c r="B73" i="7"/>
  <c r="F73" i="7"/>
  <c r="U45" i="6" l="1"/>
  <c r="AF28" i="7"/>
  <c r="AJ28" i="7" s="1"/>
  <c r="AF27" i="7"/>
  <c r="AJ27" i="7" s="1"/>
  <c r="AF30" i="7"/>
  <c r="AJ30" i="7" s="1"/>
  <c r="U58" i="4"/>
  <c r="J57" i="7" l="1"/>
  <c r="N9" i="7"/>
  <c r="E17" i="14"/>
  <c r="F17" i="11"/>
  <c r="F23" i="16" l="1"/>
  <c r="U129" i="4"/>
  <c r="B57" i="7" l="1"/>
  <c r="P57" i="7" s="1"/>
  <c r="AH57" i="7" s="1"/>
  <c r="AN57" i="7" s="1"/>
  <c r="AP57" i="7" s="1"/>
  <c r="B102" i="7"/>
  <c r="U137" i="1"/>
  <c r="U59" i="1"/>
  <c r="AL57" i="7" l="1"/>
  <c r="J60" i="7"/>
  <c r="J13" i="7"/>
  <c r="J11" i="7"/>
  <c r="F43" i="8"/>
  <c r="F14" i="8"/>
  <c r="F37" i="16" l="1"/>
  <c r="F43" i="9"/>
  <c r="AF29" i="7"/>
  <c r="AJ29" i="7" s="1"/>
  <c r="N40" i="7" l="1"/>
  <c r="L102" i="7"/>
  <c r="L144" i="7" s="1"/>
  <c r="D18" i="7"/>
  <c r="D129" i="7"/>
  <c r="D132" i="7"/>
  <c r="D131" i="7"/>
  <c r="D130" i="7"/>
  <c r="D128" i="7"/>
  <c r="U66" i="2"/>
  <c r="F18" i="10" l="1"/>
  <c r="AF97" i="7"/>
  <c r="AF103" i="7"/>
  <c r="N61" i="7" l="1"/>
  <c r="N93" i="7"/>
  <c r="E69" i="14"/>
  <c r="E33" i="14"/>
  <c r="F87" i="7"/>
  <c r="B87" i="7"/>
  <c r="B127" i="7"/>
  <c r="AP105" i="7"/>
  <c r="AJ105" i="7"/>
  <c r="B105" i="7"/>
  <c r="P105" i="7" s="1"/>
  <c r="AH105" i="7" s="1"/>
  <c r="U152" i="1"/>
  <c r="U154" i="1" s="1"/>
  <c r="AL105" i="7" l="1"/>
  <c r="AF107" i="7"/>
  <c r="F40" i="7" l="1"/>
  <c r="U48" i="3"/>
  <c r="U19" i="3"/>
  <c r="D13" i="7"/>
  <c r="U23" i="2"/>
  <c r="N92" i="7" l="1"/>
  <c r="AP28" i="7"/>
  <c r="P28" i="7"/>
  <c r="AH28" i="7" s="1"/>
  <c r="AP27" i="7"/>
  <c r="B27" i="7"/>
  <c r="P27" i="7" s="1"/>
  <c r="AH27" i="7" s="1"/>
  <c r="AJ106" i="7"/>
  <c r="AP106" i="7"/>
  <c r="B106" i="7"/>
  <c r="P106" i="7" s="1"/>
  <c r="AH106" i="7" s="1"/>
  <c r="AL27" i="7" l="1"/>
  <c r="AL28" i="7"/>
  <c r="AL106" i="7"/>
  <c r="AJ85" i="7"/>
  <c r="J85" i="7"/>
  <c r="P85" i="7" s="1"/>
  <c r="AH85" i="7" s="1"/>
  <c r="J102" i="7"/>
  <c r="F66" i="8"/>
  <c r="AN85" i="7" l="1"/>
  <c r="AP85" i="7" s="1"/>
  <c r="AL85" i="7"/>
  <c r="F71" i="10" l="1"/>
  <c r="J72" i="7"/>
  <c r="N54" i="12" l="1"/>
  <c r="AJ93" i="7"/>
  <c r="P93" i="7"/>
  <c r="AH93" i="7" s="1"/>
  <c r="N38" i="12" l="1"/>
  <c r="AN93" i="7"/>
  <c r="AP93" i="7" s="1"/>
  <c r="AL93" i="7"/>
  <c r="U20" i="5" l="1"/>
  <c r="AJ59" i="7"/>
  <c r="B59" i="7"/>
  <c r="P59" i="7" s="1"/>
  <c r="AH59" i="7" s="1"/>
  <c r="AF26" i="7"/>
  <c r="AJ26" i="7" s="1"/>
  <c r="AF96" i="7"/>
  <c r="AF95" i="7"/>
  <c r="AF91" i="7"/>
  <c r="AF90" i="7"/>
  <c r="AL59" i="7" l="1"/>
  <c r="AN59" i="7"/>
  <c r="AP59" i="7" s="1"/>
  <c r="D80" i="7"/>
  <c r="H72" i="7" l="1"/>
  <c r="B74" i="7" l="1"/>
  <c r="AF101" i="7" l="1"/>
  <c r="AF71" i="7" l="1"/>
  <c r="F31" i="7"/>
  <c r="AJ79" i="7" l="1"/>
  <c r="B79" i="7"/>
  <c r="P79" i="7" s="1"/>
  <c r="AH79" i="7" s="1"/>
  <c r="B29" i="7"/>
  <c r="AL79" i="7" l="1"/>
  <c r="AN79" i="7"/>
  <c r="AP79" i="7" s="1"/>
  <c r="D86" i="7"/>
  <c r="AB41" i="12" l="1"/>
  <c r="Z41" i="12"/>
  <c r="V41" i="12"/>
  <c r="L41" i="12"/>
  <c r="N19" i="12"/>
  <c r="L19" i="12"/>
  <c r="J19" i="12"/>
  <c r="H19" i="12"/>
  <c r="F19" i="12"/>
  <c r="D19" i="12"/>
  <c r="AF19" i="12" l="1"/>
  <c r="AJ19" i="12" s="1"/>
  <c r="AF19" i="7"/>
  <c r="AJ19" i="7" s="1"/>
  <c r="F29" i="10" l="1"/>
  <c r="B78" i="7" l="1"/>
  <c r="AP104" i="7"/>
  <c r="AJ104" i="7"/>
  <c r="B104" i="7"/>
  <c r="P104" i="7" s="1"/>
  <c r="AH104" i="7" s="1"/>
  <c r="B39" i="7"/>
  <c r="P39" i="7" s="1"/>
  <c r="AH39" i="7" s="1"/>
  <c r="AJ39" i="7"/>
  <c r="B11" i="7"/>
  <c r="B143" i="7" s="1"/>
  <c r="B22" i="7"/>
  <c r="B7" i="7"/>
  <c r="AL104" i="7" l="1"/>
  <c r="AP39" i="7"/>
  <c r="AL39" i="7"/>
  <c r="F11" i="7"/>
  <c r="D88" i="7" l="1"/>
  <c r="L132" i="7" l="1"/>
  <c r="L131" i="7"/>
  <c r="L130" i="7"/>
  <c r="N102" i="7" l="1"/>
  <c r="N54" i="7"/>
  <c r="N41" i="12" l="1"/>
  <c r="N144" i="7"/>
  <c r="C143" i="7"/>
  <c r="E143" i="7"/>
  <c r="G143" i="7"/>
  <c r="H143" i="7"/>
  <c r="I143" i="7"/>
  <c r="J143" i="7"/>
  <c r="K143" i="7"/>
  <c r="M143" i="7"/>
  <c r="C144" i="7"/>
  <c r="E144" i="7"/>
  <c r="G144" i="7"/>
  <c r="I144" i="7"/>
  <c r="K144" i="7"/>
  <c r="M144" i="7"/>
  <c r="D102" i="7"/>
  <c r="D144" i="7" s="1"/>
  <c r="D41" i="12" l="1"/>
  <c r="D72" i="7" l="1"/>
  <c r="D74" i="7"/>
  <c r="D82" i="7"/>
  <c r="U51" i="2" l="1"/>
  <c r="N143" i="7" l="1"/>
  <c r="H102" i="7"/>
  <c r="H144" i="7" s="1"/>
  <c r="F143" i="7"/>
  <c r="H41" i="12" l="1"/>
  <c r="F37" i="17" l="1"/>
  <c r="AF125" i="7" l="1"/>
  <c r="F125" i="7"/>
  <c r="H37" i="7" l="1"/>
  <c r="H40" i="7"/>
  <c r="F22" i="17"/>
  <c r="F31" i="16" l="1"/>
  <c r="F13" i="16"/>
  <c r="AP25" i="7" l="1"/>
  <c r="AP30" i="7"/>
  <c r="AP29" i="7"/>
  <c r="AP26" i="7"/>
  <c r="V31" i="7"/>
  <c r="P30" i="7"/>
  <c r="AH30" i="7" s="1"/>
  <c r="AL30" i="7" l="1"/>
  <c r="F102" i="7"/>
  <c r="F144" i="7" s="1"/>
  <c r="U54" i="3"/>
  <c r="U55" i="3" s="1"/>
  <c r="F41" i="12" l="1"/>
  <c r="F43" i="16"/>
  <c r="F38" i="16"/>
  <c r="F39" i="16" s="1"/>
  <c r="F16" i="16"/>
  <c r="N14" i="12"/>
  <c r="L123" i="7"/>
  <c r="AF54" i="12"/>
  <c r="AJ54" i="12" s="1"/>
  <c r="L54" i="12"/>
  <c r="J54" i="12"/>
  <c r="H54" i="12"/>
  <c r="F54" i="12"/>
  <c r="D54" i="12"/>
  <c r="K54" i="12"/>
  <c r="I54" i="12"/>
  <c r="G54" i="12"/>
  <c r="E54" i="12"/>
  <c r="C54" i="12"/>
  <c r="AP125" i="7"/>
  <c r="AJ125" i="7"/>
  <c r="B36" i="12"/>
  <c r="B125" i="7"/>
  <c r="B54" i="12" s="1"/>
  <c r="B72" i="7"/>
  <c r="B56" i="7"/>
  <c r="P56" i="7" s="1"/>
  <c r="AH56" i="7" s="1"/>
  <c r="B54" i="7"/>
  <c r="B51" i="7"/>
  <c r="B48" i="7"/>
  <c r="P48" i="7" s="1"/>
  <c r="AH48" i="7" s="1"/>
  <c r="B47" i="7"/>
  <c r="P47" i="7" s="1"/>
  <c r="P29" i="7"/>
  <c r="AH29" i="7" s="1"/>
  <c r="B9" i="7"/>
  <c r="B12" i="7"/>
  <c r="B37" i="7"/>
  <c r="B34" i="7"/>
  <c r="B25" i="7"/>
  <c r="P25" i="7" s="1"/>
  <c r="AH25" i="7" s="1"/>
  <c r="H148" i="7"/>
  <c r="H149" i="7" s="1"/>
  <c r="D124" i="7"/>
  <c r="D123" i="7"/>
  <c r="H80" i="7"/>
  <c r="H37" i="12" s="1"/>
  <c r="F124" i="7"/>
  <c r="F123" i="7"/>
  <c r="F72" i="7"/>
  <c r="F10" i="7"/>
  <c r="F13" i="12" s="1"/>
  <c r="J41" i="12"/>
  <c r="J112" i="7"/>
  <c r="J46" i="12" s="1"/>
  <c r="J121" i="7"/>
  <c r="J52" i="12" s="1"/>
  <c r="J86" i="7"/>
  <c r="H123" i="7"/>
  <c r="H124" i="7"/>
  <c r="H82" i="7"/>
  <c r="H38" i="12" s="1"/>
  <c r="F43" i="17"/>
  <c r="F30" i="17"/>
  <c r="F16" i="17"/>
  <c r="H9" i="7" s="1"/>
  <c r="H12" i="12" s="1"/>
  <c r="F13" i="17"/>
  <c r="H7" i="7" s="1"/>
  <c r="H10" i="12" s="1"/>
  <c r="F38" i="9"/>
  <c r="X41" i="12"/>
  <c r="F60" i="9"/>
  <c r="F61" i="9" s="1"/>
  <c r="U78" i="4"/>
  <c r="F77" i="11"/>
  <c r="AD55" i="12"/>
  <c r="AD52" i="12"/>
  <c r="AD39" i="12"/>
  <c r="AD28" i="12"/>
  <c r="AD16" i="12"/>
  <c r="AD15" i="12"/>
  <c r="AD13" i="12"/>
  <c r="AE12" i="12"/>
  <c r="AD12" i="12"/>
  <c r="AD11" i="12"/>
  <c r="AE10" i="12"/>
  <c r="N55" i="12"/>
  <c r="N52" i="12"/>
  <c r="N45" i="12"/>
  <c r="N40" i="12"/>
  <c r="N39" i="12"/>
  <c r="N37" i="12"/>
  <c r="N36" i="12"/>
  <c r="N35" i="12"/>
  <c r="N34" i="12"/>
  <c r="N28" i="12"/>
  <c r="N18" i="12"/>
  <c r="N17" i="12"/>
  <c r="N16" i="12"/>
  <c r="N15" i="12"/>
  <c r="N13" i="12"/>
  <c r="N12" i="12"/>
  <c r="N11" i="12"/>
  <c r="F54" i="15"/>
  <c r="F44" i="15"/>
  <c r="F31" i="15"/>
  <c r="F6" i="15"/>
  <c r="F10" i="15" s="1"/>
  <c r="P127" i="7"/>
  <c r="AH127" i="7" s="1"/>
  <c r="P111" i="7"/>
  <c r="AH111" i="7" s="1"/>
  <c r="P74" i="7"/>
  <c r="AH74" i="7" s="1"/>
  <c r="P87" i="7"/>
  <c r="AH87" i="7" s="1"/>
  <c r="N41" i="7"/>
  <c r="N20" i="12" s="1"/>
  <c r="P22" i="7"/>
  <c r="AH22" i="7" s="1"/>
  <c r="N124" i="7"/>
  <c r="N123" i="7"/>
  <c r="N115" i="7"/>
  <c r="N114" i="7"/>
  <c r="N113" i="7"/>
  <c r="N112" i="7"/>
  <c r="N148" i="7"/>
  <c r="N60" i="7"/>
  <c r="N46" i="7"/>
  <c r="N31" i="7"/>
  <c r="AD31" i="7"/>
  <c r="AD43" i="7" s="1"/>
  <c r="AJ107" i="7"/>
  <c r="AJ90" i="7"/>
  <c r="AJ91" i="7"/>
  <c r="AJ95" i="7"/>
  <c r="AJ96" i="7"/>
  <c r="AJ97" i="7"/>
  <c r="AJ103" i="7"/>
  <c r="AJ71" i="7"/>
  <c r="AD45" i="12"/>
  <c r="AD40" i="12"/>
  <c r="AD41" i="7"/>
  <c r="AD14" i="12"/>
  <c r="E54" i="14"/>
  <c r="E47" i="14"/>
  <c r="E48" i="14" s="1"/>
  <c r="E10" i="14"/>
  <c r="T52" i="12"/>
  <c r="X52" i="12"/>
  <c r="AB52" i="12"/>
  <c r="T55" i="12"/>
  <c r="X55" i="12"/>
  <c r="Z55" i="12"/>
  <c r="AB55" i="12"/>
  <c r="T45" i="12"/>
  <c r="V45" i="12"/>
  <c r="X45" i="12"/>
  <c r="T46" i="12"/>
  <c r="V46" i="12"/>
  <c r="X46" i="12"/>
  <c r="C62" i="12"/>
  <c r="E62" i="12"/>
  <c r="G62" i="12"/>
  <c r="I62" i="12"/>
  <c r="K62" i="12"/>
  <c r="M62" i="12"/>
  <c r="C55" i="12"/>
  <c r="D55" i="12"/>
  <c r="E55" i="12"/>
  <c r="G55" i="12"/>
  <c r="H55" i="12"/>
  <c r="I55" i="12"/>
  <c r="J55" i="12"/>
  <c r="K55" i="12"/>
  <c r="L55" i="12"/>
  <c r="C53" i="12"/>
  <c r="E53" i="12"/>
  <c r="G53" i="12"/>
  <c r="I53" i="12"/>
  <c r="K53" i="12"/>
  <c r="C52" i="12"/>
  <c r="D52" i="12"/>
  <c r="E52" i="12"/>
  <c r="G52" i="12"/>
  <c r="H52" i="12"/>
  <c r="I52" i="12"/>
  <c r="K52" i="12"/>
  <c r="L52" i="12"/>
  <c r="D46" i="12"/>
  <c r="F46" i="12"/>
  <c r="H46" i="12"/>
  <c r="D45" i="12"/>
  <c r="F45" i="12"/>
  <c r="H45" i="12"/>
  <c r="J45" i="12"/>
  <c r="L45" i="12"/>
  <c r="B45" i="12"/>
  <c r="T39" i="12"/>
  <c r="V39" i="12"/>
  <c r="X39" i="12"/>
  <c r="Z39" i="12"/>
  <c r="AB39" i="12"/>
  <c r="T40" i="12"/>
  <c r="V40" i="12"/>
  <c r="X40" i="12"/>
  <c r="R40" i="12"/>
  <c r="H25" i="12"/>
  <c r="D28" i="12"/>
  <c r="F28" i="12"/>
  <c r="H28" i="12"/>
  <c r="J28" i="12"/>
  <c r="L28" i="12"/>
  <c r="T28" i="12"/>
  <c r="V28" i="12"/>
  <c r="X28" i="12"/>
  <c r="Z28" i="12"/>
  <c r="AB28" i="12"/>
  <c r="D40" i="12"/>
  <c r="F40" i="12"/>
  <c r="H40" i="12"/>
  <c r="B40" i="12"/>
  <c r="D39" i="12"/>
  <c r="F39" i="12"/>
  <c r="H39" i="12"/>
  <c r="J39" i="12"/>
  <c r="L39" i="12"/>
  <c r="D34" i="12"/>
  <c r="F34" i="12"/>
  <c r="H34" i="12"/>
  <c r="J34" i="12"/>
  <c r="L34" i="12"/>
  <c r="D37" i="12"/>
  <c r="D36" i="12"/>
  <c r="F36" i="12"/>
  <c r="H36" i="12"/>
  <c r="L36" i="12"/>
  <c r="H35" i="12"/>
  <c r="L35" i="12"/>
  <c r="AC12" i="12"/>
  <c r="AC10" i="12"/>
  <c r="D16" i="12"/>
  <c r="F16" i="12"/>
  <c r="H16" i="12"/>
  <c r="J16" i="12"/>
  <c r="L16" i="12"/>
  <c r="D18" i="12"/>
  <c r="F18" i="12"/>
  <c r="H18" i="12"/>
  <c r="J18" i="12"/>
  <c r="L18" i="12"/>
  <c r="F17" i="12"/>
  <c r="H17" i="12"/>
  <c r="J17" i="12"/>
  <c r="L17" i="12"/>
  <c r="D15" i="12"/>
  <c r="F15" i="12"/>
  <c r="H15" i="12"/>
  <c r="J15" i="12"/>
  <c r="L15" i="12"/>
  <c r="H14" i="12"/>
  <c r="J14" i="12"/>
  <c r="D13" i="12"/>
  <c r="H13" i="12"/>
  <c r="J13" i="12"/>
  <c r="L13" i="12"/>
  <c r="B13" i="12"/>
  <c r="D12" i="12"/>
  <c r="F12" i="12"/>
  <c r="J12" i="12"/>
  <c r="L12" i="12"/>
  <c r="H11" i="12"/>
  <c r="J11" i="12"/>
  <c r="L11" i="12"/>
  <c r="AP34" i="12"/>
  <c r="AP12" i="12"/>
  <c r="AB46" i="12"/>
  <c r="AB45" i="12"/>
  <c r="L82" i="7"/>
  <c r="L38" i="12" s="1"/>
  <c r="L100" i="7"/>
  <c r="L40" i="12" s="1"/>
  <c r="L37" i="12"/>
  <c r="L61" i="7"/>
  <c r="L31" i="7"/>
  <c r="J31" i="7"/>
  <c r="H31" i="7"/>
  <c r="AB41" i="7"/>
  <c r="AB31" i="7"/>
  <c r="L41" i="7"/>
  <c r="L20" i="12" s="1"/>
  <c r="F84" i="11"/>
  <c r="F68" i="11"/>
  <c r="L112" i="7" s="1"/>
  <c r="L46" i="12" s="1"/>
  <c r="F64" i="11"/>
  <c r="F65" i="11" s="1"/>
  <c r="F54" i="11"/>
  <c r="F55" i="11" s="1"/>
  <c r="F26" i="11"/>
  <c r="L11" i="7"/>
  <c r="L143" i="7" s="1"/>
  <c r="F10" i="11"/>
  <c r="L7" i="7" s="1"/>
  <c r="L10" i="12" s="1"/>
  <c r="F85" i="10"/>
  <c r="F76" i="10"/>
  <c r="F65" i="10"/>
  <c r="F57" i="10"/>
  <c r="F58" i="10" s="1"/>
  <c r="F10" i="10"/>
  <c r="B64" i="7"/>
  <c r="P64" i="7" s="1"/>
  <c r="AH64" i="7" s="1"/>
  <c r="B101" i="7"/>
  <c r="B132" i="7"/>
  <c r="B131" i="7"/>
  <c r="B130" i="7"/>
  <c r="B126" i="7"/>
  <c r="P126" i="7" s="1"/>
  <c r="AH126" i="7" s="1"/>
  <c r="B124" i="7"/>
  <c r="B123" i="7"/>
  <c r="B122" i="7"/>
  <c r="P122" i="7" s="1"/>
  <c r="AH122" i="7" s="1"/>
  <c r="B121" i="7"/>
  <c r="B52" i="12" s="1"/>
  <c r="B115" i="7"/>
  <c r="B114" i="7"/>
  <c r="B113" i="7"/>
  <c r="B112" i="7"/>
  <c r="B107" i="7"/>
  <c r="P107" i="7" s="1"/>
  <c r="AH107" i="7" s="1"/>
  <c r="B103" i="7"/>
  <c r="B99" i="7"/>
  <c r="B39" i="12" s="1"/>
  <c r="B97" i="7"/>
  <c r="B96" i="7"/>
  <c r="P96" i="7" s="1"/>
  <c r="AH96" i="7" s="1"/>
  <c r="B95" i="7"/>
  <c r="P95" i="7" s="1"/>
  <c r="AH95" i="7" s="1"/>
  <c r="B91" i="7"/>
  <c r="P91" i="7" s="1"/>
  <c r="AH91" i="7" s="1"/>
  <c r="B90" i="7"/>
  <c r="P90" i="7" s="1"/>
  <c r="AH90" i="7" s="1"/>
  <c r="B89" i="7"/>
  <c r="P89" i="7" s="1"/>
  <c r="AH89" i="7" s="1"/>
  <c r="B88" i="7"/>
  <c r="B84" i="7"/>
  <c r="B83" i="7"/>
  <c r="P83" i="7" s="1"/>
  <c r="AH83" i="7" s="1"/>
  <c r="B82" i="7"/>
  <c r="B81" i="7"/>
  <c r="B80" i="7"/>
  <c r="B76" i="7"/>
  <c r="B75" i="7"/>
  <c r="B71" i="7"/>
  <c r="B34" i="12" s="1"/>
  <c r="B13" i="7"/>
  <c r="P13" i="7" s="1"/>
  <c r="AH13" i="7" s="1"/>
  <c r="J38" i="7"/>
  <c r="AJ132" i="7"/>
  <c r="AJ127" i="7"/>
  <c r="AF115" i="7"/>
  <c r="AF114" i="7"/>
  <c r="AF113" i="7"/>
  <c r="R41" i="12"/>
  <c r="AF99" i="7"/>
  <c r="AF88" i="7"/>
  <c r="AF82" i="7"/>
  <c r="R108" i="7"/>
  <c r="U144" i="4"/>
  <c r="U131" i="4"/>
  <c r="U75" i="4"/>
  <c r="P129" i="7"/>
  <c r="AH129" i="7" s="1"/>
  <c r="P128" i="7"/>
  <c r="AH128" i="7" s="1"/>
  <c r="F121" i="7"/>
  <c r="F52" i="12" s="1"/>
  <c r="F92" i="7"/>
  <c r="F88" i="7"/>
  <c r="F86" i="7"/>
  <c r="F84" i="7"/>
  <c r="F80" i="7"/>
  <c r="F37" i="12" s="1"/>
  <c r="F75" i="7"/>
  <c r="F54" i="7"/>
  <c r="F34" i="7"/>
  <c r="AJ129" i="7"/>
  <c r="AJ128" i="7"/>
  <c r="V52" i="12"/>
  <c r="U28" i="3"/>
  <c r="U33" i="3" s="1"/>
  <c r="U49" i="3"/>
  <c r="U65" i="3"/>
  <c r="U56" i="6"/>
  <c r="U46" i="6"/>
  <c r="U27" i="6"/>
  <c r="U19" i="6"/>
  <c r="U26" i="5"/>
  <c r="U51" i="5"/>
  <c r="U44" i="5"/>
  <c r="D98" i="7"/>
  <c r="P98" i="7" s="1"/>
  <c r="AH98" i="7" s="1"/>
  <c r="D35" i="12"/>
  <c r="U31" i="2"/>
  <c r="Z52" i="12"/>
  <c r="Z45" i="12"/>
  <c r="Z41" i="7"/>
  <c r="F71" i="9"/>
  <c r="F65" i="9"/>
  <c r="F11" i="9"/>
  <c r="J124" i="7"/>
  <c r="J123" i="7"/>
  <c r="J7" i="7"/>
  <c r="J10" i="12" s="1"/>
  <c r="J78" i="7"/>
  <c r="J100" i="7"/>
  <c r="J88" i="7"/>
  <c r="J92" i="7"/>
  <c r="J80" i="7"/>
  <c r="J37" i="12" s="1"/>
  <c r="J76" i="7"/>
  <c r="J73" i="7"/>
  <c r="J61" i="7"/>
  <c r="J148" i="7" s="1"/>
  <c r="J149" i="7" s="1"/>
  <c r="J152" i="7" s="1"/>
  <c r="J34" i="7"/>
  <c r="Z31" i="7"/>
  <c r="Z43" i="7" s="1"/>
  <c r="X31" i="7"/>
  <c r="F77" i="8"/>
  <c r="F71" i="8"/>
  <c r="F67" i="8"/>
  <c r="F47" i="8"/>
  <c r="F8" i="8"/>
  <c r="F9" i="8" s="1"/>
  <c r="AP90" i="7"/>
  <c r="AP91" i="7"/>
  <c r="AP95" i="7"/>
  <c r="AP96" i="7"/>
  <c r="AP97" i="7"/>
  <c r="AP103" i="7"/>
  <c r="AP107" i="7"/>
  <c r="X116" i="7"/>
  <c r="AF54" i="7"/>
  <c r="AF49" i="7"/>
  <c r="AF48" i="7"/>
  <c r="F49" i="7"/>
  <c r="F51" i="7"/>
  <c r="F46" i="7"/>
  <c r="D51" i="7"/>
  <c r="D46" i="7"/>
  <c r="B60" i="7"/>
  <c r="B53" i="7"/>
  <c r="P53" i="7" s="1"/>
  <c r="AH53" i="7" s="1"/>
  <c r="B52" i="7"/>
  <c r="P52" i="7" s="1"/>
  <c r="AH52" i="7" s="1"/>
  <c r="B50" i="7"/>
  <c r="P50" i="7" s="1"/>
  <c r="AH50" i="7" s="1"/>
  <c r="B49" i="7"/>
  <c r="X62" i="7"/>
  <c r="X41" i="7"/>
  <c r="V116" i="7"/>
  <c r="T116" i="7"/>
  <c r="H116" i="7"/>
  <c r="F116" i="7"/>
  <c r="D116" i="7"/>
  <c r="AF22" i="7"/>
  <c r="AJ22" i="7" s="1"/>
  <c r="AF24" i="7"/>
  <c r="AJ24" i="7" s="1"/>
  <c r="AF23" i="7"/>
  <c r="AJ23" i="7" s="1"/>
  <c r="AF21" i="7"/>
  <c r="AJ21" i="7" s="1"/>
  <c r="AF18" i="7"/>
  <c r="AJ18" i="7" s="1"/>
  <c r="AF17" i="7"/>
  <c r="AJ17" i="7" s="1"/>
  <c r="H62" i="7"/>
  <c r="H24" i="12" s="1"/>
  <c r="F61" i="7"/>
  <c r="D61" i="7"/>
  <c r="D148" i="7" s="1"/>
  <c r="D149" i="7" s="1"/>
  <c r="B61" i="7"/>
  <c r="B26" i="7"/>
  <c r="D40" i="7"/>
  <c r="F37" i="7"/>
  <c r="D37" i="7"/>
  <c r="B36" i="7"/>
  <c r="P36" i="7" s="1"/>
  <c r="AH36" i="7" s="1"/>
  <c r="B35" i="7"/>
  <c r="B33" i="7"/>
  <c r="P33" i="7" s="1"/>
  <c r="AH33" i="7" s="1"/>
  <c r="F14" i="12"/>
  <c r="D11" i="7"/>
  <c r="D143" i="7" s="1"/>
  <c r="D16" i="7"/>
  <c r="D15" i="7"/>
  <c r="D14" i="7"/>
  <c r="B23" i="7"/>
  <c r="P23" i="7" s="1"/>
  <c r="AH23" i="7" s="1"/>
  <c r="B21" i="7"/>
  <c r="B20" i="7"/>
  <c r="P20" i="7" s="1"/>
  <c r="AH20" i="7" s="1"/>
  <c r="B19" i="7"/>
  <c r="P19" i="7" s="1"/>
  <c r="AH19" i="7" s="1"/>
  <c r="B18" i="7"/>
  <c r="P18" i="7" s="1"/>
  <c r="AH18" i="7" s="1"/>
  <c r="B17" i="7"/>
  <c r="P17" i="7" s="1"/>
  <c r="AH17" i="7" s="1"/>
  <c r="B16" i="7"/>
  <c r="B15" i="7"/>
  <c r="B14" i="7"/>
  <c r="F8" i="7"/>
  <c r="F11" i="12" s="1"/>
  <c r="D8" i="7"/>
  <c r="D11" i="12" s="1"/>
  <c r="B8" i="7"/>
  <c r="F7" i="7"/>
  <c r="D7" i="7"/>
  <c r="D10" i="12" s="1"/>
  <c r="B10" i="12"/>
  <c r="U53" i="2"/>
  <c r="B24" i="7"/>
  <c r="B18" i="12" s="1"/>
  <c r="U80" i="1"/>
  <c r="U83" i="1" s="1"/>
  <c r="U157" i="1" s="1"/>
  <c r="B46" i="7"/>
  <c r="B17" i="12" l="1"/>
  <c r="X43" i="7"/>
  <c r="AB43" i="7"/>
  <c r="B38" i="12"/>
  <c r="L60" i="7"/>
  <c r="P60" i="7" s="1"/>
  <c r="AH60" i="7" s="1"/>
  <c r="AF20" i="7"/>
  <c r="AJ20" i="7" s="1"/>
  <c r="AL20" i="7" s="1"/>
  <c r="T108" i="7"/>
  <c r="V108" i="7"/>
  <c r="X42" i="12"/>
  <c r="X108" i="7"/>
  <c r="AB40" i="12"/>
  <c r="AB108" i="7"/>
  <c r="Z108" i="7"/>
  <c r="AF46" i="7"/>
  <c r="AJ46" i="7" s="1"/>
  <c r="F38" i="12"/>
  <c r="AF15" i="7"/>
  <c r="AJ15" i="7" s="1"/>
  <c r="AF51" i="7"/>
  <c r="AJ51" i="7" s="1"/>
  <c r="AF87" i="7"/>
  <c r="AJ87" i="7" s="1"/>
  <c r="AL87" i="7" s="1"/>
  <c r="AF12" i="12"/>
  <c r="AJ12" i="12" s="1"/>
  <c r="AF9" i="7"/>
  <c r="AJ9" i="7" s="1"/>
  <c r="AF100" i="7"/>
  <c r="AJ100" i="7" s="1"/>
  <c r="AF36" i="12"/>
  <c r="AJ36" i="12" s="1"/>
  <c r="AF78" i="7"/>
  <c r="AJ78" i="7" s="1"/>
  <c r="AF89" i="7"/>
  <c r="AJ89" i="7" s="1"/>
  <c r="AF76" i="7"/>
  <c r="AJ76" i="7" s="1"/>
  <c r="Z46" i="12"/>
  <c r="Z47" i="12" s="1"/>
  <c r="AF112" i="7"/>
  <c r="AF111" i="7"/>
  <c r="AJ111" i="7" s="1"/>
  <c r="AN111" i="7" s="1"/>
  <c r="AP111" i="7" s="1"/>
  <c r="U58" i="6"/>
  <c r="AF75" i="7"/>
  <c r="AJ75" i="7" s="1"/>
  <c r="AF84" i="7"/>
  <c r="AJ84" i="7" s="1"/>
  <c r="AF92" i="7"/>
  <c r="AJ92" i="7" s="1"/>
  <c r="AF73" i="7"/>
  <c r="AJ73" i="7" s="1"/>
  <c r="AF86" i="7"/>
  <c r="AJ86" i="7" s="1"/>
  <c r="AF37" i="7"/>
  <c r="AJ37" i="7" s="1"/>
  <c r="AF13" i="12"/>
  <c r="AJ13" i="12" s="1"/>
  <c r="AF10" i="7"/>
  <c r="AJ10" i="7" s="1"/>
  <c r="AF72" i="7"/>
  <c r="AF40" i="7"/>
  <c r="AJ40" i="7" s="1"/>
  <c r="AF34" i="7"/>
  <c r="AJ34" i="7" s="1"/>
  <c r="AF11" i="7"/>
  <c r="AJ11" i="7" s="1"/>
  <c r="AF123" i="7"/>
  <c r="AJ123" i="7" s="1"/>
  <c r="T41" i="12"/>
  <c r="AF98" i="7"/>
  <c r="AJ98" i="7" s="1"/>
  <c r="AF74" i="7"/>
  <c r="AJ74" i="7" s="1"/>
  <c r="AF16" i="7"/>
  <c r="AJ16" i="7" s="1"/>
  <c r="AF50" i="7"/>
  <c r="AJ50" i="7" s="1"/>
  <c r="AF122" i="7"/>
  <c r="AJ122" i="7" s="1"/>
  <c r="AF47" i="7"/>
  <c r="AJ47" i="7" s="1"/>
  <c r="AF52" i="7"/>
  <c r="AJ52" i="7" s="1"/>
  <c r="AF53" i="7"/>
  <c r="AJ53" i="7" s="1"/>
  <c r="R52" i="12"/>
  <c r="AF52" i="12" s="1"/>
  <c r="AJ52" i="12" s="1"/>
  <c r="AF121" i="7"/>
  <c r="AJ121" i="7" s="1"/>
  <c r="AF83" i="7"/>
  <c r="AJ83" i="7" s="1"/>
  <c r="AF81" i="7"/>
  <c r="AJ81" i="7" s="1"/>
  <c r="AF37" i="12"/>
  <c r="AJ37" i="12" s="1"/>
  <c r="AF80" i="7"/>
  <c r="AJ80" i="7" s="1"/>
  <c r="R28" i="12"/>
  <c r="AF28" i="12" s="1"/>
  <c r="AJ28" i="12" s="1"/>
  <c r="AF64" i="7"/>
  <c r="AJ64" i="7" s="1"/>
  <c r="AL64" i="7" s="1"/>
  <c r="AF25" i="12"/>
  <c r="AJ25" i="12" s="1"/>
  <c r="AF61" i="7"/>
  <c r="AJ61" i="7" s="1"/>
  <c r="AF56" i="7"/>
  <c r="AF15" i="12"/>
  <c r="AJ15" i="12" s="1"/>
  <c r="AF12" i="7"/>
  <c r="AJ12" i="7" s="1"/>
  <c r="AF16" i="12"/>
  <c r="AJ16" i="12" s="1"/>
  <c r="AF13" i="7"/>
  <c r="AJ13" i="7" s="1"/>
  <c r="AN13" i="7" s="1"/>
  <c r="AP13" i="7" s="1"/>
  <c r="AF38" i="7"/>
  <c r="AJ38" i="7" s="1"/>
  <c r="AF36" i="7"/>
  <c r="AJ36" i="7" s="1"/>
  <c r="AF35" i="7"/>
  <c r="AJ35" i="7" s="1"/>
  <c r="AF33" i="7"/>
  <c r="AF14" i="7"/>
  <c r="AF8" i="7"/>
  <c r="AJ8" i="7" s="1"/>
  <c r="F48" i="8"/>
  <c r="D31" i="7"/>
  <c r="X66" i="7"/>
  <c r="AD10" i="12"/>
  <c r="AD21" i="12" s="1"/>
  <c r="Z21" i="12"/>
  <c r="P21" i="7"/>
  <c r="AH21" i="7" s="1"/>
  <c r="AL21" i="7" s="1"/>
  <c r="B31" i="7"/>
  <c r="B25" i="12"/>
  <c r="B148" i="7"/>
  <c r="J36" i="12"/>
  <c r="P36" i="12" s="1"/>
  <c r="AH36" i="12" s="1"/>
  <c r="J144" i="7"/>
  <c r="F44" i="16"/>
  <c r="AF7" i="7"/>
  <c r="AJ7" i="7" s="1"/>
  <c r="F19" i="10"/>
  <c r="F59" i="10" s="1"/>
  <c r="P81" i="7"/>
  <c r="AH81" i="7" s="1"/>
  <c r="E55" i="14"/>
  <c r="E70" i="14" s="1"/>
  <c r="J38" i="12"/>
  <c r="F44" i="9"/>
  <c r="J41" i="7"/>
  <c r="J20" i="12" s="1"/>
  <c r="J21" i="12" s="1"/>
  <c r="U54" i="5"/>
  <c r="L47" i="12"/>
  <c r="L25" i="12"/>
  <c r="L148" i="7"/>
  <c r="L149" i="7" s="1"/>
  <c r="L152" i="7" s="1"/>
  <c r="U147" i="4"/>
  <c r="B35" i="12"/>
  <c r="B11" i="12"/>
  <c r="P11" i="12" s="1"/>
  <c r="AH11" i="12" s="1"/>
  <c r="F97" i="10"/>
  <c r="F38" i="15"/>
  <c r="F45" i="15" s="1"/>
  <c r="F55" i="15" s="1"/>
  <c r="AL90" i="7"/>
  <c r="B144" i="7"/>
  <c r="B41" i="12"/>
  <c r="P35" i="7"/>
  <c r="AH35" i="7" s="1"/>
  <c r="B19" i="12"/>
  <c r="F72" i="10"/>
  <c r="F77" i="10" s="1"/>
  <c r="P97" i="7"/>
  <c r="AH97" i="7" s="1"/>
  <c r="AL97" i="7" s="1"/>
  <c r="F92" i="11"/>
  <c r="L124" i="7"/>
  <c r="P124" i="7" s="1"/>
  <c r="AH124" i="7" s="1"/>
  <c r="AJ101" i="7"/>
  <c r="AB62" i="7"/>
  <c r="P143" i="7"/>
  <c r="F72" i="8"/>
  <c r="F78" i="8" s="1"/>
  <c r="F69" i="11"/>
  <c r="AL95" i="7"/>
  <c r="N149" i="7"/>
  <c r="N152" i="7" s="1"/>
  <c r="AN22" i="7"/>
  <c r="AP22" i="7" s="1"/>
  <c r="J133" i="7"/>
  <c r="T47" i="12"/>
  <c r="AJ113" i="7"/>
  <c r="AC21" i="12"/>
  <c r="P10" i="7"/>
  <c r="AH10" i="7" s="1"/>
  <c r="F62" i="7"/>
  <c r="F41" i="7"/>
  <c r="F20" i="12" s="1"/>
  <c r="P100" i="7"/>
  <c r="AH100" i="7" s="1"/>
  <c r="AJ114" i="7"/>
  <c r="Z62" i="7"/>
  <c r="Z26" i="12" s="1"/>
  <c r="F10" i="12"/>
  <c r="F53" i="12"/>
  <c r="J40" i="12"/>
  <c r="P40" i="12" s="1"/>
  <c r="AH40" i="12" s="1"/>
  <c r="N7" i="7"/>
  <c r="N10" i="12" s="1"/>
  <c r="N21" i="12" s="1"/>
  <c r="E19" i="14"/>
  <c r="E34" i="14" s="1"/>
  <c r="U27" i="5"/>
  <c r="B14" i="12"/>
  <c r="U67" i="3"/>
  <c r="D53" i="12"/>
  <c r="D56" i="12" s="1"/>
  <c r="D38" i="12"/>
  <c r="P92" i="7"/>
  <c r="AH92" i="7" s="1"/>
  <c r="U33" i="2"/>
  <c r="F38" i="17"/>
  <c r="F39" i="17" s="1"/>
  <c r="F44" i="17" s="1"/>
  <c r="H53" i="12"/>
  <c r="H56" i="12" s="1"/>
  <c r="P84" i="7"/>
  <c r="AH84" i="7" s="1"/>
  <c r="L14" i="12"/>
  <c r="L21" i="12" s="1"/>
  <c r="N42" i="12"/>
  <c r="AB116" i="7"/>
  <c r="L116" i="7"/>
  <c r="U28" i="6"/>
  <c r="D47" i="12"/>
  <c r="L108" i="7"/>
  <c r="F18" i="11"/>
  <c r="F56" i="11" s="1"/>
  <c r="F23" i="17"/>
  <c r="F24" i="17" s="1"/>
  <c r="P38" i="7"/>
  <c r="AH38" i="7" s="1"/>
  <c r="P115" i="7"/>
  <c r="AH115" i="7" s="1"/>
  <c r="N53" i="12"/>
  <c r="N56" i="12" s="1"/>
  <c r="F24" i="16"/>
  <c r="F25" i="16" s="1"/>
  <c r="N108" i="7"/>
  <c r="P71" i="7"/>
  <c r="AH71" i="7" s="1"/>
  <c r="AL71" i="7" s="1"/>
  <c r="J62" i="7"/>
  <c r="J24" i="12" s="1"/>
  <c r="AJ131" i="7"/>
  <c r="P112" i="7"/>
  <c r="AH112" i="7" s="1"/>
  <c r="F47" i="12"/>
  <c r="F66" i="9"/>
  <c r="F72" i="9" s="1"/>
  <c r="H41" i="7"/>
  <c r="H20" i="12" s="1"/>
  <c r="H21" i="12" s="1"/>
  <c r="H133" i="7"/>
  <c r="D133" i="7"/>
  <c r="U80" i="4"/>
  <c r="R31" i="7"/>
  <c r="R43" i="7" s="1"/>
  <c r="AJ88" i="7"/>
  <c r="V53" i="12"/>
  <c r="Z53" i="12"/>
  <c r="Z56" i="12" s="1"/>
  <c r="Z40" i="12"/>
  <c r="AD133" i="7"/>
  <c r="F25" i="15"/>
  <c r="T62" i="7"/>
  <c r="T26" i="12" s="1"/>
  <c r="J116" i="7"/>
  <c r="AB47" i="12"/>
  <c r="D41" i="7"/>
  <c r="D20" i="12" s="1"/>
  <c r="R41" i="7"/>
  <c r="X133" i="7"/>
  <c r="P99" i="7"/>
  <c r="AH99" i="7" s="1"/>
  <c r="P15" i="7"/>
  <c r="AH15" i="7" s="1"/>
  <c r="AJ115" i="7"/>
  <c r="AF34" i="12"/>
  <c r="AJ34" i="12" s="1"/>
  <c r="J47" i="12"/>
  <c r="X47" i="12"/>
  <c r="L42" i="12"/>
  <c r="H26" i="12"/>
  <c r="V47" i="12"/>
  <c r="N46" i="12"/>
  <c r="N47" i="12" s="1"/>
  <c r="T133" i="7"/>
  <c r="P34" i="7"/>
  <c r="AH34" i="7" s="1"/>
  <c r="T41" i="7"/>
  <c r="AL107" i="7"/>
  <c r="P132" i="7"/>
  <c r="AH132" i="7" s="1"/>
  <c r="J108" i="7"/>
  <c r="L43" i="7"/>
  <c r="T31" i="7"/>
  <c r="T43" i="7" s="1"/>
  <c r="AJ49" i="7"/>
  <c r="R116" i="7"/>
  <c r="V55" i="12"/>
  <c r="AL91" i="7"/>
  <c r="H152" i="7"/>
  <c r="AL29" i="7"/>
  <c r="D62" i="7"/>
  <c r="D24" i="12" s="1"/>
  <c r="AD53" i="12"/>
  <c r="AD56" i="12" s="1"/>
  <c r="D25" i="12"/>
  <c r="H108" i="7"/>
  <c r="H118" i="7" s="1"/>
  <c r="AF18" i="12"/>
  <c r="AJ18" i="12" s="1"/>
  <c r="P14" i="7"/>
  <c r="AH14" i="7" s="1"/>
  <c r="AN18" i="7"/>
  <c r="AP18" i="7" s="1"/>
  <c r="D14" i="12"/>
  <c r="P37" i="7"/>
  <c r="AH37" i="7" s="1"/>
  <c r="V62" i="7"/>
  <c r="V26" i="12" s="1"/>
  <c r="Z133" i="7"/>
  <c r="P101" i="7"/>
  <c r="AH101" i="7" s="1"/>
  <c r="P121" i="7"/>
  <c r="AH121" i="7" s="1"/>
  <c r="N133" i="7"/>
  <c r="X53" i="12"/>
  <c r="X56" i="12" s="1"/>
  <c r="P12" i="7"/>
  <c r="AH12" i="7" s="1"/>
  <c r="B15" i="12"/>
  <c r="P15" i="12" s="1"/>
  <c r="AH15" i="12" s="1"/>
  <c r="AL22" i="7"/>
  <c r="AL19" i="7"/>
  <c r="P73" i="7"/>
  <c r="AH73" i="7" s="1"/>
  <c r="J35" i="12"/>
  <c r="V133" i="7"/>
  <c r="R39" i="12"/>
  <c r="AF39" i="12" s="1"/>
  <c r="AJ39" i="12" s="1"/>
  <c r="AJ99" i="7"/>
  <c r="AA21" i="12"/>
  <c r="X26" i="12"/>
  <c r="P102" i="7"/>
  <c r="AH102" i="7" s="1"/>
  <c r="P9" i="7"/>
  <c r="AH9" i="7" s="1"/>
  <c r="Z116" i="7"/>
  <c r="H42" i="12"/>
  <c r="T53" i="12"/>
  <c r="T56" i="12" s="1"/>
  <c r="P40" i="7"/>
  <c r="AH40" i="7" s="1"/>
  <c r="F148" i="7"/>
  <c r="F149" i="7" s="1"/>
  <c r="F152" i="7" s="1"/>
  <c r="F25" i="12"/>
  <c r="AN127" i="7"/>
  <c r="AP127" i="7" s="1"/>
  <c r="AL127" i="7"/>
  <c r="P82" i="7"/>
  <c r="AH82" i="7" s="1"/>
  <c r="P131" i="7"/>
  <c r="AH131" i="7" s="1"/>
  <c r="Y21" i="12"/>
  <c r="W21" i="12"/>
  <c r="AD62" i="7"/>
  <c r="P13" i="12"/>
  <c r="AH13" i="12" s="1"/>
  <c r="H47" i="12"/>
  <c r="V41" i="7"/>
  <c r="V43" i="7" s="1"/>
  <c r="P45" i="12"/>
  <c r="AH45" i="12" s="1"/>
  <c r="P18" i="12"/>
  <c r="AH18" i="12" s="1"/>
  <c r="AJ130" i="7"/>
  <c r="N25" i="12"/>
  <c r="R45" i="12"/>
  <c r="R53" i="12"/>
  <c r="P76" i="7"/>
  <c r="AH76" i="7" s="1"/>
  <c r="N116" i="7"/>
  <c r="P54" i="12"/>
  <c r="AH54" i="12" s="1"/>
  <c r="AL54" i="12" s="1"/>
  <c r="R46" i="12"/>
  <c r="P113" i="7"/>
  <c r="AH113" i="7" s="1"/>
  <c r="AE21" i="12"/>
  <c r="AL18" i="7"/>
  <c r="P8" i="7"/>
  <c r="AH8" i="7" s="1"/>
  <c r="P75" i="7"/>
  <c r="AH75" i="7" s="1"/>
  <c r="P88" i="7"/>
  <c r="AH88" i="7" s="1"/>
  <c r="P125" i="7"/>
  <c r="AH125" i="7" s="1"/>
  <c r="AL125" i="7" s="1"/>
  <c r="P51" i="7"/>
  <c r="AH51" i="7" s="1"/>
  <c r="P24" i="7"/>
  <c r="F133" i="7"/>
  <c r="F55" i="12"/>
  <c r="P49" i="7"/>
  <c r="AH49" i="7" s="1"/>
  <c r="AN128" i="7"/>
  <c r="AP128" i="7" s="1"/>
  <c r="AL128" i="7"/>
  <c r="AL129" i="7"/>
  <c r="AN129" i="7"/>
  <c r="AP129" i="7" s="1"/>
  <c r="P46" i="7"/>
  <c r="AH46" i="7" s="1"/>
  <c r="P61" i="7"/>
  <c r="AH61" i="7" s="1"/>
  <c r="P54" i="7"/>
  <c r="AH54" i="7" s="1"/>
  <c r="P86" i="7"/>
  <c r="AH86" i="7" s="1"/>
  <c r="P80" i="7"/>
  <c r="AH80" i="7" s="1"/>
  <c r="F108" i="7"/>
  <c r="F118" i="7" s="1"/>
  <c r="F35" i="12"/>
  <c r="U69" i="2"/>
  <c r="P123" i="7"/>
  <c r="AN19" i="7"/>
  <c r="AP19" i="7" s="1"/>
  <c r="P11" i="7"/>
  <c r="AH11" i="7" s="1"/>
  <c r="B16" i="12"/>
  <c r="P16" i="12" s="1"/>
  <c r="AH16" i="12" s="1"/>
  <c r="AN23" i="7"/>
  <c r="AP23" i="7" s="1"/>
  <c r="AL23" i="7"/>
  <c r="B62" i="7"/>
  <c r="B24" i="12" s="1"/>
  <c r="P78" i="7"/>
  <c r="AH78" i="7" s="1"/>
  <c r="B55" i="12"/>
  <c r="B41" i="7"/>
  <c r="AH47" i="7"/>
  <c r="AL17" i="7"/>
  <c r="AN17" i="7"/>
  <c r="AP17" i="7" s="1"/>
  <c r="B108" i="7"/>
  <c r="B133" i="7"/>
  <c r="B53" i="12"/>
  <c r="B28" i="12"/>
  <c r="P28" i="12" s="1"/>
  <c r="AH28" i="12" s="1"/>
  <c r="P72" i="7"/>
  <c r="AH72" i="7" s="1"/>
  <c r="P130" i="7"/>
  <c r="AH130" i="7" s="1"/>
  <c r="B12" i="12"/>
  <c r="P12" i="12" s="1"/>
  <c r="AH12" i="12" s="1"/>
  <c r="B116" i="7"/>
  <c r="B46" i="12"/>
  <c r="P114" i="7"/>
  <c r="J53" i="12"/>
  <c r="J56" i="12" s="1"/>
  <c r="J25" i="12"/>
  <c r="P26" i="7"/>
  <c r="AJ82" i="7"/>
  <c r="AJ48" i="7"/>
  <c r="AD46" i="12"/>
  <c r="AD116" i="7"/>
  <c r="D108" i="7"/>
  <c r="P16" i="7"/>
  <c r="AH16" i="7" s="1"/>
  <c r="D17" i="12"/>
  <c r="AJ54" i="7"/>
  <c r="P34" i="12"/>
  <c r="P52" i="12"/>
  <c r="AJ126" i="7"/>
  <c r="R133" i="7"/>
  <c r="P103" i="7"/>
  <c r="AH103" i="7" s="1"/>
  <c r="AL103" i="7" s="1"/>
  <c r="B37" i="12"/>
  <c r="AL96" i="7"/>
  <c r="AL25" i="7"/>
  <c r="P39" i="12"/>
  <c r="AH39" i="12" s="1"/>
  <c r="N62" i="7"/>
  <c r="D152" i="7"/>
  <c r="L62" i="7" l="1"/>
  <c r="L24" i="12" s="1"/>
  <c r="B20" i="12"/>
  <c r="B43" i="7"/>
  <c r="B66" i="7" s="1"/>
  <c r="AF40" i="12"/>
  <c r="AJ40" i="12" s="1"/>
  <c r="AN40" i="12" s="1"/>
  <c r="AP40" i="12" s="1"/>
  <c r="AH108" i="7"/>
  <c r="AD41" i="12"/>
  <c r="AD42" i="12" s="1"/>
  <c r="AD108" i="7"/>
  <c r="AD135" i="7" s="1"/>
  <c r="V60" i="6"/>
  <c r="AB42" i="12"/>
  <c r="AF41" i="12"/>
  <c r="AJ41" i="12" s="1"/>
  <c r="AF102" i="7"/>
  <c r="AJ102" i="7" s="1"/>
  <c r="AN102" i="7" s="1"/>
  <c r="AP102" i="7" s="1"/>
  <c r="V150" i="4"/>
  <c r="AF14" i="12"/>
  <c r="AJ14" i="12" s="1"/>
  <c r="AF11" i="12"/>
  <c r="AJ11" i="12" s="1"/>
  <c r="AN11" i="12" s="1"/>
  <c r="AP11" i="12" s="1"/>
  <c r="AN21" i="7"/>
  <c r="AP21" i="7" s="1"/>
  <c r="AH41" i="7"/>
  <c r="AH26" i="7"/>
  <c r="AL26" i="7" s="1"/>
  <c r="AH24" i="7"/>
  <c r="AL24" i="7" s="1"/>
  <c r="X21" i="12"/>
  <c r="X30" i="12" s="1"/>
  <c r="AF60" i="7"/>
  <c r="AJ60" i="7" s="1"/>
  <c r="AN60" i="7" s="1"/>
  <c r="AP60" i="7" s="1"/>
  <c r="AF116" i="7"/>
  <c r="AL89" i="7"/>
  <c r="AN89" i="7"/>
  <c r="AP89" i="7" s="1"/>
  <c r="AL98" i="7"/>
  <c r="AN98" i="7"/>
  <c r="AP98" i="7" s="1"/>
  <c r="AN74" i="7"/>
  <c r="AP74" i="7" s="1"/>
  <c r="AL74" i="7"/>
  <c r="AN52" i="7"/>
  <c r="AP52" i="7" s="1"/>
  <c r="AL52" i="7"/>
  <c r="AN122" i="7"/>
  <c r="AP122" i="7" s="1"/>
  <c r="AL122" i="7"/>
  <c r="AN53" i="7"/>
  <c r="AP53" i="7" s="1"/>
  <c r="AL53" i="7"/>
  <c r="AL50" i="7"/>
  <c r="AN50" i="7"/>
  <c r="AP50" i="7" s="1"/>
  <c r="AN83" i="7"/>
  <c r="AP83" i="7" s="1"/>
  <c r="AL83" i="7"/>
  <c r="AN81" i="7"/>
  <c r="AP81" i="7" s="1"/>
  <c r="AJ56" i="7"/>
  <c r="AN36" i="7"/>
  <c r="AP36" i="7" s="1"/>
  <c r="AL36" i="7"/>
  <c r="AN35" i="7"/>
  <c r="AP35" i="7" s="1"/>
  <c r="AF41" i="7"/>
  <c r="AJ33" i="7"/>
  <c r="AL33" i="7" s="1"/>
  <c r="AJ14" i="7"/>
  <c r="AJ31" i="7" s="1"/>
  <c r="AF31" i="7"/>
  <c r="AB21" i="12"/>
  <c r="AB66" i="7"/>
  <c r="T66" i="7"/>
  <c r="R66" i="7"/>
  <c r="AL81" i="7"/>
  <c r="J43" i="7"/>
  <c r="J66" i="7" s="1"/>
  <c r="P19" i="12"/>
  <c r="AH19" i="12" s="1"/>
  <c r="L66" i="7"/>
  <c r="L26" i="12"/>
  <c r="L30" i="12" s="1"/>
  <c r="N43" i="7"/>
  <c r="N66" i="7" s="1"/>
  <c r="F98" i="10"/>
  <c r="L133" i="7"/>
  <c r="L135" i="7" s="1"/>
  <c r="L49" i="12"/>
  <c r="P144" i="7"/>
  <c r="P145" i="7" s="1"/>
  <c r="AN20" i="7"/>
  <c r="AP20" i="7" s="1"/>
  <c r="AL35" i="7"/>
  <c r="L118" i="7"/>
  <c r="AN64" i="7"/>
  <c r="AP64" i="7" s="1"/>
  <c r="F43" i="7"/>
  <c r="F66" i="7" s="1"/>
  <c r="F93" i="11"/>
  <c r="F95" i="11" s="1"/>
  <c r="J135" i="7"/>
  <c r="J137" i="7" s="1"/>
  <c r="AL84" i="7"/>
  <c r="AB118" i="7"/>
  <c r="B149" i="7"/>
  <c r="B152" i="7" s="1"/>
  <c r="P148" i="7"/>
  <c r="AL113" i="7"/>
  <c r="AN101" i="7"/>
  <c r="AP101" i="7" s="1"/>
  <c r="F57" i="15"/>
  <c r="AL131" i="7"/>
  <c r="L53" i="12"/>
  <c r="L56" i="12" s="1"/>
  <c r="L58" i="12" s="1"/>
  <c r="AN78" i="7"/>
  <c r="AP78" i="7" s="1"/>
  <c r="AN100" i="7"/>
  <c r="AP100" i="7" s="1"/>
  <c r="P10" i="12"/>
  <c r="AH10" i="12" s="1"/>
  <c r="F21" i="12"/>
  <c r="P7" i="7"/>
  <c r="AH7" i="7" s="1"/>
  <c r="H30" i="12"/>
  <c r="AL100" i="7"/>
  <c r="AN38" i="7"/>
  <c r="AP38" i="7" s="1"/>
  <c r="AL38" i="7"/>
  <c r="AN10" i="7"/>
  <c r="AP10" i="7" s="1"/>
  <c r="T135" i="7"/>
  <c r="F56" i="12"/>
  <c r="AN115" i="7"/>
  <c r="AP115" i="7" s="1"/>
  <c r="Z30" i="12"/>
  <c r="R118" i="7"/>
  <c r="AL86" i="7"/>
  <c r="AL16" i="12"/>
  <c r="AN34" i="7"/>
  <c r="AP34" i="7" s="1"/>
  <c r="AN87" i="7"/>
  <c r="AP87" i="7" s="1"/>
  <c r="AN121" i="7"/>
  <c r="AP121" i="7" s="1"/>
  <c r="Z66" i="7"/>
  <c r="V56" i="5"/>
  <c r="AL101" i="7"/>
  <c r="AN84" i="7"/>
  <c r="AP84" i="7" s="1"/>
  <c r="V72" i="2"/>
  <c r="J118" i="7"/>
  <c r="E72" i="14"/>
  <c r="N118" i="7"/>
  <c r="F46" i="16"/>
  <c r="F74" i="9"/>
  <c r="AL12" i="7"/>
  <c r="AN88" i="7"/>
  <c r="AP88" i="7" s="1"/>
  <c r="AL10" i="7"/>
  <c r="AL13" i="7"/>
  <c r="U69" i="3"/>
  <c r="D42" i="12"/>
  <c r="D49" i="12" s="1"/>
  <c r="AL92" i="7"/>
  <c r="D26" i="12"/>
  <c r="F46" i="17"/>
  <c r="H43" i="7"/>
  <c r="H66" i="7" s="1"/>
  <c r="P14" i="12"/>
  <c r="AH14" i="12" s="1"/>
  <c r="AH123" i="7"/>
  <c r="AH133" i="7" s="1"/>
  <c r="AL121" i="7"/>
  <c r="AN131" i="7"/>
  <c r="AP131" i="7" s="1"/>
  <c r="AN9" i="7"/>
  <c r="AP9" i="7" s="1"/>
  <c r="P55" i="12"/>
  <c r="AH55" i="12" s="1"/>
  <c r="Z135" i="7"/>
  <c r="J42" i="12"/>
  <c r="J49" i="12" s="1"/>
  <c r="X49" i="12"/>
  <c r="F42" i="12"/>
  <c r="F49" i="12" s="1"/>
  <c r="AN86" i="7"/>
  <c r="AP86" i="7" s="1"/>
  <c r="V56" i="12"/>
  <c r="AN49" i="7"/>
  <c r="AP49" i="7" s="1"/>
  <c r="AL34" i="7"/>
  <c r="AL15" i="7"/>
  <c r="AN8" i="7"/>
  <c r="AP8" i="7" s="1"/>
  <c r="Z42" i="12"/>
  <c r="Z49" i="12" s="1"/>
  <c r="AN76" i="7"/>
  <c r="AP76" i="7" s="1"/>
  <c r="AL115" i="7"/>
  <c r="AN15" i="7"/>
  <c r="AP15" i="7" s="1"/>
  <c r="P31" i="7"/>
  <c r="AN15" i="12"/>
  <c r="AP15" i="12" s="1"/>
  <c r="AL15" i="12"/>
  <c r="AL9" i="7"/>
  <c r="AL111" i="7"/>
  <c r="D43" i="7"/>
  <c r="D66" i="7" s="1"/>
  <c r="AL76" i="7"/>
  <c r="AN18" i="12"/>
  <c r="AP18" i="12" s="1"/>
  <c r="AL99" i="7"/>
  <c r="AL73" i="7"/>
  <c r="AN37" i="7"/>
  <c r="AP37" i="7" s="1"/>
  <c r="N58" i="12"/>
  <c r="T21" i="12"/>
  <c r="T30" i="12" s="1"/>
  <c r="AN92" i="7"/>
  <c r="AP92" i="7" s="1"/>
  <c r="AL61" i="7"/>
  <c r="AL40" i="7"/>
  <c r="D21" i="12"/>
  <c r="AN113" i="7"/>
  <c r="AP113" i="7" s="1"/>
  <c r="AL37" i="7"/>
  <c r="P35" i="12"/>
  <c r="AH35" i="12" s="1"/>
  <c r="AL11" i="7"/>
  <c r="AL80" i="7"/>
  <c r="H135" i="7"/>
  <c r="AL18" i="12"/>
  <c r="N49" i="12"/>
  <c r="AF17" i="12"/>
  <c r="AJ17" i="12" s="1"/>
  <c r="AN61" i="7"/>
  <c r="AP61" i="7" s="1"/>
  <c r="H49" i="12"/>
  <c r="H58" i="12"/>
  <c r="AN99" i="7"/>
  <c r="AP99" i="7" s="1"/>
  <c r="V66" i="7"/>
  <c r="AN73" i="7"/>
  <c r="AP73" i="7" s="1"/>
  <c r="AL12" i="12"/>
  <c r="AN12" i="7"/>
  <c r="AP12" i="7" s="1"/>
  <c r="AN40" i="7"/>
  <c r="AP40" i="7" s="1"/>
  <c r="AL8" i="7"/>
  <c r="AF45" i="12"/>
  <c r="AJ45" i="12" s="1"/>
  <c r="R47" i="12"/>
  <c r="N135" i="7"/>
  <c r="N137" i="7" s="1"/>
  <c r="Z118" i="7"/>
  <c r="P41" i="12"/>
  <c r="AH41" i="12" s="1"/>
  <c r="AD66" i="7"/>
  <c r="AD26" i="12"/>
  <c r="AD30" i="12" s="1"/>
  <c r="P25" i="12"/>
  <c r="AH25" i="12" s="1"/>
  <c r="AL25" i="12" s="1"/>
  <c r="R135" i="7"/>
  <c r="R60" i="12" s="1"/>
  <c r="AL13" i="12"/>
  <c r="T42" i="12"/>
  <c r="T58" i="12" s="1"/>
  <c r="B21" i="12"/>
  <c r="P41" i="7"/>
  <c r="AN130" i="7"/>
  <c r="AP130" i="7" s="1"/>
  <c r="AN46" i="7"/>
  <c r="AP46" i="7" s="1"/>
  <c r="X118" i="7"/>
  <c r="X135" i="7"/>
  <c r="X136" i="7" s="1"/>
  <c r="AL88" i="7"/>
  <c r="AN51" i="7"/>
  <c r="AP51" i="7" s="1"/>
  <c r="AL51" i="7"/>
  <c r="AH62" i="7"/>
  <c r="AL46" i="7"/>
  <c r="P62" i="7"/>
  <c r="AL49" i="7"/>
  <c r="AN54" i="7"/>
  <c r="AP54" i="7" s="1"/>
  <c r="P38" i="12"/>
  <c r="AH38" i="12" s="1"/>
  <c r="AL130" i="7"/>
  <c r="F135" i="7"/>
  <c r="F137" i="7" s="1"/>
  <c r="AN80" i="7"/>
  <c r="AP80" i="7" s="1"/>
  <c r="AN11" i="7"/>
  <c r="AP11" i="7" s="1"/>
  <c r="B56" i="12"/>
  <c r="AL78" i="7"/>
  <c r="AN16" i="12"/>
  <c r="AP16" i="12" s="1"/>
  <c r="P20" i="12"/>
  <c r="AH20" i="12" s="1"/>
  <c r="P133" i="7"/>
  <c r="B47" i="12"/>
  <c r="P46" i="12"/>
  <c r="AH114" i="7"/>
  <c r="P116" i="7"/>
  <c r="B118" i="7"/>
  <c r="B135" i="7"/>
  <c r="AL47" i="7"/>
  <c r="AN47" i="7"/>
  <c r="AP47" i="7" s="1"/>
  <c r="F80" i="8"/>
  <c r="J26" i="12"/>
  <c r="J30" i="12" s="1"/>
  <c r="N24" i="12"/>
  <c r="N26" i="12" s="1"/>
  <c r="N30" i="12" s="1"/>
  <c r="AF55" i="12"/>
  <c r="AJ55" i="12" s="1"/>
  <c r="R56" i="12"/>
  <c r="AL82" i="7"/>
  <c r="AN82" i="7"/>
  <c r="AP82" i="7" s="1"/>
  <c r="V42" i="12"/>
  <c r="AF35" i="12"/>
  <c r="AN13" i="12"/>
  <c r="AP13" i="12" s="1"/>
  <c r="AL39" i="12"/>
  <c r="AN39" i="12"/>
  <c r="AP39" i="12" s="1"/>
  <c r="P37" i="12"/>
  <c r="AH37" i="12" s="1"/>
  <c r="B42" i="12"/>
  <c r="AN126" i="7"/>
  <c r="AP126" i="7" s="1"/>
  <c r="AL126" i="7"/>
  <c r="AJ112" i="7"/>
  <c r="P108" i="7"/>
  <c r="AL36" i="12"/>
  <c r="AN36" i="12"/>
  <c r="AP36" i="12" s="1"/>
  <c r="T118" i="7"/>
  <c r="R21" i="12"/>
  <c r="AB26" i="12"/>
  <c r="AL132" i="7"/>
  <c r="AN132" i="7"/>
  <c r="AP132" i="7" s="1"/>
  <c r="D135" i="7"/>
  <c r="D118" i="7"/>
  <c r="X58" i="12"/>
  <c r="AH34" i="12"/>
  <c r="AL16" i="7"/>
  <c r="AN16" i="7"/>
  <c r="AP16" i="7" s="1"/>
  <c r="AL75" i="7"/>
  <c r="AN75" i="7"/>
  <c r="AP75" i="7" s="1"/>
  <c r="V118" i="7"/>
  <c r="V135" i="7"/>
  <c r="F24" i="12"/>
  <c r="F26" i="12" s="1"/>
  <c r="AH52" i="12"/>
  <c r="AB49" i="12"/>
  <c r="B26" i="12"/>
  <c r="AD47" i="12"/>
  <c r="AF46" i="12"/>
  <c r="AN48" i="7"/>
  <c r="AP48" i="7" s="1"/>
  <c r="AL48" i="7"/>
  <c r="AN28" i="12"/>
  <c r="AP28" i="12" s="1"/>
  <c r="AL28" i="12"/>
  <c r="AF38" i="12"/>
  <c r="AJ38" i="12" s="1"/>
  <c r="R42" i="12"/>
  <c r="AJ72" i="7"/>
  <c r="P17" i="12"/>
  <c r="AH17" i="12" s="1"/>
  <c r="AL54" i="7"/>
  <c r="AL40" i="12" l="1"/>
  <c r="P43" i="7"/>
  <c r="P66" i="7" s="1"/>
  <c r="AF43" i="7"/>
  <c r="AJ108" i="7"/>
  <c r="AN108" i="7" s="1"/>
  <c r="AP108" i="7" s="1"/>
  <c r="AF108" i="7"/>
  <c r="AF118" i="7" s="1"/>
  <c r="AN41" i="12"/>
  <c r="AP41" i="12" s="1"/>
  <c r="AN14" i="7"/>
  <c r="AP14" i="7" s="1"/>
  <c r="AL11" i="12"/>
  <c r="AD118" i="7"/>
  <c r="AN24" i="7"/>
  <c r="AP24" i="7" s="1"/>
  <c r="AL102" i="7"/>
  <c r="AL14" i="12"/>
  <c r="AH31" i="7"/>
  <c r="AH43" i="7" s="1"/>
  <c r="AF62" i="7"/>
  <c r="AL14" i="7"/>
  <c r="AL31" i="7" s="1"/>
  <c r="AB30" i="12"/>
  <c r="AF10" i="12"/>
  <c r="AJ10" i="12" s="1"/>
  <c r="AN10" i="12" s="1"/>
  <c r="AP10" i="12" s="1"/>
  <c r="AF124" i="7"/>
  <c r="AF133" i="7" s="1"/>
  <c r="AJ41" i="7"/>
  <c r="AN41" i="7" s="1"/>
  <c r="AP41" i="7" s="1"/>
  <c r="AL56" i="7"/>
  <c r="AN56" i="7"/>
  <c r="AP56" i="7" s="1"/>
  <c r="AN7" i="7"/>
  <c r="AP7" i="7" s="1"/>
  <c r="B136" i="7"/>
  <c r="J136" i="7"/>
  <c r="H60" i="12"/>
  <c r="F100" i="10"/>
  <c r="R136" i="7"/>
  <c r="D136" i="7"/>
  <c r="D137" i="7"/>
  <c r="N60" i="12"/>
  <c r="L60" i="12"/>
  <c r="AN19" i="12"/>
  <c r="AP19" i="12" s="1"/>
  <c r="AL19" i="12"/>
  <c r="B137" i="7"/>
  <c r="V136" i="7"/>
  <c r="Z136" i="7"/>
  <c r="V60" i="12"/>
  <c r="T136" i="7"/>
  <c r="T60" i="12"/>
  <c r="T61" i="12" s="1"/>
  <c r="X60" i="12"/>
  <c r="X61" i="12" s="1"/>
  <c r="Z60" i="12"/>
  <c r="AD60" i="12"/>
  <c r="L137" i="7"/>
  <c r="H137" i="7"/>
  <c r="H136" i="7"/>
  <c r="R58" i="12"/>
  <c r="R49" i="12"/>
  <c r="AB53" i="12"/>
  <c r="AB56" i="12" s="1"/>
  <c r="AB58" i="12" s="1"/>
  <c r="AB133" i="7"/>
  <c r="AB135" i="7" s="1"/>
  <c r="AJ62" i="7"/>
  <c r="AN62" i="7" s="1"/>
  <c r="AP62" i="7" s="1"/>
  <c r="AL60" i="7"/>
  <c r="P53" i="12"/>
  <c r="AH53" i="12" s="1"/>
  <c r="AH56" i="12" s="1"/>
  <c r="D30" i="12"/>
  <c r="F30" i="12"/>
  <c r="AL7" i="7"/>
  <c r="H59" i="12"/>
  <c r="X59" i="12"/>
  <c r="F136" i="7"/>
  <c r="N136" i="7"/>
  <c r="D58" i="12"/>
  <c r="J58" i="12"/>
  <c r="J60" i="12" s="1"/>
  <c r="N59" i="12"/>
  <c r="F58" i="12"/>
  <c r="AN14" i="12"/>
  <c r="AP14" i="12" s="1"/>
  <c r="AL123" i="7"/>
  <c r="AN123" i="7"/>
  <c r="AP123" i="7" s="1"/>
  <c r="L62" i="12"/>
  <c r="AL41" i="7"/>
  <c r="L136" i="7"/>
  <c r="T59" i="12"/>
  <c r="Z58" i="12"/>
  <c r="AN25" i="12"/>
  <c r="AP25" i="12" s="1"/>
  <c r="T49" i="12"/>
  <c r="L59" i="12"/>
  <c r="H62" i="12"/>
  <c r="AL41" i="12"/>
  <c r="N62" i="12"/>
  <c r="AN45" i="12"/>
  <c r="AP45" i="12" s="1"/>
  <c r="AL45" i="12"/>
  <c r="AD136" i="7"/>
  <c r="AF20" i="12"/>
  <c r="V21" i="12"/>
  <c r="V30" i="12" s="1"/>
  <c r="B49" i="12"/>
  <c r="P42" i="12"/>
  <c r="P118" i="7"/>
  <c r="B58" i="12"/>
  <c r="B59" i="12" s="1"/>
  <c r="AL114" i="7"/>
  <c r="AN114" i="7"/>
  <c r="AP114" i="7" s="1"/>
  <c r="AH116" i="7"/>
  <c r="AH135" i="7" s="1"/>
  <c r="P47" i="12"/>
  <c r="AH46" i="12"/>
  <c r="AH47" i="12" s="1"/>
  <c r="AH21" i="12"/>
  <c r="P135" i="7"/>
  <c r="P137" i="7" s="1"/>
  <c r="AN72" i="7"/>
  <c r="AP72" i="7" s="1"/>
  <c r="AL72" i="7"/>
  <c r="AN17" i="12"/>
  <c r="AP17" i="12" s="1"/>
  <c r="AL17" i="12"/>
  <c r="AN38" i="12"/>
  <c r="AP38" i="12" s="1"/>
  <c r="AL38" i="12"/>
  <c r="AF47" i="12"/>
  <c r="AJ46" i="12"/>
  <c r="B27" i="12"/>
  <c r="B30" i="12"/>
  <c r="AL34" i="12"/>
  <c r="AH42" i="12"/>
  <c r="P21" i="12"/>
  <c r="AL112" i="7"/>
  <c r="AJ116" i="7"/>
  <c r="AN112" i="7"/>
  <c r="AP112" i="7" s="1"/>
  <c r="AJ35" i="12"/>
  <c r="AF42" i="12"/>
  <c r="AN55" i="12"/>
  <c r="AP55" i="12" s="1"/>
  <c r="AL55" i="12"/>
  <c r="AD49" i="12"/>
  <c r="AD58" i="12"/>
  <c r="P24" i="12"/>
  <c r="AF24" i="12"/>
  <c r="R26" i="12"/>
  <c r="R30" i="12" s="1"/>
  <c r="AN52" i="12"/>
  <c r="AP52" i="12" s="1"/>
  <c r="AL52" i="12"/>
  <c r="AN37" i="12"/>
  <c r="AP37" i="12" s="1"/>
  <c r="AL37" i="12"/>
  <c r="V49" i="12"/>
  <c r="V58" i="12"/>
  <c r="AL43" i="7" l="1"/>
  <c r="R59" i="12"/>
  <c r="AL108" i="7"/>
  <c r="AF135" i="7"/>
  <c r="AF43" i="12"/>
  <c r="AN31" i="7"/>
  <c r="AP31" i="7" s="1"/>
  <c r="AF66" i="7"/>
  <c r="AL10" i="12"/>
  <c r="AJ43" i="7"/>
  <c r="AJ66" i="7" s="1"/>
  <c r="AJ124" i="7"/>
  <c r="AL62" i="7"/>
  <c r="D60" i="12"/>
  <c r="F60" i="12"/>
  <c r="B60" i="12"/>
  <c r="Z61" i="12"/>
  <c r="V61" i="12"/>
  <c r="AD61" i="12"/>
  <c r="AD59" i="12"/>
  <c r="AB136" i="7"/>
  <c r="AB60" i="12"/>
  <c r="AB61" i="12" s="1"/>
  <c r="R61" i="12"/>
  <c r="Z59" i="12"/>
  <c r="P56" i="12"/>
  <c r="P58" i="12" s="1"/>
  <c r="P62" i="12" s="1"/>
  <c r="AB59" i="12"/>
  <c r="AF53" i="12"/>
  <c r="AJ53" i="12" s="1"/>
  <c r="AJ56" i="12" s="1"/>
  <c r="D59" i="12"/>
  <c r="F59" i="12"/>
  <c r="J59" i="12"/>
  <c r="J62" i="12"/>
  <c r="D62" i="12"/>
  <c r="F62" i="12"/>
  <c r="B62" i="12"/>
  <c r="V59" i="12"/>
  <c r="AJ20" i="12"/>
  <c r="AF21" i="12"/>
  <c r="AL116" i="7"/>
  <c r="AH118" i="7"/>
  <c r="P136" i="7"/>
  <c r="P49" i="12"/>
  <c r="AH58" i="12"/>
  <c r="AF26" i="12"/>
  <c r="AJ24" i="12"/>
  <c r="AJ26" i="12" s="1"/>
  <c r="AN35" i="12"/>
  <c r="AP35" i="12" s="1"/>
  <c r="AL35" i="12"/>
  <c r="AL42" i="12" s="1"/>
  <c r="AJ42" i="12"/>
  <c r="AH49" i="12"/>
  <c r="AF49" i="12"/>
  <c r="AN116" i="7"/>
  <c r="AP116" i="7" s="1"/>
  <c r="AJ118" i="7"/>
  <c r="AQ21" i="12"/>
  <c r="AH24" i="12"/>
  <c r="P26" i="12"/>
  <c r="P30" i="12" s="1"/>
  <c r="AQ43" i="7"/>
  <c r="AH66" i="7"/>
  <c r="AH136" i="7" s="1"/>
  <c r="AJ47" i="12"/>
  <c r="AL46" i="12"/>
  <c r="AL47" i="12" s="1"/>
  <c r="AN46" i="12"/>
  <c r="AP46" i="12" s="1"/>
  <c r="AF136" i="7" l="1"/>
  <c r="AN43" i="7"/>
  <c r="AP43" i="7" s="1"/>
  <c r="AL124" i="7"/>
  <c r="AL133" i="7" s="1"/>
  <c r="AL135" i="7" s="1"/>
  <c r="AN124" i="7"/>
  <c r="AP124" i="7" s="1"/>
  <c r="AJ133" i="7"/>
  <c r="AL66" i="7"/>
  <c r="P60" i="12"/>
  <c r="P59" i="12"/>
  <c r="AN56" i="12"/>
  <c r="AP56" i="12" s="1"/>
  <c r="AJ58" i="12"/>
  <c r="AN58" i="12" s="1"/>
  <c r="AN53" i="12"/>
  <c r="AP53" i="12" s="1"/>
  <c r="AF56" i="12"/>
  <c r="AF58" i="12" s="1"/>
  <c r="AF62" i="12" s="1"/>
  <c r="AL53" i="12"/>
  <c r="AL56" i="12" s="1"/>
  <c r="AL58" i="12" s="1"/>
  <c r="AN118" i="7"/>
  <c r="AP118" i="7" s="1"/>
  <c r="AL118" i="7"/>
  <c r="AL20" i="12"/>
  <c r="AL21" i="12" s="1"/>
  <c r="AJ21" i="12"/>
  <c r="AN21" i="12" s="1"/>
  <c r="AP21" i="12" s="1"/>
  <c r="AN20" i="12"/>
  <c r="AP20" i="12" s="1"/>
  <c r="AJ49" i="12"/>
  <c r="AN49" i="12" s="1"/>
  <c r="AP49" i="12" s="1"/>
  <c r="AF30" i="12"/>
  <c r="AL49" i="12"/>
  <c r="AN47" i="12"/>
  <c r="AP47" i="12" s="1"/>
  <c r="AN66" i="7"/>
  <c r="AP66" i="7" s="1"/>
  <c r="AH26" i="12"/>
  <c r="AL24" i="12"/>
  <c r="AL26" i="12" s="1"/>
  <c r="AN24" i="12"/>
  <c r="AP24" i="12" s="1"/>
  <c r="AN42" i="12"/>
  <c r="AP42" i="12" s="1"/>
  <c r="AN133" i="7" l="1"/>
  <c r="AP133" i="7" s="1"/>
  <c r="AJ135" i="7"/>
  <c r="AL61" i="12"/>
  <c r="AL136" i="7"/>
  <c r="AJ30" i="12"/>
  <c r="AJ59" i="12" s="1"/>
  <c r="AF59" i="12"/>
  <c r="AL30" i="12"/>
  <c r="AL59" i="12" s="1"/>
  <c r="AN26" i="12"/>
  <c r="AP26" i="12" s="1"/>
  <c r="AH30" i="12"/>
  <c r="AH59" i="12" s="1"/>
  <c r="AP58" i="12"/>
  <c r="AJ136" i="7" l="1"/>
  <c r="AN135" i="7"/>
  <c r="AN30" i="12"/>
  <c r="AN136" i="7" l="1"/>
  <c r="AP135" i="7"/>
  <c r="AP136" i="7" s="1"/>
  <c r="AP30" i="12"/>
  <c r="AP59" i="12" s="1"/>
  <c r="AN59" i="12"/>
  <c r="P151" i="7" l="1"/>
  <c r="N154" i="7" l="1"/>
  <c r="D154" i="7" l="1"/>
  <c r="B154" i="7" l="1"/>
  <c r="J154" i="7"/>
  <c r="F154" i="7"/>
</calcChain>
</file>

<file path=xl/sharedStrings.xml><?xml version="1.0" encoding="utf-8"?>
<sst xmlns="http://schemas.openxmlformats.org/spreadsheetml/2006/main" count="1861" uniqueCount="732">
  <si>
    <t>Balance Sheet</t>
  </si>
  <si>
    <t>CNT, Inc. (CNT)</t>
  </si>
  <si>
    <t>Assets</t>
  </si>
  <si>
    <t>Current Assets</t>
  </si>
  <si>
    <t>1125</t>
  </si>
  <si>
    <t>CASH - PETTY CASH</t>
  </si>
  <si>
    <t>1145</t>
  </si>
  <si>
    <t>CASH WELLS FARGO DISBURSING</t>
  </si>
  <si>
    <t>1150</t>
  </si>
  <si>
    <t>CASH WELLS FARGO OPERATING ACCOUNT</t>
  </si>
  <si>
    <t>1151</t>
  </si>
  <si>
    <t>WELLS - SWISS FRANC (CHF)</t>
  </si>
  <si>
    <t>1152</t>
  </si>
  <si>
    <t>WELLS-MULTICURRENCY ACCT CAD</t>
  </si>
  <si>
    <t>1153</t>
  </si>
  <si>
    <t>WELLS-MULTICURRENCY ACCT EUROS LND</t>
  </si>
  <si>
    <t>1200</t>
  </si>
  <si>
    <t>ACCOUNTS RECEIVABLE</t>
  </si>
  <si>
    <t>1221</t>
  </si>
  <si>
    <t>INVENTORY - GOLD</t>
  </si>
  <si>
    <t>1222</t>
  </si>
  <si>
    <t>INVENTORY - SILVER</t>
  </si>
  <si>
    <t>1223</t>
  </si>
  <si>
    <t>INVENTORY - PLATINUM</t>
  </si>
  <si>
    <t>1224</t>
  </si>
  <si>
    <t>INVENTORY - PALLADIUM</t>
  </si>
  <si>
    <t>1225</t>
  </si>
  <si>
    <t>INVENTORY GENERAL</t>
  </si>
  <si>
    <t>1226</t>
  </si>
  <si>
    <t>INVENTORY - NUMISMATICS</t>
  </si>
  <si>
    <t>1228</t>
  </si>
  <si>
    <t>INVENTORY RHODIUM</t>
  </si>
  <si>
    <t>1229</t>
  </si>
  <si>
    <t>INVENTORY CLEARING</t>
  </si>
  <si>
    <t>1230</t>
  </si>
  <si>
    <t>CONSIGNED INVENTORY DUE OTHERS</t>
  </si>
  <si>
    <t>1231</t>
  </si>
  <si>
    <t>LIFO RESERVE</t>
  </si>
  <si>
    <t>1232</t>
  </si>
  <si>
    <t>NUMISMATIC INVENTORY CLEARING</t>
  </si>
  <si>
    <t>1235</t>
  </si>
  <si>
    <t>DUE FROM CNT DEPOSITORY</t>
  </si>
  <si>
    <t>1236</t>
  </si>
  <si>
    <t>DUE FROM BRIDGEWATER SPORTS</t>
  </si>
  <si>
    <t>1239</t>
  </si>
  <si>
    <t>DUE FROM 722 BEDFORD</t>
  </si>
  <si>
    <t>1240</t>
  </si>
  <si>
    <t>PREPAID REAL ESTATE TAXES</t>
  </si>
  <si>
    <t>1241</t>
  </si>
  <si>
    <t>PREPAID INSURANCE</t>
  </si>
  <si>
    <t>1242</t>
  </si>
  <si>
    <t>PREPAID INVENTORY</t>
  </si>
  <si>
    <t>1243</t>
  </si>
  <si>
    <t>PREPAID SERVICE AGREEMENTS</t>
  </si>
  <si>
    <t>1244</t>
  </si>
  <si>
    <t>PREPAID MA INCOME TAXES</t>
  </si>
  <si>
    <t>1246</t>
  </si>
  <si>
    <t>PREPAID RENT</t>
  </si>
  <si>
    <t>1250</t>
  </si>
  <si>
    <t>OTHER CURRENT ASSETS</t>
  </si>
  <si>
    <t>1256</t>
  </si>
  <si>
    <t>DUE FROM CNT LENDING</t>
  </si>
  <si>
    <t>1257</t>
  </si>
  <si>
    <t>DUE FROM BAY PRECIOUS METALS</t>
  </si>
  <si>
    <t>1260</t>
  </si>
  <si>
    <t>DUE FROM BROKER - FC STONE/PARAGON</t>
  </si>
  <si>
    <t>1263</t>
  </si>
  <si>
    <t>DUE FROM BROKER - FC STONE IBA (ICE)</t>
  </si>
  <si>
    <t>1265</t>
  </si>
  <si>
    <t>DUE FROM BROKER - ABN AMRO</t>
  </si>
  <si>
    <t>1420</t>
  </si>
  <si>
    <t>M120</t>
  </si>
  <si>
    <t>M128</t>
  </si>
  <si>
    <t>Total Current Assets:</t>
  </si>
  <si>
    <t>Property &amp; Equipment</t>
  </si>
  <si>
    <t>1305</t>
  </si>
  <si>
    <t>FURNITURE AND EQUIPMENT</t>
  </si>
  <si>
    <t>1306</t>
  </si>
  <si>
    <t>GYM EQUIPMENT</t>
  </si>
  <si>
    <t>1307</t>
  </si>
  <si>
    <t>FURNITURE &amp; EQUIPMENT-DEPOSITORY</t>
  </si>
  <si>
    <t>1310</t>
  </si>
  <si>
    <t>LEASEHOLD IMPROVEMENTS</t>
  </si>
  <si>
    <t>1311</t>
  </si>
  <si>
    <t>LEASEHOLD IMPROVEMENT-DEPOSITORY</t>
  </si>
  <si>
    <t>1312</t>
  </si>
  <si>
    <t>CUSTOMER LISTS &amp; RELATED ITEMS</t>
  </si>
  <si>
    <t>1315</t>
  </si>
  <si>
    <t>STORE EQUIPMENT</t>
  </si>
  <si>
    <t>1316</t>
  </si>
  <si>
    <t>STORE EQUIPMENT-DEPOSITORY</t>
  </si>
  <si>
    <t>1320</t>
  </si>
  <si>
    <t>MOTOR VEHICLES</t>
  </si>
  <si>
    <t>1325</t>
  </si>
  <si>
    <t>SOLAR PROJECT</t>
  </si>
  <si>
    <t>1326</t>
  </si>
  <si>
    <t>MINTING PROJECT</t>
  </si>
  <si>
    <t>1330</t>
  </si>
  <si>
    <t>BUILDING AND IMPROVEMENTS</t>
  </si>
  <si>
    <t>1390</t>
  </si>
  <si>
    <t>ACCUMULATED DEPRECIATION</t>
  </si>
  <si>
    <t>1395</t>
  </si>
  <si>
    <t>ACCUMULATED AMORTIZATION</t>
  </si>
  <si>
    <t>Total Property &amp; Equipment:</t>
  </si>
  <si>
    <t>Total Assets:</t>
  </si>
  <si>
    <t>Liabilities</t>
  </si>
  <si>
    <t>Current Liabilities</t>
  </si>
  <si>
    <t>2110</t>
  </si>
  <si>
    <t>LINE OF CREDIT</t>
  </si>
  <si>
    <t>2120</t>
  </si>
  <si>
    <t>ACCOUNTS PAYABLE</t>
  </si>
  <si>
    <t>2124</t>
  </si>
  <si>
    <t>SUPPLEMENTAL LIFE INSURANCE</t>
  </si>
  <si>
    <t>2126</t>
  </si>
  <si>
    <t>FSA WITHHELD</t>
  </si>
  <si>
    <t>2140</t>
  </si>
  <si>
    <t>SHORT TERM LOAN</t>
  </si>
  <si>
    <t>2175</t>
  </si>
  <si>
    <t>DEFERRED INCOME</t>
  </si>
  <si>
    <t>2205</t>
  </si>
  <si>
    <t>ACCRUED EXP -WELLS/INDIVIDUALS</t>
  </si>
  <si>
    <t>2210</t>
  </si>
  <si>
    <t>ACCRUED EXP - LEGAL &amp; ACCTG750</t>
  </si>
  <si>
    <t>2215</t>
  </si>
  <si>
    <t>ACCRUED EXP - BANK FEES</t>
  </si>
  <si>
    <t>2225</t>
  </si>
  <si>
    <t>ACCRUED EXPENSES - 401K</t>
  </si>
  <si>
    <t>2230</t>
  </si>
  <si>
    <t>ACCRUED EXPENSES - PAYROLL</t>
  </si>
  <si>
    <t>2240</t>
  </si>
  <si>
    <t>ACCRUED EXPENSES - OTHER</t>
  </si>
  <si>
    <t>2242</t>
  </si>
  <si>
    <t>2244</t>
  </si>
  <si>
    <t>ACCRUED EXPENSE - TELEPHONE</t>
  </si>
  <si>
    <t>2246</t>
  </si>
  <si>
    <t>ACCRUED EXPENSE - LUNCH PROGRAM</t>
  </si>
  <si>
    <t>2247</t>
  </si>
  <si>
    <t>ACCRUED TRAVEL</t>
  </si>
  <si>
    <t>2248</t>
  </si>
  <si>
    <t>ACCRUED MEALS &amp; ENTERTAINMENT</t>
  </si>
  <si>
    <t>2249</t>
  </si>
  <si>
    <t>ACCRUED EVENTS</t>
  </si>
  <si>
    <t>2250</t>
  </si>
  <si>
    <t>ACCRUED SHAREHOLDER DISTRIBUTION</t>
  </si>
  <si>
    <t>2300</t>
  </si>
  <si>
    <t>ADVANCE DUE TO AFFILIATES</t>
  </si>
  <si>
    <t>M217</t>
  </si>
  <si>
    <t>M220</t>
  </si>
  <si>
    <t>Total Current Liabilities:</t>
  </si>
  <si>
    <t>Long Term Liabilities</t>
  </si>
  <si>
    <t>2412</t>
  </si>
  <si>
    <t>LOAN PAYABLE, STOCKHOLDER</t>
  </si>
  <si>
    <t>2415</t>
  </si>
  <si>
    <t>NOTE PAYABLE - DANIELLE OLIARI</t>
  </si>
  <si>
    <t>2420</t>
  </si>
  <si>
    <t>NOTE PAYABLE - PAUL L OLIARI</t>
  </si>
  <si>
    <t>2430</t>
  </si>
  <si>
    <t>NOTE PAYABLE - STEPHANIE L. OLIARI</t>
  </si>
  <si>
    <t>Total Long Term Liabilities:</t>
  </si>
  <si>
    <t>Total Liabilities:</t>
  </si>
  <si>
    <t>Equity</t>
  </si>
  <si>
    <t>3100</t>
  </si>
  <si>
    <t>COMMON STOCK</t>
  </si>
  <si>
    <t>3200</t>
  </si>
  <si>
    <t>RETAINED EARNINGS - C CORP</t>
  </si>
  <si>
    <t>3500</t>
  </si>
  <si>
    <t>Retained Earnings-Current Year</t>
  </si>
  <si>
    <t>RETAINED EARNINGS - S CORP</t>
  </si>
  <si>
    <t>3550</t>
  </si>
  <si>
    <t>DISTRIBUTIONS TO SHAREHOLDER</t>
  </si>
  <si>
    <t>3551</t>
  </si>
  <si>
    <t>DISTR SHAREHOLDER DMO</t>
  </si>
  <si>
    <t>3552</t>
  </si>
  <si>
    <t>DIST SHAREHOLDER-PLO</t>
  </si>
  <si>
    <t>3553</t>
  </si>
  <si>
    <t>DIST SHAREHOLDER-SO</t>
  </si>
  <si>
    <t>Total Equity:</t>
  </si>
  <si>
    <t>Total Liabilities &amp; Equity:</t>
  </si>
  <si>
    <t>Bay Precious Metals Inc (BPM)</t>
  </si>
  <si>
    <t>CASH - WELLS FARGO</t>
  </si>
  <si>
    <t>1208</t>
  </si>
  <si>
    <t>ACCOUNTS RECEIVABLE - SUBSIDIES</t>
  </si>
  <si>
    <t>1237</t>
  </si>
  <si>
    <t>DUE FROM CNT</t>
  </si>
  <si>
    <t>Prepaid MA Income Taxes</t>
  </si>
  <si>
    <t>PREPAID EXPENSES</t>
  </si>
  <si>
    <t>FURNITURE AND EQUIPM</t>
  </si>
  <si>
    <t>ACCUMULATED DEPRECIA</t>
  </si>
  <si>
    <t>2150</t>
  </si>
  <si>
    <t>SALES TAX PAYABLE</t>
  </si>
  <si>
    <t>ACCRUED PROFESSIONAL FEES</t>
  </si>
  <si>
    <t>ACCRUED EXPENSES</t>
  </si>
  <si>
    <t>ACCRUED SHIPPING LOSSES</t>
  </si>
  <si>
    <t>RETAINED EARNINGS - CURRENT</t>
  </si>
  <si>
    <t>CNT Depository Inc. (DEP)</t>
  </si>
  <si>
    <t>CASH WELLS FARGO OPERATING</t>
  </si>
  <si>
    <t>PREPAID INCOME TAXES</t>
  </si>
  <si>
    <t>1247</t>
  </si>
  <si>
    <t>PREPAID EXPENSE</t>
  </si>
  <si>
    <t>1251</t>
  </si>
  <si>
    <t>UNBILLED REVENUE</t>
  </si>
  <si>
    <t>LEASEHOLD IMPROVEMEN</t>
  </si>
  <si>
    <t>ACCRUED EXPENSES 401K</t>
  </si>
  <si>
    <t>ACCRUED EXPENSES- PAYROLL</t>
  </si>
  <si>
    <t>2401</t>
  </si>
  <si>
    <t>DUE TO CNT</t>
  </si>
  <si>
    <t>3501</t>
  </si>
  <si>
    <t>SHAREHOLDERS CAPITAL MLO</t>
  </si>
  <si>
    <t>3502</t>
  </si>
  <si>
    <t>SHAREHOLDERS CAPITAL SLO</t>
  </si>
  <si>
    <t>3503</t>
  </si>
  <si>
    <t>SHAREHOLDERS CAPITAL DMO</t>
  </si>
  <si>
    <t>3504</t>
  </si>
  <si>
    <t>SHAREHOLDERS CAPITAL PLO</t>
  </si>
  <si>
    <t>3505</t>
  </si>
  <si>
    <t>SHAREHOLDERS CAPITAL PAO</t>
  </si>
  <si>
    <t>1120</t>
  </si>
  <si>
    <t>CASH - PAYROLL</t>
  </si>
  <si>
    <t>Other Assets</t>
  </si>
  <si>
    <t>1270</t>
  </si>
  <si>
    <t>INTANGIBLE ASSETS</t>
  </si>
  <si>
    <t>Total Other Assets:</t>
  </si>
  <si>
    <t>(Continued)</t>
  </si>
  <si>
    <t>2121</t>
  </si>
  <si>
    <t>ACCOUNTS PAYABLE - AFFILIATE</t>
  </si>
  <si>
    <t>2125</t>
  </si>
  <si>
    <t>ACCTS PAYABLE 401K P/R DED</t>
  </si>
  <si>
    <t>2245</t>
  </si>
  <si>
    <t>ACCRUED CORPORATE MA TAXES</t>
  </si>
  <si>
    <t>2405</t>
  </si>
  <si>
    <t>LONG TERM DEBT</t>
  </si>
  <si>
    <t>3554</t>
  </si>
  <si>
    <t>DISTRIBUTIONS-OLIARI</t>
  </si>
  <si>
    <t>INVENTORY SUPPLIES</t>
  </si>
  <si>
    <t>INVENTORY</t>
  </si>
  <si>
    <t>ACCRUED MA INCOME TA</t>
  </si>
  <si>
    <t>2400</t>
  </si>
  <si>
    <t>Supplemental Life In</t>
  </si>
  <si>
    <t>ACCTS PAYABLE 401K P</t>
  </si>
  <si>
    <t>FSA WITHHOLDING</t>
  </si>
  <si>
    <t>CNT</t>
  </si>
  <si>
    <t>BPM</t>
  </si>
  <si>
    <t>DEP</t>
  </si>
  <si>
    <t>Lending</t>
  </si>
  <si>
    <t>BSC</t>
  </si>
  <si>
    <t>Total</t>
  </si>
  <si>
    <t xml:space="preserve">     Cash</t>
  </si>
  <si>
    <t xml:space="preserve">     Accounts Receivable</t>
  </si>
  <si>
    <t xml:space="preserve">     Inventory - Gold</t>
  </si>
  <si>
    <t xml:space="preserve">     Inventory - Silver</t>
  </si>
  <si>
    <t xml:space="preserve">     Inventory - Platinum</t>
  </si>
  <si>
    <t>Current YTD Change from Prior YTD</t>
  </si>
  <si>
    <t>Consolidated Balance Sheet</t>
  </si>
  <si>
    <t xml:space="preserve">  Current Assets</t>
  </si>
  <si>
    <t xml:space="preserve">     Other Receivables</t>
  </si>
  <si>
    <t xml:space="preserve">     Unbilled Revenue</t>
  </si>
  <si>
    <t xml:space="preserve">     Due from Related Parties</t>
  </si>
  <si>
    <t xml:space="preserve">     Due from Broker</t>
  </si>
  <si>
    <t xml:space="preserve">     Other Current Assets</t>
  </si>
  <si>
    <t xml:space="preserve">     Inventory - Palladium</t>
  </si>
  <si>
    <t xml:space="preserve">     Inventory - General</t>
  </si>
  <si>
    <t xml:space="preserve">     Inventory - Numismatics</t>
  </si>
  <si>
    <t xml:space="preserve">     Inventory - Rhodium</t>
  </si>
  <si>
    <t xml:space="preserve">     Consigned Inventory Due Others</t>
  </si>
  <si>
    <t xml:space="preserve">     Numismatic Inventory Clearing</t>
  </si>
  <si>
    <t xml:space="preserve">     Minting Inventory - Raw - Copper</t>
  </si>
  <si>
    <t xml:space="preserve">     Minting Inventory - Supplies</t>
  </si>
  <si>
    <t>Total Inventory</t>
  </si>
  <si>
    <t xml:space="preserve">     Prepaid Real Estate Taxes</t>
  </si>
  <si>
    <t xml:space="preserve">     Prepaid Insurance</t>
  </si>
  <si>
    <t xml:space="preserve">     Prepaid Inventory</t>
  </si>
  <si>
    <t xml:space="preserve">     Prepaid Service Agreements</t>
  </si>
  <si>
    <t xml:space="preserve">     Prepaid MA Income Taxes</t>
  </si>
  <si>
    <t xml:space="preserve">     Prepaid Rent</t>
  </si>
  <si>
    <t xml:space="preserve">     Prepaid Expenses</t>
  </si>
  <si>
    <t>Total Current Assets</t>
  </si>
  <si>
    <t xml:space="preserve">  Property &amp; Equipment</t>
  </si>
  <si>
    <t>Total Prepaid Expense</t>
  </si>
  <si>
    <t xml:space="preserve">     Gym Equipment</t>
  </si>
  <si>
    <t xml:space="preserve">     Leasehold Improvements  </t>
  </si>
  <si>
    <t xml:space="preserve">     Leasehold Improvements Depository</t>
  </si>
  <si>
    <t xml:space="preserve">     Store Equipment  </t>
  </si>
  <si>
    <t xml:space="preserve">     Motor Vehicles</t>
  </si>
  <si>
    <t xml:space="preserve">     Solar Project</t>
  </si>
  <si>
    <t xml:space="preserve">     Minting Project</t>
  </si>
  <si>
    <t xml:space="preserve">     Accumulated Depreciation</t>
  </si>
  <si>
    <t xml:space="preserve">     Furniture &amp; Equipment</t>
  </si>
  <si>
    <t xml:space="preserve">     Building &amp; Improvements</t>
  </si>
  <si>
    <t xml:space="preserve">     Furniture &amp; Equipment Depository</t>
  </si>
  <si>
    <t>Total Assets</t>
  </si>
  <si>
    <t xml:space="preserve">  Current Liabilities</t>
  </si>
  <si>
    <t xml:space="preserve">     Line of Credit</t>
  </si>
  <si>
    <t xml:space="preserve">     Accounts Payable  </t>
  </si>
  <si>
    <t xml:space="preserve">     Accounts Payable 401(k)</t>
  </si>
  <si>
    <t xml:space="preserve">     Sales Tax Payable</t>
  </si>
  <si>
    <t xml:space="preserve">     Supplemental Life Insurance</t>
  </si>
  <si>
    <t xml:space="preserve">     FSA Withheld</t>
  </si>
  <si>
    <t xml:space="preserve">     Deferred Income</t>
  </si>
  <si>
    <t xml:space="preserve">     Accrued Expenses - 401(k)</t>
  </si>
  <si>
    <t xml:space="preserve">     Accrued Expenses - Payroll</t>
  </si>
  <si>
    <t xml:space="preserve">     Accrued Expenses - Other</t>
  </si>
  <si>
    <t xml:space="preserve">     Accrued Expenses - Electric</t>
  </si>
  <si>
    <t xml:space="preserve">     Accrued Expenses - Telephone</t>
  </si>
  <si>
    <t xml:space="preserve">     Accrued Expenses - Lunch Program</t>
  </si>
  <si>
    <t xml:space="preserve">     Accrued Travel</t>
  </si>
  <si>
    <t xml:space="preserve">     Accrued Meals &amp; Entertainment</t>
  </si>
  <si>
    <t xml:space="preserve">     Accrued Events</t>
  </si>
  <si>
    <t xml:space="preserve">     Accrued Shipping Losses</t>
  </si>
  <si>
    <t xml:space="preserve">     Accrued Shareholder Distribution</t>
  </si>
  <si>
    <t xml:space="preserve">     Advance Due to Affiliates</t>
  </si>
  <si>
    <t xml:space="preserve">     Due to Related Parties</t>
  </si>
  <si>
    <t xml:space="preserve">     Minting - Deferred Revenue</t>
  </si>
  <si>
    <t xml:space="preserve">     Minting - R&amp;M Accrual - All Metals</t>
  </si>
  <si>
    <t xml:space="preserve">  Long Term Liabilities</t>
  </si>
  <si>
    <t xml:space="preserve">     Long Term Debt</t>
  </si>
  <si>
    <t xml:space="preserve">     Loan Payable - Stockholder</t>
  </si>
  <si>
    <t xml:space="preserve">     Note Payable - Danielle Oliari</t>
  </si>
  <si>
    <t xml:space="preserve">     Note Payable - Paul L Oliari</t>
  </si>
  <si>
    <t xml:space="preserve">     Note Payable - Stephanie L Oliari</t>
  </si>
  <si>
    <t>Total Long Term Liabilities</t>
  </si>
  <si>
    <t>Total Liabilities</t>
  </si>
  <si>
    <t xml:space="preserve">     Common Stock</t>
  </si>
  <si>
    <t xml:space="preserve">     Retained Earnings - C Corp</t>
  </si>
  <si>
    <t xml:space="preserve">     Retained Earnings - Current Year</t>
  </si>
  <si>
    <t xml:space="preserve">     Retained Earnings - S Corp</t>
  </si>
  <si>
    <t xml:space="preserve">     Distributions to Shareholder</t>
  </si>
  <si>
    <t xml:space="preserve">     Distributions Oliari</t>
  </si>
  <si>
    <t xml:space="preserve">     Distributions to MLO</t>
  </si>
  <si>
    <t xml:space="preserve">     Distributions to DMO</t>
  </si>
  <si>
    <t xml:space="preserve">     Distributions to PLO</t>
  </si>
  <si>
    <t xml:space="preserve">     Distributions to SO</t>
  </si>
  <si>
    <t>Total Equity</t>
  </si>
  <si>
    <t xml:space="preserve">     Distributions to PAO</t>
  </si>
  <si>
    <t>Total Liabilities &amp; Equity</t>
  </si>
  <si>
    <t>Total Property &amp; Equipment</t>
  </si>
  <si>
    <t>ASSETS</t>
  </si>
  <si>
    <t>Checking/Savings</t>
  </si>
  <si>
    <t>1000 · Snack Bar Cash</t>
  </si>
  <si>
    <t>1010 · Citizens Bank Checking - Other</t>
  </si>
  <si>
    <t>1020 · Citizens Bank Payroll Account</t>
  </si>
  <si>
    <t>Total Checking/Savings</t>
  </si>
  <si>
    <t>Fixed Assets</t>
  </si>
  <si>
    <t>1305 · Land Improvments</t>
  </si>
  <si>
    <t>1308 · Security System</t>
  </si>
  <si>
    <t>1310 · Basketball Court</t>
  </si>
  <si>
    <t>1315 · Blacktop</t>
  </si>
  <si>
    <t>1320 · Construction Costs</t>
  </si>
  <si>
    <t>1325 · Dome Fencing</t>
  </si>
  <si>
    <t>1330 · Dome Flooring</t>
  </si>
  <si>
    <t>1335 · Dome Material ,Lights &amp; Equip</t>
  </si>
  <si>
    <t>1340 · Dome Netting</t>
  </si>
  <si>
    <t>1345 · Electrical</t>
  </si>
  <si>
    <t>1350 · General Contractor</t>
  </si>
  <si>
    <t>1355 · Misc.</t>
  </si>
  <si>
    <t>1360 · New Construction- Pers Property</t>
  </si>
  <si>
    <t>1365 · New Construction-Building</t>
  </si>
  <si>
    <t>1370 · Permit &amp; Licenses</t>
  </si>
  <si>
    <t>1375 · Pitching Machine</t>
  </si>
  <si>
    <t>1380 · Restaurant Equipment</t>
  </si>
  <si>
    <t>1381 · Machinery and Equipment</t>
  </si>
  <si>
    <t>1385 · Sand &amp; Gravel</t>
  </si>
  <si>
    <t>1390 · Site Work</t>
  </si>
  <si>
    <t>1395 · Welding</t>
  </si>
  <si>
    <t>1397 · Fans - Industrial</t>
  </si>
  <si>
    <t>1400 · Capital Expenditures - Other</t>
  </si>
  <si>
    <t>1450 · Accumulated Depreciation</t>
  </si>
  <si>
    <t>Total Fixed Assets</t>
  </si>
  <si>
    <t>1500 · Prepaid Insurance</t>
  </si>
  <si>
    <t>Total Other Assets</t>
  </si>
  <si>
    <t>TOTAL ASSETS</t>
  </si>
  <si>
    <t>LIABILITIES &amp; EQUITY</t>
  </si>
  <si>
    <t>Other Current Liabilities</t>
  </si>
  <si>
    <t>2004 Deferred Income</t>
  </si>
  <si>
    <t>2005 · Accrued 401k ER Profit Contrib</t>
  </si>
  <si>
    <t>2006 · Employee 401K Contribution</t>
  </si>
  <si>
    <t>2009 · FSA  Employee Contribution</t>
  </si>
  <si>
    <t>2010 · Accrued Professional Fees</t>
  </si>
  <si>
    <t>2012 · Accrued Expenses</t>
  </si>
  <si>
    <t>2015 · Accrued Shareholder Interest</t>
  </si>
  <si>
    <t>2020 · Cur Portion of LP - Oliari LLC</t>
  </si>
  <si>
    <t>2050 · Due to CNT</t>
  </si>
  <si>
    <t>Total Other Current Liabilities</t>
  </si>
  <si>
    <t>Total Current Liabilities</t>
  </si>
  <si>
    <t>2200 · Advances From MLO</t>
  </si>
  <si>
    <t>2215 · Loan Payable Oliari LLC</t>
  </si>
  <si>
    <t>3000 · Capital Stock Open Bal Equity</t>
  </si>
  <si>
    <t>3010 · Retained Earnings</t>
  </si>
  <si>
    <t>Net Income</t>
  </si>
  <si>
    <t>TOTAL LIABILITIES &amp; EQUITY</t>
  </si>
  <si>
    <t xml:space="preserve">     Accrued Shareholder Interest</t>
  </si>
  <si>
    <t xml:space="preserve">     Short Term Loan &amp; Curr Portion of LTD</t>
  </si>
  <si>
    <t>Payroll Account</t>
  </si>
  <si>
    <t>variance</t>
  </si>
  <si>
    <t>1000 . Snack bar</t>
  </si>
  <si>
    <t>VARIANCE</t>
  </si>
  <si>
    <t>SUPPLEMENTAL LIF INS</t>
  </si>
  <si>
    <t>1501 - Prepaid Rent</t>
  </si>
  <si>
    <t>OTHER RECEIVABLES</t>
  </si>
  <si>
    <t>MINTING - INVENTORY RAW - COPPER</t>
  </si>
  <si>
    <t>MINTING - INVENTORY SUPPLIES</t>
  </si>
  <si>
    <t>MINTING - FINISHED GOODS - SILVER</t>
  </si>
  <si>
    <t>M182</t>
  </si>
  <si>
    <t>DUE TO CNT DEPOSITORY</t>
  </si>
  <si>
    <t>DUE TO BAY PRECIOUS METALS</t>
  </si>
  <si>
    <t xml:space="preserve">MINTING - DEFERRED REVENUE </t>
  </si>
  <si>
    <t>Variance</t>
  </si>
  <si>
    <t xml:space="preserve">      Intangible Assets</t>
  </si>
  <si>
    <t>Oliari Co., LLC</t>
  </si>
  <si>
    <t>100 · Citizens Bank Checking 617-8</t>
  </si>
  <si>
    <t>Other Current Assets</t>
  </si>
  <si>
    <t>105 · BankRI Money Mkt Acct 430324374</t>
  </si>
  <si>
    <t>120 · Due from BSC</t>
  </si>
  <si>
    <t>130 · Due from 722 Bedford Street</t>
  </si>
  <si>
    <t>Total Other Current Assets</t>
  </si>
  <si>
    <t>Equipment</t>
  </si>
  <si>
    <t>145 · Land Improvements</t>
  </si>
  <si>
    <t>150 · Building</t>
  </si>
  <si>
    <t>160 · Accum Depreciation</t>
  </si>
  <si>
    <t>161 · Accumulated Amortization</t>
  </si>
  <si>
    <t>170 · Land</t>
  </si>
  <si>
    <t>175 · Land New Account</t>
  </si>
  <si>
    <t>180 · Finance Charges</t>
  </si>
  <si>
    <t>CNT Building Project</t>
  </si>
  <si>
    <t>Div36 Capatialized Interest</t>
  </si>
  <si>
    <t>150.01 · Div01 General Conditions</t>
  </si>
  <si>
    <t>150.02 · Div02 Site Work</t>
  </si>
  <si>
    <t>150.03 · Div03 Concrete / Storage Floor</t>
  </si>
  <si>
    <t>150.04 · Div04 Masonry and Wall Rebar</t>
  </si>
  <si>
    <t>150.05 · Div05 Steel and Iron</t>
  </si>
  <si>
    <t>150.06 · Div06 Storage Area</t>
  </si>
  <si>
    <t>150.07 · Div07 Elevator</t>
  </si>
  <si>
    <t>150.08 · Div08 Roof Trusses and Plywood</t>
  </si>
  <si>
    <t>150.09 · Div10 Roof Covering</t>
  </si>
  <si>
    <t>150.10 · Div11 Doors and Windows</t>
  </si>
  <si>
    <t>150.11 · Div12 Finishes</t>
  </si>
  <si>
    <t>150.12 · Div15 Mechanical</t>
  </si>
  <si>
    <t>150.13 · Div16 Electrical</t>
  </si>
  <si>
    <t>150.14 · Div17 Plumbing and Gas Fitting</t>
  </si>
  <si>
    <t>150.15 · Div18 Fire Protection&amp;Sprinkle</t>
  </si>
  <si>
    <t>150.16 · Div20 Outside Trim</t>
  </si>
  <si>
    <t>150.18 · Div22 Security</t>
  </si>
  <si>
    <t>150.19 · Div24 Outside Fencing</t>
  </si>
  <si>
    <t>150.20 · Div25 Parking Lot</t>
  </si>
  <si>
    <t>150.21 · Div26 Landscaping</t>
  </si>
  <si>
    <t>150.22 · Div30 Architect/Engineering</t>
  </si>
  <si>
    <t>150.23 · Div31 Building Permits</t>
  </si>
  <si>
    <t>150.24 · Div32 Equipment</t>
  </si>
  <si>
    <t>150.27 · Div36 Daycare</t>
  </si>
  <si>
    <t>Total CNT Building Project</t>
  </si>
  <si>
    <t>Accounts Payable</t>
  </si>
  <si>
    <t>200 · Accounts Payable</t>
  </si>
  <si>
    <t>Total Accounts Payable</t>
  </si>
  <si>
    <t>205 · Current Portion Notes Payable</t>
  </si>
  <si>
    <t>215 · Accrued Shareholder Interest</t>
  </si>
  <si>
    <t>BankRI Principle Acct#510016221</t>
  </si>
  <si>
    <t>261 · Note Payable to M.O.</t>
  </si>
  <si>
    <t>IDGT Equity</t>
  </si>
  <si>
    <t>302 · IDGT Danielle Oliari</t>
  </si>
  <si>
    <t>304 · IDGT Paul Oliari</t>
  </si>
  <si>
    <t>306 · IDGT Stephanie Oliari</t>
  </si>
  <si>
    <t>308 · Mark Oliari</t>
  </si>
  <si>
    <t>310 · Patricia Oliari</t>
  </si>
  <si>
    <t>Total IDGT Equity</t>
  </si>
  <si>
    <t>Partners Capital</t>
  </si>
  <si>
    <t>301 · Danielle Oliari (33%)</t>
  </si>
  <si>
    <t>303 · Paul Oliari (33%)</t>
  </si>
  <si>
    <t>305 · Stephanie Oliari (33%)</t>
  </si>
  <si>
    <t>307 · Mark Oliari (0.5%)</t>
  </si>
  <si>
    <t>309 · Patricia Oliari (0.5%)</t>
  </si>
  <si>
    <t>Total Partners Capital</t>
  </si>
  <si>
    <t>300 · Capital Contributions</t>
  </si>
  <si>
    <t>399 · Retained Earnings</t>
  </si>
  <si>
    <t>212 · Accrued Professional Fees - Tax</t>
  </si>
  <si>
    <t>Oliari Co</t>
  </si>
  <si>
    <t>Consolidated Summary Balance Sheet</t>
  </si>
  <si>
    <t xml:space="preserve">     Inventory </t>
  </si>
  <si>
    <t xml:space="preserve">     Fixed Assets</t>
  </si>
  <si>
    <t xml:space="preserve">     Accrued Expenses</t>
  </si>
  <si>
    <t xml:space="preserve">     Loan Payable - Stockholders</t>
  </si>
  <si>
    <t xml:space="preserve">     Retained Earnings</t>
  </si>
  <si>
    <t>Tab is protected - password is balance</t>
  </si>
  <si>
    <t>722 Wells Account</t>
  </si>
  <si>
    <t>A/D - Building</t>
  </si>
  <si>
    <t>A/D - Furniture and Equipment</t>
  </si>
  <si>
    <t>A/D - Land Improvements</t>
  </si>
  <si>
    <t>A/D - Parking Lot</t>
  </si>
  <si>
    <t>Building</t>
  </si>
  <si>
    <t>Furniture and Equipment</t>
  </si>
  <si>
    <t>Land</t>
  </si>
  <si>
    <t>Land Improvements</t>
  </si>
  <si>
    <t>Parking Lot</t>
  </si>
  <si>
    <t>Due to CNT</t>
  </si>
  <si>
    <t>Due to Oliari Co.</t>
  </si>
  <si>
    <t>Loan DMO</t>
  </si>
  <si>
    <t>Loan PLO</t>
  </si>
  <si>
    <t>Loan SLO</t>
  </si>
  <si>
    <t>Loan to MLO and PAO</t>
  </si>
  <si>
    <t>Partners Capital - DMO Trust</t>
  </si>
  <si>
    <t>Partners Capital - MLO</t>
  </si>
  <si>
    <t>Partners Capital - PAO</t>
  </si>
  <si>
    <t>Partners Capital - PLO Trust</t>
  </si>
  <si>
    <t>Partners Capital - SLO Trust</t>
  </si>
  <si>
    <t>722 Bedford Street</t>
  </si>
  <si>
    <t xml:space="preserve">     Building, Improvements &amp; land</t>
  </si>
  <si>
    <t>Construction in Progress</t>
  </si>
  <si>
    <t>Members Equity</t>
  </si>
  <si>
    <t>722 Bedford</t>
  </si>
  <si>
    <t xml:space="preserve">     Retained Earnings </t>
  </si>
  <si>
    <t xml:space="preserve">722 Bedford </t>
  </si>
  <si>
    <t>As of 6/30/2017</t>
  </si>
  <si>
    <t>1000 · Cash - Wells 0225</t>
  </si>
  <si>
    <t>Accounts Receivable</t>
  </si>
  <si>
    <t>1600 · Loan Receivable</t>
  </si>
  <si>
    <t>Total Accounts Receivable</t>
  </si>
  <si>
    <t>1100 · Interest Receivable</t>
  </si>
  <si>
    <t>1650 · Due From CNT</t>
  </si>
  <si>
    <t>2000 · Accounts Payable</t>
  </si>
  <si>
    <t>2500 · Due to CNT Depository, Inc.</t>
  </si>
  <si>
    <t>2550 · Due to CNT - Loans</t>
  </si>
  <si>
    <t>2600 · Deferred Interest Income</t>
  </si>
  <si>
    <t>3200 · Retained Earnings</t>
  </si>
  <si>
    <t>1460 · Accumulated Amortization</t>
  </si>
  <si>
    <t xml:space="preserve">     Accumulated Depreciation &amp; Amortization</t>
  </si>
  <si>
    <t>Run Date:</t>
  </si>
  <si>
    <t>G/L Date:</t>
  </si>
  <si>
    <t>Due from 722 Bedford</t>
  </si>
  <si>
    <t>1800 - Prepaid Income Taxes</t>
  </si>
  <si>
    <t>1850 - Prepaid Expenses - Legal</t>
  </si>
  <si>
    <t>2210 - Accrued Prof Fees - Taxes</t>
  </si>
  <si>
    <t>2551 - Due to CNT</t>
  </si>
  <si>
    <t>2013 . Accrued Payroll &amp; Payroll Taxes</t>
  </si>
  <si>
    <t>UNBILLED REVENUE (BIANNUAL)</t>
  </si>
  <si>
    <t>UNBILLED REVENUE (ANNUAL)</t>
  </si>
  <si>
    <t>Checks</t>
  </si>
  <si>
    <t>Due From Related Parties</t>
  </si>
  <si>
    <t>Due To Related Parties</t>
  </si>
  <si>
    <t>S/B Zero</t>
  </si>
  <si>
    <t>YTD Depreciation</t>
  </si>
  <si>
    <t>Beginning Accum. Depreciation</t>
  </si>
  <si>
    <t>Ending Accum. Depreciation</t>
  </si>
  <si>
    <t>Change in Accum Depr</t>
  </si>
  <si>
    <t>2431</t>
  </si>
  <si>
    <t>2432</t>
  </si>
  <si>
    <t>NOTE PAYABLE - Virginia Booras &amp; Mary Tuite</t>
  </si>
  <si>
    <t>NOTE PAYABLE - Thomas &amp; Sandra LaFratta</t>
  </si>
  <si>
    <t>NOTE PAYABLE - Lawrence Almeida</t>
  </si>
  <si>
    <t>3525</t>
  </si>
  <si>
    <t>CONTRIBUTED CAPITAL</t>
  </si>
  <si>
    <t xml:space="preserve">     Contributed Capital</t>
  </si>
  <si>
    <t>Bridewater Sports Complex</t>
  </si>
  <si>
    <t>Due from Affliates</t>
  </si>
  <si>
    <t>Due from CNT DEP</t>
  </si>
  <si>
    <t>M180</t>
  </si>
  <si>
    <t>MINTING - FINISHED GOODS - COPPER</t>
  </si>
  <si>
    <t>INTERCOMPANY LOAN - LENDING</t>
  </si>
  <si>
    <t xml:space="preserve">Due to 722 Bedford </t>
  </si>
  <si>
    <t>MINTING - R&amp;M ACCRUAL - ALL METALS</t>
  </si>
  <si>
    <t xml:space="preserve">     Minting Inventory Clearing</t>
  </si>
  <si>
    <t>Retained Earnings vs Net Income</t>
  </si>
  <si>
    <t xml:space="preserve">     Inventory - Clearing</t>
  </si>
  <si>
    <t xml:space="preserve">     Inventory - Supplies &amp; Other</t>
  </si>
  <si>
    <t xml:space="preserve">     Accrued Expenses - Wells/Individuals</t>
  </si>
  <si>
    <t xml:space="preserve">     Accrued Expenses - Legal &amp; Acctg</t>
  </si>
  <si>
    <t xml:space="preserve">     Accrued Expenses - Bank Fees</t>
  </si>
  <si>
    <t xml:space="preserve">     Accrued Expense -  MA Taxes</t>
  </si>
  <si>
    <t xml:space="preserve">     Accrued Expenses - Professional Fees</t>
  </si>
  <si>
    <t>Incr / (Decr) %</t>
  </si>
  <si>
    <t>RETAINED EARNINGS</t>
  </si>
  <si>
    <t>DUE TO OLIARI CO., LLC</t>
  </si>
  <si>
    <t>125 · Due from CNT</t>
  </si>
  <si>
    <t>1100 - Interest Receivables</t>
  </si>
  <si>
    <t>Due form CNT, Inc</t>
  </si>
  <si>
    <t>Minting Department</t>
  </si>
  <si>
    <t>2500 - Due to CNT Depository, Inc</t>
  </si>
  <si>
    <t>DUE TO 722 BEDFORD STREET LLC</t>
  </si>
  <si>
    <t>DUE TO OLIARI CO LLC</t>
  </si>
  <si>
    <t>126 - Due form BPM</t>
  </si>
  <si>
    <t>1450 . Fans - Industrial</t>
  </si>
  <si>
    <t>Solar Project</t>
  </si>
  <si>
    <t>Due to DEP</t>
  </si>
  <si>
    <t>320 . Distributions</t>
  </si>
  <si>
    <t>321 . Distributions - Paul Oliari</t>
  </si>
  <si>
    <t>321 . Distributions - Danielle Oliari</t>
  </si>
  <si>
    <t>321 . Distributions - Stephanie Oliari</t>
  </si>
  <si>
    <t>ACCRUED eBay FEES</t>
  </si>
  <si>
    <t>INVENTORY - SHIPPING SUPPLIES</t>
  </si>
  <si>
    <t>DUE FROM OLIARI CO., LLC</t>
  </si>
  <si>
    <t>M225</t>
  </si>
  <si>
    <t>MINTING - ACCRUED OTHER</t>
  </si>
  <si>
    <t>PREPAID ADVERTISEMENT</t>
  </si>
  <si>
    <t xml:space="preserve">     Prepaid Advertisement</t>
  </si>
  <si>
    <t xml:space="preserve">     Minting - Accrued Other</t>
  </si>
  <si>
    <t>2007 · Accrued Bonuses</t>
  </si>
  <si>
    <t>Leasehold Improvements</t>
  </si>
  <si>
    <t xml:space="preserve">     LIFO Reserve</t>
  </si>
  <si>
    <t xml:space="preserve">     Store Equipment Depository</t>
  </si>
  <si>
    <t xml:space="preserve">     Due to Affiliates</t>
  </si>
  <si>
    <t>ACCRUED PAYROLL AND PAYROLL TAXES</t>
  </si>
  <si>
    <t>M181</t>
  </si>
  <si>
    <t>MINTING - FINISHED GOODS - GOLD</t>
  </si>
  <si>
    <t>2162</t>
  </si>
  <si>
    <t>PURCHASES CLEARING-SILVER</t>
  </si>
  <si>
    <t xml:space="preserve">     Purchases Clearing - Silver</t>
  </si>
  <si>
    <t>PREPAID TRAVEL</t>
  </si>
  <si>
    <t>CASH WELLS SWISS FRANC</t>
  </si>
  <si>
    <t>Other Receivables</t>
  </si>
  <si>
    <t>Minting - Inventory Raw - Copper</t>
  </si>
  <si>
    <t>Minting - Inventory Supplies</t>
  </si>
  <si>
    <t>ACCRUED EXPENSES - TELEPHONE</t>
  </si>
  <si>
    <t>ACCRUED EXPENSE - Travel</t>
  </si>
  <si>
    <t>ACCRUED EXPENSE - MEALS &amp; ENTERTAINMENT</t>
  </si>
  <si>
    <t xml:space="preserve">     Deposits on Accounts</t>
  </si>
  <si>
    <t xml:space="preserve">     Accrued Expenses - Interest</t>
  </si>
  <si>
    <t>1397 · Heating Unit</t>
  </si>
  <si>
    <t>2000 Accounts Payable</t>
  </si>
  <si>
    <t>230 · Deferred Rental Income</t>
  </si>
  <si>
    <t>2051 · Due to Oliari Co LLC</t>
  </si>
  <si>
    <t xml:space="preserve">     Accrued Expenses - Bonuses</t>
  </si>
  <si>
    <t>MINTING - Blanks - Silver</t>
  </si>
  <si>
    <t>M142</t>
  </si>
  <si>
    <t>M130</t>
  </si>
  <si>
    <t>MINTING - WIP - Copper</t>
  </si>
  <si>
    <t>M260</t>
  </si>
  <si>
    <t>MINTING - Purchase Clearing - Copper</t>
  </si>
  <si>
    <t xml:space="preserve">     Minting - Purchase Clearing - Copper</t>
  </si>
  <si>
    <t xml:space="preserve">     Minting Blanks - Silver</t>
  </si>
  <si>
    <t xml:space="preserve">     Minting Blanks - WIP - Copper</t>
  </si>
  <si>
    <t>Accrued Professional Fees</t>
  </si>
  <si>
    <t>PREPAID EXPENSE - ASAHI SHIPMENTS</t>
  </si>
  <si>
    <t>M132</t>
  </si>
  <si>
    <t>Minting - WIP - Copper</t>
  </si>
  <si>
    <t>Minting - WIP - Silver</t>
  </si>
  <si>
    <t>2013 · Accrued Payroll &amp; Payroll Taxes</t>
  </si>
  <si>
    <t>1800 · Prepaid Income Taxes</t>
  </si>
  <si>
    <t>ACCRUED EXPENSE - CORPORATE MA TAXES</t>
  </si>
  <si>
    <t>M250</t>
  </si>
  <si>
    <t>MINTING - ACCRUED ROYALTIES</t>
  </si>
  <si>
    <t xml:space="preserve">     Minting - Accrued Royalties</t>
  </si>
  <si>
    <t>ACCRUED MA INCOME TAX</t>
  </si>
  <si>
    <t>A/D - Solar Project</t>
  </si>
  <si>
    <t>Accrued Interest - DMO</t>
  </si>
  <si>
    <t>Accrued Interest - MLO &amp; PLO</t>
  </si>
  <si>
    <t>Accrued Interest - PLO</t>
  </si>
  <si>
    <t>Accrued Interest - SLO</t>
  </si>
  <si>
    <t>ACCRUED EXPENSES - Electric</t>
  </si>
  <si>
    <t>Minting - Deferred Revenue - Minting</t>
  </si>
  <si>
    <t>11000 · Accounts Receivable</t>
  </si>
  <si>
    <t>DIST SHAREHOLDER - MLO</t>
  </si>
  <si>
    <t>DIST SHAREHOLDER - DO</t>
  </si>
  <si>
    <t>DIST SHAREHOLDER - PLO</t>
  </si>
  <si>
    <t>DIST SHAREHOLDER - SO</t>
  </si>
  <si>
    <t>DIST SHAREHOLDER - PATTY O</t>
  </si>
  <si>
    <t>203 · Due to CNT</t>
  </si>
  <si>
    <t>Prepaid Expense - Prof Fees</t>
  </si>
  <si>
    <t>1851 - Prepaid Expenses - Professional Fees</t>
  </si>
  <si>
    <t>Minting - Finished Goods - Silver</t>
  </si>
  <si>
    <t>DUE TO BPM</t>
  </si>
  <si>
    <t>1501 · Prepaid Rent</t>
  </si>
  <si>
    <t>1850 · Prepaid Expenses - Legal</t>
  </si>
  <si>
    <t>2551 · Due to CNT Inc</t>
  </si>
  <si>
    <t>1399 · Ethernet Switch</t>
  </si>
  <si>
    <t>1200 · Bounced Checks Receivable</t>
  </si>
  <si>
    <t>1235 · Due From CNT</t>
  </si>
  <si>
    <t>PREPAID Expenses</t>
  </si>
  <si>
    <t>SIGN</t>
  </si>
  <si>
    <t>DUE TO BRIDGEWATER SPORTS COMPLEX</t>
  </si>
  <si>
    <t>DUE TO OLIARI CO</t>
  </si>
  <si>
    <t xml:space="preserve">     Sign</t>
  </si>
  <si>
    <t>NOTE PAYABLE - Virginia Booras &amp; mary Tuite</t>
  </si>
  <si>
    <t>1851 · Prepaid Expenses - Prof Fees Tax</t>
  </si>
  <si>
    <t>131 · Due from 260 Winter Street</t>
  </si>
  <si>
    <t>1396 · Sign</t>
  </si>
  <si>
    <t>Solar Credits Receivables</t>
  </si>
  <si>
    <t>CONSTRUCTION IN PROCESS</t>
  </si>
  <si>
    <t>DUE FROM STOCKHOLDER</t>
  </si>
  <si>
    <t>M127</t>
  </si>
  <si>
    <t>Minting - Inventory Clearing</t>
  </si>
  <si>
    <t>Minting - Blanks - Silver</t>
  </si>
  <si>
    <t>Minting - Finsished Goods - Copper</t>
  </si>
  <si>
    <t>DUE TO 722 BEDFORD</t>
  </si>
  <si>
    <t>Due from CNT Depository</t>
  </si>
  <si>
    <t>ACCTS PAYABLE 201K P/R DED</t>
  </si>
  <si>
    <t>PAYROLL CLEARING</t>
  </si>
  <si>
    <t>PREPAID EXPENSES - ASAHI SHIPMENT</t>
  </si>
  <si>
    <t>125 · Due from CNT Monthly Interco</t>
  </si>
  <si>
    <t>ACCRUED EXPENSES - LANDSCAPING</t>
  </si>
  <si>
    <t xml:space="preserve">     Accrued Expenses - Landscaping</t>
  </si>
  <si>
    <t>ACCRUED EXPENSES - BONUSES</t>
  </si>
  <si>
    <t xml:space="preserve">Due from CNT </t>
  </si>
  <si>
    <t>126 · Due from BPM</t>
  </si>
  <si>
    <t>INVENTORY SHIPPING SUPPLIES</t>
  </si>
  <si>
    <t>PURCHASES CLEARING SILVER</t>
  </si>
  <si>
    <t>Minting - Accrued Other</t>
  </si>
  <si>
    <t>ACCRUED EBAY FEES</t>
  </si>
  <si>
    <t>DUE FROM 722</t>
  </si>
  <si>
    <t>320 · Distributions</t>
  </si>
  <si>
    <t xml:space="preserve"> </t>
  </si>
  <si>
    <t>Minting - R&amp;M Accrual - All Metals</t>
  </si>
  <si>
    <t>OTHER RECEIVABLES - SMART SOLAR PROGRAM</t>
  </si>
  <si>
    <t>BOOK OVERDRAFT</t>
  </si>
  <si>
    <t>As of 12/31/18</t>
  </si>
  <si>
    <t xml:space="preserve">     Book Overdraft</t>
  </si>
  <si>
    <t>As of 12.31.18</t>
  </si>
  <si>
    <t>As of 12/31/2018</t>
  </si>
  <si>
    <t>12/31/2018</t>
  </si>
  <si>
    <t>12/31/18</t>
  </si>
  <si>
    <t>CNT Lending 12.31.18</t>
  </si>
  <si>
    <t>12.31.18</t>
  </si>
  <si>
    <t>Accrued Interest</t>
  </si>
  <si>
    <t>CNT Lending 12/31/2019</t>
  </si>
  <si>
    <t>1510 · Prepaid Expenses</t>
  </si>
  <si>
    <t>Total Change 2019 to 2020</t>
  </si>
  <si>
    <t>2019 YTD to 2020 YTD %</t>
  </si>
  <si>
    <t xml:space="preserve">     Vivion (VSP)</t>
  </si>
  <si>
    <t xml:space="preserve">     Construction in Progress</t>
  </si>
  <si>
    <t>As of 2/29/2020</t>
  </si>
  <si>
    <t>MINTING - WIP - Silver</t>
  </si>
  <si>
    <t>VISION (VSP)</t>
  </si>
  <si>
    <t xml:space="preserve">     Minting Blanks - WIP</t>
  </si>
  <si>
    <t>ACCRUED EXPENSES - CONTINGENCY</t>
  </si>
  <si>
    <t xml:space="preserve">     Accrued Expenses - Contingency</t>
  </si>
  <si>
    <t>As of 3/31/2020</t>
  </si>
  <si>
    <t>As of 3/31/2019</t>
  </si>
  <si>
    <t>For Period 3/31/2020 &amp; 3/31/2019</t>
  </si>
  <si>
    <t>COMPUTER EQUIPMENT</t>
  </si>
  <si>
    <t xml:space="preserve">     Computer Equipment</t>
  </si>
  <si>
    <t>CAPITAL CONTRIBUTIONS - DMO</t>
  </si>
  <si>
    <t>CAPITAL CONTRIBUTIONS - MLO</t>
  </si>
  <si>
    <t>CAPITAL CONTRIBUTIONS - PAO</t>
  </si>
  <si>
    <t>CAPITAL CONTRIBUTIONS - PLO</t>
  </si>
  <si>
    <t>CAPITAL CONTRIBUTIONS - SLO</t>
  </si>
  <si>
    <t>3/31/20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</si>
</sst>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* #,##0.00;[$$-409]* \-#,##0.00"/>
    <numFmt numFmtId="165" formatCode="m/d/yyyy&quot;  &quot;h\:mm\:ss\ AM/PM"/>
    <numFmt numFmtId="166" formatCode="#,##0;#,##0"/>
    <numFmt numFmtId="167" formatCode="#,##0.00;\-#,##0.00"/>
    <numFmt numFmtId="168" formatCode="_([$$-409]* #,##0.00_);_([$$-409]* \(#,##0.00\);_([$$-409]* &quot;-&quot;??_);_(@_)"/>
  </numFmts>
  <fonts count="28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Microsoft Sans Serif"/>
      <family val="2"/>
    </font>
    <font>
      <b/>
      <sz val="10"/>
      <color indexed="8"/>
      <name val="Arial"/>
      <family val="2"/>
    </font>
    <font>
      <sz val="8"/>
      <color indexed="8"/>
      <name val="Microsoft Sans Serif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6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24"/>
      <color indexed="8"/>
      <name val="Calibri"/>
      <family val="2"/>
      <scheme val="minor"/>
    </font>
    <font>
      <sz val="24"/>
      <color indexed="8"/>
      <name val="Calibri"/>
      <family val="2"/>
      <scheme val="minor"/>
    </font>
    <font>
      <sz val="20"/>
      <color indexed="8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b/>
      <sz val="12"/>
      <color rgb="FF000000"/>
      <name val="Arial"/>
      <family val="2"/>
    </font>
    <font>
      <sz val="8"/>
      <color indexed="8"/>
      <name val="Microsoft Sans Serif"/>
      <family val="2"/>
    </font>
    <font>
      <sz val="8"/>
      <color indexed="8"/>
      <name val="Microsoft Sans Serif"/>
      <family val="2"/>
    </font>
    <font>
      <b/>
      <sz val="8"/>
      <color rgb="FFFF0000"/>
      <name val="Arial"/>
      <family val="2"/>
    </font>
    <font>
      <b/>
      <sz val="36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>
      <alignment vertical="top"/>
    </xf>
    <xf numFmtId="43" fontId="1" fillId="0" borderId="0" applyFont="0" applyFill="0" applyBorder="0" applyAlignment="0" applyProtection="0">
      <alignment vertical="top"/>
    </xf>
    <xf numFmtId="44" fontId="1" fillId="0" borderId="0" applyFont="0" applyFill="0" applyBorder="0" applyAlignment="0" applyProtection="0">
      <alignment vertical="top"/>
    </xf>
    <xf numFmtId="0" fontId="8" fillId="0" borderId="0"/>
    <xf numFmtId="0" fontId="9" fillId="0" borderId="0"/>
    <xf numFmtId="0" fontId="10" fillId="0" borderId="0"/>
    <xf numFmtId="9" fontId="1" fillId="0" borderId="0" applyFont="0" applyFill="0" applyBorder="0" applyAlignment="0" applyProtection="0">
      <alignment vertical="top"/>
    </xf>
  </cellStyleXfs>
  <cellXfs count="207">
    <xf numFmtId="0" fontId="0" fillId="0" borderId="0" xfId="0">
      <alignment vertical="top"/>
    </xf>
    <xf numFmtId="166" fontId="3" fillId="0" borderId="0" xfId="0" applyNumberFormat="1" applyFont="1" applyAlignment="1">
      <alignment horizontal="left" vertical="top"/>
    </xf>
    <xf numFmtId="0" fontId="11" fillId="0" borderId="0" xfId="0" applyFont="1">
      <alignment vertical="top"/>
    </xf>
    <xf numFmtId="43" fontId="11" fillId="0" borderId="0" xfId="1" applyFont="1">
      <alignment vertical="top"/>
    </xf>
    <xf numFmtId="9" fontId="11" fillId="0" borderId="0" xfId="1" applyNumberFormat="1" applyFont="1">
      <alignment vertical="top"/>
    </xf>
    <xf numFmtId="164" fontId="4" fillId="0" borderId="0" xfId="0" applyNumberFormat="1" applyFont="1" applyAlignment="1">
      <alignment horizontal="right" vertical="top"/>
    </xf>
    <xf numFmtId="164" fontId="4" fillId="0" borderId="1" xfId="0" applyNumberFormat="1" applyFont="1" applyBorder="1" applyAlignment="1">
      <alignment horizontal="right" vertical="top"/>
    </xf>
    <xf numFmtId="44" fontId="11" fillId="0" borderId="0" xfId="2" applyFont="1">
      <alignment vertical="top"/>
    </xf>
    <xf numFmtId="0" fontId="15" fillId="0" borderId="0" xfId="0" applyFont="1">
      <alignment vertical="top"/>
    </xf>
    <xf numFmtId="0" fontId="16" fillId="0" borderId="0" xfId="0" applyFont="1">
      <alignment vertical="top"/>
    </xf>
    <xf numFmtId="44" fontId="16" fillId="0" borderId="0" xfId="2" applyFont="1">
      <alignment vertical="top"/>
    </xf>
    <xf numFmtId="0" fontId="16" fillId="0" borderId="0" xfId="0" applyFont="1" applyAlignment="1"/>
    <xf numFmtId="43" fontId="16" fillId="0" borderId="0" xfId="1" applyFont="1">
      <alignment vertical="top"/>
    </xf>
    <xf numFmtId="9" fontId="16" fillId="0" borderId="0" xfId="6" applyFont="1" applyAlignment="1">
      <alignment horizontal="center" vertical="top"/>
    </xf>
    <xf numFmtId="9" fontId="16" fillId="0" borderId="0" xfId="0" applyNumberFormat="1" applyFont="1" applyAlignment="1">
      <alignment horizontal="center" vertical="top"/>
    </xf>
    <xf numFmtId="0" fontId="16" fillId="0" borderId="0" xfId="0" applyFont="1" applyAlignment="1">
      <alignment horizontal="left" vertical="top"/>
    </xf>
    <xf numFmtId="43" fontId="16" fillId="0" borderId="7" xfId="1" applyFont="1" applyBorder="1">
      <alignment vertical="top"/>
    </xf>
    <xf numFmtId="0" fontId="16" fillId="0" borderId="7" xfId="0" applyFont="1" applyBorder="1">
      <alignment vertical="top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center" vertical="top"/>
    </xf>
    <xf numFmtId="0" fontId="15" fillId="0" borderId="0" xfId="0" applyFont="1" applyAlignment="1">
      <alignment horizontal="right" vertical="top"/>
    </xf>
    <xf numFmtId="43" fontId="16" fillId="0" borderId="8" xfId="1" applyFont="1" applyBorder="1">
      <alignment vertical="top"/>
    </xf>
    <xf numFmtId="43" fontId="16" fillId="0" borderId="0" xfId="0" applyNumberFormat="1" applyFont="1">
      <alignment vertical="top"/>
    </xf>
    <xf numFmtId="43" fontId="15" fillId="0" borderId="9" xfId="1" applyFont="1" applyBorder="1">
      <alignment vertical="top"/>
    </xf>
    <xf numFmtId="44" fontId="15" fillId="0" borderId="9" xfId="2" applyFont="1" applyBorder="1">
      <alignment vertical="top"/>
    </xf>
    <xf numFmtId="43" fontId="15" fillId="0" borderId="0" xfId="1" applyFont="1">
      <alignment vertical="top"/>
    </xf>
    <xf numFmtId="43" fontId="16" fillId="0" borderId="0" xfId="0" applyNumberFormat="1" applyFont="1" applyAlignment="1">
      <alignment horizontal="center" vertical="top"/>
    </xf>
    <xf numFmtId="0" fontId="15" fillId="0" borderId="0" xfId="0" applyFont="1" applyAlignment="1">
      <alignment horizontal="left" vertical="top"/>
    </xf>
    <xf numFmtId="0" fontId="17" fillId="0" borderId="0" xfId="0" applyFont="1">
      <alignment vertical="top"/>
    </xf>
    <xf numFmtId="0" fontId="18" fillId="0" borderId="0" xfId="0" applyFont="1">
      <alignment vertical="top"/>
    </xf>
    <xf numFmtId="44" fontId="18" fillId="0" borderId="0" xfId="2" applyFont="1">
      <alignment vertical="top"/>
    </xf>
    <xf numFmtId="0" fontId="19" fillId="0" borderId="0" xfId="0" applyFont="1">
      <alignment vertical="top"/>
    </xf>
    <xf numFmtId="0" fontId="19" fillId="0" borderId="6" xfId="0" applyFont="1" applyBorder="1">
      <alignment vertical="top"/>
    </xf>
    <xf numFmtId="0" fontId="20" fillId="0" borderId="6" xfId="0" applyFont="1" applyBorder="1" applyAlignment="1">
      <alignment horizontal="center" vertical="center"/>
    </xf>
    <xf numFmtId="44" fontId="20" fillId="0" borderId="6" xfId="2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43" fontId="11" fillId="0" borderId="0" xfId="0" applyNumberFormat="1" applyFont="1">
      <alignment vertical="top"/>
    </xf>
    <xf numFmtId="0" fontId="10" fillId="0" borderId="0" xfId="5"/>
    <xf numFmtId="49" fontId="21" fillId="0" borderId="0" xfId="5" applyNumberFormat="1" applyFont="1"/>
    <xf numFmtId="167" fontId="22" fillId="0" borderId="0" xfId="5" applyNumberFormat="1" applyFont="1"/>
    <xf numFmtId="167" fontId="22" fillId="0" borderId="6" xfId="5" applyNumberFormat="1" applyFont="1" applyBorder="1"/>
    <xf numFmtId="167" fontId="22" fillId="0" borderId="4" xfId="5" applyNumberFormat="1" applyFont="1" applyBorder="1"/>
    <xf numFmtId="167" fontId="21" fillId="0" borderId="5" xfId="5" applyNumberFormat="1" applyFont="1" applyBorder="1"/>
    <xf numFmtId="167" fontId="22" fillId="0" borderId="3" xfId="5" applyNumberFormat="1" applyFont="1" applyBorder="1"/>
    <xf numFmtId="49" fontId="21" fillId="0" borderId="0" xfId="5" applyNumberFormat="1" applyFont="1" applyAlignment="1">
      <alignment horizontal="center"/>
    </xf>
    <xf numFmtId="49" fontId="21" fillId="0" borderId="2" xfId="5" applyNumberFormat="1" applyFont="1" applyBorder="1" applyAlignment="1">
      <alignment horizontal="center"/>
    </xf>
    <xf numFmtId="0" fontId="11" fillId="0" borderId="7" xfId="0" applyFont="1" applyBorder="1">
      <alignment vertical="top"/>
    </xf>
    <xf numFmtId="44" fontId="11" fillId="0" borderId="7" xfId="2" applyFont="1" applyBorder="1">
      <alignment vertical="top"/>
    </xf>
    <xf numFmtId="0" fontId="11" fillId="0" borderId="0" xfId="0" applyFont="1" applyAlignment="1">
      <alignment horizontal="center" vertical="top"/>
    </xf>
    <xf numFmtId="8" fontId="11" fillId="0" borderId="0" xfId="0" applyNumberFormat="1" applyFont="1">
      <alignment vertical="top"/>
    </xf>
    <xf numFmtId="0" fontId="18" fillId="2" borderId="0" xfId="0" applyFont="1" applyFill="1">
      <alignment vertical="top"/>
    </xf>
    <xf numFmtId="0" fontId="20" fillId="2" borderId="6" xfId="0" applyFont="1" applyFill="1" applyBorder="1" applyAlignment="1">
      <alignment horizontal="center" vertical="center"/>
    </xf>
    <xf numFmtId="43" fontId="16" fillId="2" borderId="0" xfId="1" applyFont="1" applyFill="1">
      <alignment vertical="top"/>
    </xf>
    <xf numFmtId="43" fontId="16" fillId="2" borderId="7" xfId="1" applyFont="1" applyFill="1" applyBorder="1">
      <alignment vertical="top"/>
    </xf>
    <xf numFmtId="43" fontId="16" fillId="2" borderId="8" xfId="1" applyFont="1" applyFill="1" applyBorder="1">
      <alignment vertical="top"/>
    </xf>
    <xf numFmtId="43" fontId="15" fillId="2" borderId="9" xfId="1" applyFont="1" applyFill="1" applyBorder="1">
      <alignment vertical="top"/>
    </xf>
    <xf numFmtId="43" fontId="11" fillId="2" borderId="0" xfId="1" applyFont="1" applyFill="1">
      <alignment vertical="top"/>
    </xf>
    <xf numFmtId="0" fontId="11" fillId="2" borderId="0" xfId="0" applyFont="1" applyFill="1">
      <alignment vertical="top"/>
    </xf>
    <xf numFmtId="44" fontId="16" fillId="2" borderId="0" xfId="2" applyFont="1" applyFill="1">
      <alignment vertical="top"/>
    </xf>
    <xf numFmtId="43" fontId="11" fillId="2" borderId="0" xfId="0" applyNumberFormat="1" applyFont="1" applyFill="1">
      <alignment vertical="top"/>
    </xf>
    <xf numFmtId="44" fontId="11" fillId="0" borderId="0" xfId="0" applyNumberFormat="1" applyFont="1">
      <alignment vertical="top"/>
    </xf>
    <xf numFmtId="43" fontId="11" fillId="0" borderId="7" xfId="0" applyNumberFormat="1" applyFont="1" applyBorder="1">
      <alignment vertical="top"/>
    </xf>
    <xf numFmtId="0" fontId="20" fillId="2" borderId="6" xfId="0" applyFont="1" applyFill="1" applyBorder="1" applyAlignment="1">
      <alignment horizontal="center" vertical="center" wrapText="1"/>
    </xf>
    <xf numFmtId="0" fontId="16" fillId="2" borderId="0" xfId="0" applyFont="1" applyFill="1">
      <alignment vertical="top"/>
    </xf>
    <xf numFmtId="44" fontId="15" fillId="2" borderId="9" xfId="2" applyFont="1" applyFill="1" applyBorder="1">
      <alignment vertical="top"/>
    </xf>
    <xf numFmtId="43" fontId="16" fillId="2" borderId="0" xfId="0" applyNumberFormat="1" applyFont="1" applyFill="1">
      <alignment vertical="top"/>
    </xf>
    <xf numFmtId="44" fontId="11" fillId="3" borderId="0" xfId="2" applyFont="1" applyFill="1">
      <alignment vertical="top"/>
    </xf>
    <xf numFmtId="44" fontId="11" fillId="3" borderId="0" xfId="0" applyNumberFormat="1" applyFont="1" applyFill="1">
      <alignment vertical="top"/>
    </xf>
    <xf numFmtId="0" fontId="11" fillId="3" borderId="0" xfId="0" applyFont="1" applyFill="1">
      <alignment vertical="top"/>
    </xf>
    <xf numFmtId="43" fontId="11" fillId="3" borderId="0" xfId="0" applyNumberFormat="1" applyFont="1" applyFill="1">
      <alignment vertical="top"/>
    </xf>
    <xf numFmtId="168" fontId="0" fillId="0" borderId="0" xfId="0" applyNumberFormat="1">
      <alignment vertical="top"/>
    </xf>
    <xf numFmtId="0" fontId="3" fillId="0" borderId="0" xfId="0" applyFont="1" applyAlignment="1">
      <alignment horizontal="right" vertical="top" wrapText="1" readingOrder="1"/>
    </xf>
    <xf numFmtId="39" fontId="0" fillId="0" borderId="0" xfId="0" applyNumberFormat="1">
      <alignment vertical="top"/>
    </xf>
    <xf numFmtId="0" fontId="0" fillId="0" borderId="0" xfId="0" applyFill="1">
      <alignment vertical="top"/>
    </xf>
    <xf numFmtId="0" fontId="4" fillId="0" borderId="0" xfId="0" applyFont="1" applyFill="1">
      <alignment vertical="top"/>
    </xf>
    <xf numFmtId="168" fontId="0" fillId="0" borderId="0" xfId="0" applyNumberFormat="1" applyFill="1">
      <alignment vertical="top"/>
    </xf>
    <xf numFmtId="164" fontId="4" fillId="0" borderId="0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49" fontId="21" fillId="0" borderId="0" xfId="5" applyNumberFormat="1" applyFont="1" applyFill="1"/>
    <xf numFmtId="49" fontId="12" fillId="0" borderId="0" xfId="0" applyNumberFormat="1" applyFont="1" applyFill="1" applyAlignment="1"/>
    <xf numFmtId="49" fontId="12" fillId="0" borderId="0" xfId="0" applyNumberFormat="1" applyFont="1" applyFill="1" applyAlignment="1">
      <alignment horizontal="center"/>
    </xf>
    <xf numFmtId="49" fontId="14" fillId="0" borderId="0" xfId="0" applyNumberFormat="1" applyFont="1" applyFill="1" applyAlignment="1"/>
    <xf numFmtId="0" fontId="12" fillId="0" borderId="0" xfId="0" applyFont="1" applyFill="1" applyAlignment="1"/>
    <xf numFmtId="0" fontId="12" fillId="0" borderId="0" xfId="0" applyFont="1" applyFill="1" applyAlignment="1">
      <alignment horizontal="right"/>
    </xf>
    <xf numFmtId="49" fontId="26" fillId="0" borderId="0" xfId="0" applyNumberFormat="1" applyFont="1" applyFill="1" applyAlignment="1"/>
    <xf numFmtId="49" fontId="21" fillId="0" borderId="0" xfId="5" applyNumberFormat="1" applyFont="1" applyFill="1" applyAlignment="1">
      <alignment horizontal="center"/>
    </xf>
    <xf numFmtId="0" fontId="10" fillId="0" borderId="0" xfId="5" applyFill="1"/>
    <xf numFmtId="16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164" fontId="4" fillId="0" borderId="1" xfId="0" applyNumberFormat="1" applyFont="1" applyFill="1" applyBorder="1" applyAlignment="1">
      <alignment horizontal="right" vertical="top"/>
    </xf>
    <xf numFmtId="168" fontId="3" fillId="0" borderId="0" xfId="0" applyNumberFormat="1" applyFont="1" applyFill="1" applyAlignment="1">
      <alignment horizontal="right" vertical="top" wrapText="1" readingOrder="1"/>
    </xf>
    <xf numFmtId="166" fontId="3" fillId="0" borderId="0" xfId="0" applyNumberFormat="1" applyFont="1" applyFill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right" vertical="top"/>
    </xf>
    <xf numFmtId="14" fontId="2" fillId="0" borderId="7" xfId="0" applyNumberFormat="1" applyFont="1" applyFill="1" applyBorder="1">
      <alignment vertical="top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right" vertical="top" wrapText="1" readingOrder="1"/>
    </xf>
    <xf numFmtId="0" fontId="14" fillId="0" borderId="0" xfId="0" applyFont="1" applyFill="1" applyAlignment="1"/>
    <xf numFmtId="49" fontId="14" fillId="0" borderId="0" xfId="0" applyNumberFormat="1" applyFont="1" applyFill="1" applyAlignment="1">
      <alignment horizontal="center"/>
    </xf>
    <xf numFmtId="49" fontId="14" fillId="0" borderId="2" xfId="0" applyNumberFormat="1" applyFont="1" applyFill="1" applyBorder="1" applyAlignment="1">
      <alignment horizontal="center"/>
    </xf>
    <xf numFmtId="167" fontId="13" fillId="0" borderId="0" xfId="0" applyNumberFormat="1" applyFont="1" applyFill="1" applyAlignment="1"/>
    <xf numFmtId="167" fontId="13" fillId="0" borderId="3" xfId="0" applyNumberFormat="1" applyFont="1" applyFill="1" applyBorder="1" applyAlignment="1"/>
    <xf numFmtId="167" fontId="13" fillId="0" borderId="4" xfId="0" applyNumberFormat="1" applyFont="1" applyFill="1" applyBorder="1" applyAlignment="1"/>
    <xf numFmtId="167" fontId="14" fillId="0" borderId="5" xfId="0" applyNumberFormat="1" applyFont="1" applyFill="1" applyBorder="1" applyAlignment="1"/>
    <xf numFmtId="0" fontId="0" fillId="0" borderId="0" xfId="0" applyFill="1" applyAlignment="1"/>
    <xf numFmtId="39" fontId="0" fillId="0" borderId="0" xfId="0" applyNumberFormat="1" applyFill="1" applyAlignment="1"/>
    <xf numFmtId="167" fontId="13" fillId="0" borderId="6" xfId="0" applyNumberFormat="1" applyFont="1" applyFill="1" applyBorder="1" applyAlignment="1"/>
    <xf numFmtId="49" fontId="12" fillId="0" borderId="2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>
      <alignment vertical="top"/>
    </xf>
    <xf numFmtId="49" fontId="21" fillId="0" borderId="2" xfId="5" applyNumberFormat="1" applyFont="1" applyFill="1" applyBorder="1" applyAlignment="1">
      <alignment horizontal="center"/>
    </xf>
    <xf numFmtId="167" fontId="22" fillId="0" borderId="0" xfId="5" applyNumberFormat="1" applyFont="1" applyFill="1"/>
    <xf numFmtId="167" fontId="22" fillId="0" borderId="6" xfId="5" applyNumberFormat="1" applyFont="1" applyFill="1" applyBorder="1"/>
    <xf numFmtId="167" fontId="22" fillId="0" borderId="4" xfId="5" applyNumberFormat="1" applyFont="1" applyFill="1" applyBorder="1"/>
    <xf numFmtId="167" fontId="21" fillId="0" borderId="5" xfId="5" applyNumberFormat="1" applyFont="1" applyFill="1" applyBorder="1"/>
    <xf numFmtId="167" fontId="22" fillId="0" borderId="3" xfId="5" applyNumberFormat="1" applyFont="1" applyFill="1" applyBorder="1"/>
    <xf numFmtId="43" fontId="0" fillId="0" borderId="0" xfId="1" applyFont="1" applyFill="1">
      <alignment vertical="top"/>
    </xf>
    <xf numFmtId="167" fontId="13" fillId="0" borderId="0" xfId="0" applyNumberFormat="1" applyFont="1" applyFill="1" applyBorder="1" applyAlignment="1"/>
    <xf numFmtId="164" fontId="4" fillId="4" borderId="0" xfId="0" applyNumberFormat="1" applyFont="1" applyFill="1" applyAlignment="1">
      <alignment horizontal="right" vertical="top"/>
    </xf>
    <xf numFmtId="43" fontId="16" fillId="0" borderId="0" xfId="1" applyFont="1" applyBorder="1">
      <alignment vertical="top"/>
    </xf>
    <xf numFmtId="164" fontId="4" fillId="0" borderId="0" xfId="0" applyNumberFormat="1" applyFont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49" fontId="14" fillId="4" borderId="0" xfId="0" applyNumberFormat="1" applyFont="1" applyFill="1" applyAlignment="1"/>
    <xf numFmtId="16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right" vertical="top"/>
    </xf>
    <xf numFmtId="167" fontId="13" fillId="0" borderId="0" xfId="5" applyNumberFormat="1" applyFont="1" applyFill="1"/>
    <xf numFmtId="49" fontId="12" fillId="0" borderId="0" xfId="5" applyNumberFormat="1" applyFont="1" applyFill="1"/>
    <xf numFmtId="49" fontId="12" fillId="0" borderId="0" xfId="0" applyNumberFormat="1" applyFont="1" applyFill="1" applyAlignment="1">
      <alignment horizontal="right"/>
    </xf>
    <xf numFmtId="39" fontId="0" fillId="0" borderId="0" xfId="0" applyNumberFormat="1" applyFill="1">
      <alignment vertical="top"/>
    </xf>
    <xf numFmtId="164" fontId="4" fillId="0" borderId="1" xfId="0" applyNumberFormat="1" applyFont="1" applyFill="1" applyBorder="1" applyAlignment="1">
      <alignment horizontal="right" vertical="top"/>
    </xf>
    <xf numFmtId="167" fontId="13" fillId="4" borderId="0" xfId="0" applyNumberFormat="1" applyFont="1" applyFill="1" applyAlignment="1"/>
    <xf numFmtId="0" fontId="4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right" vertical="top"/>
    </xf>
    <xf numFmtId="0" fontId="4" fillId="0" borderId="0" xfId="0" quotePrefix="1" applyFont="1" applyFill="1" applyAlignment="1">
      <alignment horizontal="left" vertical="top"/>
    </xf>
    <xf numFmtId="164" fontId="4" fillId="0" borderId="7" xfId="0" applyNumberFormat="1" applyFont="1" applyFill="1" applyBorder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43" fontId="16" fillId="0" borderId="8" xfId="1" applyFont="1" applyFill="1" applyBorder="1">
      <alignment vertical="top"/>
    </xf>
    <xf numFmtId="164" fontId="4" fillId="0" borderId="0" xfId="0" applyNumberFormat="1" applyFont="1" applyFill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0" fontId="17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14" fontId="17" fillId="0" borderId="0" xfId="0" applyNumberFormat="1" applyFont="1" applyAlignment="1">
      <alignment horizontal="center" vertical="top"/>
    </xf>
    <xf numFmtId="0" fontId="27" fillId="0" borderId="0" xfId="0" applyFont="1" applyAlignment="1">
      <alignment horizontal="center" vertical="top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0" fontId="4" fillId="0" borderId="0" xfId="0" quotePrefix="1" applyFont="1" applyFill="1" applyAlignment="1">
      <alignment horizontal="left"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9" xfId="0" applyNumberFormat="1" applyFont="1" applyFill="1" applyBorder="1" applyAlignment="1">
      <alignment horizontal="right" vertical="top"/>
    </xf>
    <xf numFmtId="0" fontId="24" fillId="0" borderId="0" xfId="0" applyFont="1" applyFill="1" applyAlignment="1">
      <alignment horizontal="left" vertical="top"/>
    </xf>
    <xf numFmtId="164" fontId="4" fillId="0" borderId="10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right" vertical="top"/>
    </xf>
    <xf numFmtId="0" fontId="4" fillId="4" borderId="0" xfId="0" applyFont="1" applyFill="1" applyAlignment="1">
      <alignment horizontal="left" vertical="top"/>
    </xf>
    <xf numFmtId="164" fontId="4" fillId="0" borderId="7" xfId="0" applyNumberFormat="1" applyFont="1" applyFill="1" applyBorder="1" applyAlignment="1">
      <alignment horizontal="right" vertical="top"/>
    </xf>
    <xf numFmtId="164" fontId="4" fillId="0" borderId="11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right" vertical="top" wrapText="1" readingOrder="1"/>
    </xf>
    <xf numFmtId="14" fontId="3" fillId="0" borderId="0" xfId="0" applyNumberFormat="1" applyFont="1" applyFill="1" applyAlignment="1">
      <alignment horizontal="left" vertical="top"/>
    </xf>
    <xf numFmtId="165" fontId="3" fillId="0" borderId="0" xfId="0" applyNumberFormat="1" applyFont="1" applyFill="1" applyAlignment="1">
      <alignment horizontal="left" vertical="top"/>
    </xf>
    <xf numFmtId="0" fontId="2" fillId="0" borderId="1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top" wrapText="1"/>
    </xf>
    <xf numFmtId="0" fontId="23" fillId="0" borderId="0" xfId="0" applyFont="1" applyFill="1" applyAlignment="1">
      <alignment horizontal="center" vertical="center" wrapText="1"/>
    </xf>
    <xf numFmtId="43" fontId="4" fillId="0" borderId="10" xfId="1" applyFont="1" applyFill="1" applyBorder="1" applyAlignment="1">
      <alignment horizontal="right" vertical="top"/>
    </xf>
    <xf numFmtId="0" fontId="4" fillId="0" borderId="0" xfId="0" applyFont="1" applyFill="1" applyAlignment="1">
      <alignment horizontal="left" vertical="top" wrapText="1" readingOrder="1"/>
    </xf>
    <xf numFmtId="0" fontId="25" fillId="0" borderId="0" xfId="0" applyFont="1" applyFill="1" applyAlignment="1">
      <alignment horizontal="left" vertical="top"/>
    </xf>
    <xf numFmtId="0" fontId="4" fillId="0" borderId="0" xfId="0" applyFont="1" applyAlignment="1">
      <alignment horizontal="left" vertical="top"/>
    </xf>
    <xf numFmtId="164" fontId="4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 vertical="top" wrapText="1" readingOrder="1"/>
    </xf>
    <xf numFmtId="165" fontId="3" fillId="0" borderId="0" xfId="0" applyNumberFormat="1" applyFont="1" applyAlignment="1">
      <alignment horizontal="left" vertical="top"/>
    </xf>
    <xf numFmtId="164" fontId="4" fillId="0" borderId="17" xfId="0" applyNumberFormat="1" applyFont="1" applyBorder="1" applyAlignment="1">
      <alignment horizontal="right" vertical="top"/>
    </xf>
    <xf numFmtId="164" fontId="4" fillId="0" borderId="7" xfId="0" applyNumberFormat="1" applyFont="1" applyBorder="1" applyAlignment="1">
      <alignment horizontal="right" vertical="top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164" fontId="4" fillId="0" borderId="1" xfId="0" applyNumberFormat="1" applyFont="1" applyBorder="1" applyAlignment="1">
      <alignment horizontal="right" vertical="top"/>
    </xf>
    <xf numFmtId="164" fontId="4" fillId="0" borderId="10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164" fontId="4" fillId="0" borderId="17" xfId="0" applyNumberFormat="1" applyFont="1" applyFill="1" applyBorder="1" applyAlignment="1">
      <alignment horizontal="right" vertical="top"/>
    </xf>
    <xf numFmtId="0" fontId="2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</cellXfs>
  <cellStyles count="7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Percent" xfId="6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March%20-%20Combined%20Profit%20&amp;%20Lo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 refreshError="1"/>
      <sheetData sheetId="1" refreshError="1"/>
      <sheetData sheetId="2" refreshError="1"/>
      <sheetData sheetId="3">
        <row r="65">
          <cell r="B65">
            <v>319429.12</v>
          </cell>
          <cell r="C65">
            <v>1254.8700000000001</v>
          </cell>
          <cell r="D65">
            <v>40113.81</v>
          </cell>
          <cell r="E65">
            <v>0</v>
          </cell>
          <cell r="F65">
            <v>25242.090000000004</v>
          </cell>
          <cell r="G65">
            <v>27755.820000000003</v>
          </cell>
          <cell r="H65">
            <v>43639.26</v>
          </cell>
        </row>
        <row r="175">
          <cell r="B175">
            <v>4737181.4799995031</v>
          </cell>
          <cell r="C175">
            <v>13131.729999999341</v>
          </cell>
          <cell r="D175">
            <v>833807.64000000013</v>
          </cell>
          <cell r="E175">
            <v>11962.270000000002</v>
          </cell>
          <cell r="F175">
            <v>47664.52</v>
          </cell>
          <cell r="G175">
            <v>50343.67</v>
          </cell>
          <cell r="H175">
            <v>58548.25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73"/>
  <sheetViews>
    <sheetView tabSelected="1" zoomScale="70" zoomScaleNormal="70" workbookViewId="0">
      <pane ySplit="7" topLeftCell="A56" activePane="bottomLeft" state="frozen"/>
      <selection activeCell="D162" sqref="D162"/>
      <selection pane="bottomLeft" activeCell="E67" sqref="E67"/>
    </sheetView>
  </sheetViews>
  <sheetFormatPr defaultColWidth="7.140625" defaultRowHeight="15" x14ac:dyDescent="0.2"/>
  <cols>
    <col min="1" max="1" width="63.28515625" style="2" bestFit="1" customWidth="1"/>
    <col min="2" max="2" width="24" style="2" customWidth="1"/>
    <col min="3" max="3" width="7.5703125" style="2" customWidth="1"/>
    <col min="4" max="4" width="21.28515625" style="2" customWidth="1"/>
    <col min="5" max="5" width="7.5703125" style="2" customWidth="1"/>
    <col min="6" max="6" width="21.28515625" style="2" customWidth="1"/>
    <col min="7" max="7" width="7.5703125" style="2" customWidth="1"/>
    <col min="8" max="8" width="21.28515625" style="2" customWidth="1"/>
    <col min="9" max="9" width="7.5703125" style="2" customWidth="1"/>
    <col min="10" max="10" width="22.28515625" style="2" customWidth="1"/>
    <col min="11" max="11" width="7.5703125" style="2" customWidth="1"/>
    <col min="12" max="12" width="22.28515625" style="2" customWidth="1"/>
    <col min="13" max="13" width="7.5703125" style="2" customWidth="1"/>
    <col min="14" max="14" width="22.28515625" style="2" customWidth="1"/>
    <col min="15" max="15" width="7.5703125" style="2" customWidth="1"/>
    <col min="16" max="16" width="24" style="7" customWidth="1"/>
    <col min="17" max="17" width="63.28515625" style="2" bestFit="1" customWidth="1"/>
    <col min="18" max="18" width="24" style="59" customWidth="1"/>
    <col min="19" max="19" width="7.5703125" style="2" customWidth="1"/>
    <col min="20" max="20" width="21.28515625" style="59" customWidth="1"/>
    <col min="21" max="21" width="7.5703125" style="2" customWidth="1"/>
    <col min="22" max="22" width="21.28515625" style="59" customWidth="1"/>
    <col min="23" max="23" width="2.85546875" style="2" customWidth="1"/>
    <col min="24" max="24" width="21.28515625" style="59" customWidth="1"/>
    <col min="25" max="25" width="2.85546875" style="2" customWidth="1"/>
    <col min="26" max="26" width="22.28515625" style="59" customWidth="1"/>
    <col min="27" max="27" width="2.85546875" style="2" customWidth="1"/>
    <col min="28" max="28" width="22.28515625" style="59" customWidth="1"/>
    <col min="29" max="29" width="2.85546875" style="2" customWidth="1"/>
    <col min="30" max="30" width="21.7109375" style="59" customWidth="1"/>
    <col min="31" max="31" width="2.85546875" style="2" customWidth="1"/>
    <col min="32" max="32" width="24" style="2" customWidth="1"/>
    <col min="33" max="33" width="63.28515625" style="2" bestFit="1" customWidth="1"/>
    <col min="34" max="34" width="24" style="2" customWidth="1"/>
    <col min="35" max="35" width="2.85546875" style="2" customWidth="1"/>
    <col min="36" max="36" width="24" style="2" customWidth="1"/>
    <col min="37" max="37" width="2.85546875" style="2" customWidth="1"/>
    <col min="38" max="38" width="24" style="2" customWidth="1"/>
    <col min="39" max="39" width="2.85546875" style="2" customWidth="1"/>
    <col min="40" max="40" width="24" style="2" customWidth="1"/>
    <col min="41" max="41" width="2.85546875" style="2" customWidth="1"/>
    <col min="42" max="42" width="17.140625" style="2" customWidth="1"/>
    <col min="43" max="43" width="11.28515625" style="2" customWidth="1"/>
    <col min="44" max="16384" width="7.140625" style="2"/>
  </cols>
  <sheetData>
    <row r="1" spans="1:42" ht="24.95" customHeight="1" x14ac:dyDescent="0.2">
      <c r="A1" s="153" t="s">
        <v>480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</row>
    <row r="2" spans="1:42" ht="24.95" customHeight="1" x14ac:dyDescent="0.2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</row>
    <row r="3" spans="1:42" ht="24.95" customHeight="1" x14ac:dyDescent="0.2">
      <c r="A3" s="153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</row>
    <row r="4" spans="1:42" s="29" customFormat="1" ht="31.5" x14ac:dyDescent="0.2">
      <c r="A4" s="152" t="s">
        <v>474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 t="s">
        <v>474</v>
      </c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 t="s">
        <v>474</v>
      </c>
      <c r="AH4" s="152"/>
      <c r="AI4" s="152"/>
      <c r="AJ4" s="152"/>
      <c r="AK4" s="152"/>
      <c r="AL4" s="152"/>
      <c r="AM4" s="152"/>
      <c r="AN4" s="152"/>
      <c r="AO4" s="37"/>
      <c r="AP4" s="28"/>
    </row>
    <row r="5" spans="1:42" s="29" customFormat="1" ht="31.5" x14ac:dyDescent="0.2">
      <c r="A5" s="152" t="s">
        <v>721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4">
        <v>43555</v>
      </c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 t="s">
        <v>251</v>
      </c>
      <c r="AH5" s="152"/>
      <c r="AI5" s="152"/>
      <c r="AJ5" s="152"/>
      <c r="AK5" s="152"/>
      <c r="AL5" s="152"/>
      <c r="AM5" s="152"/>
      <c r="AN5" s="152"/>
      <c r="AO5" s="37"/>
      <c r="AP5" s="28"/>
    </row>
    <row r="6" spans="1:42" s="29" customFormat="1" ht="43.5" customHeight="1" x14ac:dyDescent="0.2">
      <c r="P6" s="30"/>
      <c r="R6" s="52"/>
      <c r="T6" s="52"/>
      <c r="V6" s="52"/>
      <c r="X6" s="52"/>
      <c r="Z6" s="52"/>
      <c r="AB6" s="52"/>
      <c r="AD6" s="52"/>
      <c r="AG6" s="152" t="s">
        <v>723</v>
      </c>
      <c r="AH6" s="152"/>
      <c r="AI6" s="152"/>
      <c r="AJ6" s="152"/>
      <c r="AK6" s="152"/>
      <c r="AL6" s="152"/>
      <c r="AM6" s="152"/>
      <c r="AN6" s="152"/>
    </row>
    <row r="7" spans="1:42" s="31" customFormat="1" ht="53.25" thickBot="1" x14ac:dyDescent="0.25">
      <c r="A7" s="32"/>
      <c r="B7" s="33" t="s">
        <v>240</v>
      </c>
      <c r="C7" s="33"/>
      <c r="D7" s="33" t="s">
        <v>241</v>
      </c>
      <c r="E7" s="33"/>
      <c r="F7" s="33" t="s">
        <v>242</v>
      </c>
      <c r="G7" s="33"/>
      <c r="H7" s="33" t="s">
        <v>243</v>
      </c>
      <c r="I7" s="33"/>
      <c r="J7" s="33" t="s">
        <v>244</v>
      </c>
      <c r="K7" s="33"/>
      <c r="L7" s="33" t="s">
        <v>473</v>
      </c>
      <c r="M7" s="33"/>
      <c r="N7" s="33" t="s">
        <v>506</v>
      </c>
      <c r="O7" s="33"/>
      <c r="P7" s="34" t="s">
        <v>245</v>
      </c>
      <c r="Q7" s="35"/>
      <c r="R7" s="53" t="s">
        <v>240</v>
      </c>
      <c r="S7" s="33"/>
      <c r="T7" s="53" t="s">
        <v>241</v>
      </c>
      <c r="U7" s="33"/>
      <c r="V7" s="53" t="s">
        <v>242</v>
      </c>
      <c r="W7" s="33"/>
      <c r="X7" s="53" t="s">
        <v>243</v>
      </c>
      <c r="Y7" s="33"/>
      <c r="Z7" s="53" t="s">
        <v>244</v>
      </c>
      <c r="AA7" s="33"/>
      <c r="AB7" s="53" t="s">
        <v>473</v>
      </c>
      <c r="AC7" s="33"/>
      <c r="AD7" s="53" t="s">
        <v>508</v>
      </c>
      <c r="AE7" s="33"/>
      <c r="AF7" s="34" t="s">
        <v>245</v>
      </c>
      <c r="AG7" s="35"/>
      <c r="AH7" s="33">
        <v>2020</v>
      </c>
      <c r="AI7" s="33"/>
      <c r="AJ7" s="33">
        <v>2019</v>
      </c>
      <c r="AK7" s="33"/>
      <c r="AL7" s="36" t="s">
        <v>711</v>
      </c>
      <c r="AM7" s="36"/>
      <c r="AN7" s="36" t="s">
        <v>712</v>
      </c>
      <c r="AO7" s="36"/>
      <c r="AP7" s="36" t="s">
        <v>566</v>
      </c>
    </row>
    <row r="8" spans="1:42" s="9" customFormat="1" ht="24.95" customHeight="1" x14ac:dyDescent="0.2">
      <c r="A8" s="8" t="s">
        <v>2</v>
      </c>
      <c r="P8" s="10"/>
      <c r="Q8" s="8" t="s">
        <v>2</v>
      </c>
      <c r="R8" s="60"/>
      <c r="S8" s="10"/>
      <c r="T8" s="60"/>
      <c r="U8" s="10"/>
      <c r="V8" s="60"/>
      <c r="W8" s="10"/>
      <c r="X8" s="60"/>
      <c r="Y8" s="10"/>
      <c r="Z8" s="60"/>
      <c r="AA8" s="10"/>
      <c r="AB8" s="60"/>
      <c r="AC8" s="10"/>
      <c r="AD8" s="60"/>
      <c r="AE8" s="10"/>
      <c r="AF8" s="10"/>
      <c r="AG8" s="8" t="s">
        <v>2</v>
      </c>
    </row>
    <row r="9" spans="1:42" s="9" customFormat="1" ht="24.95" customHeight="1" x14ac:dyDescent="0.2">
      <c r="A9" s="8" t="s">
        <v>253</v>
      </c>
      <c r="P9" s="10"/>
      <c r="Q9" s="8" t="s">
        <v>253</v>
      </c>
      <c r="R9" s="60"/>
      <c r="S9" s="10"/>
      <c r="T9" s="60"/>
      <c r="U9" s="10"/>
      <c r="V9" s="60"/>
      <c r="W9" s="10"/>
      <c r="X9" s="60"/>
      <c r="Y9" s="10"/>
      <c r="Z9" s="60"/>
      <c r="AA9" s="10"/>
      <c r="AB9" s="60"/>
      <c r="AC9" s="10"/>
      <c r="AD9" s="60"/>
      <c r="AE9" s="10"/>
      <c r="AF9" s="10"/>
      <c r="AG9" s="8" t="s">
        <v>253</v>
      </c>
    </row>
    <row r="10" spans="1:42" s="9" customFormat="1" ht="24.95" customHeight="1" x14ac:dyDescent="0.35">
      <c r="A10" s="11" t="s">
        <v>246</v>
      </c>
      <c r="B10" s="12">
        <f>'Consolidated Balance Sheet'!B7</f>
        <v>12175040.52</v>
      </c>
      <c r="C10" s="12"/>
      <c r="D10" s="12">
        <f>'Consolidated Balance Sheet'!D7</f>
        <v>400527.6</v>
      </c>
      <c r="E10" s="12"/>
      <c r="F10" s="12">
        <f>'Consolidated Balance Sheet'!F7</f>
        <v>1474637.76</v>
      </c>
      <c r="G10" s="12"/>
      <c r="H10" s="12">
        <f>'Consolidated Balance Sheet'!H7</f>
        <v>22465.58</v>
      </c>
      <c r="I10" s="12"/>
      <c r="J10" s="12">
        <f>'Consolidated Balance Sheet'!J7</f>
        <v>219368.79</v>
      </c>
      <c r="K10" s="12"/>
      <c r="L10" s="12">
        <f>'Consolidated Balance Sheet'!L7</f>
        <v>516029.67</v>
      </c>
      <c r="N10" s="12">
        <f>'Consolidated Balance Sheet'!N7</f>
        <v>134223.62</v>
      </c>
      <c r="P10" s="12">
        <f>SUM(B10:N10)</f>
        <v>14942293.539999997</v>
      </c>
      <c r="Q10" s="11" t="s">
        <v>246</v>
      </c>
      <c r="R10" s="54">
        <f>'Consolidated Balance Sheet'!R7</f>
        <v>6743347.3199999994</v>
      </c>
      <c r="S10" s="12"/>
      <c r="T10" s="54">
        <f>'Consolidated Balance Sheet'!T7</f>
        <v>541872.43999999994</v>
      </c>
      <c r="U10" s="12"/>
      <c r="V10" s="54">
        <f>'Consolidated Balance Sheet'!V7</f>
        <v>255565.97</v>
      </c>
      <c r="W10" s="12"/>
      <c r="X10" s="54">
        <f>'Consolidated Balance Sheet'!X7</f>
        <v>3825</v>
      </c>
      <c r="Y10" s="12"/>
      <c r="Z10" s="54">
        <f>'Consolidated Balance Sheet'!Z7</f>
        <v>533383.14</v>
      </c>
      <c r="AA10" s="12"/>
      <c r="AB10" s="54">
        <f>'Consolidated Balance Sheet'!AB7</f>
        <v>416802.32</v>
      </c>
      <c r="AC10" s="12">
        <f>'Consolidated Balance Sheet'!AC7</f>
        <v>0</v>
      </c>
      <c r="AD10" s="54">
        <f>'Consolidated Balance Sheet'!AD7</f>
        <v>23389.119999999999</v>
      </c>
      <c r="AE10" s="12">
        <f>'Consolidated Balance Sheet'!AE7</f>
        <v>0</v>
      </c>
      <c r="AF10" s="12">
        <f>SUM(R10:AD10)</f>
        <v>8518185.3099999987</v>
      </c>
      <c r="AG10" s="11" t="s">
        <v>246</v>
      </c>
      <c r="AH10" s="12">
        <f>P10</f>
        <v>14942293.539999997</v>
      </c>
      <c r="AI10" s="12"/>
      <c r="AJ10" s="12">
        <f>AF10</f>
        <v>8518185.3099999987</v>
      </c>
      <c r="AK10" s="12"/>
      <c r="AL10" s="12">
        <f t="shared" ref="AL10:AL18" si="0">AH10-AJ10</f>
        <v>6424108.2299999986</v>
      </c>
      <c r="AM10" s="12"/>
      <c r="AN10" s="13">
        <f>AH10/AJ10</f>
        <v>1.7541639441041932</v>
      </c>
      <c r="AO10" s="13"/>
      <c r="AP10" s="14">
        <f t="shared" ref="AP10:AP18" si="1">AN10-1</f>
        <v>0.75416394410419318</v>
      </c>
    </row>
    <row r="11" spans="1:42" s="9" customFormat="1" ht="24.95" customHeight="1" x14ac:dyDescent="0.2">
      <c r="A11" s="9" t="s">
        <v>247</v>
      </c>
      <c r="B11" s="12">
        <f>'Consolidated Balance Sheet'!B8</f>
        <v>59550740.170000002</v>
      </c>
      <c r="C11" s="12"/>
      <c r="D11" s="12">
        <f>'Consolidated Balance Sheet'!D8</f>
        <v>71398.2</v>
      </c>
      <c r="E11" s="12"/>
      <c r="F11" s="12">
        <f>'Consolidated Balance Sheet'!F8</f>
        <v>1017.77</v>
      </c>
      <c r="G11" s="12"/>
      <c r="H11" s="12">
        <f>'Consolidated Balance Sheet'!H8</f>
        <v>0</v>
      </c>
      <c r="I11" s="12"/>
      <c r="J11" s="12">
        <f>'Consolidated Balance Sheet'!J8</f>
        <v>0</v>
      </c>
      <c r="K11" s="12"/>
      <c r="L11" s="12">
        <f>'Consolidated Balance Sheet'!L8</f>
        <v>0</v>
      </c>
      <c r="N11" s="12">
        <f>'Consolidated Balance Sheet'!N8</f>
        <v>0</v>
      </c>
      <c r="P11" s="12">
        <f t="shared" ref="P11:P20" si="2">SUM(B11:N11)</f>
        <v>59623156.140000008</v>
      </c>
      <c r="Q11" s="9" t="s">
        <v>247</v>
      </c>
      <c r="R11" s="54">
        <f>'Consolidated Balance Sheet'!R8</f>
        <v>10912218.73</v>
      </c>
      <c r="S11" s="12"/>
      <c r="T11" s="54">
        <f>'Consolidated Balance Sheet'!T8</f>
        <v>467604.25</v>
      </c>
      <c r="U11" s="12"/>
      <c r="V11" s="54">
        <f>'Consolidated Balance Sheet'!V8</f>
        <v>87072.33</v>
      </c>
      <c r="W11" s="12"/>
      <c r="X11" s="54">
        <f>'Consolidated Balance Sheet'!X8</f>
        <v>0</v>
      </c>
      <c r="Y11" s="12"/>
      <c r="Z11" s="54">
        <f>'Consolidated Balance Sheet'!Z8</f>
        <v>0</v>
      </c>
      <c r="AA11" s="12"/>
      <c r="AB11" s="54">
        <f>'Consolidated Balance Sheet'!AB8</f>
        <v>0</v>
      </c>
      <c r="AC11" s="12"/>
      <c r="AD11" s="54">
        <f>'Consolidated Balance Sheet'!AD8</f>
        <v>0</v>
      </c>
      <c r="AE11" s="12"/>
      <c r="AF11" s="12">
        <f t="shared" ref="AF11:AF20" si="3">SUM(R11:AD11)</f>
        <v>11466895.310000001</v>
      </c>
      <c r="AG11" s="9" t="s">
        <v>247</v>
      </c>
      <c r="AH11" s="12">
        <f t="shared" ref="AH11:AH18" si="4">P11</f>
        <v>59623156.140000008</v>
      </c>
      <c r="AI11" s="12"/>
      <c r="AJ11" s="12">
        <f t="shared" ref="AJ11:AJ18" si="5">AF11</f>
        <v>11466895.310000001</v>
      </c>
      <c r="AK11" s="12"/>
      <c r="AL11" s="12">
        <f t="shared" si="0"/>
        <v>48156260.830000006</v>
      </c>
      <c r="AM11" s="12"/>
      <c r="AN11" s="13">
        <f>AH11/AJ11</f>
        <v>5.1995901704975109</v>
      </c>
      <c r="AO11" s="13"/>
      <c r="AP11" s="14">
        <f t="shared" si="1"/>
        <v>4.1995901704975109</v>
      </c>
    </row>
    <row r="12" spans="1:42" s="9" customFormat="1" ht="24.95" customHeight="1" x14ac:dyDescent="0.2">
      <c r="A12" s="9" t="s">
        <v>254</v>
      </c>
      <c r="B12" s="12">
        <f>'Consolidated Balance Sheet'!B9</f>
        <v>71260.14</v>
      </c>
      <c r="C12" s="12"/>
      <c r="D12" s="12">
        <f>'Consolidated Balance Sheet'!D9</f>
        <v>0</v>
      </c>
      <c r="E12" s="12"/>
      <c r="F12" s="12">
        <f>'Consolidated Balance Sheet'!F9</f>
        <v>3307.48</v>
      </c>
      <c r="G12" s="12"/>
      <c r="H12" s="12">
        <f>'Consolidated Balance Sheet'!H9</f>
        <v>863111.40999999992</v>
      </c>
      <c r="I12" s="12"/>
      <c r="J12" s="12">
        <f>'Consolidated Balance Sheet'!J9</f>
        <v>0</v>
      </c>
      <c r="K12" s="12"/>
      <c r="L12" s="12">
        <f>'Consolidated Balance Sheet'!L9</f>
        <v>0</v>
      </c>
      <c r="N12" s="12">
        <f>'Consolidated Balance Sheet'!N9</f>
        <v>0</v>
      </c>
      <c r="P12" s="12">
        <f t="shared" si="2"/>
        <v>937679.02999999991</v>
      </c>
      <c r="Q12" s="9" t="s">
        <v>254</v>
      </c>
      <c r="R12" s="54">
        <f>'Consolidated Balance Sheet'!R9</f>
        <v>58081.79</v>
      </c>
      <c r="S12" s="12"/>
      <c r="T12" s="54">
        <f>'Consolidated Balance Sheet'!T9</f>
        <v>0</v>
      </c>
      <c r="U12" s="12"/>
      <c r="V12" s="54">
        <f>'Consolidated Balance Sheet'!V9</f>
        <v>0</v>
      </c>
      <c r="W12" s="12"/>
      <c r="X12" s="54">
        <f>'Consolidated Balance Sheet'!X9</f>
        <v>694225.71</v>
      </c>
      <c r="Y12" s="12"/>
      <c r="Z12" s="54">
        <f>'Consolidated Balance Sheet'!Z9</f>
        <v>0</v>
      </c>
      <c r="AA12" s="12"/>
      <c r="AB12" s="54">
        <f>'Consolidated Balance Sheet'!AB9</f>
        <v>0</v>
      </c>
      <c r="AC12" s="12">
        <f>'Consolidated Balance Sheet'!AC9</f>
        <v>0</v>
      </c>
      <c r="AD12" s="54">
        <f>'Consolidated Balance Sheet'!AD9</f>
        <v>0</v>
      </c>
      <c r="AE12" s="12">
        <f>'Consolidated Balance Sheet'!AE9</f>
        <v>0</v>
      </c>
      <c r="AF12" s="12">
        <f t="shared" si="3"/>
        <v>752307.5</v>
      </c>
      <c r="AG12" s="9" t="s">
        <v>254</v>
      </c>
      <c r="AH12" s="12">
        <f t="shared" si="4"/>
        <v>937679.02999999991</v>
      </c>
      <c r="AI12" s="12"/>
      <c r="AJ12" s="12">
        <f t="shared" si="5"/>
        <v>752307.5</v>
      </c>
      <c r="AK12" s="12"/>
      <c r="AL12" s="12">
        <f t="shared" si="0"/>
        <v>185371.52999999991</v>
      </c>
      <c r="AM12" s="12"/>
      <c r="AN12" s="13"/>
      <c r="AO12" s="13"/>
      <c r="AP12" s="14">
        <f t="shared" si="1"/>
        <v>-1</v>
      </c>
    </row>
    <row r="13" spans="1:42" s="9" customFormat="1" ht="24.95" customHeight="1" x14ac:dyDescent="0.2">
      <c r="A13" s="9" t="s">
        <v>255</v>
      </c>
      <c r="B13" s="12">
        <f>'Consolidated Balance Sheet'!B10</f>
        <v>1560</v>
      </c>
      <c r="C13" s="12"/>
      <c r="D13" s="12">
        <f>'Consolidated Balance Sheet'!D10</f>
        <v>0</v>
      </c>
      <c r="E13" s="12"/>
      <c r="F13" s="12">
        <f>'Consolidated Balance Sheet'!F10</f>
        <v>181998.65999999997</v>
      </c>
      <c r="G13" s="12"/>
      <c r="H13" s="12">
        <f>'Consolidated Balance Sheet'!H10</f>
        <v>0</v>
      </c>
      <c r="I13" s="12"/>
      <c r="J13" s="12">
        <f>'Consolidated Balance Sheet'!J10</f>
        <v>0</v>
      </c>
      <c r="K13" s="12"/>
      <c r="L13" s="12">
        <f>'Consolidated Balance Sheet'!L10</f>
        <v>0</v>
      </c>
      <c r="N13" s="12">
        <f>'Consolidated Balance Sheet'!N10</f>
        <v>0</v>
      </c>
      <c r="P13" s="12">
        <f t="shared" si="2"/>
        <v>183558.65999999997</v>
      </c>
      <c r="Q13" s="9" t="s">
        <v>255</v>
      </c>
      <c r="R13" s="54">
        <f>'Consolidated Balance Sheet'!R10</f>
        <v>0</v>
      </c>
      <c r="S13" s="12"/>
      <c r="T13" s="54">
        <f>'Consolidated Balance Sheet'!T10</f>
        <v>0</v>
      </c>
      <c r="U13" s="12"/>
      <c r="V13" s="54">
        <f>'Consolidated Balance Sheet'!V10</f>
        <v>114150.39000000001</v>
      </c>
      <c r="W13" s="12"/>
      <c r="X13" s="54">
        <f>'Consolidated Balance Sheet'!X10</f>
        <v>0</v>
      </c>
      <c r="Y13" s="12"/>
      <c r="Z13" s="54">
        <f>'Consolidated Balance Sheet'!Z10</f>
        <v>0</v>
      </c>
      <c r="AA13" s="12"/>
      <c r="AB13" s="54">
        <f>'Consolidated Balance Sheet'!AB10</f>
        <v>0</v>
      </c>
      <c r="AC13" s="12"/>
      <c r="AD13" s="54">
        <f>'Consolidated Balance Sheet'!AD10</f>
        <v>0</v>
      </c>
      <c r="AE13" s="12"/>
      <c r="AF13" s="12">
        <f t="shared" si="3"/>
        <v>114150.39000000001</v>
      </c>
      <c r="AG13" s="9" t="s">
        <v>255</v>
      </c>
      <c r="AH13" s="12">
        <f t="shared" si="4"/>
        <v>183558.65999999997</v>
      </c>
      <c r="AI13" s="12"/>
      <c r="AJ13" s="12">
        <f t="shared" si="5"/>
        <v>114150.39000000001</v>
      </c>
      <c r="AK13" s="12"/>
      <c r="AL13" s="12">
        <f t="shared" si="0"/>
        <v>69408.26999999996</v>
      </c>
      <c r="AM13" s="12"/>
      <c r="AN13" s="13">
        <f t="shared" ref="AN13:AN21" si="6">AH13/AJ13</f>
        <v>1.6080423378316968</v>
      </c>
      <c r="AO13" s="13"/>
      <c r="AP13" s="14">
        <f t="shared" si="1"/>
        <v>0.60804233783169681</v>
      </c>
    </row>
    <row r="14" spans="1:42" s="9" customFormat="1" ht="24.95" customHeight="1" x14ac:dyDescent="0.2">
      <c r="A14" s="9" t="s">
        <v>256</v>
      </c>
      <c r="B14" s="12">
        <f>'Consolidated Balance Sheet'!B11</f>
        <v>705675.51</v>
      </c>
      <c r="C14" s="12"/>
      <c r="D14" s="12">
        <f>'Consolidated Balance Sheet'!D11</f>
        <v>0</v>
      </c>
      <c r="E14" s="12"/>
      <c r="F14" s="12">
        <f>'Consolidated Balance Sheet'!F11</f>
        <v>5706322.3200000003</v>
      </c>
      <c r="G14" s="12"/>
      <c r="H14" s="12">
        <f>'Consolidated Balance Sheet'!H11</f>
        <v>0</v>
      </c>
      <c r="I14" s="12"/>
      <c r="J14" s="12">
        <f>'Consolidated Balance Sheet'!J11</f>
        <v>250000</v>
      </c>
      <c r="K14" s="12"/>
      <c r="L14" s="12">
        <f>'Consolidated Balance Sheet'!L11</f>
        <v>1694219.03</v>
      </c>
      <c r="N14" s="12">
        <f>'Consolidated Balance Sheet'!N11</f>
        <v>818750</v>
      </c>
      <c r="P14" s="12">
        <f t="shared" si="2"/>
        <v>9174966.8599999994</v>
      </c>
      <c r="Q14" s="9" t="s">
        <v>256</v>
      </c>
      <c r="R14" s="54">
        <f>'Consolidated Balance Sheet'!R11</f>
        <v>512510.45999999996</v>
      </c>
      <c r="S14" s="12"/>
      <c r="T14" s="54">
        <f>'Consolidated Balance Sheet'!T11</f>
        <v>1780000</v>
      </c>
      <c r="U14" s="12"/>
      <c r="V14" s="54">
        <f>'Consolidated Balance Sheet'!V11</f>
        <v>4600000</v>
      </c>
      <c r="W14" s="12"/>
      <c r="X14" s="54">
        <f>'Consolidated Balance Sheet'!X11</f>
        <v>0</v>
      </c>
      <c r="Y14" s="12"/>
      <c r="Z14" s="54">
        <f>'Consolidated Balance Sheet'!Z11</f>
        <v>0</v>
      </c>
      <c r="AA14" s="12"/>
      <c r="AB14" s="54">
        <f>'Consolidated Balance Sheet'!AB11</f>
        <v>1473476.37</v>
      </c>
      <c r="AC14" s="12"/>
      <c r="AD14" s="54">
        <f>'Consolidated Balance Sheet'!AD11</f>
        <v>128640.72</v>
      </c>
      <c r="AE14" s="12"/>
      <c r="AF14" s="12">
        <f t="shared" si="3"/>
        <v>8494627.5500000007</v>
      </c>
      <c r="AG14" s="9" t="s">
        <v>256</v>
      </c>
      <c r="AH14" s="12">
        <f t="shared" si="4"/>
        <v>9174966.8599999994</v>
      </c>
      <c r="AI14" s="12"/>
      <c r="AJ14" s="12">
        <f t="shared" si="5"/>
        <v>8494627.5500000007</v>
      </c>
      <c r="AK14" s="12"/>
      <c r="AL14" s="12">
        <f t="shared" si="0"/>
        <v>680339.30999999866</v>
      </c>
      <c r="AM14" s="12"/>
      <c r="AN14" s="13">
        <f t="shared" si="6"/>
        <v>1.0800905402850769</v>
      </c>
      <c r="AO14" s="13"/>
      <c r="AP14" s="14">
        <f t="shared" si="1"/>
        <v>8.0090540285076894E-2</v>
      </c>
    </row>
    <row r="15" spans="1:42" s="9" customFormat="1" ht="24.95" customHeight="1" x14ac:dyDescent="0.2">
      <c r="A15" s="9" t="s">
        <v>257</v>
      </c>
      <c r="B15" s="12">
        <f>'Consolidated Balance Sheet'!B12</f>
        <v>6343160.3700000001</v>
      </c>
      <c r="C15" s="12"/>
      <c r="D15" s="12">
        <f>'Consolidated Balance Sheet'!D12</f>
        <v>0</v>
      </c>
      <c r="E15" s="12"/>
      <c r="F15" s="12">
        <f>'Consolidated Balance Sheet'!F12</f>
        <v>0</v>
      </c>
      <c r="G15" s="12"/>
      <c r="H15" s="12">
        <f>'Consolidated Balance Sheet'!H12</f>
        <v>0</v>
      </c>
      <c r="I15" s="12"/>
      <c r="J15" s="12">
        <f>'Consolidated Balance Sheet'!J12</f>
        <v>0</v>
      </c>
      <c r="K15" s="12"/>
      <c r="L15" s="12">
        <f>'Consolidated Balance Sheet'!L12</f>
        <v>0</v>
      </c>
      <c r="N15" s="12">
        <f>'Consolidated Balance Sheet'!N12</f>
        <v>0</v>
      </c>
      <c r="P15" s="12">
        <f t="shared" si="2"/>
        <v>6343160.3700000001</v>
      </c>
      <c r="Q15" s="9" t="s">
        <v>257</v>
      </c>
      <c r="R15" s="54">
        <f>'Consolidated Balance Sheet'!R12</f>
        <v>2797327.4899999998</v>
      </c>
      <c r="S15" s="12"/>
      <c r="T15" s="54">
        <f>'Consolidated Balance Sheet'!T12</f>
        <v>0</v>
      </c>
      <c r="U15" s="12"/>
      <c r="V15" s="54">
        <f>'Consolidated Balance Sheet'!V12</f>
        <v>0</v>
      </c>
      <c r="W15" s="12"/>
      <c r="X15" s="54">
        <f>'Consolidated Balance Sheet'!X12</f>
        <v>0</v>
      </c>
      <c r="Y15" s="12"/>
      <c r="Z15" s="54">
        <f>'Consolidated Balance Sheet'!Z12</f>
        <v>0</v>
      </c>
      <c r="AA15" s="12"/>
      <c r="AB15" s="54">
        <f>'Consolidated Balance Sheet'!AB12</f>
        <v>0</v>
      </c>
      <c r="AC15" s="12"/>
      <c r="AD15" s="54">
        <f>'Consolidated Balance Sheet'!AD12</f>
        <v>0</v>
      </c>
      <c r="AE15" s="12"/>
      <c r="AF15" s="12">
        <f t="shared" si="3"/>
        <v>2797327.4899999998</v>
      </c>
      <c r="AG15" s="9" t="s">
        <v>257</v>
      </c>
      <c r="AH15" s="12">
        <f t="shared" si="4"/>
        <v>6343160.3700000001</v>
      </c>
      <c r="AI15" s="12"/>
      <c r="AJ15" s="12">
        <f t="shared" si="5"/>
        <v>2797327.4899999998</v>
      </c>
      <c r="AK15" s="12"/>
      <c r="AL15" s="12">
        <f t="shared" si="0"/>
        <v>3545832.8800000004</v>
      </c>
      <c r="AM15" s="12"/>
      <c r="AN15" s="13">
        <f t="shared" si="6"/>
        <v>2.2675787488864954</v>
      </c>
      <c r="AO15" s="13"/>
      <c r="AP15" s="14">
        <f t="shared" si="1"/>
        <v>1.2675787488864954</v>
      </c>
    </row>
    <row r="16" spans="1:42" s="9" customFormat="1" ht="24.95" customHeight="1" x14ac:dyDescent="0.2">
      <c r="A16" s="15" t="s">
        <v>258</v>
      </c>
      <c r="B16" s="12">
        <f>'Consolidated Balance Sheet'!B13</f>
        <v>-282985</v>
      </c>
      <c r="C16" s="12"/>
      <c r="D16" s="12">
        <f>'Consolidated Balance Sheet'!D13</f>
        <v>0</v>
      </c>
      <c r="E16" s="12"/>
      <c r="F16" s="12">
        <f>'Consolidated Balance Sheet'!F13</f>
        <v>0</v>
      </c>
      <c r="G16" s="12"/>
      <c r="H16" s="12">
        <f>'Consolidated Balance Sheet'!H13</f>
        <v>0</v>
      </c>
      <c r="I16" s="12"/>
      <c r="J16" s="12">
        <f>'Consolidated Balance Sheet'!J13</f>
        <v>0</v>
      </c>
      <c r="K16" s="12"/>
      <c r="L16" s="12">
        <f>'Consolidated Balance Sheet'!L13</f>
        <v>0</v>
      </c>
      <c r="M16" s="12"/>
      <c r="N16" s="12">
        <f>'Consolidated Balance Sheet'!N13</f>
        <v>0</v>
      </c>
      <c r="O16" s="12"/>
      <c r="P16" s="12">
        <f t="shared" si="2"/>
        <v>-282985</v>
      </c>
      <c r="Q16" s="15" t="s">
        <v>258</v>
      </c>
      <c r="R16" s="54">
        <f>'Consolidated Balance Sheet'!R13</f>
        <v>411483.02</v>
      </c>
      <c r="S16" s="12"/>
      <c r="T16" s="54">
        <f>'Consolidated Balance Sheet'!T13</f>
        <v>0</v>
      </c>
      <c r="U16" s="12"/>
      <c r="V16" s="54">
        <f>'Consolidated Balance Sheet'!V13</f>
        <v>0</v>
      </c>
      <c r="W16" s="12"/>
      <c r="X16" s="54">
        <f>'Consolidated Balance Sheet'!X13</f>
        <v>0</v>
      </c>
      <c r="Y16" s="12"/>
      <c r="Z16" s="54">
        <f>'Consolidated Balance Sheet'!Z13</f>
        <v>0</v>
      </c>
      <c r="AA16" s="12"/>
      <c r="AB16" s="54">
        <f>'Consolidated Balance Sheet'!AB13</f>
        <v>0</v>
      </c>
      <c r="AC16" s="12"/>
      <c r="AD16" s="54">
        <f>'Consolidated Balance Sheet'!AD13</f>
        <v>0</v>
      </c>
      <c r="AE16" s="12"/>
      <c r="AF16" s="12">
        <f t="shared" si="3"/>
        <v>411483.02</v>
      </c>
      <c r="AG16" s="15" t="s">
        <v>258</v>
      </c>
      <c r="AH16" s="12">
        <f t="shared" si="4"/>
        <v>-282985</v>
      </c>
      <c r="AI16" s="12"/>
      <c r="AJ16" s="12">
        <f t="shared" si="5"/>
        <v>411483.02</v>
      </c>
      <c r="AK16" s="12"/>
      <c r="AL16" s="12">
        <f t="shared" si="0"/>
        <v>-694468.02</v>
      </c>
      <c r="AM16" s="12"/>
      <c r="AN16" s="13">
        <f t="shared" si="6"/>
        <v>-0.68771975086602599</v>
      </c>
      <c r="AO16" s="13"/>
      <c r="AP16" s="14">
        <f t="shared" si="1"/>
        <v>-1.687719750866026</v>
      </c>
    </row>
    <row r="17" spans="1:43" s="9" customFormat="1" ht="24.95" customHeight="1" x14ac:dyDescent="0.2">
      <c r="A17" s="9" t="s">
        <v>475</v>
      </c>
      <c r="B17" s="12">
        <f>'Consolidated Balance Sheet'!B14+'Consolidated Balance Sheet'!B15+'Consolidated Balance Sheet'!B16+'Consolidated Balance Sheet'!B17+'Consolidated Balance Sheet'!B18+'Consolidated Balance Sheet'!B19+'Consolidated Balance Sheet'!B20+'Consolidated Balance Sheet'!B21+'Consolidated Balance Sheet'!B22+'Consolidated Balance Sheet'!B23+'Consolidated Balance Sheet'!B25+'Consolidated Balance Sheet'!B26+'Consolidated Balance Sheet'!B29+CNT!S52+CNT!S54+CNT!S53</f>
        <v>-64372198.100000001</v>
      </c>
      <c r="C17" s="12"/>
      <c r="D17" s="12">
        <f>'Consolidated Balance Sheet'!D14+'Consolidated Balance Sheet'!D15+'Consolidated Balance Sheet'!D16+'Consolidated Balance Sheet'!D17+'Consolidated Balance Sheet'!D18+'Consolidated Balance Sheet'!D19+'Consolidated Balance Sheet'!D20+'Consolidated Balance Sheet'!D21+'Consolidated Balance Sheet'!D22+'Consolidated Balance Sheet'!D23+'Consolidated Balance Sheet'!D25+'Consolidated Balance Sheet'!D26+'Consolidated Balance Sheet'!D29</f>
        <v>0</v>
      </c>
      <c r="E17" s="12"/>
      <c r="F17" s="12">
        <f>'Consolidated Balance Sheet'!F14+'Consolidated Balance Sheet'!F15+'Consolidated Balance Sheet'!F16+'Consolidated Balance Sheet'!F17+'Consolidated Balance Sheet'!F18+'Consolidated Balance Sheet'!F19+'Consolidated Balance Sheet'!F20+'Consolidated Balance Sheet'!F21+'Consolidated Balance Sheet'!F22+'Consolidated Balance Sheet'!F23+'Consolidated Balance Sheet'!F25+'Consolidated Balance Sheet'!F26+'Consolidated Balance Sheet'!F29</f>
        <v>0</v>
      </c>
      <c r="G17" s="12"/>
      <c r="H17" s="12">
        <f>'Consolidated Balance Sheet'!H14+'Consolidated Balance Sheet'!H15+'Consolidated Balance Sheet'!H16+'Consolidated Balance Sheet'!H17+'Consolidated Balance Sheet'!H18+'Consolidated Balance Sheet'!H19+'Consolidated Balance Sheet'!H20+'Consolidated Balance Sheet'!H21+'Consolidated Balance Sheet'!H22+'Consolidated Balance Sheet'!H23+'Consolidated Balance Sheet'!H25+'Consolidated Balance Sheet'!H26+'Consolidated Balance Sheet'!H29</f>
        <v>0</v>
      </c>
      <c r="I17" s="12"/>
      <c r="J17" s="12">
        <f>'Consolidated Balance Sheet'!J14+'Consolidated Balance Sheet'!J15+'Consolidated Balance Sheet'!J16+'Consolidated Balance Sheet'!J17+'Consolidated Balance Sheet'!J18+'Consolidated Balance Sheet'!J19+'Consolidated Balance Sheet'!J20+'Consolidated Balance Sheet'!J21+'Consolidated Balance Sheet'!J22+'Consolidated Balance Sheet'!J23+'Consolidated Balance Sheet'!J25+'Consolidated Balance Sheet'!J26+'Consolidated Balance Sheet'!J29</f>
        <v>0</v>
      </c>
      <c r="K17" s="12"/>
      <c r="L17" s="12">
        <f>'Consolidated Balance Sheet'!L14+'Consolidated Balance Sheet'!L15+'Consolidated Balance Sheet'!L16+'Consolidated Balance Sheet'!L17+'Consolidated Balance Sheet'!L18+'Consolidated Balance Sheet'!L19+'Consolidated Balance Sheet'!L20+'Consolidated Balance Sheet'!L21+'Consolidated Balance Sheet'!L22+'Consolidated Balance Sheet'!L23+'Consolidated Balance Sheet'!L25+'Consolidated Balance Sheet'!L26+'Consolidated Balance Sheet'!L29</f>
        <v>0</v>
      </c>
      <c r="N17" s="12">
        <f>'Consolidated Balance Sheet'!N14+'Consolidated Balance Sheet'!N15+'Consolidated Balance Sheet'!N16+'Consolidated Balance Sheet'!N17+'Consolidated Balance Sheet'!N18+'Consolidated Balance Sheet'!N19+'Consolidated Balance Sheet'!N20+'Consolidated Balance Sheet'!N21+'Consolidated Balance Sheet'!N22+'Consolidated Balance Sheet'!N23+'Consolidated Balance Sheet'!N25+'Consolidated Balance Sheet'!N26+'Consolidated Balance Sheet'!N29</f>
        <v>0</v>
      </c>
      <c r="P17" s="12">
        <f t="shared" si="2"/>
        <v>-64372198.100000001</v>
      </c>
      <c r="Q17" s="9" t="s">
        <v>475</v>
      </c>
      <c r="R17" s="54">
        <v>10841300.299999991</v>
      </c>
      <c r="S17" s="12"/>
      <c r="T17" s="54">
        <f>'Consolidated Balance Sheet'!T14+'Consolidated Balance Sheet'!T15+'Consolidated Balance Sheet'!T16+'Consolidated Balance Sheet'!T17+'Consolidated Balance Sheet'!T18+'Consolidated Balance Sheet'!T19+'Consolidated Balance Sheet'!T20+'Consolidated Balance Sheet'!T21+'Consolidated Balance Sheet'!T22+'Consolidated Balance Sheet'!T23+'Consolidated Balance Sheet'!T25+'Consolidated Balance Sheet'!T26+'Consolidated Balance Sheet'!T29</f>
        <v>57762.759999999995</v>
      </c>
      <c r="U17" s="12"/>
      <c r="V17" s="54">
        <f>'Consolidated Balance Sheet'!V14+'Consolidated Balance Sheet'!V15+'Consolidated Balance Sheet'!V16+'Consolidated Balance Sheet'!V17+'Consolidated Balance Sheet'!V18+'Consolidated Balance Sheet'!V19+'Consolidated Balance Sheet'!V20+'Consolidated Balance Sheet'!V21+'Consolidated Balance Sheet'!V22+'Consolidated Balance Sheet'!V23+'Consolidated Balance Sheet'!V25+'Consolidated Balance Sheet'!V26+'Consolidated Balance Sheet'!V29</f>
        <v>0</v>
      </c>
      <c r="W17" s="12"/>
      <c r="X17" s="54">
        <f>'Consolidated Balance Sheet'!X14+'Consolidated Balance Sheet'!X15+'Consolidated Balance Sheet'!X16+'Consolidated Balance Sheet'!X17+'Consolidated Balance Sheet'!X18+'Consolidated Balance Sheet'!X19+'Consolidated Balance Sheet'!X20+'Consolidated Balance Sheet'!X21+'Consolidated Balance Sheet'!X22+'Consolidated Balance Sheet'!X23+'Consolidated Balance Sheet'!X25+'Consolidated Balance Sheet'!X26+'Consolidated Balance Sheet'!X29</f>
        <v>0</v>
      </c>
      <c r="Y17" s="12"/>
      <c r="Z17" s="54">
        <f>'Consolidated Balance Sheet'!Z14+'Consolidated Balance Sheet'!Z15+'Consolidated Balance Sheet'!Z16+'Consolidated Balance Sheet'!Z17+'Consolidated Balance Sheet'!Z18+'Consolidated Balance Sheet'!Z19+'Consolidated Balance Sheet'!Z20+'Consolidated Balance Sheet'!Z21+'Consolidated Balance Sheet'!Z22+'Consolidated Balance Sheet'!Z23+'Consolidated Balance Sheet'!Z25+'Consolidated Balance Sheet'!Z26+'Consolidated Balance Sheet'!Z29</f>
        <v>0</v>
      </c>
      <c r="AA17" s="12"/>
      <c r="AB17" s="54">
        <f>'Consolidated Balance Sheet'!AB14+'Consolidated Balance Sheet'!AB15+'Consolidated Balance Sheet'!AB16+'Consolidated Balance Sheet'!AB17+'Consolidated Balance Sheet'!AB18+'Consolidated Balance Sheet'!AB19+'Consolidated Balance Sheet'!AB20+'Consolidated Balance Sheet'!AB21+'Consolidated Balance Sheet'!AB22+'Consolidated Balance Sheet'!AB23+'Consolidated Balance Sheet'!AB25+'Consolidated Balance Sheet'!AB26+'Consolidated Balance Sheet'!AB29</f>
        <v>0</v>
      </c>
      <c r="AC17" s="12"/>
      <c r="AD17" s="54">
        <f>'Consolidated Balance Sheet'!AD14+'Consolidated Balance Sheet'!AD15+'Consolidated Balance Sheet'!AD16+'Consolidated Balance Sheet'!AD17+'Consolidated Balance Sheet'!AD18+'Consolidated Balance Sheet'!AD19+'Consolidated Balance Sheet'!AD20+'Consolidated Balance Sheet'!AD21+'Consolidated Balance Sheet'!AD22+'Consolidated Balance Sheet'!AD23+'Consolidated Balance Sheet'!AD25+'Consolidated Balance Sheet'!AD26+'Consolidated Balance Sheet'!AD29</f>
        <v>0</v>
      </c>
      <c r="AE17" s="12"/>
      <c r="AF17" s="12">
        <f t="shared" si="3"/>
        <v>10899063.059999991</v>
      </c>
      <c r="AG17" s="9" t="s">
        <v>475</v>
      </c>
      <c r="AH17" s="12">
        <f t="shared" si="4"/>
        <v>-64372198.100000001</v>
      </c>
      <c r="AI17" s="12"/>
      <c r="AJ17" s="12">
        <f t="shared" si="5"/>
        <v>10899063.059999991</v>
      </c>
      <c r="AK17" s="12"/>
      <c r="AL17" s="12">
        <f t="shared" si="0"/>
        <v>-75271261.159999996</v>
      </c>
      <c r="AM17" s="12"/>
      <c r="AN17" s="13">
        <f t="shared" si="6"/>
        <v>-5.9062139328515872</v>
      </c>
      <c r="AO17" s="13"/>
      <c r="AP17" s="14">
        <f t="shared" si="1"/>
        <v>-6.9062139328515872</v>
      </c>
    </row>
    <row r="18" spans="1:43" s="9" customFormat="1" ht="24.95" customHeight="1" x14ac:dyDescent="0.2">
      <c r="A18" s="9" t="s">
        <v>594</v>
      </c>
      <c r="B18" s="12">
        <f>'Consolidated Balance Sheet'!B24</f>
        <v>-30081777.469999999</v>
      </c>
      <c r="C18" s="12"/>
      <c r="D18" s="12">
        <f>'Consolidated Balance Sheet'!D24</f>
        <v>0</v>
      </c>
      <c r="E18" s="12"/>
      <c r="F18" s="12">
        <f>'Consolidated Balance Sheet'!F24</f>
        <v>0</v>
      </c>
      <c r="G18" s="12"/>
      <c r="H18" s="12">
        <f>'Consolidated Balance Sheet'!H24</f>
        <v>0</v>
      </c>
      <c r="I18" s="12"/>
      <c r="J18" s="12">
        <f>'Consolidated Balance Sheet'!J24</f>
        <v>0</v>
      </c>
      <c r="K18" s="12"/>
      <c r="L18" s="12">
        <f>'Consolidated Balance Sheet'!L24</f>
        <v>0</v>
      </c>
      <c r="N18" s="12">
        <f>'Consolidated Balance Sheet'!N24</f>
        <v>0</v>
      </c>
      <c r="P18" s="12">
        <f t="shared" si="2"/>
        <v>-30081777.469999999</v>
      </c>
      <c r="Q18" s="9" t="s">
        <v>594</v>
      </c>
      <c r="R18" s="54">
        <f>'Consolidated Balance Sheet'!R24</f>
        <v>-20471810.41</v>
      </c>
      <c r="S18" s="12"/>
      <c r="T18" s="54">
        <f>'Consolidated Balance Sheet'!T24</f>
        <v>0</v>
      </c>
      <c r="U18" s="12"/>
      <c r="V18" s="54">
        <f>'Consolidated Balance Sheet'!V24</f>
        <v>0</v>
      </c>
      <c r="W18" s="12"/>
      <c r="X18" s="54">
        <f>'Consolidated Balance Sheet'!X24</f>
        <v>0</v>
      </c>
      <c r="Y18" s="12"/>
      <c r="Z18" s="54">
        <f>'Consolidated Balance Sheet'!Z24</f>
        <v>0</v>
      </c>
      <c r="AA18" s="12"/>
      <c r="AB18" s="54">
        <f>'Consolidated Balance Sheet'!AB24</f>
        <v>0</v>
      </c>
      <c r="AC18" s="12"/>
      <c r="AD18" s="54">
        <f>'Consolidated Balance Sheet'!AD24</f>
        <v>0</v>
      </c>
      <c r="AE18" s="12"/>
      <c r="AF18" s="12">
        <f t="shared" si="3"/>
        <v>-20471810.41</v>
      </c>
      <c r="AG18" s="9" t="s">
        <v>594</v>
      </c>
      <c r="AH18" s="12">
        <f t="shared" si="4"/>
        <v>-30081777.469999999</v>
      </c>
      <c r="AI18" s="12"/>
      <c r="AJ18" s="12">
        <f t="shared" si="5"/>
        <v>-20471810.41</v>
      </c>
      <c r="AK18" s="12"/>
      <c r="AL18" s="12">
        <f t="shared" si="0"/>
        <v>-9609967.0599999987</v>
      </c>
      <c r="AM18" s="12"/>
      <c r="AN18" s="13">
        <f t="shared" si="6"/>
        <v>1.4694243873666275</v>
      </c>
      <c r="AO18" s="13"/>
      <c r="AP18" s="14">
        <f t="shared" si="1"/>
        <v>0.4694243873666275</v>
      </c>
    </row>
    <row r="19" spans="1:43" s="9" customFormat="1" ht="24.95" customHeight="1" x14ac:dyDescent="0.2">
      <c r="A19" s="9" t="s">
        <v>270</v>
      </c>
      <c r="B19" s="12">
        <f>'Consolidated Balance Sheet'!B35</f>
        <v>71973078.620000005</v>
      </c>
      <c r="C19" s="12"/>
      <c r="D19" s="12">
        <f>'Consolidated Balance Sheet'!D25</f>
        <v>0</v>
      </c>
      <c r="E19" s="12"/>
      <c r="F19" s="12">
        <f>'Consolidated Balance Sheet'!F25</f>
        <v>0</v>
      </c>
      <c r="G19" s="12"/>
      <c r="H19" s="12">
        <f>'Consolidated Balance Sheet'!H25</f>
        <v>0</v>
      </c>
      <c r="I19" s="12"/>
      <c r="J19" s="12">
        <f>'Consolidated Balance Sheet'!J25</f>
        <v>0</v>
      </c>
      <c r="K19" s="12"/>
      <c r="L19" s="12">
        <f>'Consolidated Balance Sheet'!L25</f>
        <v>0</v>
      </c>
      <c r="N19" s="12">
        <f>'Consolidated Balance Sheet'!N25</f>
        <v>0</v>
      </c>
      <c r="P19" s="12">
        <f>SUM(B19:N19)</f>
        <v>71973078.620000005</v>
      </c>
      <c r="Q19" s="9" t="s">
        <v>270</v>
      </c>
      <c r="R19" s="54">
        <f>'Consolidated Balance Sheet'!R35</f>
        <v>29547670.870000001</v>
      </c>
      <c r="S19" s="12"/>
      <c r="T19" s="54">
        <f>'Consolidated Balance Sheet'!T35</f>
        <v>0</v>
      </c>
      <c r="U19" s="12"/>
      <c r="V19" s="54">
        <f>'Consolidated Balance Sheet'!V35</f>
        <v>0</v>
      </c>
      <c r="W19" s="12"/>
      <c r="X19" s="54">
        <f>'Consolidated Balance Sheet'!X35</f>
        <v>0</v>
      </c>
      <c r="Y19" s="12"/>
      <c r="Z19" s="54">
        <f>'Consolidated Balance Sheet'!Z35</f>
        <v>0</v>
      </c>
      <c r="AA19" s="12"/>
      <c r="AB19" s="54">
        <f>'Consolidated Balance Sheet'!AB35</f>
        <v>0</v>
      </c>
      <c r="AC19" s="12"/>
      <c r="AD19" s="54">
        <f>'Consolidated Balance Sheet'!AD35</f>
        <v>0</v>
      </c>
      <c r="AE19" s="12"/>
      <c r="AF19" s="12">
        <f t="shared" ref="AF19" si="7">SUM(R19:AD19)</f>
        <v>29547670.870000001</v>
      </c>
      <c r="AG19" s="9" t="s">
        <v>270</v>
      </c>
      <c r="AH19" s="12">
        <f t="shared" ref="AH19" si="8">P19</f>
        <v>71973078.620000005</v>
      </c>
      <c r="AI19" s="12"/>
      <c r="AJ19" s="12">
        <f t="shared" ref="AJ19" si="9">AF19</f>
        <v>29547670.870000001</v>
      </c>
      <c r="AK19" s="12"/>
      <c r="AL19" s="12">
        <f t="shared" ref="AL19" si="10">AH19-AJ19</f>
        <v>42425407.75</v>
      </c>
      <c r="AM19" s="12"/>
      <c r="AN19" s="13">
        <f t="shared" ref="AN19" si="11">AH19/AJ19</f>
        <v>2.4358291703145669</v>
      </c>
      <c r="AO19" s="13"/>
      <c r="AP19" s="14">
        <f t="shared" ref="AP19" si="12">AN19-1</f>
        <v>1.4358291703145669</v>
      </c>
    </row>
    <row r="20" spans="1:43" s="9" customFormat="1" ht="24.95" customHeight="1" x14ac:dyDescent="0.2">
      <c r="A20" s="9" t="s">
        <v>274</v>
      </c>
      <c r="B20" s="16">
        <f>'Consolidated Balance Sheet'!B41-'Consolidated Balance Sheet'!B35</f>
        <v>744050.98000000417</v>
      </c>
      <c r="C20" s="16"/>
      <c r="D20" s="16">
        <f>'Consolidated Balance Sheet'!D41</f>
        <v>7195.09</v>
      </c>
      <c r="E20" s="16"/>
      <c r="F20" s="16">
        <f>'Consolidated Balance Sheet'!F41</f>
        <v>41269.520000000004</v>
      </c>
      <c r="G20" s="16"/>
      <c r="H20" s="16">
        <f>'Consolidated Balance Sheet'!H41</f>
        <v>1228</v>
      </c>
      <c r="I20" s="16"/>
      <c r="J20" s="16">
        <f>'Consolidated Balance Sheet'!J41</f>
        <v>18779.09</v>
      </c>
      <c r="K20" s="16"/>
      <c r="L20" s="16">
        <f>'Consolidated Balance Sheet'!L41</f>
        <v>0</v>
      </c>
      <c r="M20" s="16"/>
      <c r="N20" s="16">
        <f>'Consolidated Balance Sheet'!N41</f>
        <v>0</v>
      </c>
      <c r="O20" s="16"/>
      <c r="P20" s="16">
        <f t="shared" si="2"/>
        <v>812522.68000000413</v>
      </c>
      <c r="Q20" s="9" t="s">
        <v>274</v>
      </c>
      <c r="R20" s="55">
        <f>'Consolidated Balance Sheet'!R33+'Consolidated Balance Sheet'!R34+'Consolidated Balance Sheet'!R36+'Consolidated Balance Sheet'!R37+'Consolidated Balance Sheet'!R38+'Consolidated Balance Sheet'!R39+'Consolidated Balance Sheet'!R40</f>
        <v>686389.37</v>
      </c>
      <c r="S20" s="16"/>
      <c r="T20" s="55">
        <f>'Consolidated Balance Sheet'!T33+'Consolidated Balance Sheet'!T34+'Consolidated Balance Sheet'!T36+'Consolidated Balance Sheet'!T37+'Consolidated Balance Sheet'!T38+'Consolidated Balance Sheet'!T39+'Consolidated Balance Sheet'!T40</f>
        <v>10885.35</v>
      </c>
      <c r="U20" s="16"/>
      <c r="V20" s="55">
        <f>'Consolidated Balance Sheet'!V33+'Consolidated Balance Sheet'!V34+'Consolidated Balance Sheet'!V36+'Consolidated Balance Sheet'!V37+'Consolidated Balance Sheet'!V38+'Consolidated Balance Sheet'!V39+'Consolidated Balance Sheet'!V40</f>
        <v>343227.41000000003</v>
      </c>
      <c r="W20" s="16"/>
      <c r="X20" s="55">
        <f>'Consolidated Balance Sheet'!X33+'Consolidated Balance Sheet'!X34+'Consolidated Balance Sheet'!X36+'Consolidated Balance Sheet'!X37+'Consolidated Balance Sheet'!X38+'Consolidated Balance Sheet'!X39+'Consolidated Balance Sheet'!X40</f>
        <v>1070</v>
      </c>
      <c r="Y20" s="16"/>
      <c r="Z20" s="55">
        <f>'Consolidated Balance Sheet'!Z33+'Consolidated Balance Sheet'!Z34+'Consolidated Balance Sheet'!Z36+'Consolidated Balance Sheet'!Z37+'Consolidated Balance Sheet'!Z38+'Consolidated Balance Sheet'!Z39+'Consolidated Balance Sheet'!Z40</f>
        <v>17588.66</v>
      </c>
      <c r="AA20" s="16"/>
      <c r="AB20" s="55">
        <f>'Consolidated Balance Sheet'!AB33+'Consolidated Balance Sheet'!AB34+'Consolidated Balance Sheet'!AB36+'Consolidated Balance Sheet'!AB37+'Consolidated Balance Sheet'!AB38+'Consolidated Balance Sheet'!AB39+'Consolidated Balance Sheet'!AB40</f>
        <v>0</v>
      </c>
      <c r="AC20" s="16"/>
      <c r="AD20" s="55">
        <f>'Consolidated Balance Sheet'!AD33+'Consolidated Balance Sheet'!AD34+'Consolidated Balance Sheet'!AD36+'Consolidated Balance Sheet'!AD37+'Consolidated Balance Sheet'!AD38+'Consolidated Balance Sheet'!AD39+'Consolidated Balance Sheet'!AD40</f>
        <v>0</v>
      </c>
      <c r="AE20" s="16"/>
      <c r="AF20" s="16">
        <f t="shared" si="3"/>
        <v>1059160.79</v>
      </c>
      <c r="AG20" s="9" t="s">
        <v>274</v>
      </c>
      <c r="AH20" s="16">
        <f>P20</f>
        <v>812522.68000000413</v>
      </c>
      <c r="AI20" s="16"/>
      <c r="AJ20" s="16">
        <f>AF20</f>
        <v>1059160.79</v>
      </c>
      <c r="AK20" s="16"/>
      <c r="AL20" s="16">
        <f>AH20-AJ20</f>
        <v>-246638.10999999591</v>
      </c>
      <c r="AM20" s="12"/>
      <c r="AN20" s="13">
        <f t="shared" si="6"/>
        <v>0.76713817927493722</v>
      </c>
      <c r="AO20" s="13"/>
      <c r="AP20" s="14">
        <f>AN20-1</f>
        <v>-0.23286182072506278</v>
      </c>
    </row>
    <row r="21" spans="1:43" s="9" customFormat="1" ht="24.95" customHeight="1" x14ac:dyDescent="0.2">
      <c r="A21" s="20" t="s">
        <v>275</v>
      </c>
      <c r="B21" s="12">
        <f>SUM(B10:B20)</f>
        <v>56827605.740000017</v>
      </c>
      <c r="C21" s="12"/>
      <c r="D21" s="12">
        <f>SUM(D10:D20)</f>
        <v>479120.89</v>
      </c>
      <c r="E21" s="12"/>
      <c r="F21" s="12">
        <f>SUM(F10:F20)</f>
        <v>7408553.5099999998</v>
      </c>
      <c r="G21" s="12"/>
      <c r="H21" s="12">
        <f>SUM(H10:H20)</f>
        <v>886804.98999999987</v>
      </c>
      <c r="I21" s="12"/>
      <c r="J21" s="12">
        <f>SUM(J10:J20)</f>
        <v>488147.88000000006</v>
      </c>
      <c r="K21" s="12"/>
      <c r="L21" s="12">
        <f>SUM(L10:L20)</f>
        <v>2210248.7000000002</v>
      </c>
      <c r="M21" s="12"/>
      <c r="N21" s="12">
        <f>SUM(N10:N20)</f>
        <v>952973.62</v>
      </c>
      <c r="O21" s="12"/>
      <c r="P21" s="12">
        <f>SUM(P10:P20)</f>
        <v>69253455.330000013</v>
      </c>
      <c r="Q21" s="20" t="s">
        <v>275</v>
      </c>
      <c r="R21" s="54">
        <f>SUM(R10:R20)</f>
        <v>42038518.93999999</v>
      </c>
      <c r="S21" s="12"/>
      <c r="T21" s="54">
        <f>SUM(T10:T20)</f>
        <v>2858124.8</v>
      </c>
      <c r="U21" s="12"/>
      <c r="V21" s="54">
        <f t="shared" ref="V21:AF21" si="13">SUM(V10:V20)</f>
        <v>5400016.1000000006</v>
      </c>
      <c r="W21" s="12">
        <f t="shared" si="13"/>
        <v>0</v>
      </c>
      <c r="X21" s="54">
        <f t="shared" si="13"/>
        <v>699120.71</v>
      </c>
      <c r="Y21" s="12">
        <f t="shared" si="13"/>
        <v>0</v>
      </c>
      <c r="Z21" s="54">
        <f t="shared" si="13"/>
        <v>550971.80000000005</v>
      </c>
      <c r="AA21" s="12">
        <f t="shared" si="13"/>
        <v>0</v>
      </c>
      <c r="AB21" s="54">
        <f t="shared" si="13"/>
        <v>1890278.6900000002</v>
      </c>
      <c r="AC21" s="12">
        <f t="shared" si="13"/>
        <v>0</v>
      </c>
      <c r="AD21" s="54">
        <f t="shared" si="13"/>
        <v>152029.84</v>
      </c>
      <c r="AE21" s="12">
        <f t="shared" si="13"/>
        <v>0</v>
      </c>
      <c r="AF21" s="12">
        <f t="shared" si="13"/>
        <v>53589060.879999988</v>
      </c>
      <c r="AG21" s="20" t="s">
        <v>275</v>
      </c>
      <c r="AH21" s="12">
        <f>SUM(AH10:AH20)</f>
        <v>69253455.330000013</v>
      </c>
      <c r="AI21" s="12"/>
      <c r="AJ21" s="12">
        <f>SUM(AJ10:AJ20)</f>
        <v>53589060.879999988</v>
      </c>
      <c r="AK21" s="12"/>
      <c r="AL21" s="12">
        <f>SUM(AL10:AL20)</f>
        <v>15664394.45000001</v>
      </c>
      <c r="AM21" s="12"/>
      <c r="AN21" s="13">
        <f t="shared" si="6"/>
        <v>1.2923058212398371</v>
      </c>
      <c r="AO21" s="13"/>
      <c r="AP21" s="14">
        <f>AN21-1</f>
        <v>0.29230582123983706</v>
      </c>
      <c r="AQ21" s="22">
        <f>AH21-P21</f>
        <v>0</v>
      </c>
    </row>
    <row r="22" spans="1:43" s="9" customFormat="1" ht="24.95" customHeight="1" x14ac:dyDescent="0.2">
      <c r="B22" s="12"/>
      <c r="C22" s="12"/>
      <c r="D22" s="12"/>
      <c r="E22" s="12"/>
      <c r="F22" s="12"/>
      <c r="G22" s="12"/>
      <c r="P22" s="10"/>
      <c r="R22" s="60"/>
      <c r="S22" s="10"/>
      <c r="T22" s="60"/>
      <c r="U22" s="10"/>
      <c r="V22" s="60"/>
      <c r="W22" s="10"/>
      <c r="X22" s="60"/>
      <c r="Y22" s="10"/>
      <c r="Z22" s="60"/>
      <c r="AA22" s="10"/>
      <c r="AB22" s="60"/>
      <c r="AC22" s="10"/>
      <c r="AD22" s="60"/>
      <c r="AE22" s="10"/>
      <c r="AF22" s="10"/>
      <c r="AN22" s="10"/>
      <c r="AO22" s="10"/>
      <c r="AP22" s="19"/>
    </row>
    <row r="23" spans="1:43" s="9" customFormat="1" ht="24.95" customHeight="1" x14ac:dyDescent="0.2">
      <c r="A23" s="8" t="s">
        <v>276</v>
      </c>
      <c r="B23" s="12"/>
      <c r="C23" s="12"/>
      <c r="D23" s="12"/>
      <c r="E23" s="12"/>
      <c r="F23" s="12"/>
      <c r="G23" s="12"/>
      <c r="P23" s="10"/>
      <c r="Q23" s="8" t="s">
        <v>276</v>
      </c>
      <c r="R23" s="60"/>
      <c r="S23" s="10"/>
      <c r="T23" s="60"/>
      <c r="U23" s="10"/>
      <c r="V23" s="60"/>
      <c r="W23" s="10"/>
      <c r="X23" s="60"/>
      <c r="Y23" s="10"/>
      <c r="Z23" s="60"/>
      <c r="AA23" s="10"/>
      <c r="AB23" s="60"/>
      <c r="AC23" s="10"/>
      <c r="AD23" s="60"/>
      <c r="AE23" s="10"/>
      <c r="AF23" s="10"/>
      <c r="AG23" s="8" t="s">
        <v>276</v>
      </c>
      <c r="AN23" s="10"/>
      <c r="AO23" s="10"/>
      <c r="AP23" s="19"/>
    </row>
    <row r="24" spans="1:43" s="9" customFormat="1" ht="24.95" customHeight="1" x14ac:dyDescent="0.2">
      <c r="A24" s="9" t="s">
        <v>476</v>
      </c>
      <c r="B24" s="12">
        <f>'Consolidated Balance Sheet'!B62+-'Consolidated Balance Sheet'!B61</f>
        <v>17828984.809999999</v>
      </c>
      <c r="C24" s="12"/>
      <c r="D24" s="12">
        <f>'Consolidated Balance Sheet'!D62+-'Consolidated Balance Sheet'!D61</f>
        <v>28814.959999999999</v>
      </c>
      <c r="E24" s="12"/>
      <c r="F24" s="12">
        <f>'Consolidated Balance Sheet'!F62+-'Consolidated Balance Sheet'!F61</f>
        <v>1634616.6400000001</v>
      </c>
      <c r="G24" s="12"/>
      <c r="H24" s="12">
        <f>'Consolidated Balance Sheet'!H62+-'Consolidated Balance Sheet'!H61</f>
        <v>0</v>
      </c>
      <c r="I24" s="12"/>
      <c r="J24" s="12">
        <f>'Consolidated Balance Sheet'!J62+-'Consolidated Balance Sheet'!J61</f>
        <v>4197911.3299999991</v>
      </c>
      <c r="K24" s="12"/>
      <c r="L24" s="12">
        <f>'Consolidated Balance Sheet'!L62+-'Consolidated Balance Sheet'!L61</f>
        <v>4810642.5599999996</v>
      </c>
      <c r="N24" s="12">
        <f>'Consolidated Balance Sheet'!N62+-'Consolidated Balance Sheet'!N61</f>
        <v>8700843.7599999998</v>
      </c>
      <c r="P24" s="12">
        <f>SUM(B24:N24)</f>
        <v>37201814.059999995</v>
      </c>
      <c r="Q24" s="9" t="s">
        <v>476</v>
      </c>
      <c r="R24" s="54">
        <f>SUM('Consolidated Balance Sheet'!R46:R60)</f>
        <v>17455723.759999998</v>
      </c>
      <c r="S24" s="12"/>
      <c r="T24" s="54">
        <f>SUM('Consolidated Balance Sheet'!T46:T60)</f>
        <v>28814.959999999999</v>
      </c>
      <c r="U24" s="12"/>
      <c r="V24" s="54">
        <f>SUM('Consolidated Balance Sheet'!V46:V60)</f>
        <v>1048001.14</v>
      </c>
      <c r="W24" s="12"/>
      <c r="X24" s="54">
        <f>SUM('Consolidated Balance Sheet'!X46:X60)</f>
        <v>0</v>
      </c>
      <c r="Y24" s="12"/>
      <c r="Z24" s="54">
        <f>SUM('Consolidated Balance Sheet'!Z46:Z60)</f>
        <v>4090169.9999999995</v>
      </c>
      <c r="AA24" s="12"/>
      <c r="AB24" s="54">
        <f>SUM('Consolidated Balance Sheet'!AB46:AB60)</f>
        <v>4810642.5599999996</v>
      </c>
      <c r="AC24" s="12"/>
      <c r="AD24" s="54">
        <f>SUM('Consolidated Balance Sheet'!AD46:AD60)</f>
        <v>9244680.4399999995</v>
      </c>
      <c r="AE24" s="12"/>
      <c r="AF24" s="12">
        <f>SUM(R24:AD24)</f>
        <v>36678032.859999999</v>
      </c>
      <c r="AG24" s="9" t="s">
        <v>476</v>
      </c>
      <c r="AH24" s="12">
        <f>P24</f>
        <v>37201814.059999995</v>
      </c>
      <c r="AI24" s="12"/>
      <c r="AJ24" s="12">
        <f>AF24</f>
        <v>36678032.859999999</v>
      </c>
      <c r="AK24" s="12"/>
      <c r="AL24" s="12">
        <f>AH24-AJ24</f>
        <v>523781.19999999553</v>
      </c>
      <c r="AM24" s="12"/>
      <c r="AN24" s="13">
        <f t="shared" ref="AN24:AN30" si="14">AH24/AJ24</f>
        <v>1.0142805150428669</v>
      </c>
      <c r="AO24" s="13"/>
      <c r="AP24" s="14">
        <f t="shared" ref="AP24:AP30" si="15">AN24-1</f>
        <v>1.428051504286687E-2</v>
      </c>
    </row>
    <row r="25" spans="1:43" s="9" customFormat="1" ht="24.95" customHeight="1" x14ac:dyDescent="0.2">
      <c r="A25" s="9" t="s">
        <v>522</v>
      </c>
      <c r="B25" s="16">
        <f>'Consolidated Balance Sheet'!B61</f>
        <v>-9364691.1799999997</v>
      </c>
      <c r="C25" s="16"/>
      <c r="D25" s="16">
        <f>'Consolidated Balance Sheet'!D61</f>
        <v>-19017.96</v>
      </c>
      <c r="E25" s="16"/>
      <c r="F25" s="16">
        <f>'Consolidated Balance Sheet'!F61</f>
        <v>-837890.12</v>
      </c>
      <c r="G25" s="16"/>
      <c r="H25" s="16">
        <f>'Consolidated Balance Sheet'!H61</f>
        <v>0</v>
      </c>
      <c r="I25" s="16"/>
      <c r="J25" s="16">
        <f>'Consolidated Balance Sheet'!J61</f>
        <v>-2571177.9500000002</v>
      </c>
      <c r="K25" s="16"/>
      <c r="L25" s="16">
        <f>'Consolidated Balance Sheet'!L61</f>
        <v>-1584754.88</v>
      </c>
      <c r="M25" s="17"/>
      <c r="N25" s="16">
        <f>'Consolidated Balance Sheet'!N61</f>
        <v>-1309560.6599999999</v>
      </c>
      <c r="O25" s="17"/>
      <c r="P25" s="16">
        <f>SUM(B25:N25)</f>
        <v>-15687092.75</v>
      </c>
      <c r="Q25" s="9" t="s">
        <v>522</v>
      </c>
      <c r="R25" s="55">
        <f>'Consolidated Balance Sheet'!R61</f>
        <v>-8093275.6500000004</v>
      </c>
      <c r="S25" s="16"/>
      <c r="T25" s="55">
        <f>'Consolidated Balance Sheet'!T61</f>
        <v>-13998.48</v>
      </c>
      <c r="U25" s="16"/>
      <c r="V25" s="55">
        <f>'Consolidated Balance Sheet'!V61</f>
        <v>-635835.29</v>
      </c>
      <c r="W25" s="16"/>
      <c r="X25" s="55">
        <f>'Consolidated Balance Sheet'!X61</f>
        <v>0</v>
      </c>
      <c r="Y25" s="16"/>
      <c r="Z25" s="55">
        <f>'Consolidated Balance Sheet'!Z61</f>
        <v>-2466270.13</v>
      </c>
      <c r="AA25" s="16"/>
      <c r="AB25" s="55">
        <f>'Consolidated Balance Sheet'!AB61</f>
        <v>-1473860.17</v>
      </c>
      <c r="AC25" s="16"/>
      <c r="AD25" s="55">
        <f>'Consolidated Balance Sheet'!AD61</f>
        <v>-1140995.7400000002</v>
      </c>
      <c r="AE25" s="16"/>
      <c r="AF25" s="16">
        <f>SUM(R25:AD25)</f>
        <v>-13824235.460000001</v>
      </c>
      <c r="AG25" s="9" t="s">
        <v>522</v>
      </c>
      <c r="AH25" s="16">
        <f>P25</f>
        <v>-15687092.75</v>
      </c>
      <c r="AI25" s="16"/>
      <c r="AJ25" s="16">
        <f>AF25</f>
        <v>-13824235.460000001</v>
      </c>
      <c r="AK25" s="16"/>
      <c r="AL25" s="16">
        <f>AH25-AJ25</f>
        <v>-1862857.2899999991</v>
      </c>
      <c r="AM25" s="12"/>
      <c r="AN25" s="13">
        <f t="shared" si="14"/>
        <v>1.1347530064422093</v>
      </c>
      <c r="AO25" s="13"/>
      <c r="AP25" s="14">
        <f t="shared" si="15"/>
        <v>0.13475300644220933</v>
      </c>
    </row>
    <row r="26" spans="1:43" s="9" customFormat="1" ht="24.95" customHeight="1" x14ac:dyDescent="0.2">
      <c r="A26" s="20" t="s">
        <v>334</v>
      </c>
      <c r="B26" s="12">
        <f>SUM(B24:B25)</f>
        <v>8464293.629999999</v>
      </c>
      <c r="C26" s="12"/>
      <c r="D26" s="12">
        <f>SUM(D24:D25)</f>
        <v>9797</v>
      </c>
      <c r="E26" s="12"/>
      <c r="F26" s="12">
        <f>SUM(F24:F25)</f>
        <v>796726.52000000014</v>
      </c>
      <c r="G26" s="12"/>
      <c r="H26" s="12">
        <f>SUM(H24:H25)</f>
        <v>0</v>
      </c>
      <c r="I26" s="12"/>
      <c r="J26" s="12">
        <f>SUM(J24:J25)</f>
        <v>1626733.379999999</v>
      </c>
      <c r="K26" s="12"/>
      <c r="L26" s="12">
        <f>SUM(L24:L25)</f>
        <v>3225887.6799999997</v>
      </c>
      <c r="M26" s="12"/>
      <c r="N26" s="12">
        <f>SUM(N24:N25)</f>
        <v>7391283.0999999996</v>
      </c>
      <c r="O26" s="12"/>
      <c r="P26" s="12">
        <f>SUM(P24:P25)</f>
        <v>21514721.309999995</v>
      </c>
      <c r="Q26" s="20" t="s">
        <v>334</v>
      </c>
      <c r="R26" s="54">
        <f>SUM(R24:R25)</f>
        <v>9362448.1099999975</v>
      </c>
      <c r="S26" s="12"/>
      <c r="T26" s="54">
        <f>SUM(T24:T25)</f>
        <v>14816.48</v>
      </c>
      <c r="U26" s="12"/>
      <c r="V26" s="54">
        <f>SUM(V24:V25)</f>
        <v>412165.85</v>
      </c>
      <c r="W26" s="12"/>
      <c r="X26" s="54">
        <f>SUM(X24:X25)</f>
        <v>0</v>
      </c>
      <c r="Y26" s="12"/>
      <c r="Z26" s="54">
        <f>SUM(Z24:Z25)</f>
        <v>1623899.8699999996</v>
      </c>
      <c r="AA26" s="12"/>
      <c r="AB26" s="54">
        <f>SUM(AB24:AB25)</f>
        <v>3336782.3899999997</v>
      </c>
      <c r="AC26" s="12"/>
      <c r="AD26" s="54">
        <f>SUM(AD24:AD25)</f>
        <v>8103684.6999999993</v>
      </c>
      <c r="AE26" s="12"/>
      <c r="AF26" s="12">
        <f>SUM(AF24:AF25)</f>
        <v>22853797.399999999</v>
      </c>
      <c r="AG26" s="20" t="s">
        <v>334</v>
      </c>
      <c r="AH26" s="22">
        <f>SUM(AH24:AH25)</f>
        <v>21514721.309999995</v>
      </c>
      <c r="AI26" s="22"/>
      <c r="AJ26" s="22">
        <f>SUM(AJ24:AJ25)</f>
        <v>22853797.399999999</v>
      </c>
      <c r="AK26" s="22"/>
      <c r="AL26" s="22">
        <f>SUM(AL24:AL25)</f>
        <v>-1339076.0900000036</v>
      </c>
      <c r="AM26" s="22"/>
      <c r="AN26" s="13">
        <f t="shared" si="14"/>
        <v>0.94140684514863149</v>
      </c>
      <c r="AO26" s="13"/>
      <c r="AP26" s="14">
        <f t="shared" si="15"/>
        <v>-5.8593154851368512E-2</v>
      </c>
    </row>
    <row r="27" spans="1:43" s="9" customFormat="1" ht="24.95" customHeight="1" x14ac:dyDescent="0.2">
      <c r="A27" s="20"/>
      <c r="B27" s="12">
        <f>B26-'Consolidated Balance Sheet'!B62</f>
        <v>0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20"/>
      <c r="R27" s="54"/>
      <c r="S27" s="12"/>
      <c r="T27" s="54"/>
      <c r="U27" s="12"/>
      <c r="V27" s="54"/>
      <c r="W27" s="12"/>
      <c r="X27" s="54"/>
      <c r="Y27" s="12"/>
      <c r="Z27" s="54"/>
      <c r="AA27" s="12"/>
      <c r="AB27" s="54"/>
      <c r="AC27" s="12"/>
      <c r="AD27" s="54"/>
      <c r="AE27" s="12"/>
      <c r="AF27" s="12"/>
      <c r="AG27" s="20"/>
      <c r="AH27" s="22"/>
      <c r="AI27" s="22"/>
      <c r="AJ27" s="22"/>
      <c r="AK27" s="22"/>
      <c r="AL27" s="22"/>
      <c r="AM27" s="22"/>
      <c r="AN27" s="13"/>
      <c r="AO27" s="10"/>
      <c r="AP27" s="14"/>
    </row>
    <row r="28" spans="1:43" s="9" customFormat="1" ht="24.95" customHeight="1" x14ac:dyDescent="0.2">
      <c r="A28" s="9" t="s">
        <v>406</v>
      </c>
      <c r="B28" s="12">
        <f>'Consolidated Balance Sheet'!B64</f>
        <v>0</v>
      </c>
      <c r="C28" s="12"/>
      <c r="D28" s="12">
        <f>'Consolidated Balance Sheet'!D64</f>
        <v>0</v>
      </c>
      <c r="E28" s="12"/>
      <c r="F28" s="12">
        <f>'Consolidated Balance Sheet'!F64</f>
        <v>0</v>
      </c>
      <c r="G28" s="12"/>
      <c r="H28" s="12">
        <f>'Consolidated Balance Sheet'!H64</f>
        <v>0</v>
      </c>
      <c r="I28" s="12"/>
      <c r="J28" s="12">
        <f>'Consolidated Balance Sheet'!J64</f>
        <v>0</v>
      </c>
      <c r="K28" s="12"/>
      <c r="L28" s="12">
        <f>'Consolidated Balance Sheet'!L64</f>
        <v>0</v>
      </c>
      <c r="M28" s="12"/>
      <c r="N28" s="12">
        <f>'Consolidated Balance Sheet'!N64</f>
        <v>0</v>
      </c>
      <c r="O28" s="12"/>
      <c r="P28" s="12">
        <f>SUM(B28:N28)</f>
        <v>0</v>
      </c>
      <c r="Q28" s="9" t="s">
        <v>406</v>
      </c>
      <c r="R28" s="54">
        <f>'Consolidated Balance Sheet'!R64</f>
        <v>999.91000000000349</v>
      </c>
      <c r="S28" s="12"/>
      <c r="T28" s="54">
        <f>'Consolidated Balance Sheet'!T64</f>
        <v>0</v>
      </c>
      <c r="U28" s="12"/>
      <c r="V28" s="54">
        <f>'Consolidated Balance Sheet'!V64</f>
        <v>0</v>
      </c>
      <c r="W28" s="12"/>
      <c r="X28" s="54">
        <f>'Consolidated Balance Sheet'!X64</f>
        <v>0</v>
      </c>
      <c r="Y28" s="12"/>
      <c r="Z28" s="54">
        <f>'Consolidated Balance Sheet'!Z64</f>
        <v>0</v>
      </c>
      <c r="AA28" s="12"/>
      <c r="AB28" s="54">
        <f>'Consolidated Balance Sheet'!AB64</f>
        <v>0</v>
      </c>
      <c r="AC28" s="12"/>
      <c r="AD28" s="54">
        <f>'Consolidated Balance Sheet'!AD64</f>
        <v>0</v>
      </c>
      <c r="AE28" s="12"/>
      <c r="AF28" s="12">
        <f>SUM(R28:AD28)</f>
        <v>999.91000000000349</v>
      </c>
      <c r="AG28" s="9" t="s">
        <v>406</v>
      </c>
      <c r="AH28" s="22">
        <f>P28</f>
        <v>0</v>
      </c>
      <c r="AI28" s="12"/>
      <c r="AJ28" s="12">
        <f>AF28</f>
        <v>999.91000000000349</v>
      </c>
      <c r="AK28" s="12"/>
      <c r="AL28" s="22">
        <f>AH28-AJ28</f>
        <v>-999.91000000000349</v>
      </c>
      <c r="AM28" s="12"/>
      <c r="AN28" s="13">
        <f t="shared" si="14"/>
        <v>0</v>
      </c>
      <c r="AO28" s="13"/>
      <c r="AP28" s="14">
        <f t="shared" si="15"/>
        <v>-1</v>
      </c>
    </row>
    <row r="29" spans="1:43" s="9" customFormat="1" ht="24.95" customHeight="1" x14ac:dyDescent="0.2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R29" s="54"/>
      <c r="S29" s="12"/>
      <c r="T29" s="54"/>
      <c r="U29" s="12"/>
      <c r="V29" s="54"/>
      <c r="W29" s="12"/>
      <c r="X29" s="54"/>
      <c r="Y29" s="12"/>
      <c r="Z29" s="54"/>
      <c r="AA29" s="12"/>
      <c r="AB29" s="54"/>
      <c r="AC29" s="12"/>
      <c r="AD29" s="54"/>
      <c r="AE29" s="12"/>
      <c r="AF29" s="12"/>
      <c r="AH29" s="22"/>
      <c r="AI29" s="12"/>
      <c r="AJ29" s="12"/>
      <c r="AK29" s="12"/>
      <c r="AL29" s="12"/>
      <c r="AM29" s="12"/>
      <c r="AN29" s="13"/>
      <c r="AO29" s="13"/>
      <c r="AP29" s="14"/>
    </row>
    <row r="30" spans="1:43" s="9" customFormat="1" ht="24.95" customHeight="1" thickBot="1" x14ac:dyDescent="0.25">
      <c r="A30" s="8" t="s">
        <v>289</v>
      </c>
      <c r="B30" s="23">
        <f>B28+B26+B21</f>
        <v>65291899.37000002</v>
      </c>
      <c r="C30" s="23"/>
      <c r="D30" s="23">
        <f>SUM(D26,D21,D28)</f>
        <v>488917.89</v>
      </c>
      <c r="E30" s="23"/>
      <c r="F30" s="23">
        <f>SUM(F26,F21,F28)</f>
        <v>8205280.0300000003</v>
      </c>
      <c r="G30" s="23"/>
      <c r="H30" s="23">
        <f>SUM(H26,H21,H28)</f>
        <v>886804.98999999987</v>
      </c>
      <c r="I30" s="23"/>
      <c r="J30" s="23">
        <f>SUM(J26,J21,J28)</f>
        <v>2114881.2599999988</v>
      </c>
      <c r="K30" s="23"/>
      <c r="L30" s="23">
        <f>SUM(L26,L21,L28)</f>
        <v>5436136.3799999999</v>
      </c>
      <c r="M30" s="23"/>
      <c r="N30" s="23">
        <f>SUM(N26,N21,N28)</f>
        <v>8344256.7199999997</v>
      </c>
      <c r="O30" s="23"/>
      <c r="P30" s="23">
        <f>SUM(P26,P21,P28)</f>
        <v>90768176.640000015</v>
      </c>
      <c r="Q30" s="8" t="s">
        <v>289</v>
      </c>
      <c r="R30" s="57">
        <f>SUM(R26,R21,R28)</f>
        <v>51401966.959999986</v>
      </c>
      <c r="S30" s="23"/>
      <c r="T30" s="57">
        <f>SUM(T26,T21,T28)</f>
        <v>2872941.28</v>
      </c>
      <c r="U30" s="23"/>
      <c r="V30" s="57">
        <f>SUM(V26,V21,V28)</f>
        <v>5812181.9500000002</v>
      </c>
      <c r="W30" s="23"/>
      <c r="X30" s="57">
        <f>SUM(X26,X21,X28)</f>
        <v>699120.71</v>
      </c>
      <c r="Y30" s="23"/>
      <c r="Z30" s="57">
        <f>SUM(Z26,Z21,Z28)</f>
        <v>2174871.67</v>
      </c>
      <c r="AA30" s="23"/>
      <c r="AB30" s="57">
        <f>SUM(AB26,AB21,AB28)</f>
        <v>5227061.08</v>
      </c>
      <c r="AC30" s="23"/>
      <c r="AD30" s="57">
        <f>SUM(AD26,AD21,AD28)</f>
        <v>8255714.5399999991</v>
      </c>
      <c r="AE30" s="23"/>
      <c r="AF30" s="23">
        <f>SUM(AF26,AF21,AF28)</f>
        <v>76443858.189999983</v>
      </c>
      <c r="AG30" s="8" t="s">
        <v>289</v>
      </c>
      <c r="AH30" s="23">
        <f>SUM(AH26,AH21,AH28)</f>
        <v>90768176.640000015</v>
      </c>
      <c r="AI30" s="23"/>
      <c r="AJ30" s="23">
        <f>SUM(AJ26,AJ21,AJ28)</f>
        <v>76443858.189999983</v>
      </c>
      <c r="AK30" s="23"/>
      <c r="AL30" s="23">
        <f>SUM(AL26,AL21,AL28)</f>
        <v>14324318.450000007</v>
      </c>
      <c r="AM30" s="25"/>
      <c r="AN30" s="13">
        <f t="shared" si="14"/>
        <v>1.1873835097961325</v>
      </c>
      <c r="AO30" s="13"/>
      <c r="AP30" s="14">
        <f t="shared" si="15"/>
        <v>0.1873835097961325</v>
      </c>
      <c r="AQ30" s="22"/>
    </row>
    <row r="31" spans="1:43" s="9" customFormat="1" ht="24.95" customHeight="1" thickTop="1" x14ac:dyDescent="0.2">
      <c r="B31" s="12"/>
      <c r="C31" s="12"/>
      <c r="D31" s="12"/>
      <c r="E31" s="12"/>
      <c r="F31" s="12"/>
      <c r="G31" s="12"/>
      <c r="P31" s="10"/>
      <c r="R31" s="60"/>
      <c r="S31" s="10"/>
      <c r="T31" s="60"/>
      <c r="U31" s="10"/>
      <c r="V31" s="60"/>
      <c r="W31" s="10"/>
      <c r="X31" s="60"/>
      <c r="Y31" s="10"/>
      <c r="Z31" s="60"/>
      <c r="AA31" s="10"/>
      <c r="AB31" s="60"/>
      <c r="AC31" s="10"/>
      <c r="AD31" s="60"/>
      <c r="AE31" s="10"/>
      <c r="AF31" s="10"/>
      <c r="AP31" s="26"/>
    </row>
    <row r="32" spans="1:43" s="9" customFormat="1" ht="24.95" customHeight="1" x14ac:dyDescent="0.2">
      <c r="A32" s="8" t="s">
        <v>105</v>
      </c>
      <c r="B32" s="12"/>
      <c r="C32" s="12"/>
      <c r="D32" s="12"/>
      <c r="E32" s="12"/>
      <c r="F32" s="12"/>
      <c r="G32" s="12"/>
      <c r="P32" s="10"/>
      <c r="Q32" s="8" t="s">
        <v>105</v>
      </c>
      <c r="R32" s="60"/>
      <c r="S32" s="10"/>
      <c r="T32" s="60"/>
      <c r="U32" s="10"/>
      <c r="V32" s="60"/>
      <c r="W32" s="10"/>
      <c r="X32" s="60"/>
      <c r="Y32" s="10"/>
      <c r="Z32" s="60"/>
      <c r="AA32" s="10"/>
      <c r="AB32" s="60"/>
      <c r="AC32" s="10"/>
      <c r="AD32" s="60"/>
      <c r="AE32" s="10"/>
      <c r="AF32" s="10"/>
      <c r="AG32" s="8" t="s">
        <v>105</v>
      </c>
      <c r="AP32" s="19"/>
    </row>
    <row r="33" spans="1:42" s="9" customFormat="1" ht="24.95" customHeight="1" x14ac:dyDescent="0.2">
      <c r="A33" s="8" t="s">
        <v>290</v>
      </c>
      <c r="B33" s="12"/>
      <c r="C33" s="12"/>
      <c r="D33" s="12"/>
      <c r="E33" s="12"/>
      <c r="F33" s="12"/>
      <c r="G33" s="12"/>
      <c r="P33" s="10"/>
      <c r="Q33" s="8" t="s">
        <v>290</v>
      </c>
      <c r="R33" s="60"/>
      <c r="S33" s="10"/>
      <c r="T33" s="60"/>
      <c r="U33" s="10"/>
      <c r="V33" s="60"/>
      <c r="W33" s="10"/>
      <c r="X33" s="60"/>
      <c r="Y33" s="10"/>
      <c r="Z33" s="60"/>
      <c r="AA33" s="10"/>
      <c r="AB33" s="60"/>
      <c r="AC33" s="10"/>
      <c r="AD33" s="60"/>
      <c r="AE33" s="10"/>
      <c r="AF33" s="10"/>
      <c r="AG33" s="8" t="s">
        <v>290</v>
      </c>
      <c r="AP33" s="19"/>
    </row>
    <row r="34" spans="1:42" s="9" customFormat="1" ht="24.95" customHeight="1" x14ac:dyDescent="0.2">
      <c r="A34" s="9" t="s">
        <v>291</v>
      </c>
      <c r="B34" s="12">
        <f>'Consolidated Balance Sheet'!B71</f>
        <v>0</v>
      </c>
      <c r="C34" s="12"/>
      <c r="D34" s="12">
        <f>'Consolidated Balance Sheet'!D71</f>
        <v>0</v>
      </c>
      <c r="E34" s="12"/>
      <c r="F34" s="12">
        <f>'Consolidated Balance Sheet'!F71</f>
        <v>0</v>
      </c>
      <c r="G34" s="12"/>
      <c r="H34" s="12">
        <f>'Consolidated Balance Sheet'!H71</f>
        <v>0</v>
      </c>
      <c r="I34" s="12"/>
      <c r="J34" s="12">
        <f>'Consolidated Balance Sheet'!J71</f>
        <v>0</v>
      </c>
      <c r="K34" s="12"/>
      <c r="L34" s="12">
        <f>'Consolidated Balance Sheet'!L71</f>
        <v>0</v>
      </c>
      <c r="M34" s="12"/>
      <c r="N34" s="12">
        <f>'Consolidated Balance Sheet'!N71</f>
        <v>0</v>
      </c>
      <c r="O34" s="12"/>
      <c r="P34" s="12">
        <f>SUM(B34:N34)</f>
        <v>0</v>
      </c>
      <c r="Q34" s="9" t="s">
        <v>291</v>
      </c>
      <c r="R34" s="54">
        <f>'Consolidated Balance Sheet'!R71</f>
        <v>0</v>
      </c>
      <c r="S34" s="12"/>
      <c r="T34" s="54">
        <f>'Consolidated Balance Sheet'!T71</f>
        <v>0</v>
      </c>
      <c r="U34" s="12"/>
      <c r="V34" s="54">
        <f>'Consolidated Balance Sheet'!V71</f>
        <v>0</v>
      </c>
      <c r="W34" s="12"/>
      <c r="X34" s="54">
        <f>'Consolidated Balance Sheet'!X71</f>
        <v>0</v>
      </c>
      <c r="Y34" s="12"/>
      <c r="Z34" s="54">
        <f>'Consolidated Balance Sheet'!Z71</f>
        <v>0</v>
      </c>
      <c r="AA34" s="12"/>
      <c r="AB34" s="54">
        <f>'Consolidated Balance Sheet'!AB71</f>
        <v>0</v>
      </c>
      <c r="AC34" s="12"/>
      <c r="AD34" s="54">
        <f>'Consolidated Balance Sheet'!AD71</f>
        <v>0</v>
      </c>
      <c r="AE34" s="12"/>
      <c r="AF34" s="12">
        <f>SUM(R34:AD34)</f>
        <v>0</v>
      </c>
      <c r="AG34" s="9" t="s">
        <v>291</v>
      </c>
      <c r="AH34" s="12">
        <f>P34</f>
        <v>0</v>
      </c>
      <c r="AI34" s="12"/>
      <c r="AJ34" s="12">
        <f>AF34</f>
        <v>0</v>
      </c>
      <c r="AK34" s="12"/>
      <c r="AL34" s="12">
        <f t="shared" ref="AL34:AL41" si="16">AH34-AJ34</f>
        <v>0</v>
      </c>
      <c r="AM34" s="12"/>
      <c r="AN34" s="13"/>
      <c r="AO34" s="13"/>
      <c r="AP34" s="14">
        <f t="shared" ref="AP34:AP42" si="17">AN34-1</f>
        <v>-1</v>
      </c>
    </row>
    <row r="35" spans="1:42" s="9" customFormat="1" ht="24.95" customHeight="1" x14ac:dyDescent="0.2">
      <c r="A35" s="9" t="s">
        <v>292</v>
      </c>
      <c r="B35" s="12">
        <f>'Consolidated Balance Sheet'!B72+'Consolidated Balance Sheet'!B73+'Consolidated Balance Sheet'!B74+'Consolidated Balance Sheet'!B75+'Consolidated Balance Sheet'!B76+CNT!S97</f>
        <v>11177261.060000001</v>
      </c>
      <c r="C35" s="12"/>
      <c r="D35" s="12">
        <f>'Consolidated Balance Sheet'!D72+'Consolidated Balance Sheet'!D73+'Consolidated Balance Sheet'!D74+'Consolidated Balance Sheet'!D75+'Consolidated Balance Sheet'!D76</f>
        <v>34631.919999999998</v>
      </c>
      <c r="E35" s="12"/>
      <c r="F35" s="12">
        <f>'Consolidated Balance Sheet'!F72+'Consolidated Balance Sheet'!F73+'Consolidated Balance Sheet'!F74+'Consolidated Balance Sheet'!F75+'Consolidated Balance Sheet'!F76</f>
        <v>22428.83</v>
      </c>
      <c r="G35" s="12"/>
      <c r="H35" s="12">
        <f>'Consolidated Balance Sheet'!H72+'Consolidated Balance Sheet'!H73+'Consolidated Balance Sheet'!H74+'Consolidated Balance Sheet'!H75+'Consolidated Balance Sheet'!H76</f>
        <v>0</v>
      </c>
      <c r="I35" s="12"/>
      <c r="J35" s="12">
        <f>'Consolidated Balance Sheet'!J72+'Consolidated Balance Sheet'!J73+'Consolidated Balance Sheet'!J74+'Consolidated Balance Sheet'!J75+'Consolidated Balance Sheet'!J76</f>
        <v>1634.6100000000001</v>
      </c>
      <c r="K35" s="12"/>
      <c r="L35" s="12">
        <f>'Consolidated Balance Sheet'!L72+'Consolidated Balance Sheet'!L73+'Consolidated Balance Sheet'!L74+'Consolidated Balance Sheet'!L75+'Consolidated Balance Sheet'!L76</f>
        <v>0</v>
      </c>
      <c r="N35" s="12">
        <f>'Consolidated Balance Sheet'!N72+'Consolidated Balance Sheet'!N73+'Consolidated Balance Sheet'!N74+'Consolidated Balance Sheet'!N75+'Consolidated Balance Sheet'!N76</f>
        <v>0</v>
      </c>
      <c r="P35" s="12">
        <f t="shared" ref="P35:P41" si="18">SUM(B35:N35)</f>
        <v>11235956.42</v>
      </c>
      <c r="Q35" s="9" t="s">
        <v>292</v>
      </c>
      <c r="R35" s="54">
        <v>28034941.080000002</v>
      </c>
      <c r="S35" s="12"/>
      <c r="T35" s="54">
        <f>'Consolidated Balance Sheet'!T72+'Consolidated Balance Sheet'!T73+'Consolidated Balance Sheet'!T74+'Consolidated Balance Sheet'!T75+'Consolidated Balance Sheet'!T76</f>
        <v>519668.42</v>
      </c>
      <c r="U35" s="12"/>
      <c r="V35" s="54">
        <f>'Consolidated Balance Sheet'!V72+'Consolidated Balance Sheet'!V73+'Consolidated Balance Sheet'!V74+'Consolidated Balance Sheet'!V75+'Consolidated Balance Sheet'!V76</f>
        <v>19002.920000000002</v>
      </c>
      <c r="W35" s="12"/>
      <c r="X35" s="54">
        <f>'Consolidated Balance Sheet'!X72+'Consolidated Balance Sheet'!X73+'Consolidated Balance Sheet'!X74+'Consolidated Balance Sheet'!X75+'Consolidated Balance Sheet'!X76</f>
        <v>0</v>
      </c>
      <c r="Y35" s="12"/>
      <c r="Z35" s="54">
        <f>'Consolidated Balance Sheet'!Z72+'Consolidated Balance Sheet'!Z73+'Consolidated Balance Sheet'!Z74+'Consolidated Balance Sheet'!Z75+'Consolidated Balance Sheet'!Z76</f>
        <v>1538.46</v>
      </c>
      <c r="AA35" s="12"/>
      <c r="AB35" s="54">
        <f>'Consolidated Balance Sheet'!AB72+'Consolidated Balance Sheet'!AB73+'Consolidated Balance Sheet'!AB74+'Consolidated Balance Sheet'!AB75+'Consolidated Balance Sheet'!AB76</f>
        <v>0</v>
      </c>
      <c r="AC35" s="12"/>
      <c r="AD35" s="54">
        <f>'Consolidated Balance Sheet'!AD72+'Consolidated Balance Sheet'!AD73+'Consolidated Balance Sheet'!AD74+'Consolidated Balance Sheet'!AD75+'Consolidated Balance Sheet'!AD76</f>
        <v>0</v>
      </c>
      <c r="AE35" s="12"/>
      <c r="AF35" s="12">
        <f t="shared" ref="AF35:AF41" si="19">SUM(R35:AD35)</f>
        <v>28575150.880000006</v>
      </c>
      <c r="AG35" s="9" t="s">
        <v>292</v>
      </c>
      <c r="AH35" s="12">
        <f t="shared" ref="AH35:AH41" si="20">P35</f>
        <v>11235956.42</v>
      </c>
      <c r="AI35" s="12"/>
      <c r="AJ35" s="12">
        <f t="shared" ref="AJ35:AJ41" si="21">AF35</f>
        <v>28575150.880000006</v>
      </c>
      <c r="AK35" s="12"/>
      <c r="AL35" s="12">
        <f t="shared" si="16"/>
        <v>-17339194.460000008</v>
      </c>
      <c r="AM35" s="12"/>
      <c r="AN35" s="13">
        <f t="shared" ref="AN35:AN42" si="22">AH35/AJ35</f>
        <v>0.39320724734524998</v>
      </c>
      <c r="AO35" s="13"/>
      <c r="AP35" s="14">
        <f t="shared" si="17"/>
        <v>-0.60679275265475008</v>
      </c>
    </row>
    <row r="36" spans="1:42" s="9" customFormat="1" ht="24.95" customHeight="1" x14ac:dyDescent="0.2">
      <c r="A36" s="9" t="s">
        <v>390</v>
      </c>
      <c r="B36" s="12">
        <f>'Consolidated Balance Sheet'!B78</f>
        <v>0</v>
      </c>
      <c r="C36" s="12"/>
      <c r="D36" s="12">
        <f>'Consolidated Balance Sheet'!D78</f>
        <v>0</v>
      </c>
      <c r="E36" s="12"/>
      <c r="F36" s="12">
        <f>'Consolidated Balance Sheet'!F78</f>
        <v>0</v>
      </c>
      <c r="G36" s="12"/>
      <c r="H36" s="12">
        <f>'Consolidated Balance Sheet'!H78</f>
        <v>0</v>
      </c>
      <c r="I36" s="12"/>
      <c r="J36" s="12">
        <f>'Consolidated Balance Sheet'!J78</f>
        <v>62294.02</v>
      </c>
      <c r="K36" s="12"/>
      <c r="L36" s="12">
        <f>'Consolidated Balance Sheet'!L78</f>
        <v>0</v>
      </c>
      <c r="N36" s="12">
        <f>'Consolidated Balance Sheet'!N78</f>
        <v>0</v>
      </c>
      <c r="P36" s="12">
        <f t="shared" si="18"/>
        <v>62294.02</v>
      </c>
      <c r="Q36" s="9" t="s">
        <v>390</v>
      </c>
      <c r="R36" s="54">
        <f>'Consolidated Balance Sheet'!R78</f>
        <v>0</v>
      </c>
      <c r="S36" s="12"/>
      <c r="T36" s="54">
        <f>'Consolidated Balance Sheet'!T78</f>
        <v>0</v>
      </c>
      <c r="U36" s="12"/>
      <c r="V36" s="54">
        <f>'Consolidated Balance Sheet'!V78</f>
        <v>0</v>
      </c>
      <c r="W36" s="12"/>
      <c r="X36" s="54">
        <f>'Consolidated Balance Sheet'!X78</f>
        <v>0</v>
      </c>
      <c r="Y36" s="12"/>
      <c r="Z36" s="54">
        <f>'Consolidated Balance Sheet'!Z78</f>
        <v>70291.570000000007</v>
      </c>
      <c r="AA36" s="12"/>
      <c r="AB36" s="54">
        <f>'Consolidated Balance Sheet'!AB78</f>
        <v>0</v>
      </c>
      <c r="AC36" s="12"/>
      <c r="AD36" s="54">
        <f>'Consolidated Balance Sheet'!AD78</f>
        <v>0</v>
      </c>
      <c r="AE36" s="12"/>
      <c r="AF36" s="12">
        <f t="shared" si="19"/>
        <v>70291.570000000007</v>
      </c>
      <c r="AG36" s="9" t="s">
        <v>390</v>
      </c>
      <c r="AH36" s="12">
        <f t="shared" si="20"/>
        <v>62294.02</v>
      </c>
      <c r="AI36" s="12"/>
      <c r="AJ36" s="12">
        <f t="shared" si="21"/>
        <v>70291.570000000007</v>
      </c>
      <c r="AK36" s="12"/>
      <c r="AL36" s="12">
        <f t="shared" si="16"/>
        <v>-7997.5500000000102</v>
      </c>
      <c r="AM36" s="12"/>
      <c r="AN36" s="13">
        <f t="shared" si="22"/>
        <v>0.88622319859977505</v>
      </c>
      <c r="AO36" s="13"/>
      <c r="AP36" s="14">
        <f t="shared" si="17"/>
        <v>-0.11377680140022495</v>
      </c>
    </row>
    <row r="37" spans="1:42" s="9" customFormat="1" ht="24.95" customHeight="1" x14ac:dyDescent="0.2">
      <c r="A37" s="9" t="s">
        <v>297</v>
      </c>
      <c r="B37" s="12">
        <f>'Consolidated Balance Sheet'!B80+'Consolidated Balance Sheet'!B103</f>
        <v>36338822.129999995</v>
      </c>
      <c r="C37" s="12"/>
      <c r="D37" s="12">
        <f>'Consolidated Balance Sheet'!D80</f>
        <v>0</v>
      </c>
      <c r="E37" s="12"/>
      <c r="F37" s="12">
        <f>'Consolidated Balance Sheet'!F80</f>
        <v>345796.99</v>
      </c>
      <c r="G37" s="12"/>
      <c r="H37" s="12">
        <f>'Consolidated Balance Sheet'!H80</f>
        <v>10866.56</v>
      </c>
      <c r="I37" s="12"/>
      <c r="J37" s="12">
        <f>'Consolidated Balance Sheet'!J80</f>
        <v>0</v>
      </c>
      <c r="K37" s="12"/>
      <c r="L37" s="12">
        <f>'Consolidated Balance Sheet'!L80</f>
        <v>0</v>
      </c>
      <c r="N37" s="12">
        <f>'Consolidated Balance Sheet'!N80</f>
        <v>0</v>
      </c>
      <c r="P37" s="12">
        <f t="shared" si="18"/>
        <v>36695485.68</v>
      </c>
      <c r="Q37" s="9" t="s">
        <v>297</v>
      </c>
      <c r="R37" s="54">
        <f>'Consolidated Balance Sheet'!R80</f>
        <v>4212486.72</v>
      </c>
      <c r="S37" s="12"/>
      <c r="T37" s="54">
        <f>'Consolidated Balance Sheet'!T80</f>
        <v>0</v>
      </c>
      <c r="U37" s="12"/>
      <c r="V37" s="54">
        <f>'Consolidated Balance Sheet'!V80</f>
        <v>218932.95</v>
      </c>
      <c r="W37" s="12"/>
      <c r="X37" s="54">
        <f>'Consolidated Balance Sheet'!X80</f>
        <v>7284.4</v>
      </c>
      <c r="Y37" s="12"/>
      <c r="Z37" s="54">
        <f>'Consolidated Balance Sheet'!Z80</f>
        <v>0</v>
      </c>
      <c r="AA37" s="12"/>
      <c r="AB37" s="54">
        <f>'Consolidated Balance Sheet'!AB80</f>
        <v>0</v>
      </c>
      <c r="AC37" s="12"/>
      <c r="AD37" s="54">
        <f>'Consolidated Balance Sheet'!AD80</f>
        <v>0</v>
      </c>
      <c r="AE37" s="12"/>
      <c r="AF37" s="12">
        <f t="shared" si="19"/>
        <v>4438704.07</v>
      </c>
      <c r="AG37" s="9" t="s">
        <v>297</v>
      </c>
      <c r="AH37" s="12">
        <f t="shared" si="20"/>
        <v>36695485.68</v>
      </c>
      <c r="AI37" s="12"/>
      <c r="AJ37" s="12">
        <f t="shared" si="21"/>
        <v>4438704.07</v>
      </c>
      <c r="AK37" s="12"/>
      <c r="AL37" s="12">
        <f t="shared" si="16"/>
        <v>32256781.609999999</v>
      </c>
      <c r="AM37" s="12"/>
      <c r="AN37" s="13">
        <f t="shared" si="22"/>
        <v>8.2671620142498021</v>
      </c>
      <c r="AO37" s="13"/>
      <c r="AP37" s="14">
        <f t="shared" si="17"/>
        <v>7.2671620142498021</v>
      </c>
    </row>
    <row r="38" spans="1:42" s="9" customFormat="1" ht="24.95" customHeight="1" x14ac:dyDescent="0.2">
      <c r="A38" s="9" t="s">
        <v>477</v>
      </c>
      <c r="B38" s="12">
        <f>'Consolidated Balance Sheet'!B81+'Consolidated Balance Sheet'!B82+'Consolidated Balance Sheet'!B83+'Consolidated Balance Sheet'!B84+'Consolidated Balance Sheet'!B86+'Consolidated Balance Sheet'!B87+'Consolidated Balance Sheet'!B88+'Consolidated Balance Sheet'!B89+'Consolidated Balance Sheet'!B90+'Consolidated Balance Sheet'!B91+'Consolidated Balance Sheet'!B92+'Consolidated Balance Sheet'!B95+'Consolidated Balance Sheet'!B96+'Consolidated Balance Sheet'!B98+'Consolidated Balance Sheet'!B107+'Consolidated Balance Sheet'!B97+'Consolidated Balance Sheet'!B104+'Consolidated Balance Sheet'!B106+'Consolidated Balance Sheet'!B105+'Consolidated Balance Sheet'!B85+'Consolidated Balance Sheet'!B94+CNT!S93</f>
        <v>3817625.9299999997</v>
      </c>
      <c r="C38" s="12"/>
      <c r="D38" s="12">
        <f>'Consolidated Balance Sheet'!D81+'Consolidated Balance Sheet'!D82+'Consolidated Balance Sheet'!D83+'Consolidated Balance Sheet'!D84+'Consolidated Balance Sheet'!D86+'Consolidated Balance Sheet'!D87+'Consolidated Balance Sheet'!D88+'Consolidated Balance Sheet'!D89+'Consolidated Balance Sheet'!D90+'Consolidated Balance Sheet'!D91+'Consolidated Balance Sheet'!D92+'Consolidated Balance Sheet'!D95+'Consolidated Balance Sheet'!D96+'Consolidated Balance Sheet'!D98+'Consolidated Balance Sheet'!D107+'Consolidated Balance Sheet'!D97</f>
        <v>11997.22</v>
      </c>
      <c r="E38" s="12"/>
      <c r="F38" s="12">
        <f>'Consolidated Balance Sheet'!F81+'Consolidated Balance Sheet'!F82+'Consolidated Balance Sheet'!F83+'Consolidated Balance Sheet'!F84+'Consolidated Balance Sheet'!F86+'Consolidated Balance Sheet'!F87+'Consolidated Balance Sheet'!F88+'Consolidated Balance Sheet'!F89+'Consolidated Balance Sheet'!F90+'Consolidated Balance Sheet'!F91+'Consolidated Balance Sheet'!F92+'Consolidated Balance Sheet'!F95+'Consolidated Balance Sheet'!F96+'Consolidated Balance Sheet'!F98+'Consolidated Balance Sheet'!F107+'Consolidated Balance Sheet'!F97+'Consolidated Balance Sheet'!F94</f>
        <v>70829.600000000006</v>
      </c>
      <c r="G38" s="12"/>
      <c r="H38" s="12">
        <f>'Consolidated Balance Sheet'!H81+'Consolidated Balance Sheet'!H82+'Consolidated Balance Sheet'!H83+'Consolidated Balance Sheet'!H84+'Consolidated Balance Sheet'!H86+'Consolidated Balance Sheet'!H87+'Consolidated Balance Sheet'!H88+'Consolidated Balance Sheet'!H89+'Consolidated Balance Sheet'!H90+'Consolidated Balance Sheet'!H91+'Consolidated Balance Sheet'!H92+'Consolidated Balance Sheet'!H95+'Consolidated Balance Sheet'!H96+'Consolidated Balance Sheet'!H98+'Consolidated Balance Sheet'!H107+'Consolidated Balance Sheet'!H97</f>
        <v>750</v>
      </c>
      <c r="I38" s="12"/>
      <c r="J38" s="12">
        <f>'Consolidated Balance Sheet'!J81+'Consolidated Balance Sheet'!J82+'Consolidated Balance Sheet'!J83+'Consolidated Balance Sheet'!J84+'Consolidated Balance Sheet'!J86+'Consolidated Balance Sheet'!J87+'Consolidated Balance Sheet'!J88+'Consolidated Balance Sheet'!J89+'Consolidated Balance Sheet'!J90+'Consolidated Balance Sheet'!J91+'Consolidated Balance Sheet'!J92+'Consolidated Balance Sheet'!J95+'Consolidated Balance Sheet'!J96+'Consolidated Balance Sheet'!J98+'Consolidated Balance Sheet'!J107+'Consolidated Balance Sheet'!J97+'Consolidated Balance Sheet'!J85</f>
        <v>11076.54</v>
      </c>
      <c r="K38" s="12"/>
      <c r="L38" s="12">
        <f>'Consolidated Balance Sheet'!L81+'Consolidated Balance Sheet'!L82+'Consolidated Balance Sheet'!L83+'Consolidated Balance Sheet'!L84+'Consolidated Balance Sheet'!L86+'Consolidated Balance Sheet'!L87+'Consolidated Balance Sheet'!L88+'Consolidated Balance Sheet'!L89+'Consolidated Balance Sheet'!L90+'Consolidated Balance Sheet'!L91+'Consolidated Balance Sheet'!L92+'Consolidated Balance Sheet'!L95+'Consolidated Balance Sheet'!L96+'Consolidated Balance Sheet'!L98+'Consolidated Balance Sheet'!L107+'Consolidated Balance Sheet'!L97</f>
        <v>3225</v>
      </c>
      <c r="N38" s="12">
        <f>'Consolidated Balance Sheet'!N81+'Consolidated Balance Sheet'!N82+'Consolidated Balance Sheet'!N83+'Consolidated Balance Sheet'!N84+'Consolidated Balance Sheet'!N86+'Consolidated Balance Sheet'!N87+'Consolidated Balance Sheet'!N88+'Consolidated Balance Sheet'!N89+'Consolidated Balance Sheet'!N90+'Consolidated Balance Sheet'!N91+'Consolidated Balance Sheet'!N92+'Consolidated Balance Sheet'!N95+'Consolidated Balance Sheet'!N96+'Consolidated Balance Sheet'!N98+'Consolidated Balance Sheet'!N107+'Consolidated Balance Sheet'!N97+'Consolidated Balance Sheet'!N93</f>
        <v>999.99</v>
      </c>
      <c r="P38" s="12">
        <f t="shared" si="18"/>
        <v>3916504.2800000003</v>
      </c>
      <c r="Q38" s="9" t="s">
        <v>477</v>
      </c>
      <c r="R38" s="54">
        <v>554373.83000000007</v>
      </c>
      <c r="S38" s="12"/>
      <c r="T38" s="54">
        <f>'Consolidated Balance Sheet'!T107+'Consolidated Balance Sheet'!T103+'Consolidated Balance Sheet'!T98+'Consolidated Balance Sheet'!T97+'Consolidated Balance Sheet'!T96+'Consolidated Balance Sheet'!T95+'Consolidated Balance Sheet'!T92+'Consolidated Balance Sheet'!T91+'Consolidated Balance Sheet'!T90+'Consolidated Balance Sheet'!T89+'Consolidated Balance Sheet'!T88+'Consolidated Balance Sheet'!T87+'Consolidated Balance Sheet'!T86+'Consolidated Balance Sheet'!T84+'Consolidated Balance Sheet'!T83+'Consolidated Balance Sheet'!T82+'Consolidated Balance Sheet'!T81+'Consolidated Balance Sheet'!T104+'Consolidated Balance Sheet'!T93</f>
        <v>41262.03</v>
      </c>
      <c r="U38" s="12"/>
      <c r="V38" s="54">
        <f>'Consolidated Balance Sheet'!V107+'Consolidated Balance Sheet'!V103+'Consolidated Balance Sheet'!V98+'Consolidated Balance Sheet'!V97+'Consolidated Balance Sheet'!V96+'Consolidated Balance Sheet'!V95+'Consolidated Balance Sheet'!V92+'Consolidated Balance Sheet'!V91+'Consolidated Balance Sheet'!V90+'Consolidated Balance Sheet'!V89+'Consolidated Balance Sheet'!V88+'Consolidated Balance Sheet'!V87+'Consolidated Balance Sheet'!V86+'Consolidated Balance Sheet'!V84+'Consolidated Balance Sheet'!V83+'Consolidated Balance Sheet'!V82+'Consolidated Balance Sheet'!V81+'Consolidated Balance Sheet'!V104+'Consolidated Balance Sheet'!V93</f>
        <v>86625.97</v>
      </c>
      <c r="W38" s="12"/>
      <c r="X38" s="54">
        <f>'Consolidated Balance Sheet'!X107+'Consolidated Balance Sheet'!X103+'Consolidated Balance Sheet'!X98+'Consolidated Balance Sheet'!X97+'Consolidated Balance Sheet'!X96+'Consolidated Balance Sheet'!X95+'Consolidated Balance Sheet'!X92+'Consolidated Balance Sheet'!X91+'Consolidated Balance Sheet'!X90+'Consolidated Balance Sheet'!X89+'Consolidated Balance Sheet'!X88+'Consolidated Balance Sheet'!X87+'Consolidated Balance Sheet'!X86+'Consolidated Balance Sheet'!X84+'Consolidated Balance Sheet'!X83+'Consolidated Balance Sheet'!X82+'Consolidated Balance Sheet'!X81+'Consolidated Balance Sheet'!X104+'Consolidated Balance Sheet'!X93</f>
        <v>580.5</v>
      </c>
      <c r="Y38" s="12"/>
      <c r="Z38" s="54">
        <f>'Consolidated Balance Sheet'!Z107+'Consolidated Balance Sheet'!Z103+'Consolidated Balance Sheet'!Z98+'Consolidated Balance Sheet'!Z97+'Consolidated Balance Sheet'!Z96+'Consolidated Balance Sheet'!Z95+'Consolidated Balance Sheet'!Z92+'Consolidated Balance Sheet'!Z91+'Consolidated Balance Sheet'!Z90+'Consolidated Balance Sheet'!Z89+'Consolidated Balance Sheet'!Z88+'Consolidated Balance Sheet'!Z87+'Consolidated Balance Sheet'!Z86+'Consolidated Balance Sheet'!Z84+'Consolidated Balance Sheet'!Z83+'Consolidated Balance Sheet'!Z82+'Consolidated Balance Sheet'!Z81+'Consolidated Balance Sheet'!Z104+'Consolidated Balance Sheet'!Z93+'Consolidated Balance Sheet'!Z85</f>
        <v>13165.18</v>
      </c>
      <c r="AA38" s="12"/>
      <c r="AB38" s="54">
        <f>'Consolidated Balance Sheet'!AB107+'Consolidated Balance Sheet'!AB103+'Consolidated Balance Sheet'!AB98+'Consolidated Balance Sheet'!AB97+'Consolidated Balance Sheet'!AB96+'Consolidated Balance Sheet'!AB95+'Consolidated Balance Sheet'!AB92+'Consolidated Balance Sheet'!AB91+'Consolidated Balance Sheet'!AB90+'Consolidated Balance Sheet'!AB89+'Consolidated Balance Sheet'!AB88+'Consolidated Balance Sheet'!AB87+'Consolidated Balance Sheet'!AB86+'Consolidated Balance Sheet'!AB84+'Consolidated Balance Sheet'!AB83+'Consolidated Balance Sheet'!AB82+'Consolidated Balance Sheet'!AB81+'Consolidated Balance Sheet'!AB104+'Consolidated Balance Sheet'!AB93</f>
        <v>2440</v>
      </c>
      <c r="AC38" s="12"/>
      <c r="AD38" s="54">
        <f>'Consolidated Balance Sheet'!AD107+'Consolidated Balance Sheet'!AD103+'Consolidated Balance Sheet'!AD98+'Consolidated Balance Sheet'!AD97+'Consolidated Balance Sheet'!AD96+'Consolidated Balance Sheet'!AD95+'Consolidated Balance Sheet'!AD92+'Consolidated Balance Sheet'!AD91+'Consolidated Balance Sheet'!AD90+'Consolidated Balance Sheet'!AD89+'Consolidated Balance Sheet'!AD88+'Consolidated Balance Sheet'!AD87+'Consolidated Balance Sheet'!AD86+'Consolidated Balance Sheet'!AD84+'Consolidated Balance Sheet'!AD83+'Consolidated Balance Sheet'!AD82+'Consolidated Balance Sheet'!AD81+'Consolidated Balance Sheet'!AD104+'Consolidated Balance Sheet'!AD93</f>
        <v>742282.26</v>
      </c>
      <c r="AE38" s="12"/>
      <c r="AF38" s="12">
        <f t="shared" si="19"/>
        <v>1440729.77</v>
      </c>
      <c r="AG38" s="9" t="s">
        <v>477</v>
      </c>
      <c r="AH38" s="12">
        <f t="shared" si="20"/>
        <v>3916504.2800000003</v>
      </c>
      <c r="AI38" s="12"/>
      <c r="AJ38" s="12">
        <f t="shared" si="21"/>
        <v>1440729.77</v>
      </c>
      <c r="AK38" s="12"/>
      <c r="AL38" s="12">
        <f t="shared" si="16"/>
        <v>2475774.5100000002</v>
      </c>
      <c r="AM38" s="12"/>
      <c r="AN38" s="13">
        <f t="shared" si="22"/>
        <v>2.7184169866914045</v>
      </c>
      <c r="AO38" s="13"/>
      <c r="AP38" s="14">
        <f t="shared" si="17"/>
        <v>1.7184169866914045</v>
      </c>
    </row>
    <row r="39" spans="1:42" s="9" customFormat="1" ht="24.95" customHeight="1" x14ac:dyDescent="0.2">
      <c r="A39" s="9" t="s">
        <v>308</v>
      </c>
      <c r="B39" s="12">
        <f>'Consolidated Balance Sheet'!B99</f>
        <v>132276.25</v>
      </c>
      <c r="C39" s="12"/>
      <c r="D39" s="12">
        <f>'Consolidated Balance Sheet'!D99</f>
        <v>0</v>
      </c>
      <c r="E39" s="12"/>
      <c r="F39" s="12">
        <f>'Consolidated Balance Sheet'!F99</f>
        <v>0</v>
      </c>
      <c r="G39" s="12"/>
      <c r="H39" s="12">
        <f>'Consolidated Balance Sheet'!H99</f>
        <v>0</v>
      </c>
      <c r="I39" s="12"/>
      <c r="J39" s="12">
        <f>'Consolidated Balance Sheet'!J99</f>
        <v>0</v>
      </c>
      <c r="K39" s="12"/>
      <c r="L39" s="12">
        <f>'Consolidated Balance Sheet'!L99</f>
        <v>0</v>
      </c>
      <c r="N39" s="12">
        <f>'Consolidated Balance Sheet'!N99</f>
        <v>0</v>
      </c>
      <c r="P39" s="12">
        <f t="shared" si="18"/>
        <v>132276.25</v>
      </c>
      <c r="Q39" s="9" t="s">
        <v>308</v>
      </c>
      <c r="R39" s="54">
        <f>'Consolidated Balance Sheet'!R99</f>
        <v>620977.18999999994</v>
      </c>
      <c r="S39" s="12"/>
      <c r="T39" s="54">
        <f>'Consolidated Balance Sheet'!T99</f>
        <v>0</v>
      </c>
      <c r="U39" s="12"/>
      <c r="V39" s="54">
        <f>'Consolidated Balance Sheet'!V99</f>
        <v>0</v>
      </c>
      <c r="W39" s="12"/>
      <c r="X39" s="54">
        <f>'Consolidated Balance Sheet'!X99</f>
        <v>0</v>
      </c>
      <c r="Y39" s="12"/>
      <c r="Z39" s="54">
        <f>'Consolidated Balance Sheet'!Z99</f>
        <v>0</v>
      </c>
      <c r="AA39" s="12"/>
      <c r="AB39" s="54">
        <f>'Consolidated Balance Sheet'!AB99</f>
        <v>0</v>
      </c>
      <c r="AC39" s="12"/>
      <c r="AD39" s="54">
        <f>'Consolidated Balance Sheet'!AD99</f>
        <v>0</v>
      </c>
      <c r="AE39" s="12"/>
      <c r="AF39" s="12">
        <f t="shared" si="19"/>
        <v>620977.18999999994</v>
      </c>
      <c r="AG39" s="9" t="s">
        <v>308</v>
      </c>
      <c r="AH39" s="12">
        <f t="shared" si="20"/>
        <v>132276.25</v>
      </c>
      <c r="AI39" s="12"/>
      <c r="AJ39" s="12">
        <f t="shared" si="21"/>
        <v>620977.18999999994</v>
      </c>
      <c r="AK39" s="12"/>
      <c r="AL39" s="12">
        <f t="shared" si="16"/>
        <v>-488700.93999999994</v>
      </c>
      <c r="AM39" s="12"/>
      <c r="AN39" s="13">
        <f t="shared" si="22"/>
        <v>0.21301305769379389</v>
      </c>
      <c r="AO39" s="13"/>
      <c r="AP39" s="14">
        <f t="shared" si="17"/>
        <v>-0.78698694230620614</v>
      </c>
    </row>
    <row r="40" spans="1:42" s="9" customFormat="1" ht="24.95" customHeight="1" x14ac:dyDescent="0.2">
      <c r="A40" s="9" t="s">
        <v>389</v>
      </c>
      <c r="B40" s="12">
        <f>'Consolidated Balance Sheet'!B100</f>
        <v>0</v>
      </c>
      <c r="C40" s="12"/>
      <c r="D40" s="12">
        <f>'Consolidated Balance Sheet'!D100</f>
        <v>0</v>
      </c>
      <c r="E40" s="12"/>
      <c r="F40" s="12">
        <f>'Consolidated Balance Sheet'!F100</f>
        <v>0</v>
      </c>
      <c r="G40" s="12"/>
      <c r="H40" s="12">
        <f>'Consolidated Balance Sheet'!H100</f>
        <v>0</v>
      </c>
      <c r="I40" s="12"/>
      <c r="J40" s="12">
        <f>'Consolidated Balance Sheet'!J100</f>
        <v>1017646.13</v>
      </c>
      <c r="K40" s="12"/>
      <c r="L40" s="12">
        <f>'Consolidated Balance Sheet'!L100</f>
        <v>105033.46</v>
      </c>
      <c r="N40" s="12">
        <f>'Consolidated Balance Sheet'!N100</f>
        <v>0</v>
      </c>
      <c r="P40" s="12">
        <f t="shared" si="18"/>
        <v>1122679.5900000001</v>
      </c>
      <c r="Q40" s="9" t="s">
        <v>389</v>
      </c>
      <c r="R40" s="54">
        <f>'Consolidated Balance Sheet'!R100</f>
        <v>0</v>
      </c>
      <c r="S40" s="12"/>
      <c r="T40" s="54">
        <f>'Consolidated Balance Sheet'!T100</f>
        <v>0</v>
      </c>
      <c r="U40" s="12"/>
      <c r="V40" s="54">
        <f>'Consolidated Balance Sheet'!V100</f>
        <v>0</v>
      </c>
      <c r="W40" s="12"/>
      <c r="X40" s="54">
        <f>'Consolidated Balance Sheet'!X100</f>
        <v>0</v>
      </c>
      <c r="Y40" s="12"/>
      <c r="Z40" s="54">
        <f>'Consolidated Balance Sheet'!Z100</f>
        <v>944941.61</v>
      </c>
      <c r="AA40" s="12"/>
      <c r="AB40" s="54">
        <f>'Consolidated Balance Sheet'!AB100</f>
        <v>94702.3</v>
      </c>
      <c r="AC40" s="12"/>
      <c r="AD40" s="54">
        <f>'Consolidated Balance Sheet'!AD100</f>
        <v>0</v>
      </c>
      <c r="AE40" s="12"/>
      <c r="AF40" s="12">
        <f t="shared" si="19"/>
        <v>1039643.91</v>
      </c>
      <c r="AG40" s="9" t="s">
        <v>389</v>
      </c>
      <c r="AH40" s="12">
        <f>P40</f>
        <v>1122679.5900000001</v>
      </c>
      <c r="AI40" s="12"/>
      <c r="AJ40" s="12">
        <f t="shared" si="21"/>
        <v>1039643.91</v>
      </c>
      <c r="AK40" s="12"/>
      <c r="AL40" s="12">
        <f t="shared" si="16"/>
        <v>83035.680000000051</v>
      </c>
      <c r="AM40" s="12"/>
      <c r="AN40" s="13">
        <f t="shared" si="22"/>
        <v>1.0798693468035609</v>
      </c>
      <c r="AO40" s="13"/>
      <c r="AP40" s="14">
        <f t="shared" si="17"/>
        <v>7.9869346803560948E-2</v>
      </c>
    </row>
    <row r="41" spans="1:42" s="9" customFormat="1" ht="24.95" customHeight="1" x14ac:dyDescent="0.2">
      <c r="A41" s="9" t="s">
        <v>596</v>
      </c>
      <c r="B41" s="16">
        <f>'Consolidated Balance Sheet'!B102+'Consolidated Balance Sheet'!B101</f>
        <v>7254650</v>
      </c>
      <c r="C41" s="16"/>
      <c r="D41" s="16">
        <f>'Consolidated Balance Sheet'!D102+'Consolidated Balance Sheet'!D101</f>
        <v>48330.51</v>
      </c>
      <c r="E41" s="16"/>
      <c r="F41" s="16">
        <f>'Consolidated Balance Sheet'!F102+'Consolidated Balance Sheet'!F101</f>
        <v>285273.09999999998</v>
      </c>
      <c r="G41" s="16"/>
      <c r="H41" s="16">
        <f>'Consolidated Balance Sheet'!H102+'Consolidated Balance Sheet'!H101</f>
        <v>437834.14</v>
      </c>
      <c r="I41" s="16"/>
      <c r="J41" s="16">
        <f>'Consolidated Balance Sheet'!J102+'Consolidated Balance Sheet'!J101</f>
        <v>1100262.74</v>
      </c>
      <c r="K41" s="16"/>
      <c r="L41" s="16">
        <f>'Consolidated Balance Sheet'!L102+'Consolidated Balance Sheet'!L101</f>
        <v>0</v>
      </c>
      <c r="M41" s="17"/>
      <c r="N41" s="16">
        <f>'Consolidated Balance Sheet'!N102+'Consolidated Balance Sheet'!N101</f>
        <v>6322.320000000007</v>
      </c>
      <c r="O41" s="17"/>
      <c r="P41" s="16">
        <f t="shared" si="18"/>
        <v>9132672.8099999987</v>
      </c>
      <c r="Q41" s="9" t="s">
        <v>596</v>
      </c>
      <c r="R41" s="55">
        <f>'Consolidated Balance Sheet'!R102+'Consolidated Balance Sheet'!R101</f>
        <v>6512150.5</v>
      </c>
      <c r="S41" s="16"/>
      <c r="T41" s="55">
        <f>'Consolidated Balance Sheet'!T102+'Consolidated Balance Sheet'!T101</f>
        <v>73655.899999999994</v>
      </c>
      <c r="U41" s="16"/>
      <c r="V41" s="55">
        <f>'Consolidated Balance Sheet'!V102+'Consolidated Balance Sheet'!V101</f>
        <v>170182.54</v>
      </c>
      <c r="W41" s="16"/>
      <c r="X41" s="55">
        <f>'Consolidated Balance Sheet'!X102+'Consolidated Balance Sheet'!X101</f>
        <v>292197.75</v>
      </c>
      <c r="Y41" s="16"/>
      <c r="Z41" s="55">
        <f>'Consolidated Balance Sheet'!Z102+'Consolidated Balance Sheet'!Z101</f>
        <v>1175214.06</v>
      </c>
      <c r="AA41" s="16"/>
      <c r="AB41" s="55">
        <f>'Consolidated Balance Sheet'!AB102+'Consolidated Balance Sheet'!AB101</f>
        <v>0</v>
      </c>
      <c r="AC41" s="16"/>
      <c r="AD41" s="55">
        <f>'Consolidated Balance Sheet'!AD102+'Consolidated Balance Sheet'!AD101</f>
        <v>200935.22</v>
      </c>
      <c r="AE41" s="16"/>
      <c r="AF41" s="16">
        <f t="shared" si="19"/>
        <v>8424335.9700000007</v>
      </c>
      <c r="AG41" s="9" t="s">
        <v>596</v>
      </c>
      <c r="AH41" s="16">
        <f t="shared" si="20"/>
        <v>9132672.8099999987</v>
      </c>
      <c r="AI41" s="16"/>
      <c r="AJ41" s="16">
        <f t="shared" si="21"/>
        <v>8424335.9700000007</v>
      </c>
      <c r="AK41" s="16"/>
      <c r="AL41" s="16">
        <f t="shared" si="16"/>
        <v>708336.83999999799</v>
      </c>
      <c r="AM41" s="12"/>
      <c r="AN41" s="13">
        <f t="shared" si="22"/>
        <v>1.0840822163933708</v>
      </c>
      <c r="AO41" s="13"/>
      <c r="AP41" s="14">
        <f t="shared" si="17"/>
        <v>8.4082216393370768E-2</v>
      </c>
    </row>
    <row r="42" spans="1:42" s="9" customFormat="1" ht="24.95" customHeight="1" x14ac:dyDescent="0.2">
      <c r="A42" s="20" t="s">
        <v>382</v>
      </c>
      <c r="B42" s="12">
        <f>SUM(B34:B41)</f>
        <v>58720635.369999997</v>
      </c>
      <c r="C42" s="12"/>
      <c r="D42" s="12">
        <f>SUM(D34:D41)</f>
        <v>94959.65</v>
      </c>
      <c r="E42" s="12"/>
      <c r="F42" s="12">
        <f>SUM(F34:F41)</f>
        <v>724328.52</v>
      </c>
      <c r="G42" s="12"/>
      <c r="H42" s="12">
        <f>SUM(H34:H41)</f>
        <v>449450.7</v>
      </c>
      <c r="I42" s="12"/>
      <c r="J42" s="12">
        <f>SUM(J34:J41)</f>
        <v>2192914.04</v>
      </c>
      <c r="K42" s="12"/>
      <c r="L42" s="12">
        <f>SUM(L34:L41)</f>
        <v>108258.46</v>
      </c>
      <c r="M42" s="12"/>
      <c r="N42" s="12">
        <f>SUM(N34:N41)</f>
        <v>7322.3100000000068</v>
      </c>
      <c r="O42" s="12"/>
      <c r="P42" s="12">
        <f>SUM(P34:P41)</f>
        <v>62297869.049999997</v>
      </c>
      <c r="Q42" s="20" t="s">
        <v>382</v>
      </c>
      <c r="R42" s="54">
        <f>SUM(R34:R41)</f>
        <v>39934929.320000008</v>
      </c>
      <c r="S42" s="12"/>
      <c r="T42" s="54">
        <f>SUM(T34:T41)</f>
        <v>634586.35</v>
      </c>
      <c r="U42" s="12"/>
      <c r="V42" s="54">
        <f>SUM(V34:V41)</f>
        <v>494744.38</v>
      </c>
      <c r="W42" s="12"/>
      <c r="X42" s="54">
        <f>SUM(X34:X41)</f>
        <v>300062.65000000002</v>
      </c>
      <c r="Y42" s="12"/>
      <c r="Z42" s="54">
        <f>SUM(Z34:Z41)</f>
        <v>2205150.88</v>
      </c>
      <c r="AA42" s="12"/>
      <c r="AB42" s="54">
        <f>SUM(AB34:AB41)</f>
        <v>97142.3</v>
      </c>
      <c r="AC42" s="12"/>
      <c r="AD42" s="54">
        <f>SUM(AD34:AD41)</f>
        <v>943217.48</v>
      </c>
      <c r="AE42" s="12"/>
      <c r="AF42" s="12">
        <f>SUM(AF34:AF41)</f>
        <v>44609833.359999999</v>
      </c>
      <c r="AG42" s="20" t="s">
        <v>382</v>
      </c>
      <c r="AH42" s="12">
        <f>SUM(AH34:AH41)</f>
        <v>62297869.049999997</v>
      </c>
      <c r="AI42" s="12"/>
      <c r="AJ42" s="12">
        <f>SUM(AJ34:AJ41)</f>
        <v>44609833.359999999</v>
      </c>
      <c r="AK42" s="12"/>
      <c r="AL42" s="12">
        <f>SUM(AL34:AL41)</f>
        <v>17688035.68999999</v>
      </c>
      <c r="AM42" s="22"/>
      <c r="AN42" s="13">
        <f t="shared" si="22"/>
        <v>1.3965053074118903</v>
      </c>
      <c r="AO42" s="13"/>
      <c r="AP42" s="14">
        <f t="shared" si="17"/>
        <v>0.39650530741189027</v>
      </c>
    </row>
    <row r="43" spans="1:42" s="9" customFormat="1" ht="24.95" customHeight="1" x14ac:dyDescent="0.2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R43" s="54"/>
      <c r="S43" s="12"/>
      <c r="T43" s="54"/>
      <c r="U43" s="12"/>
      <c r="V43" s="54"/>
      <c r="W43" s="12"/>
      <c r="X43" s="54"/>
      <c r="Y43" s="12"/>
      <c r="Z43" s="54"/>
      <c r="AA43" s="12"/>
      <c r="AB43" s="54"/>
      <c r="AC43" s="12"/>
      <c r="AD43" s="54"/>
      <c r="AE43" s="12"/>
      <c r="AF43" s="12">
        <f>'Consolidated Balance Sheet'!AF108-AF42</f>
        <v>0</v>
      </c>
      <c r="AN43" s="13"/>
      <c r="AO43" s="13"/>
      <c r="AP43" s="19"/>
    </row>
    <row r="44" spans="1:42" s="9" customFormat="1" ht="24.95" customHeight="1" x14ac:dyDescent="0.2">
      <c r="A44" s="8" t="s">
        <v>313</v>
      </c>
      <c r="B44" s="12"/>
      <c r="C44" s="12"/>
      <c r="D44" s="12"/>
      <c r="E44" s="12"/>
      <c r="F44" s="12"/>
      <c r="G44" s="12"/>
      <c r="P44" s="10"/>
      <c r="Q44" s="8" t="s">
        <v>313</v>
      </c>
      <c r="R44" s="60"/>
      <c r="S44" s="10"/>
      <c r="T44" s="60"/>
      <c r="U44" s="10"/>
      <c r="V44" s="60"/>
      <c r="W44" s="10"/>
      <c r="X44" s="60"/>
      <c r="Y44" s="10"/>
      <c r="Z44" s="60"/>
      <c r="AA44" s="10"/>
      <c r="AB44" s="60"/>
      <c r="AC44" s="10"/>
      <c r="AD44" s="60"/>
      <c r="AE44" s="10"/>
      <c r="AF44" s="10"/>
      <c r="AG44" s="8" t="s">
        <v>313</v>
      </c>
      <c r="AN44" s="10"/>
      <c r="AO44" s="10"/>
      <c r="AP44" s="19"/>
    </row>
    <row r="45" spans="1:42" s="9" customFormat="1" ht="24.95" customHeight="1" x14ac:dyDescent="0.2">
      <c r="A45" s="9" t="s">
        <v>314</v>
      </c>
      <c r="B45" s="12">
        <f>'Consolidated Balance Sheet'!B111</f>
        <v>0</v>
      </c>
      <c r="C45" s="12"/>
      <c r="D45" s="12">
        <f>'Consolidated Balance Sheet'!D111</f>
        <v>0</v>
      </c>
      <c r="E45" s="12"/>
      <c r="F45" s="12">
        <f>'Consolidated Balance Sheet'!F111</f>
        <v>0</v>
      </c>
      <c r="G45" s="12"/>
      <c r="H45" s="12">
        <f>'Consolidated Balance Sheet'!H111</f>
        <v>0</v>
      </c>
      <c r="I45" s="12"/>
      <c r="J45" s="12">
        <f>'Consolidated Balance Sheet'!J111</f>
        <v>0</v>
      </c>
      <c r="K45" s="12"/>
      <c r="L45" s="12">
        <f>'Consolidated Balance Sheet'!L111</f>
        <v>0</v>
      </c>
      <c r="M45" s="12"/>
      <c r="N45" s="12">
        <f>'Consolidated Balance Sheet'!N111</f>
        <v>0</v>
      </c>
      <c r="O45" s="12"/>
      <c r="P45" s="12">
        <f>SUM(B45:N45)</f>
        <v>0</v>
      </c>
      <c r="Q45" s="9" t="s">
        <v>314</v>
      </c>
      <c r="R45" s="54">
        <f>'Consolidated Balance Sheet'!R111</f>
        <v>0</v>
      </c>
      <c r="S45" s="12"/>
      <c r="T45" s="54">
        <f>'Consolidated Balance Sheet'!T111</f>
        <v>0</v>
      </c>
      <c r="U45" s="12"/>
      <c r="V45" s="54">
        <f>'Consolidated Balance Sheet'!V111</f>
        <v>0</v>
      </c>
      <c r="W45" s="12"/>
      <c r="X45" s="54">
        <f>'Consolidated Balance Sheet'!X111</f>
        <v>0</v>
      </c>
      <c r="Y45" s="12"/>
      <c r="Z45" s="54">
        <f>'Consolidated Balance Sheet'!Z111</f>
        <v>0</v>
      </c>
      <c r="AA45" s="12"/>
      <c r="AB45" s="54">
        <f>'Consolidated Balance Sheet'!AB111</f>
        <v>0</v>
      </c>
      <c r="AC45" s="12"/>
      <c r="AD45" s="54">
        <f>'Consolidated Balance Sheet'!AD111</f>
        <v>0</v>
      </c>
      <c r="AE45" s="12"/>
      <c r="AF45" s="12">
        <f>SUM(R45:AD45)</f>
        <v>0</v>
      </c>
      <c r="AG45" s="9" t="s">
        <v>314</v>
      </c>
      <c r="AH45" s="12">
        <f>P45</f>
        <v>0</v>
      </c>
      <c r="AI45" s="12"/>
      <c r="AJ45" s="12">
        <f>AF45</f>
        <v>0</v>
      </c>
      <c r="AK45" s="12"/>
      <c r="AL45" s="12">
        <f>AH45-AJ45</f>
        <v>0</v>
      </c>
      <c r="AM45" s="12"/>
      <c r="AN45" s="13" t="e">
        <f>AH45/AJ45</f>
        <v>#DIV/0!</v>
      </c>
      <c r="AO45" s="13"/>
      <c r="AP45" s="14" t="e">
        <f>AN45-1</f>
        <v>#DIV/0!</v>
      </c>
    </row>
    <row r="46" spans="1:42" s="9" customFormat="1" ht="24.95" customHeight="1" x14ac:dyDescent="0.2">
      <c r="A46" s="9" t="s">
        <v>478</v>
      </c>
      <c r="B46" s="16">
        <f>'Consolidated Balance Sheet'!B112+'Consolidated Balance Sheet'!B113+'Consolidated Balance Sheet'!B114+'Consolidated Balance Sheet'!B115</f>
        <v>41086.43</v>
      </c>
      <c r="C46" s="16"/>
      <c r="D46" s="16">
        <f>'Consolidated Balance Sheet'!D112+'Consolidated Balance Sheet'!D113+'Consolidated Balance Sheet'!D114+'Consolidated Balance Sheet'!D115</f>
        <v>0</v>
      </c>
      <c r="E46" s="16"/>
      <c r="F46" s="16">
        <f>'Consolidated Balance Sheet'!F112+'Consolidated Balance Sheet'!F113+'Consolidated Balance Sheet'!F114+'Consolidated Balance Sheet'!F115</f>
        <v>0</v>
      </c>
      <c r="G46" s="16"/>
      <c r="H46" s="16">
        <f>'Consolidated Balance Sheet'!H112+'Consolidated Balance Sheet'!H113+'Consolidated Balance Sheet'!H114+'Consolidated Balance Sheet'!H115</f>
        <v>0</v>
      </c>
      <c r="I46" s="16"/>
      <c r="J46" s="16">
        <f>'Consolidated Balance Sheet'!J112+'Consolidated Balance Sheet'!J113+'Consolidated Balance Sheet'!J114+'Consolidated Balance Sheet'!J115</f>
        <v>1038675.03</v>
      </c>
      <c r="K46" s="16"/>
      <c r="L46" s="16">
        <f>'Consolidated Balance Sheet'!L112+'Consolidated Balance Sheet'!L113+'Consolidated Balance Sheet'!L114+'Consolidated Balance Sheet'!L115</f>
        <v>247750</v>
      </c>
      <c r="M46" s="17"/>
      <c r="N46" s="16">
        <f>'Consolidated Balance Sheet'!N112+'Consolidated Balance Sheet'!N113+'Consolidated Balance Sheet'!N114+'Consolidated Balance Sheet'!N115</f>
        <v>0</v>
      </c>
      <c r="O46" s="17"/>
      <c r="P46" s="16">
        <f>SUM(B46:N46)</f>
        <v>1327511.46</v>
      </c>
      <c r="Q46" s="9" t="s">
        <v>315</v>
      </c>
      <c r="R46" s="55">
        <f>'Consolidated Balance Sheet'!R112+'Consolidated Balance Sheet'!R113+'Consolidated Balance Sheet'!R114+'Consolidated Balance Sheet'!R115</f>
        <v>39853.93</v>
      </c>
      <c r="S46" s="16"/>
      <c r="T46" s="55">
        <f>'Consolidated Balance Sheet'!T112+'Consolidated Balance Sheet'!T113+'Consolidated Balance Sheet'!T114+'Consolidated Balance Sheet'!T115</f>
        <v>0</v>
      </c>
      <c r="U46" s="16"/>
      <c r="V46" s="55">
        <f>'Consolidated Balance Sheet'!V112+'Consolidated Balance Sheet'!V113+'Consolidated Balance Sheet'!V114+'Consolidated Balance Sheet'!V115</f>
        <v>0</v>
      </c>
      <c r="W46" s="16"/>
      <c r="X46" s="55">
        <f>'Consolidated Balance Sheet'!X112+'Consolidated Balance Sheet'!X113+'Consolidated Balance Sheet'!X114+'Consolidated Balance Sheet'!X115</f>
        <v>0</v>
      </c>
      <c r="Y46" s="16"/>
      <c r="Z46" s="55">
        <f>'Consolidated Balance Sheet'!Z112+'Consolidated Balance Sheet'!Z113+'Consolidated Balance Sheet'!Z114+'Consolidated Balance Sheet'!Z115</f>
        <v>1038675.03</v>
      </c>
      <c r="AA46" s="16"/>
      <c r="AB46" s="55">
        <f>'Consolidated Balance Sheet'!AB112+'Consolidated Balance Sheet'!AB113+'Consolidated Balance Sheet'!AB114+'Consolidated Balance Sheet'!AB115</f>
        <v>247750</v>
      </c>
      <c r="AC46" s="16"/>
      <c r="AD46" s="55">
        <f>'Consolidated Balance Sheet'!AD112+'Consolidated Balance Sheet'!AD113+'Consolidated Balance Sheet'!AD114+'Consolidated Balance Sheet'!AD115</f>
        <v>5866002.1500000004</v>
      </c>
      <c r="AE46" s="16"/>
      <c r="AF46" s="16">
        <f>SUM(R46:AD46)</f>
        <v>7192281.1100000003</v>
      </c>
      <c r="AG46" s="9" t="s">
        <v>315</v>
      </c>
      <c r="AH46" s="16">
        <f>P46</f>
        <v>1327511.46</v>
      </c>
      <c r="AI46" s="16"/>
      <c r="AJ46" s="16">
        <f>AF46</f>
        <v>7192281.1100000003</v>
      </c>
      <c r="AK46" s="16"/>
      <c r="AL46" s="16">
        <f>AH46-AJ46</f>
        <v>-5864769.6500000004</v>
      </c>
      <c r="AM46" s="12"/>
      <c r="AN46" s="13">
        <f>AH46/AJ46</f>
        <v>0.18457446805774252</v>
      </c>
      <c r="AO46" s="13"/>
      <c r="AP46" s="14">
        <f>AN46-1</f>
        <v>-0.81542553194225742</v>
      </c>
    </row>
    <row r="47" spans="1:42" s="9" customFormat="1" ht="24.95" customHeight="1" x14ac:dyDescent="0.2">
      <c r="A47" s="20" t="s">
        <v>319</v>
      </c>
      <c r="B47" s="12">
        <f>SUM(B45:B46)</f>
        <v>41086.43</v>
      </c>
      <c r="C47" s="12"/>
      <c r="D47" s="12">
        <f>SUM(D45:D46)</f>
        <v>0</v>
      </c>
      <c r="E47" s="12"/>
      <c r="F47" s="12">
        <f>SUM(F45:F46)</f>
        <v>0</v>
      </c>
      <c r="G47" s="12"/>
      <c r="H47" s="12">
        <f>SUM(H45:H46)</f>
        <v>0</v>
      </c>
      <c r="I47" s="12"/>
      <c r="J47" s="12">
        <f>SUM(J45:J46)</f>
        <v>1038675.03</v>
      </c>
      <c r="K47" s="12"/>
      <c r="L47" s="12">
        <f>SUM(L45:L46)</f>
        <v>247750</v>
      </c>
      <c r="M47" s="12"/>
      <c r="N47" s="12">
        <f>SUM(N45:N46)</f>
        <v>0</v>
      </c>
      <c r="O47" s="12"/>
      <c r="P47" s="12">
        <f>SUM(P45:P46)</f>
        <v>1327511.46</v>
      </c>
      <c r="Q47" s="20" t="s">
        <v>319</v>
      </c>
      <c r="R47" s="54">
        <f>SUM(R45:R46)</f>
        <v>39853.93</v>
      </c>
      <c r="S47" s="12"/>
      <c r="T47" s="54">
        <f>SUM(T45:T46)</f>
        <v>0</v>
      </c>
      <c r="U47" s="12"/>
      <c r="V47" s="54">
        <f>SUM(V45:V46)</f>
        <v>0</v>
      </c>
      <c r="W47" s="12"/>
      <c r="X47" s="54">
        <f>SUM(X45:X46)</f>
        <v>0</v>
      </c>
      <c r="Y47" s="12"/>
      <c r="Z47" s="54">
        <f>SUM(Z45:Z46)</f>
        <v>1038675.03</v>
      </c>
      <c r="AA47" s="12"/>
      <c r="AB47" s="54">
        <f>SUM(AB45:AB46)</f>
        <v>247750</v>
      </c>
      <c r="AC47" s="12"/>
      <c r="AD47" s="54">
        <f>SUM(AD45:AD46)</f>
        <v>5866002.1500000004</v>
      </c>
      <c r="AE47" s="12"/>
      <c r="AF47" s="12">
        <f>SUM(AF45:AF46)</f>
        <v>7192281.1100000003</v>
      </c>
      <c r="AG47" s="20" t="s">
        <v>319</v>
      </c>
      <c r="AH47" s="12">
        <f>SUM(AH45:AH46)</f>
        <v>1327511.46</v>
      </c>
      <c r="AI47" s="12"/>
      <c r="AJ47" s="12">
        <f>SUM(AJ45:AJ46)</f>
        <v>7192281.1100000003</v>
      </c>
      <c r="AK47" s="12"/>
      <c r="AL47" s="12">
        <f>SUM(AL45:AL46)</f>
        <v>-5864769.6500000004</v>
      </c>
      <c r="AM47" s="12"/>
      <c r="AN47" s="13">
        <f>AH47/AJ47</f>
        <v>0.18457446805774252</v>
      </c>
      <c r="AO47" s="13"/>
      <c r="AP47" s="14">
        <f>AN47-1</f>
        <v>-0.81542553194225742</v>
      </c>
    </row>
    <row r="48" spans="1:42" s="9" customFormat="1" ht="24.95" customHeight="1" x14ac:dyDescent="0.2">
      <c r="A48" s="20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0"/>
      <c r="Q48" s="20"/>
      <c r="R48" s="60"/>
      <c r="S48" s="10"/>
      <c r="T48" s="60"/>
      <c r="U48" s="10"/>
      <c r="V48" s="60"/>
      <c r="W48" s="10"/>
      <c r="X48" s="60"/>
      <c r="Y48" s="10"/>
      <c r="Z48" s="60"/>
      <c r="AA48" s="10"/>
      <c r="AB48" s="60"/>
      <c r="AC48" s="10"/>
      <c r="AD48" s="60"/>
      <c r="AE48" s="10"/>
      <c r="AF48" s="10"/>
      <c r="AG48" s="20"/>
      <c r="AN48" s="10"/>
      <c r="AO48" s="10"/>
      <c r="AP48" s="14"/>
    </row>
    <row r="49" spans="1:42" s="9" customFormat="1" ht="24.95" customHeight="1" x14ac:dyDescent="0.2">
      <c r="A49" s="27" t="s">
        <v>320</v>
      </c>
      <c r="B49" s="21">
        <f>B47+B42</f>
        <v>58761721.799999997</v>
      </c>
      <c r="C49" s="21"/>
      <c r="D49" s="21">
        <f>D47+D42</f>
        <v>94959.65</v>
      </c>
      <c r="E49" s="21"/>
      <c r="F49" s="21">
        <f>F47+F42</f>
        <v>724328.52</v>
      </c>
      <c r="G49" s="21"/>
      <c r="H49" s="21">
        <f>H47+H42</f>
        <v>449450.7</v>
      </c>
      <c r="I49" s="21"/>
      <c r="J49" s="21">
        <f>J47+J42</f>
        <v>3231589.0700000003</v>
      </c>
      <c r="K49" s="21"/>
      <c r="L49" s="21">
        <f>L47+L42</f>
        <v>356008.46</v>
      </c>
      <c r="M49" s="21"/>
      <c r="N49" s="21">
        <f>N47+N42</f>
        <v>7322.3100000000068</v>
      </c>
      <c r="O49" s="21"/>
      <c r="P49" s="21">
        <f>P47+P42</f>
        <v>63625380.509999998</v>
      </c>
      <c r="Q49" s="27" t="s">
        <v>320</v>
      </c>
      <c r="R49" s="56">
        <f>R47+R42</f>
        <v>39974783.250000007</v>
      </c>
      <c r="S49" s="21"/>
      <c r="T49" s="56">
        <f>T47+T42</f>
        <v>634586.35</v>
      </c>
      <c r="U49" s="21"/>
      <c r="V49" s="56">
        <f>V47+V42</f>
        <v>494744.38</v>
      </c>
      <c r="W49" s="21"/>
      <c r="X49" s="56">
        <f>X47+X42</f>
        <v>300062.65000000002</v>
      </c>
      <c r="Y49" s="21"/>
      <c r="Z49" s="56">
        <f>Z47+Z42</f>
        <v>3243825.91</v>
      </c>
      <c r="AA49" s="21"/>
      <c r="AB49" s="56">
        <f>AB47+AB42</f>
        <v>344892.3</v>
      </c>
      <c r="AC49" s="21"/>
      <c r="AD49" s="56">
        <f>AD47+AD42</f>
        <v>6809219.6300000008</v>
      </c>
      <c r="AE49" s="21"/>
      <c r="AF49" s="21">
        <f>AF47+AF42</f>
        <v>51802114.469999999</v>
      </c>
      <c r="AG49" s="27" t="s">
        <v>320</v>
      </c>
      <c r="AH49" s="21">
        <f>AH42+AH47</f>
        <v>63625380.509999998</v>
      </c>
      <c r="AI49" s="21"/>
      <c r="AJ49" s="21">
        <f>AJ42+AJ47</f>
        <v>51802114.469999999</v>
      </c>
      <c r="AK49" s="21"/>
      <c r="AL49" s="21">
        <f>AL42+AL47</f>
        <v>11823266.03999999</v>
      </c>
      <c r="AM49" s="12"/>
      <c r="AN49" s="13">
        <f>AH49/AJ49</f>
        <v>1.2282390624584865</v>
      </c>
      <c r="AO49" s="13"/>
      <c r="AP49" s="14">
        <f>AN49-1</f>
        <v>0.22823906245848646</v>
      </c>
    </row>
    <row r="50" spans="1:42" s="9" customFormat="1" ht="24.95" customHeight="1" x14ac:dyDescent="0.2">
      <c r="B50" s="12"/>
      <c r="C50" s="12"/>
      <c r="D50" s="12"/>
      <c r="E50" s="12"/>
      <c r="F50" s="12"/>
      <c r="G50" s="12"/>
      <c r="P50" s="10"/>
      <c r="R50" s="60"/>
      <c r="S50" s="10"/>
      <c r="T50" s="60"/>
      <c r="U50" s="10"/>
      <c r="V50" s="60"/>
      <c r="W50" s="10"/>
      <c r="X50" s="60"/>
      <c r="Y50" s="10"/>
      <c r="Z50" s="60"/>
      <c r="AA50" s="10"/>
      <c r="AB50" s="60"/>
      <c r="AC50" s="10"/>
      <c r="AD50" s="60"/>
      <c r="AE50" s="10"/>
      <c r="AF50" s="10"/>
      <c r="AN50" s="10"/>
      <c r="AO50" s="10"/>
      <c r="AP50" s="19"/>
    </row>
    <row r="51" spans="1:42" s="9" customFormat="1" ht="24.95" customHeight="1" x14ac:dyDescent="0.2">
      <c r="A51" s="8" t="s">
        <v>160</v>
      </c>
      <c r="B51" s="12"/>
      <c r="C51" s="12"/>
      <c r="D51" s="12"/>
      <c r="E51" s="12"/>
      <c r="F51" s="12"/>
      <c r="G51" s="12"/>
      <c r="P51" s="10"/>
      <c r="Q51" s="8" t="s">
        <v>160</v>
      </c>
      <c r="R51" s="60"/>
      <c r="S51" s="10"/>
      <c r="T51" s="60"/>
      <c r="U51" s="10"/>
      <c r="V51" s="60"/>
      <c r="W51" s="10"/>
      <c r="X51" s="60"/>
      <c r="Y51" s="10"/>
      <c r="Z51" s="60"/>
      <c r="AA51" s="10"/>
      <c r="AB51" s="60"/>
      <c r="AC51" s="10"/>
      <c r="AD51" s="60"/>
      <c r="AE51" s="10"/>
      <c r="AF51" s="10"/>
      <c r="AG51" s="8" t="s">
        <v>160</v>
      </c>
      <c r="AN51" s="10"/>
      <c r="AO51" s="10"/>
      <c r="AP51" s="19"/>
    </row>
    <row r="52" spans="1:42" s="9" customFormat="1" ht="24.95" customHeight="1" x14ac:dyDescent="0.2">
      <c r="A52" s="9" t="s">
        <v>321</v>
      </c>
      <c r="B52" s="12">
        <f>'Consolidated Balance Sheet'!B121</f>
        <v>152325</v>
      </c>
      <c r="C52" s="12">
        <f>'Consolidated Balance Sheet'!C121</f>
        <v>0</v>
      </c>
      <c r="D52" s="12">
        <f>'Consolidated Balance Sheet'!D121</f>
        <v>0</v>
      </c>
      <c r="E52" s="12">
        <f>'Consolidated Balance Sheet'!E121</f>
        <v>0</v>
      </c>
      <c r="F52" s="12">
        <f>'Consolidated Balance Sheet'!F121</f>
        <v>1000</v>
      </c>
      <c r="G52" s="12">
        <f>'Consolidated Balance Sheet'!G121</f>
        <v>0</v>
      </c>
      <c r="H52" s="12">
        <f>'Consolidated Balance Sheet'!H121</f>
        <v>0</v>
      </c>
      <c r="I52" s="12">
        <f>'Consolidated Balance Sheet'!I121</f>
        <v>0</v>
      </c>
      <c r="J52" s="12">
        <f>'Consolidated Balance Sheet'!J121</f>
        <v>25000.03</v>
      </c>
      <c r="K52" s="12">
        <f>'Consolidated Balance Sheet'!K121</f>
        <v>0</v>
      </c>
      <c r="L52" s="12">
        <f>'Consolidated Balance Sheet'!L121</f>
        <v>0</v>
      </c>
      <c r="M52" s="12"/>
      <c r="N52" s="12">
        <f>'Consolidated Balance Sheet'!N121</f>
        <v>0</v>
      </c>
      <c r="O52" s="12"/>
      <c r="P52" s="12">
        <f>SUM(B52:N52)</f>
        <v>178325.03</v>
      </c>
      <c r="Q52" s="9" t="s">
        <v>321</v>
      </c>
      <c r="R52" s="54">
        <f>'Consolidated Balance Sheet'!R121</f>
        <v>152325</v>
      </c>
      <c r="S52" s="12"/>
      <c r="T52" s="54">
        <f>'Consolidated Balance Sheet'!T121</f>
        <v>0</v>
      </c>
      <c r="U52" s="12"/>
      <c r="V52" s="54">
        <f>'Consolidated Balance Sheet'!V121</f>
        <v>1000</v>
      </c>
      <c r="W52" s="12"/>
      <c r="X52" s="54">
        <f>'Consolidated Balance Sheet'!X121</f>
        <v>0</v>
      </c>
      <c r="Y52" s="12"/>
      <c r="Z52" s="54">
        <f>'Consolidated Balance Sheet'!Z121</f>
        <v>25000.03</v>
      </c>
      <c r="AA52" s="12"/>
      <c r="AB52" s="54">
        <f>'Consolidated Balance Sheet'!AB121</f>
        <v>0</v>
      </c>
      <c r="AC52" s="12"/>
      <c r="AD52" s="54">
        <f>'Consolidated Balance Sheet'!AD121</f>
        <v>0</v>
      </c>
      <c r="AE52" s="12"/>
      <c r="AF52" s="12">
        <f>SUM(R52:AD52)</f>
        <v>178325.03</v>
      </c>
      <c r="AG52" s="9" t="s">
        <v>321</v>
      </c>
      <c r="AH52" s="12">
        <f>P52</f>
        <v>178325.03</v>
      </c>
      <c r="AI52" s="12"/>
      <c r="AJ52" s="12">
        <f>AF52</f>
        <v>178325.03</v>
      </c>
      <c r="AK52" s="12"/>
      <c r="AL52" s="12">
        <f>AH52-AJ52</f>
        <v>0</v>
      </c>
      <c r="AM52" s="12"/>
      <c r="AN52" s="13">
        <f t="shared" ref="AN52:AN58" si="23">AH52/AJ52</f>
        <v>1</v>
      </c>
      <c r="AO52" s="13"/>
      <c r="AP52" s="14">
        <f t="shared" ref="AP52:AP58" si="24">AN52-1</f>
        <v>0</v>
      </c>
    </row>
    <row r="53" spans="1:42" s="9" customFormat="1" ht="24.95" customHeight="1" x14ac:dyDescent="0.2">
      <c r="A53" s="9" t="s">
        <v>479</v>
      </c>
      <c r="B53" s="12">
        <f>'Consolidated Balance Sheet'!B122+'Consolidated Balance Sheet'!B123+'Consolidated Balance Sheet'!B124</f>
        <v>6395852.5700000003</v>
      </c>
      <c r="C53" s="12">
        <f>'Consolidated Balance Sheet'!C122+'Consolidated Balance Sheet'!C123+'Consolidated Balance Sheet'!C124</f>
        <v>0</v>
      </c>
      <c r="D53" s="12">
        <f>'Consolidated Balance Sheet'!D122+'Consolidated Balance Sheet'!D123+'Consolidated Balance Sheet'!D124</f>
        <v>393958.24</v>
      </c>
      <c r="E53" s="12">
        <f>'Consolidated Balance Sheet'!E122+'Consolidated Balance Sheet'!E123+'Consolidated Balance Sheet'!E124</f>
        <v>0</v>
      </c>
      <c r="F53" s="12">
        <f>'Consolidated Balance Sheet'!F122+'Consolidated Balance Sheet'!F123+'Consolidated Balance Sheet'!F124</f>
        <v>833807.64</v>
      </c>
      <c r="G53" s="12">
        <f>'Consolidated Balance Sheet'!G122+'Consolidated Balance Sheet'!G123+'Consolidated Balance Sheet'!G124</f>
        <v>0</v>
      </c>
      <c r="H53" s="12">
        <f>'Consolidated Balance Sheet'!H122+'Consolidated Balance Sheet'!H123+'Consolidated Balance Sheet'!H124</f>
        <v>437354.29000000004</v>
      </c>
      <c r="I53" s="12">
        <f>'Consolidated Balance Sheet'!I122+'Consolidated Balance Sheet'!I123+'Consolidated Balance Sheet'!I124</f>
        <v>0</v>
      </c>
      <c r="J53" s="12">
        <f>'Consolidated Balance Sheet'!J122+'Consolidated Balance Sheet'!J123+'Consolidated Balance Sheet'!J124</f>
        <v>-1141707.8400000001</v>
      </c>
      <c r="K53" s="12">
        <f>'Consolidated Balance Sheet'!K122+'Consolidated Balance Sheet'!K123+'Consolidated Balance Sheet'!K124</f>
        <v>0</v>
      </c>
      <c r="L53" s="12">
        <f>'Consolidated Balance Sheet'!L122+'Consolidated Balance Sheet'!L123+'Consolidated Balance Sheet'!L124</f>
        <v>5080127.92</v>
      </c>
      <c r="M53" s="12"/>
      <c r="N53" s="12">
        <f>'Consolidated Balance Sheet'!N122+'Consolidated Balance Sheet'!N123+'Consolidated Balance Sheet'!N124</f>
        <v>2210807.1800000002</v>
      </c>
      <c r="O53" s="12"/>
      <c r="P53" s="12">
        <f>SUM(B53:N53)</f>
        <v>14210200</v>
      </c>
      <c r="Q53" s="9" t="s">
        <v>507</v>
      </c>
      <c r="R53" s="54">
        <f>'Consolidated Balance Sheet'!R122+'Consolidated Balance Sheet'!R123+'Consolidated Balance Sheet'!R124</f>
        <v>11274858.709999999</v>
      </c>
      <c r="S53" s="12"/>
      <c r="T53" s="54">
        <f>'Consolidated Balance Sheet'!T122+'Consolidated Balance Sheet'!T123+'Consolidated Balance Sheet'!T124</f>
        <v>2238354.9299999997</v>
      </c>
      <c r="U53" s="12"/>
      <c r="V53" s="54">
        <f>'Consolidated Balance Sheet'!V122+'Consolidated Balance Sheet'!V123+'Consolidated Balance Sheet'!V124</f>
        <v>319613.15999999997</v>
      </c>
      <c r="W53" s="12"/>
      <c r="X53" s="54">
        <f>'Consolidated Balance Sheet'!X122+'Consolidated Balance Sheet'!X123+'Consolidated Balance Sheet'!X124</f>
        <v>399058.06</v>
      </c>
      <c r="Y53" s="12"/>
      <c r="Z53" s="54">
        <f>'Consolidated Balance Sheet'!Z122+'Consolidated Balance Sheet'!Z123+'Consolidated Balance Sheet'!Z124</f>
        <v>-1093954.27</v>
      </c>
      <c r="AA53" s="12"/>
      <c r="AB53" s="54">
        <f>'Consolidated Balance Sheet'!AB122+'Consolidated Balance Sheet'!AB123+'Consolidated Balance Sheet'!AB124</f>
        <v>4882168.78</v>
      </c>
      <c r="AC53" s="12"/>
      <c r="AD53" s="54">
        <f>'Consolidated Balance Sheet'!AD122+'Consolidated Balance Sheet'!AD123+'Consolidated Balance Sheet'!AD124</f>
        <v>1446494.9100000001</v>
      </c>
      <c r="AE53" s="12"/>
      <c r="AF53" s="12">
        <f>SUM(R53:AD53)</f>
        <v>19466594.280000001</v>
      </c>
      <c r="AG53" s="9" t="s">
        <v>322</v>
      </c>
      <c r="AH53" s="12">
        <f>P53</f>
        <v>14210200</v>
      </c>
      <c r="AI53" s="12"/>
      <c r="AJ53" s="12">
        <f>AF53</f>
        <v>19466594.280000001</v>
      </c>
      <c r="AK53" s="12"/>
      <c r="AL53" s="12">
        <f>AH53-AJ53</f>
        <v>-5256394.2800000012</v>
      </c>
      <c r="AM53" s="12"/>
      <c r="AN53" s="13">
        <f t="shared" si="23"/>
        <v>0.72997874181821187</v>
      </c>
      <c r="AO53" s="13"/>
      <c r="AP53" s="14">
        <f t="shared" si="24"/>
        <v>-0.27002125818178813</v>
      </c>
    </row>
    <row r="54" spans="1:42" s="9" customFormat="1" ht="24.95" customHeight="1" x14ac:dyDescent="0.2">
      <c r="A54" s="9" t="s">
        <v>548</v>
      </c>
      <c r="B54" s="12">
        <f>'Consolidated Balance Sheet'!B125</f>
        <v>0</v>
      </c>
      <c r="C54" s="12">
        <f>'Consolidated Balance Sheet'!C123+'Consolidated Balance Sheet'!C124+'Consolidated Balance Sheet'!C125</f>
        <v>0</v>
      </c>
      <c r="D54" s="12">
        <f>'Consolidated Balance Sheet'!D125</f>
        <v>0</v>
      </c>
      <c r="E54" s="12">
        <f>'Consolidated Balance Sheet'!E123+'Consolidated Balance Sheet'!E124+'Consolidated Balance Sheet'!E125</f>
        <v>0</v>
      </c>
      <c r="F54" s="12">
        <f>'Consolidated Balance Sheet'!F125</f>
        <v>6646143.8700000001</v>
      </c>
      <c r="G54" s="12">
        <f>'Consolidated Balance Sheet'!G123+'Consolidated Balance Sheet'!G124+'Consolidated Balance Sheet'!G125</f>
        <v>0</v>
      </c>
      <c r="H54" s="12">
        <f>'Consolidated Balance Sheet'!H125</f>
        <v>0</v>
      </c>
      <c r="I54" s="12">
        <f>'Consolidated Balance Sheet'!I123+'Consolidated Balance Sheet'!I124+'Consolidated Balance Sheet'!I125</f>
        <v>0</v>
      </c>
      <c r="J54" s="12">
        <f>'Consolidated Balance Sheet'!J125</f>
        <v>0</v>
      </c>
      <c r="K54" s="12">
        <f>'Consolidated Balance Sheet'!K123+'Consolidated Balance Sheet'!K124+'Consolidated Balance Sheet'!K125</f>
        <v>0</v>
      </c>
      <c r="L54" s="12">
        <f>'Consolidated Balance Sheet'!L125</f>
        <v>0</v>
      </c>
      <c r="M54" s="12"/>
      <c r="N54" s="12">
        <f>'Consolidated Balance Sheet'!N125</f>
        <v>6126127.2300000004</v>
      </c>
      <c r="O54" s="12"/>
      <c r="P54" s="12">
        <f>SUM(B54:N54)</f>
        <v>12772271.100000001</v>
      </c>
      <c r="Q54" s="9" t="s">
        <v>548</v>
      </c>
      <c r="R54" s="54">
        <f>'Consolidated Balance Sheet'!R125</f>
        <v>0</v>
      </c>
      <c r="S54" s="12"/>
      <c r="T54" s="54">
        <f>'Consolidated Balance Sheet'!T125</f>
        <v>0</v>
      </c>
      <c r="U54" s="12"/>
      <c r="V54" s="54">
        <f>'Consolidated Balance Sheet'!V125</f>
        <v>4996824.41</v>
      </c>
      <c r="W54" s="12"/>
      <c r="X54" s="54">
        <f>'Consolidated Balance Sheet'!X125</f>
        <v>0</v>
      </c>
      <c r="Y54" s="12"/>
      <c r="Z54" s="54">
        <f>'Consolidated Balance Sheet'!Z125</f>
        <v>0</v>
      </c>
      <c r="AA54" s="12"/>
      <c r="AB54" s="54">
        <f>'Consolidated Balance Sheet'!AB125</f>
        <v>0</v>
      </c>
      <c r="AC54" s="12"/>
      <c r="AD54" s="54">
        <f>'Consolidated Balance Sheet'!AD125</f>
        <v>0</v>
      </c>
      <c r="AE54" s="12"/>
      <c r="AF54" s="12">
        <f>SUM(R54:AD54)</f>
        <v>4996824.41</v>
      </c>
      <c r="AG54" s="9" t="s">
        <v>548</v>
      </c>
      <c r="AH54" s="12">
        <f>P54</f>
        <v>12772271.100000001</v>
      </c>
      <c r="AI54" s="12">
        <v>0</v>
      </c>
      <c r="AJ54" s="12">
        <f>AF54</f>
        <v>4996824.41</v>
      </c>
      <c r="AK54" s="12"/>
      <c r="AL54" s="12">
        <f>AH54-AJ54</f>
        <v>7775446.6900000013</v>
      </c>
      <c r="AM54" s="12"/>
      <c r="AN54" s="13"/>
      <c r="AO54" s="13"/>
      <c r="AP54" s="14"/>
    </row>
    <row r="55" spans="1:42" s="9" customFormat="1" ht="24.95" customHeight="1" x14ac:dyDescent="0.2">
      <c r="A55" s="9" t="s">
        <v>325</v>
      </c>
      <c r="B55" s="16">
        <f>'Consolidated Balance Sheet'!B126+'Consolidated Balance Sheet'!B127+'Consolidated Balance Sheet'!B128+'Consolidated Balance Sheet'!B129+'Consolidated Balance Sheet'!B130+'Consolidated Balance Sheet'!B131+'Consolidated Balance Sheet'!B132</f>
        <v>-18000</v>
      </c>
      <c r="C55" s="16">
        <f>'Consolidated Balance Sheet'!C126+'Consolidated Balance Sheet'!C127+'Consolidated Balance Sheet'!C128+'Consolidated Balance Sheet'!C129+'Consolidated Balance Sheet'!C130+'Consolidated Balance Sheet'!C131+'Consolidated Balance Sheet'!C132</f>
        <v>0</v>
      </c>
      <c r="D55" s="16">
        <f>'Consolidated Balance Sheet'!D126+'Consolidated Balance Sheet'!D127+'Consolidated Balance Sheet'!D128+'Consolidated Balance Sheet'!D129+'Consolidated Balance Sheet'!D130+'Consolidated Balance Sheet'!D131+'Consolidated Balance Sheet'!D132</f>
        <v>0</v>
      </c>
      <c r="E55" s="16">
        <f>'Consolidated Balance Sheet'!E126+'Consolidated Balance Sheet'!E127+'Consolidated Balance Sheet'!E128+'Consolidated Balance Sheet'!E129+'Consolidated Balance Sheet'!E130+'Consolidated Balance Sheet'!E131+'Consolidated Balance Sheet'!E132</f>
        <v>0</v>
      </c>
      <c r="F55" s="16">
        <f>'Consolidated Balance Sheet'!F126+'Consolidated Balance Sheet'!F127+'Consolidated Balance Sheet'!F128+'Consolidated Balance Sheet'!F129+'Consolidated Balance Sheet'!F130+'Consolidated Balance Sheet'!F131+'Consolidated Balance Sheet'!F132</f>
        <v>0</v>
      </c>
      <c r="G55" s="16">
        <f>'Consolidated Balance Sheet'!G126+'Consolidated Balance Sheet'!G127+'Consolidated Balance Sheet'!G128+'Consolidated Balance Sheet'!G129+'Consolidated Balance Sheet'!G130+'Consolidated Balance Sheet'!G131+'Consolidated Balance Sheet'!G132</f>
        <v>0</v>
      </c>
      <c r="H55" s="16">
        <f>'Consolidated Balance Sheet'!H126+'Consolidated Balance Sheet'!H127+'Consolidated Balance Sheet'!H128+'Consolidated Balance Sheet'!H129+'Consolidated Balance Sheet'!H130+'Consolidated Balance Sheet'!H131+'Consolidated Balance Sheet'!H132</f>
        <v>0</v>
      </c>
      <c r="I55" s="16">
        <f>'Consolidated Balance Sheet'!I126+'Consolidated Balance Sheet'!I127+'Consolidated Balance Sheet'!I128+'Consolidated Balance Sheet'!I129+'Consolidated Balance Sheet'!I130+'Consolidated Balance Sheet'!I131+'Consolidated Balance Sheet'!I132</f>
        <v>0</v>
      </c>
      <c r="J55" s="16">
        <f>'Consolidated Balance Sheet'!J126+'Consolidated Balance Sheet'!J127+'Consolidated Balance Sheet'!J128+'Consolidated Balance Sheet'!J129+'Consolidated Balance Sheet'!J130+'Consolidated Balance Sheet'!J131+'Consolidated Balance Sheet'!J132</f>
        <v>0</v>
      </c>
      <c r="K55" s="16">
        <f>'Consolidated Balance Sheet'!K126+'Consolidated Balance Sheet'!K127+'Consolidated Balance Sheet'!K128+'Consolidated Balance Sheet'!K129+'Consolidated Balance Sheet'!K130+'Consolidated Balance Sheet'!K131+'Consolidated Balance Sheet'!K132</f>
        <v>0</v>
      </c>
      <c r="L55" s="16">
        <f>'Consolidated Balance Sheet'!L126+'Consolidated Balance Sheet'!L127+'Consolidated Balance Sheet'!L128+'Consolidated Balance Sheet'!L129+'Consolidated Balance Sheet'!L130+'Consolidated Balance Sheet'!L131+'Consolidated Balance Sheet'!L132</f>
        <v>0</v>
      </c>
      <c r="M55" s="16"/>
      <c r="N55" s="16">
        <f>'Consolidated Balance Sheet'!N126+'Consolidated Balance Sheet'!N127+'Consolidated Balance Sheet'!N128+'Consolidated Balance Sheet'!N129+'Consolidated Balance Sheet'!N130+'Consolidated Balance Sheet'!N131+'Consolidated Balance Sheet'!N132</f>
        <v>0</v>
      </c>
      <c r="O55" s="16"/>
      <c r="P55" s="16">
        <f>SUM(B55:N55)</f>
        <v>-18000</v>
      </c>
      <c r="Q55" s="9" t="s">
        <v>325</v>
      </c>
      <c r="R55" s="55">
        <v>0</v>
      </c>
      <c r="S55" s="16"/>
      <c r="T55" s="55">
        <f>'Consolidated Balance Sheet'!T126+'Consolidated Balance Sheet'!T127+'Consolidated Balance Sheet'!T128+'Consolidated Balance Sheet'!T129+'Consolidated Balance Sheet'!T130+'Consolidated Balance Sheet'!T131+'Consolidated Balance Sheet'!T132</f>
        <v>0</v>
      </c>
      <c r="U55" s="16"/>
      <c r="V55" s="55">
        <f>'Consolidated Balance Sheet'!V126+'Consolidated Balance Sheet'!V127+'Consolidated Balance Sheet'!V128+'Consolidated Balance Sheet'!V129+'Consolidated Balance Sheet'!V130+'Consolidated Balance Sheet'!V131+'Consolidated Balance Sheet'!V132</f>
        <v>0</v>
      </c>
      <c r="W55" s="16"/>
      <c r="X55" s="55">
        <f>'Consolidated Balance Sheet'!X126+'Consolidated Balance Sheet'!X127+'Consolidated Balance Sheet'!X128+'Consolidated Balance Sheet'!X129+'Consolidated Balance Sheet'!X130+'Consolidated Balance Sheet'!X131+'Consolidated Balance Sheet'!X132</f>
        <v>0</v>
      </c>
      <c r="Y55" s="16"/>
      <c r="Z55" s="55">
        <f>'Consolidated Balance Sheet'!Z126+'Consolidated Balance Sheet'!Z127+'Consolidated Balance Sheet'!Z128+'Consolidated Balance Sheet'!Z129+'Consolidated Balance Sheet'!Z130+'Consolidated Balance Sheet'!Z131+'Consolidated Balance Sheet'!Z132</f>
        <v>0</v>
      </c>
      <c r="AA55" s="16"/>
      <c r="AB55" s="55">
        <f>'Consolidated Balance Sheet'!AB126+'Consolidated Balance Sheet'!AB127+'Consolidated Balance Sheet'!AB128+'Consolidated Balance Sheet'!AB129+'Consolidated Balance Sheet'!AB130+'Consolidated Balance Sheet'!AB131+'Consolidated Balance Sheet'!AB132</f>
        <v>0</v>
      </c>
      <c r="AC55" s="16"/>
      <c r="AD55" s="55">
        <f>'Consolidated Balance Sheet'!AD126+'Consolidated Balance Sheet'!AD127+'Consolidated Balance Sheet'!AD128+'Consolidated Balance Sheet'!AD129+'Consolidated Balance Sheet'!AD130+'Consolidated Balance Sheet'!AD131+'Consolidated Balance Sheet'!AD132</f>
        <v>0</v>
      </c>
      <c r="AE55" s="16"/>
      <c r="AF55" s="16">
        <f>SUM(R55:AD55)</f>
        <v>0</v>
      </c>
      <c r="AG55" s="9" t="s">
        <v>325</v>
      </c>
      <c r="AH55" s="12">
        <f>P55</f>
        <v>-18000</v>
      </c>
      <c r="AI55" s="12"/>
      <c r="AJ55" s="12">
        <f>AF55</f>
        <v>0</v>
      </c>
      <c r="AK55" s="12"/>
      <c r="AL55" s="12">
        <f>AH55-AJ55</f>
        <v>-18000</v>
      </c>
      <c r="AM55" s="12"/>
      <c r="AN55" s="13" t="e">
        <f t="shared" si="23"/>
        <v>#DIV/0!</v>
      </c>
      <c r="AO55" s="13"/>
      <c r="AP55" s="14" t="e">
        <f t="shared" si="24"/>
        <v>#DIV/0!</v>
      </c>
    </row>
    <row r="56" spans="1:42" s="9" customFormat="1" ht="24.95" customHeight="1" x14ac:dyDescent="0.2">
      <c r="A56" s="27" t="s">
        <v>331</v>
      </c>
      <c r="B56" s="21">
        <f>SUM(B52:B55)</f>
        <v>6530177.5700000003</v>
      </c>
      <c r="C56" s="21"/>
      <c r="D56" s="21">
        <f>SUM(D52:D55)</f>
        <v>393958.24</v>
      </c>
      <c r="E56" s="21"/>
      <c r="F56" s="21">
        <f>SUM(F52:F55)</f>
        <v>7480951.5099999998</v>
      </c>
      <c r="G56" s="21"/>
      <c r="H56" s="21">
        <f>SUM(H52:H55)</f>
        <v>437354.29000000004</v>
      </c>
      <c r="I56" s="21"/>
      <c r="J56" s="21">
        <f>SUM(J52:J55)</f>
        <v>-1116707.81</v>
      </c>
      <c r="K56" s="21"/>
      <c r="L56" s="21">
        <f>SUM(L52:L55)</f>
        <v>5080127.92</v>
      </c>
      <c r="M56" s="21"/>
      <c r="N56" s="21">
        <f>SUM(N52:N55)</f>
        <v>8336934.4100000001</v>
      </c>
      <c r="O56" s="21"/>
      <c r="P56" s="21">
        <f>SUM(P52:P55)</f>
        <v>27142796.130000003</v>
      </c>
      <c r="Q56" s="27" t="s">
        <v>331</v>
      </c>
      <c r="R56" s="56">
        <f>SUM(R52:R55)</f>
        <v>11427183.709999999</v>
      </c>
      <c r="S56" s="21"/>
      <c r="T56" s="56">
        <f t="shared" ref="T56:AB56" si="25">SUM(T52:T55)</f>
        <v>2238354.9299999997</v>
      </c>
      <c r="U56" s="21"/>
      <c r="V56" s="56">
        <f t="shared" si="25"/>
        <v>5317437.57</v>
      </c>
      <c r="W56" s="21"/>
      <c r="X56" s="56">
        <f t="shared" si="25"/>
        <v>399058.06</v>
      </c>
      <c r="Y56" s="21"/>
      <c r="Z56" s="56">
        <f t="shared" si="25"/>
        <v>-1068954.24</v>
      </c>
      <c r="AA56" s="21"/>
      <c r="AB56" s="56">
        <f t="shared" si="25"/>
        <v>4882168.78</v>
      </c>
      <c r="AC56" s="21"/>
      <c r="AD56" s="56">
        <f>SUM(AD52:AD55)</f>
        <v>1446494.9100000001</v>
      </c>
      <c r="AE56" s="21"/>
      <c r="AF56" s="21">
        <f>SUM(AF52:AF55)</f>
        <v>24641743.720000003</v>
      </c>
      <c r="AG56" s="27" t="s">
        <v>331</v>
      </c>
      <c r="AH56" s="21">
        <f>SUM(AH52:AH55)</f>
        <v>27142796.130000003</v>
      </c>
      <c r="AI56" s="21"/>
      <c r="AJ56" s="21">
        <f>SUM(AJ52:AJ55)</f>
        <v>24641743.720000003</v>
      </c>
      <c r="AK56" s="21"/>
      <c r="AL56" s="21">
        <f>SUM(AL52:AL55)</f>
        <v>2501052.41</v>
      </c>
      <c r="AM56" s="22"/>
      <c r="AN56" s="13">
        <f t="shared" si="23"/>
        <v>1.1014965677112398</v>
      </c>
      <c r="AO56" s="13"/>
      <c r="AP56" s="14">
        <f t="shared" si="24"/>
        <v>0.10149656771123983</v>
      </c>
    </row>
    <row r="57" spans="1:42" s="9" customFormat="1" ht="24.95" customHeight="1" x14ac:dyDescent="0.2">
      <c r="B57" s="12"/>
      <c r="C57" s="12"/>
      <c r="D57" s="12"/>
      <c r="E57" s="12"/>
      <c r="F57" s="12"/>
      <c r="G57" s="12"/>
      <c r="P57" s="10"/>
      <c r="R57" s="60"/>
      <c r="S57" s="10"/>
      <c r="T57" s="60"/>
      <c r="U57" s="10"/>
      <c r="V57" s="60"/>
      <c r="W57" s="10"/>
      <c r="X57" s="60"/>
      <c r="Y57" s="10"/>
      <c r="Z57" s="60"/>
      <c r="AA57" s="10"/>
      <c r="AB57" s="60"/>
      <c r="AC57" s="10"/>
      <c r="AD57" s="60"/>
      <c r="AE57" s="10"/>
      <c r="AF57" s="10"/>
      <c r="AN57" s="13"/>
      <c r="AO57" s="13"/>
      <c r="AP57" s="19"/>
    </row>
    <row r="58" spans="1:42" s="9" customFormat="1" ht="24.95" customHeight="1" thickBot="1" x14ac:dyDescent="0.25">
      <c r="A58" s="8" t="s">
        <v>333</v>
      </c>
      <c r="B58" s="23">
        <f>SUM(B56,B47,B42)</f>
        <v>65291899.369999997</v>
      </c>
      <c r="C58" s="23"/>
      <c r="D58" s="23">
        <f>SUM(D56,D47,D42)</f>
        <v>488917.89</v>
      </c>
      <c r="E58" s="23"/>
      <c r="F58" s="23">
        <f>SUM(F56,F47,F42)</f>
        <v>8205280.0299999993</v>
      </c>
      <c r="G58" s="23"/>
      <c r="H58" s="23">
        <f>SUM(H56,H47,H42)</f>
        <v>886804.99</v>
      </c>
      <c r="I58" s="23"/>
      <c r="J58" s="23">
        <f>SUM(J56,J47,J42)</f>
        <v>2114881.2599999998</v>
      </c>
      <c r="K58" s="23"/>
      <c r="L58" s="23">
        <f>SUM(L56,L47,L42)</f>
        <v>5436136.3799999999</v>
      </c>
      <c r="M58" s="23"/>
      <c r="N58" s="23">
        <f>SUM(N56,N47,N42)</f>
        <v>8344256.7199999997</v>
      </c>
      <c r="O58" s="23"/>
      <c r="P58" s="23">
        <f>SUM(P56,P47,P42)</f>
        <v>90768176.640000001</v>
      </c>
      <c r="Q58" s="8" t="s">
        <v>333</v>
      </c>
      <c r="R58" s="57">
        <f>SUM(R56,R47,R42)</f>
        <v>51401966.960000008</v>
      </c>
      <c r="S58" s="23"/>
      <c r="T58" s="57">
        <f>SUM(T56,T47,T42)</f>
        <v>2872941.28</v>
      </c>
      <c r="U58" s="23"/>
      <c r="V58" s="57">
        <f>SUM(V56,V47,V42)</f>
        <v>5812181.9500000002</v>
      </c>
      <c r="W58" s="23"/>
      <c r="X58" s="57">
        <f>SUM(X56,X47,X42)</f>
        <v>699120.71</v>
      </c>
      <c r="Y58" s="23"/>
      <c r="Z58" s="57">
        <f>SUM(Z56,Z47,Z42)</f>
        <v>2174871.67</v>
      </c>
      <c r="AA58" s="23"/>
      <c r="AB58" s="57">
        <f>SUM(AB56,AB47,AB42)</f>
        <v>5227061.08</v>
      </c>
      <c r="AC58" s="23"/>
      <c r="AD58" s="57">
        <f>SUM(AD56,AD47,AD42)</f>
        <v>8255714.540000001</v>
      </c>
      <c r="AE58" s="23"/>
      <c r="AF58" s="23">
        <f>SUM(AF56,AF47,AF42)</f>
        <v>76443858.189999998</v>
      </c>
      <c r="AG58" s="8" t="s">
        <v>333</v>
      </c>
      <c r="AH58" s="23">
        <f>SUM(AH56,AH47,AH42)</f>
        <v>90768176.640000001</v>
      </c>
      <c r="AI58" s="23"/>
      <c r="AJ58" s="23">
        <f>SUM(AJ56,AJ47,AJ42)</f>
        <v>76443858.189999998</v>
      </c>
      <c r="AK58" s="23"/>
      <c r="AL58" s="23">
        <f>SUM(AL56,AL47,AL42)</f>
        <v>14324318.44999999</v>
      </c>
      <c r="AM58" s="25"/>
      <c r="AN58" s="13">
        <f t="shared" si="23"/>
        <v>1.1873835097961323</v>
      </c>
      <c r="AO58" s="13"/>
      <c r="AP58" s="14">
        <f t="shared" si="24"/>
        <v>0.18738350979613227</v>
      </c>
    </row>
    <row r="59" spans="1:42" ht="15.75" thickTop="1" x14ac:dyDescent="0.2">
      <c r="B59" s="3">
        <f>B58-CNT!U154</f>
        <v>0</v>
      </c>
      <c r="C59" s="3"/>
      <c r="D59" s="3">
        <f>D58-D30</f>
        <v>0</v>
      </c>
      <c r="E59" s="3"/>
      <c r="F59" s="3">
        <f>F58-F30</f>
        <v>0</v>
      </c>
      <c r="G59" s="3"/>
      <c r="H59" s="3">
        <f>H58-H30</f>
        <v>0</v>
      </c>
      <c r="I59" s="3"/>
      <c r="J59" s="3">
        <f>J58-J30</f>
        <v>0</v>
      </c>
      <c r="K59" s="3"/>
      <c r="L59" s="3">
        <f>L58-L30</f>
        <v>0</v>
      </c>
      <c r="M59" s="3"/>
      <c r="N59" s="3">
        <f>N58-N30</f>
        <v>0</v>
      </c>
      <c r="O59" s="3"/>
      <c r="P59" s="3">
        <f>P58-P30</f>
        <v>0</v>
      </c>
      <c r="R59" s="58">
        <f>R58-R30</f>
        <v>0</v>
      </c>
      <c r="T59" s="58">
        <f>T58-T30</f>
        <v>0</v>
      </c>
      <c r="U59" s="3"/>
      <c r="V59" s="58">
        <f>V58-V30</f>
        <v>0</v>
      </c>
      <c r="X59" s="58">
        <f>X58-X30</f>
        <v>0</v>
      </c>
      <c r="Z59" s="58">
        <f>Z58-Z30</f>
        <v>0</v>
      </c>
      <c r="AB59" s="58">
        <f>AB58-AB30</f>
        <v>0</v>
      </c>
      <c r="AD59" s="58">
        <f>AD58-AD30</f>
        <v>0</v>
      </c>
      <c r="AE59" s="3"/>
      <c r="AF59" s="3">
        <f>AF58-AF30</f>
        <v>0</v>
      </c>
      <c r="AG59" s="3"/>
      <c r="AH59" s="3">
        <f>AH58-AH30</f>
        <v>0</v>
      </c>
      <c r="AI59" s="3"/>
      <c r="AJ59" s="3">
        <f>AJ58-AJ30</f>
        <v>0</v>
      </c>
      <c r="AK59" s="3"/>
      <c r="AL59" s="3">
        <f>AL58-AL30</f>
        <v>-1.6763806343078613E-8</v>
      </c>
      <c r="AM59" s="3"/>
      <c r="AN59" s="4">
        <f>AN58-AN30</f>
        <v>0</v>
      </c>
      <c r="AO59" s="3"/>
      <c r="AP59" s="3">
        <f>AP58-AP30</f>
        <v>-2.2204460492503131E-16</v>
      </c>
    </row>
    <row r="60" spans="1:42" x14ac:dyDescent="0.2">
      <c r="B60" s="3">
        <f>B58-B30</f>
        <v>0</v>
      </c>
      <c r="C60" s="3"/>
      <c r="D60" s="3">
        <f>D58-D30</f>
        <v>0</v>
      </c>
      <c r="E60" s="3"/>
      <c r="F60" s="3">
        <f>F58-F30</f>
        <v>0</v>
      </c>
      <c r="G60" s="3"/>
      <c r="H60" s="3">
        <f>H58-H30</f>
        <v>0</v>
      </c>
      <c r="J60" s="3">
        <f>J58-J30</f>
        <v>0</v>
      </c>
      <c r="L60" s="3">
        <f>L58-L30</f>
        <v>0</v>
      </c>
      <c r="N60" s="3">
        <f>N58-N30</f>
        <v>0</v>
      </c>
      <c r="P60" s="3">
        <f>P58-P30</f>
        <v>0</v>
      </c>
      <c r="R60" s="61">
        <f>'Consolidated Balance Sheet'!R135</f>
        <v>51401966.960000008</v>
      </c>
      <c r="T60" s="61">
        <f>'Consolidated Balance Sheet'!T135</f>
        <v>2872941.28</v>
      </c>
      <c r="V60" s="61">
        <f>'Consolidated Balance Sheet'!V135</f>
        <v>5812181.9500000002</v>
      </c>
      <c r="X60" s="61">
        <f>'Consolidated Balance Sheet'!X135</f>
        <v>699120.71</v>
      </c>
      <c r="Z60" s="61">
        <f>'Consolidated Balance Sheet'!Z135</f>
        <v>2174871.67</v>
      </c>
      <c r="AB60" s="61">
        <f>'Consolidated Balance Sheet'!AB135</f>
        <v>5227061.08</v>
      </c>
      <c r="AD60" s="61">
        <f>'Consolidated Balance Sheet'!AD135</f>
        <v>8255714.540000001</v>
      </c>
    </row>
    <row r="61" spans="1:42" x14ac:dyDescent="0.2">
      <c r="R61" s="61">
        <f>R58-R60</f>
        <v>0</v>
      </c>
      <c r="T61" s="61">
        <f t="shared" ref="T61:AD61" si="26">T58-T60</f>
        <v>0</v>
      </c>
      <c r="V61" s="61">
        <f t="shared" si="26"/>
        <v>0</v>
      </c>
      <c r="X61" s="61">
        <f t="shared" si="26"/>
        <v>0</v>
      </c>
      <c r="Z61" s="61">
        <f t="shared" si="26"/>
        <v>0</v>
      </c>
      <c r="AB61" s="61">
        <f t="shared" si="26"/>
        <v>0</v>
      </c>
      <c r="AD61" s="61">
        <f t="shared" si="26"/>
        <v>0</v>
      </c>
      <c r="AL61" s="38">
        <f>AL58-'Consolidated Balance Sheet'!AL135</f>
        <v>0</v>
      </c>
    </row>
    <row r="62" spans="1:42" x14ac:dyDescent="0.2">
      <c r="B62" s="7">
        <f>B58-'Consolidated Balance Sheet'!B135</f>
        <v>0</v>
      </c>
      <c r="C62" s="7">
        <f>C58-'Consolidated Balance Sheet'!C135</f>
        <v>0</v>
      </c>
      <c r="D62" s="7">
        <f>D58-'Consolidated Balance Sheet'!D135</f>
        <v>0</v>
      </c>
      <c r="E62" s="7">
        <f>E58-'Consolidated Balance Sheet'!E135</f>
        <v>0</v>
      </c>
      <c r="F62" s="7">
        <f>F58-'Consolidated Balance Sheet'!F135</f>
        <v>0</v>
      </c>
      <c r="G62" s="7">
        <f>G58-'Consolidated Balance Sheet'!G135</f>
        <v>0</v>
      </c>
      <c r="H62" s="7">
        <f>H58-'Consolidated Balance Sheet'!H135</f>
        <v>0</v>
      </c>
      <c r="I62" s="7">
        <f>I58-'Consolidated Balance Sheet'!I135</f>
        <v>0</v>
      </c>
      <c r="J62" s="7">
        <f>J58-'Consolidated Balance Sheet'!J135</f>
        <v>0</v>
      </c>
      <c r="K62" s="7">
        <f>K58-'Consolidated Balance Sheet'!K135</f>
        <v>0</v>
      </c>
      <c r="L62" s="7">
        <f>L58-'Consolidated Balance Sheet'!L135</f>
        <v>0</v>
      </c>
      <c r="M62" s="7">
        <f>M58-'Consolidated Balance Sheet'!O135</f>
        <v>0</v>
      </c>
      <c r="N62" s="7">
        <f>N58-'Consolidated Balance Sheet'!N135</f>
        <v>0</v>
      </c>
      <c r="O62" s="7"/>
      <c r="P62" s="7">
        <f>P58-'Consolidated Balance Sheet'!P135</f>
        <v>0</v>
      </c>
      <c r="AF62" s="38">
        <f>AF58-'Consolidated Balance Sheet'!AF135</f>
        <v>0</v>
      </c>
    </row>
    <row r="73" spans="1:1" x14ac:dyDescent="0.2">
      <c r="A73" s="2" t="s">
        <v>696</v>
      </c>
    </row>
  </sheetData>
  <mergeCells count="8">
    <mergeCell ref="AG6:AN6"/>
    <mergeCell ref="A1:P3"/>
    <mergeCell ref="A4:P4"/>
    <mergeCell ref="Q4:AF4"/>
    <mergeCell ref="AG4:AN4"/>
    <mergeCell ref="A5:P5"/>
    <mergeCell ref="Q5:AF5"/>
    <mergeCell ref="AG5:AN5"/>
  </mergeCells>
  <pageMargins left="0.7" right="0.7" top="0.75" bottom="0.75" header="0.3" footer="0.3"/>
  <pageSetup scale="41" orientation="landscape" r:id="rId1"/>
  <headerFooter>
    <oddFooter>Page &amp;P of &amp;N</oddFooter>
  </headerFooter>
  <rowBreaks count="1" manualBreakCount="1">
    <brk id="30" max="33" man="1"/>
  </rowBreaks>
  <colBreaks count="2" manualBreakCount="2">
    <brk id="16" max="1048575" man="1"/>
    <brk id="3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outlinePr summaryBelow="0"/>
    <pageSetUpPr autoPageBreaks="0"/>
  </sheetPr>
  <dimension ref="A1:Y150"/>
  <sheetViews>
    <sheetView showGridLines="0" workbookViewId="0">
      <selection activeCell="AA103" sqref="AA103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4.42578125" style="75" bestFit="1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3.140625" style="75" bestFit="1" customWidth="1"/>
    <col min="20" max="20" width="2.28515625" style="75" customWidth="1"/>
    <col min="21" max="21" width="1.28515625" style="75" customWidth="1"/>
    <col min="22" max="22" width="9.28515625" style="75" bestFit="1" customWidth="1"/>
    <col min="23" max="23" width="3.140625" style="75" customWidth="1"/>
    <col min="24" max="24" width="1.28515625" style="75" customWidth="1"/>
    <col min="25" max="25" width="14.5703125" style="75" bestFit="1" customWidth="1"/>
    <col min="26" max="16384" width="5.28515625" style="75"/>
  </cols>
  <sheetData>
    <row r="1" spans="1:24" ht="12" customHeight="1" x14ac:dyDescent="0.2">
      <c r="A1" s="164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</row>
    <row r="2" spans="1:24" ht="12" customHeight="1" x14ac:dyDescent="0.2"/>
    <row r="3" spans="1:24" ht="12" customHeight="1" x14ac:dyDescent="0.2">
      <c r="A3" s="164" t="s">
        <v>700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</row>
    <row r="4" spans="1:24" ht="12" customHeight="1" x14ac:dyDescent="0.2">
      <c r="A4" s="165" t="s">
        <v>1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</row>
    <row r="5" spans="1:24" ht="12" customHeight="1" x14ac:dyDescent="0.2"/>
    <row r="6" spans="1:24" ht="12" customHeight="1" x14ac:dyDescent="0.2"/>
    <row r="7" spans="1:24" ht="12" customHeight="1" x14ac:dyDescent="0.2">
      <c r="A7" s="156" t="s">
        <v>2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</row>
    <row r="8" spans="1:24" ht="12" customHeight="1" x14ac:dyDescent="0.2">
      <c r="B8" s="156" t="s">
        <v>3</v>
      </c>
      <c r="C8" s="156"/>
      <c r="D8" s="156"/>
      <c r="E8" s="156"/>
      <c r="F8" s="156"/>
      <c r="G8" s="156"/>
      <c r="H8" s="156"/>
      <c r="I8" s="156"/>
      <c r="J8" s="156"/>
      <c r="K8" s="156"/>
    </row>
    <row r="9" spans="1:24" ht="12" customHeight="1" x14ac:dyDescent="0.2">
      <c r="S9" s="75">
        <v>0</v>
      </c>
    </row>
    <row r="10" spans="1:24" ht="12" customHeight="1" x14ac:dyDescent="0.2">
      <c r="C10" s="158" t="s">
        <v>216</v>
      </c>
      <c r="D10" s="158"/>
      <c r="E10" s="158"/>
      <c r="F10" s="158"/>
      <c r="H10" s="158" t="s">
        <v>217</v>
      </c>
      <c r="I10" s="158"/>
      <c r="J10" s="158"/>
      <c r="K10" s="158"/>
      <c r="L10" s="158"/>
      <c r="M10" s="158"/>
      <c r="N10" s="158"/>
      <c r="O10" s="158"/>
      <c r="P10" s="158"/>
      <c r="Q10" s="158"/>
      <c r="S10" s="129">
        <v>0</v>
      </c>
    </row>
    <row r="11" spans="1:24" ht="12" customHeight="1" x14ac:dyDescent="0.2">
      <c r="C11" s="158" t="s">
        <v>4</v>
      </c>
      <c r="D11" s="158"/>
      <c r="E11" s="158"/>
      <c r="F11" s="158"/>
      <c r="H11" s="158" t="s">
        <v>5</v>
      </c>
      <c r="I11" s="158"/>
      <c r="J11" s="158"/>
      <c r="K11" s="158"/>
      <c r="L11" s="158"/>
      <c r="M11" s="158"/>
      <c r="N11" s="158"/>
      <c r="O11" s="158"/>
      <c r="P11" s="158"/>
      <c r="Q11" s="158"/>
      <c r="S11" s="129">
        <v>490</v>
      </c>
    </row>
    <row r="12" spans="1:24" ht="12" customHeight="1" x14ac:dyDescent="0.2">
      <c r="C12" s="158" t="s">
        <v>6</v>
      </c>
      <c r="D12" s="158"/>
      <c r="E12" s="158"/>
      <c r="F12" s="158"/>
      <c r="H12" s="158" t="s">
        <v>7</v>
      </c>
      <c r="I12" s="158"/>
      <c r="J12" s="158"/>
      <c r="K12" s="158"/>
      <c r="L12" s="158"/>
      <c r="M12" s="158"/>
      <c r="N12" s="158"/>
      <c r="O12" s="158"/>
      <c r="P12" s="158"/>
      <c r="Q12" s="158"/>
      <c r="S12" s="129">
        <v>0</v>
      </c>
    </row>
    <row r="13" spans="1:24" ht="12" customHeight="1" x14ac:dyDescent="0.2">
      <c r="C13" s="158" t="s">
        <v>8</v>
      </c>
      <c r="D13" s="158"/>
      <c r="E13" s="158"/>
      <c r="F13" s="158"/>
      <c r="H13" s="158" t="s">
        <v>9</v>
      </c>
      <c r="I13" s="158"/>
      <c r="J13" s="158"/>
      <c r="K13" s="158"/>
      <c r="L13" s="158"/>
      <c r="M13" s="158"/>
      <c r="N13" s="158"/>
      <c r="O13" s="158"/>
      <c r="P13" s="158"/>
      <c r="Q13" s="158"/>
      <c r="S13" s="129">
        <v>0</v>
      </c>
    </row>
    <row r="14" spans="1:24" ht="12" customHeight="1" x14ac:dyDescent="0.2">
      <c r="C14" s="158">
        <v>1151</v>
      </c>
      <c r="D14" s="158"/>
      <c r="E14" s="158"/>
      <c r="F14" s="158"/>
      <c r="H14" s="158" t="s">
        <v>604</v>
      </c>
      <c r="I14" s="158"/>
      <c r="J14" s="158"/>
      <c r="K14" s="158"/>
      <c r="L14" s="158"/>
      <c r="M14" s="158"/>
      <c r="N14" s="158"/>
      <c r="O14" s="158"/>
      <c r="P14" s="158"/>
      <c r="Q14" s="158"/>
      <c r="S14" s="129">
        <v>0</v>
      </c>
    </row>
    <row r="15" spans="1:24" ht="12" customHeight="1" x14ac:dyDescent="0.2">
      <c r="C15" s="158" t="s">
        <v>12</v>
      </c>
      <c r="D15" s="158"/>
      <c r="E15" s="158"/>
      <c r="F15" s="158"/>
      <c r="H15" s="158" t="s">
        <v>13</v>
      </c>
      <c r="I15" s="158"/>
      <c r="J15" s="158"/>
      <c r="K15" s="158"/>
      <c r="L15" s="158"/>
      <c r="M15" s="158"/>
      <c r="N15" s="158"/>
      <c r="O15" s="158"/>
      <c r="P15" s="158"/>
      <c r="Q15" s="158"/>
      <c r="S15" s="129">
        <v>0</v>
      </c>
    </row>
    <row r="16" spans="1:24" ht="12" customHeight="1" x14ac:dyDescent="0.2">
      <c r="C16" s="158" t="s">
        <v>14</v>
      </c>
      <c r="D16" s="158"/>
      <c r="E16" s="158"/>
      <c r="F16" s="158"/>
      <c r="H16" s="158" t="s">
        <v>15</v>
      </c>
      <c r="I16" s="158"/>
      <c r="J16" s="158"/>
      <c r="K16" s="158"/>
      <c r="L16" s="158"/>
      <c r="M16" s="158"/>
      <c r="N16" s="158"/>
      <c r="O16" s="158"/>
      <c r="P16" s="158"/>
      <c r="Q16" s="158"/>
      <c r="S16" s="129">
        <v>0</v>
      </c>
    </row>
    <row r="17" spans="3:19" ht="12" customHeight="1" x14ac:dyDescent="0.2">
      <c r="C17" s="158" t="s">
        <v>16</v>
      </c>
      <c r="D17" s="158"/>
      <c r="E17" s="158"/>
      <c r="F17" s="158"/>
      <c r="H17" s="158" t="s">
        <v>17</v>
      </c>
      <c r="I17" s="158"/>
      <c r="J17" s="158"/>
      <c r="K17" s="158"/>
      <c r="L17" s="158"/>
      <c r="M17" s="158"/>
      <c r="N17" s="158"/>
      <c r="O17" s="158"/>
      <c r="P17" s="158"/>
      <c r="Q17" s="158"/>
      <c r="S17" s="129">
        <v>7824787.9000000004</v>
      </c>
    </row>
    <row r="18" spans="3:19" ht="12" customHeight="1" x14ac:dyDescent="0.2">
      <c r="C18" s="158">
        <v>1220</v>
      </c>
      <c r="D18" s="158"/>
      <c r="E18" s="158"/>
      <c r="F18" s="158"/>
      <c r="H18" s="158" t="s">
        <v>690</v>
      </c>
      <c r="I18" s="158"/>
      <c r="J18" s="158"/>
      <c r="K18" s="158"/>
      <c r="L18" s="158"/>
      <c r="M18" s="158"/>
      <c r="N18" s="158"/>
      <c r="O18" s="158"/>
      <c r="P18" s="158"/>
      <c r="Q18" s="158"/>
      <c r="S18" s="129">
        <v>9331.48</v>
      </c>
    </row>
    <row r="19" spans="3:19" ht="12" customHeight="1" x14ac:dyDescent="0.2">
      <c r="C19" s="158" t="s">
        <v>18</v>
      </c>
      <c r="D19" s="158"/>
      <c r="E19" s="158"/>
      <c r="F19" s="158"/>
      <c r="H19" s="158" t="s">
        <v>19</v>
      </c>
      <c r="I19" s="158"/>
      <c r="J19" s="158"/>
      <c r="K19" s="158"/>
      <c r="L19" s="158"/>
      <c r="M19" s="158"/>
      <c r="N19" s="158"/>
      <c r="O19" s="158"/>
      <c r="P19" s="158"/>
      <c r="Q19" s="158"/>
      <c r="S19" s="129">
        <v>116167762.94</v>
      </c>
    </row>
    <row r="20" spans="3:19" ht="12" customHeight="1" x14ac:dyDescent="0.2">
      <c r="C20" s="158" t="s">
        <v>20</v>
      </c>
      <c r="D20" s="158"/>
      <c r="E20" s="158"/>
      <c r="F20" s="158"/>
      <c r="H20" s="158" t="s">
        <v>21</v>
      </c>
      <c r="I20" s="158"/>
      <c r="J20" s="158"/>
      <c r="K20" s="158"/>
      <c r="L20" s="158"/>
      <c r="M20" s="158"/>
      <c r="N20" s="158"/>
      <c r="O20" s="158"/>
      <c r="P20" s="158"/>
      <c r="Q20" s="158"/>
      <c r="S20" s="129">
        <v>81224590.909999996</v>
      </c>
    </row>
    <row r="21" spans="3:19" ht="12" customHeight="1" x14ac:dyDescent="0.2">
      <c r="C21" s="158" t="s">
        <v>22</v>
      </c>
      <c r="D21" s="158"/>
      <c r="E21" s="158"/>
      <c r="F21" s="158"/>
      <c r="H21" s="158" t="s">
        <v>23</v>
      </c>
      <c r="I21" s="158"/>
      <c r="J21" s="158"/>
      <c r="K21" s="158"/>
      <c r="L21" s="158"/>
      <c r="M21" s="158"/>
      <c r="N21" s="158"/>
      <c r="O21" s="158"/>
      <c r="P21" s="158"/>
      <c r="Q21" s="158"/>
      <c r="S21" s="129">
        <v>2613633.71</v>
      </c>
    </row>
    <row r="22" spans="3:19" ht="12" customHeight="1" x14ac:dyDescent="0.2">
      <c r="C22" s="158" t="s">
        <v>24</v>
      </c>
      <c r="D22" s="158"/>
      <c r="E22" s="158"/>
      <c r="F22" s="158"/>
      <c r="H22" s="158" t="s">
        <v>25</v>
      </c>
      <c r="I22" s="158"/>
      <c r="J22" s="158"/>
      <c r="K22" s="158"/>
      <c r="L22" s="158"/>
      <c r="M22" s="158"/>
      <c r="N22" s="158"/>
      <c r="O22" s="158"/>
      <c r="P22" s="158"/>
      <c r="Q22" s="158"/>
      <c r="S22" s="129">
        <v>776186.54</v>
      </c>
    </row>
    <row r="23" spans="3:19" ht="12" customHeight="1" x14ac:dyDescent="0.2">
      <c r="C23" s="158" t="s">
        <v>26</v>
      </c>
      <c r="D23" s="158"/>
      <c r="E23" s="158"/>
      <c r="F23" s="158"/>
      <c r="H23" s="158" t="s">
        <v>27</v>
      </c>
      <c r="I23" s="158"/>
      <c r="J23" s="158"/>
      <c r="K23" s="158"/>
      <c r="L23" s="158"/>
      <c r="M23" s="158"/>
      <c r="N23" s="158"/>
      <c r="O23" s="158"/>
      <c r="P23" s="158"/>
      <c r="Q23" s="158"/>
      <c r="S23" s="129">
        <v>0</v>
      </c>
    </row>
    <row r="24" spans="3:19" ht="12" customHeight="1" x14ac:dyDescent="0.2">
      <c r="C24" s="158" t="s">
        <v>28</v>
      </c>
      <c r="D24" s="158"/>
      <c r="E24" s="158"/>
      <c r="F24" s="158"/>
      <c r="H24" s="158" t="s">
        <v>29</v>
      </c>
      <c r="I24" s="158"/>
      <c r="J24" s="158"/>
      <c r="K24" s="158"/>
      <c r="L24" s="158"/>
      <c r="M24" s="158"/>
      <c r="N24" s="158"/>
      <c r="O24" s="158"/>
      <c r="P24" s="158"/>
      <c r="Q24" s="158"/>
      <c r="S24" s="129">
        <v>1212848.83</v>
      </c>
    </row>
    <row r="25" spans="3:19" ht="12" customHeight="1" x14ac:dyDescent="0.2">
      <c r="C25" s="158" t="s">
        <v>30</v>
      </c>
      <c r="D25" s="158"/>
      <c r="E25" s="158"/>
      <c r="F25" s="158"/>
      <c r="H25" s="158" t="s">
        <v>31</v>
      </c>
      <c r="I25" s="158"/>
      <c r="J25" s="158"/>
      <c r="K25" s="158"/>
      <c r="L25" s="158"/>
      <c r="M25" s="158"/>
      <c r="N25" s="158"/>
      <c r="O25" s="158"/>
      <c r="P25" s="158"/>
      <c r="Q25" s="158"/>
      <c r="S25" s="129">
        <v>20215.73</v>
      </c>
    </row>
    <row r="26" spans="3:19" ht="12" customHeight="1" x14ac:dyDescent="0.2">
      <c r="C26" s="158" t="s">
        <v>32</v>
      </c>
      <c r="D26" s="158"/>
      <c r="E26" s="158"/>
      <c r="F26" s="158"/>
      <c r="H26" s="158" t="s">
        <v>33</v>
      </c>
      <c r="I26" s="158"/>
      <c r="J26" s="158"/>
      <c r="K26" s="158"/>
      <c r="L26" s="158"/>
      <c r="M26" s="158"/>
      <c r="N26" s="158"/>
      <c r="O26" s="158"/>
      <c r="P26" s="158"/>
      <c r="Q26" s="158"/>
      <c r="S26" s="129">
        <v>-8979896.3800000008</v>
      </c>
    </row>
    <row r="27" spans="3:19" ht="12" customHeight="1" x14ac:dyDescent="0.2">
      <c r="C27" s="158" t="s">
        <v>34</v>
      </c>
      <c r="D27" s="158"/>
      <c r="E27" s="158"/>
      <c r="F27" s="158"/>
      <c r="H27" s="158" t="s">
        <v>35</v>
      </c>
      <c r="I27" s="158"/>
      <c r="J27" s="158"/>
      <c r="K27" s="158"/>
      <c r="L27" s="158"/>
      <c r="M27" s="158"/>
      <c r="N27" s="158"/>
      <c r="O27" s="158"/>
      <c r="P27" s="158"/>
      <c r="Q27" s="158"/>
      <c r="S27" s="129">
        <v>-131760167.68000001</v>
      </c>
    </row>
    <row r="28" spans="3:19" ht="12" customHeight="1" x14ac:dyDescent="0.2">
      <c r="C28" s="158" t="s">
        <v>36</v>
      </c>
      <c r="D28" s="158"/>
      <c r="E28" s="158"/>
      <c r="F28" s="158"/>
      <c r="H28" s="158" t="s">
        <v>37</v>
      </c>
      <c r="I28" s="158"/>
      <c r="J28" s="158"/>
      <c r="K28" s="158"/>
      <c r="L28" s="158"/>
      <c r="M28" s="158"/>
      <c r="N28" s="158"/>
      <c r="O28" s="158"/>
      <c r="P28" s="158"/>
      <c r="Q28" s="158"/>
      <c r="S28" s="129">
        <v>-20471810.41</v>
      </c>
    </row>
    <row r="29" spans="3:19" ht="12" customHeight="1" x14ac:dyDescent="0.2">
      <c r="C29" s="158">
        <v>1232</v>
      </c>
      <c r="D29" s="158"/>
      <c r="E29" s="158"/>
      <c r="F29" s="158"/>
      <c r="H29" s="158" t="s">
        <v>39</v>
      </c>
      <c r="I29" s="158"/>
      <c r="J29" s="158"/>
      <c r="K29" s="158"/>
      <c r="L29" s="158"/>
      <c r="M29" s="158"/>
      <c r="N29" s="158"/>
      <c r="O29" s="158"/>
      <c r="P29" s="158"/>
      <c r="Q29" s="158"/>
      <c r="S29" s="129">
        <v>-64228.68</v>
      </c>
    </row>
    <row r="30" spans="3:19" ht="12" customHeight="1" x14ac:dyDescent="0.2">
      <c r="C30" s="158" t="s">
        <v>40</v>
      </c>
      <c r="D30" s="158"/>
      <c r="E30" s="158"/>
      <c r="F30" s="158"/>
      <c r="H30" s="158" t="s">
        <v>41</v>
      </c>
      <c r="I30" s="158"/>
      <c r="J30" s="158"/>
      <c r="K30" s="158"/>
      <c r="L30" s="158"/>
      <c r="M30" s="158"/>
      <c r="N30" s="158"/>
      <c r="O30" s="158"/>
      <c r="P30" s="158"/>
      <c r="Q30" s="158"/>
      <c r="S30" s="129">
        <v>213898.98</v>
      </c>
    </row>
    <row r="31" spans="3:19" ht="12" customHeight="1" x14ac:dyDescent="0.2">
      <c r="C31" s="130">
        <v>1239</v>
      </c>
      <c r="D31" s="130"/>
      <c r="E31" s="130"/>
      <c r="F31" s="134"/>
      <c r="H31" s="94" t="s">
        <v>525</v>
      </c>
      <c r="I31" s="134"/>
      <c r="J31" s="134"/>
      <c r="K31" s="134"/>
      <c r="L31" s="134"/>
      <c r="M31" s="134"/>
      <c r="N31" s="134"/>
      <c r="O31" s="134"/>
      <c r="P31" s="134"/>
      <c r="Q31" s="134"/>
      <c r="S31" s="129">
        <v>11809.78</v>
      </c>
    </row>
    <row r="32" spans="3:19" ht="12" customHeight="1" x14ac:dyDescent="0.2">
      <c r="C32" s="158" t="s">
        <v>42</v>
      </c>
      <c r="D32" s="158"/>
      <c r="E32" s="158"/>
      <c r="F32" s="158"/>
      <c r="H32" s="158" t="s">
        <v>43</v>
      </c>
      <c r="I32" s="158"/>
      <c r="J32" s="158"/>
      <c r="K32" s="158"/>
      <c r="L32" s="158"/>
      <c r="M32" s="158"/>
      <c r="N32" s="158"/>
      <c r="O32" s="158"/>
      <c r="P32" s="158"/>
      <c r="Q32" s="158"/>
      <c r="S32" s="129">
        <v>15929.39</v>
      </c>
    </row>
    <row r="33" spans="3:19" ht="12" customHeight="1" x14ac:dyDescent="0.2">
      <c r="C33" s="130">
        <v>1238</v>
      </c>
      <c r="D33" s="130"/>
      <c r="E33" s="130"/>
      <c r="F33" s="134"/>
      <c r="H33" s="158" t="s">
        <v>586</v>
      </c>
      <c r="I33" s="158"/>
      <c r="J33" s="158"/>
      <c r="K33" s="158"/>
      <c r="L33" s="158"/>
      <c r="M33" s="158"/>
      <c r="N33" s="158"/>
      <c r="O33" s="158"/>
      <c r="P33" s="158"/>
      <c r="Q33" s="158"/>
      <c r="S33" s="129">
        <v>0</v>
      </c>
    </row>
    <row r="34" spans="3:19" ht="12" customHeight="1" x14ac:dyDescent="0.2">
      <c r="C34" s="158" t="s">
        <v>46</v>
      </c>
      <c r="D34" s="158"/>
      <c r="E34" s="158"/>
      <c r="F34" s="158"/>
      <c r="H34" s="158" t="s">
        <v>47</v>
      </c>
      <c r="I34" s="158"/>
      <c r="J34" s="158"/>
      <c r="K34" s="158"/>
      <c r="L34" s="158"/>
      <c r="M34" s="158"/>
      <c r="N34" s="158"/>
      <c r="O34" s="158"/>
      <c r="P34" s="158"/>
      <c r="Q34" s="158"/>
      <c r="S34" s="129">
        <v>0</v>
      </c>
    </row>
    <row r="35" spans="3:19" ht="12" customHeight="1" x14ac:dyDescent="0.2">
      <c r="C35" s="158" t="s">
        <v>48</v>
      </c>
      <c r="D35" s="158"/>
      <c r="E35" s="158"/>
      <c r="F35" s="158"/>
      <c r="H35" s="158" t="s">
        <v>49</v>
      </c>
      <c r="I35" s="158"/>
      <c r="J35" s="158"/>
      <c r="K35" s="158"/>
      <c r="L35" s="158"/>
      <c r="M35" s="158"/>
      <c r="N35" s="158"/>
      <c r="O35" s="158"/>
      <c r="P35" s="158"/>
      <c r="Q35" s="158"/>
      <c r="S35" s="129">
        <v>154663.69</v>
      </c>
    </row>
    <row r="36" spans="3:19" ht="12" customHeight="1" x14ac:dyDescent="0.2">
      <c r="C36" s="158" t="s">
        <v>50</v>
      </c>
      <c r="D36" s="158"/>
      <c r="E36" s="158"/>
      <c r="F36" s="158"/>
      <c r="H36" s="158" t="s">
        <v>51</v>
      </c>
      <c r="I36" s="158"/>
      <c r="J36" s="158"/>
      <c r="K36" s="158"/>
      <c r="L36" s="158"/>
      <c r="M36" s="158"/>
      <c r="N36" s="158"/>
      <c r="O36" s="158"/>
      <c r="P36" s="158"/>
      <c r="Q36" s="158"/>
      <c r="S36" s="129">
        <v>386346.92</v>
      </c>
    </row>
    <row r="37" spans="3:19" ht="12" customHeight="1" x14ac:dyDescent="0.2">
      <c r="C37" s="158" t="s">
        <v>52</v>
      </c>
      <c r="D37" s="158"/>
      <c r="E37" s="158"/>
      <c r="F37" s="158"/>
      <c r="H37" s="158" t="s">
        <v>53</v>
      </c>
      <c r="I37" s="158"/>
      <c r="J37" s="158"/>
      <c r="K37" s="158"/>
      <c r="L37" s="158"/>
      <c r="M37" s="158"/>
      <c r="N37" s="158"/>
      <c r="O37" s="158"/>
      <c r="P37" s="158"/>
      <c r="Q37" s="158"/>
      <c r="S37" s="129">
        <v>46498.38</v>
      </c>
    </row>
    <row r="38" spans="3:19" ht="12" customHeight="1" x14ac:dyDescent="0.2">
      <c r="C38" s="130">
        <v>1244</v>
      </c>
      <c r="D38" s="130">
        <v>1244</v>
      </c>
      <c r="E38" s="130"/>
      <c r="F38" s="134"/>
      <c r="H38" s="94" t="s">
        <v>55</v>
      </c>
      <c r="I38" s="134"/>
      <c r="J38" s="134"/>
      <c r="K38" s="134"/>
      <c r="L38" s="134"/>
      <c r="M38" s="134"/>
      <c r="N38" s="134"/>
      <c r="O38" s="134"/>
      <c r="P38" s="134"/>
      <c r="Q38" s="134"/>
      <c r="S38" s="129">
        <v>0</v>
      </c>
    </row>
    <row r="39" spans="3:19" ht="12" customHeight="1" x14ac:dyDescent="0.2">
      <c r="C39" s="158" t="s">
        <v>56</v>
      </c>
      <c r="D39" s="158"/>
      <c r="E39" s="158"/>
      <c r="F39" s="158"/>
      <c r="H39" s="158" t="s">
        <v>57</v>
      </c>
      <c r="I39" s="158"/>
      <c r="J39" s="158"/>
      <c r="K39" s="158"/>
      <c r="L39" s="158"/>
      <c r="M39" s="158"/>
      <c r="N39" s="158"/>
      <c r="O39" s="158"/>
      <c r="P39" s="158"/>
      <c r="Q39" s="158"/>
      <c r="S39" s="129">
        <v>0</v>
      </c>
    </row>
    <row r="40" spans="3:19" ht="12" customHeight="1" x14ac:dyDescent="0.2">
      <c r="C40" s="158">
        <v>1248</v>
      </c>
      <c r="D40" s="158"/>
      <c r="E40" s="158"/>
      <c r="F40" s="158"/>
      <c r="H40" s="158" t="s">
        <v>603</v>
      </c>
      <c r="I40" s="158"/>
      <c r="J40" s="158"/>
      <c r="K40" s="158"/>
      <c r="L40" s="158"/>
      <c r="M40" s="158"/>
      <c r="N40" s="158"/>
      <c r="O40" s="158"/>
      <c r="P40" s="158"/>
      <c r="Q40" s="158"/>
      <c r="S40" s="129">
        <v>0</v>
      </c>
    </row>
    <row r="41" spans="3:19" ht="12" customHeight="1" x14ac:dyDescent="0.2">
      <c r="C41" s="158" t="s">
        <v>58</v>
      </c>
      <c r="D41" s="158"/>
      <c r="E41" s="158"/>
      <c r="F41" s="158"/>
      <c r="H41" s="158" t="s">
        <v>59</v>
      </c>
      <c r="I41" s="158"/>
      <c r="J41" s="158"/>
      <c r="K41" s="158"/>
      <c r="L41" s="158"/>
      <c r="M41" s="158"/>
      <c r="N41" s="158"/>
      <c r="O41" s="158"/>
      <c r="P41" s="158"/>
      <c r="Q41" s="158"/>
      <c r="S41" s="129">
        <v>49670.99</v>
      </c>
    </row>
    <row r="42" spans="3:19" ht="12" customHeight="1" x14ac:dyDescent="0.2">
      <c r="C42" s="130">
        <v>1252</v>
      </c>
      <c r="D42" s="130"/>
      <c r="E42" s="130"/>
      <c r="F42" s="134"/>
      <c r="H42" s="158" t="s">
        <v>589</v>
      </c>
      <c r="I42" s="158"/>
      <c r="J42" s="158"/>
      <c r="K42" s="158"/>
      <c r="L42" s="158"/>
      <c r="M42" s="158"/>
      <c r="N42" s="158"/>
      <c r="O42" s="158"/>
      <c r="P42" s="158"/>
      <c r="Q42" s="158"/>
      <c r="S42" s="129">
        <v>0</v>
      </c>
    </row>
    <row r="43" spans="3:19" ht="12" customHeight="1" x14ac:dyDescent="0.2">
      <c r="C43" s="158">
        <v>1255</v>
      </c>
      <c r="D43" s="158"/>
      <c r="E43" s="158"/>
      <c r="F43" s="158"/>
      <c r="H43" s="158" t="s">
        <v>554</v>
      </c>
      <c r="I43" s="158"/>
      <c r="J43" s="158"/>
      <c r="K43" s="158"/>
      <c r="L43" s="158"/>
      <c r="M43" s="158"/>
      <c r="N43" s="158"/>
      <c r="O43" s="158"/>
      <c r="P43" s="158"/>
      <c r="Q43" s="158"/>
      <c r="S43" s="129">
        <v>277917.67</v>
      </c>
    </row>
    <row r="44" spans="3:19" ht="12" customHeight="1" x14ac:dyDescent="0.2">
      <c r="C44" s="158" t="s">
        <v>60</v>
      </c>
      <c r="D44" s="158"/>
      <c r="E44" s="158"/>
      <c r="F44" s="158"/>
      <c r="H44" s="158" t="s">
        <v>61</v>
      </c>
      <c r="I44" s="158"/>
      <c r="J44" s="158"/>
      <c r="K44" s="158"/>
      <c r="L44" s="158"/>
      <c r="M44" s="158"/>
      <c r="N44" s="158"/>
      <c r="O44" s="158"/>
      <c r="P44" s="158"/>
      <c r="Q44" s="158"/>
      <c r="S44" s="129">
        <v>6963.83</v>
      </c>
    </row>
    <row r="45" spans="3:19" ht="12" customHeight="1" x14ac:dyDescent="0.2">
      <c r="C45" s="158" t="s">
        <v>62</v>
      </c>
      <c r="D45" s="158"/>
      <c r="E45" s="158"/>
      <c r="F45" s="158"/>
      <c r="H45" s="158" t="s">
        <v>63</v>
      </c>
      <c r="I45" s="158"/>
      <c r="J45" s="158"/>
      <c r="K45" s="158"/>
      <c r="L45" s="158"/>
      <c r="M45" s="158"/>
      <c r="N45" s="158"/>
      <c r="O45" s="158"/>
      <c r="P45" s="158"/>
      <c r="Q45" s="158"/>
      <c r="S45" s="129">
        <v>162892.82</v>
      </c>
    </row>
    <row r="46" spans="3:19" ht="12" customHeight="1" x14ac:dyDescent="0.2">
      <c r="C46" s="158" t="s">
        <v>64</v>
      </c>
      <c r="D46" s="158"/>
      <c r="E46" s="158"/>
      <c r="F46" s="158"/>
      <c r="H46" s="158" t="s">
        <v>65</v>
      </c>
      <c r="I46" s="158"/>
      <c r="J46" s="158"/>
      <c r="K46" s="158"/>
      <c r="L46" s="158"/>
      <c r="M46" s="158"/>
      <c r="N46" s="158"/>
      <c r="O46" s="158"/>
      <c r="P46" s="158"/>
      <c r="Q46" s="158"/>
      <c r="S46" s="129">
        <v>3146485</v>
      </c>
    </row>
    <row r="47" spans="3:19" ht="12" customHeight="1" x14ac:dyDescent="0.2">
      <c r="C47" s="158">
        <v>1263</v>
      </c>
      <c r="D47" s="158"/>
      <c r="E47" s="158"/>
      <c r="F47" s="158"/>
      <c r="H47" s="185" t="s">
        <v>67</v>
      </c>
      <c r="I47" s="185"/>
      <c r="J47" s="185"/>
      <c r="K47" s="185"/>
      <c r="L47" s="185"/>
      <c r="M47" s="185"/>
      <c r="N47" s="185"/>
      <c r="O47" s="185"/>
      <c r="P47" s="185"/>
      <c r="Q47" s="185"/>
      <c r="S47" s="129">
        <v>40983.120000000003</v>
      </c>
    </row>
    <row r="48" spans="3:19" ht="12" customHeight="1" x14ac:dyDescent="0.2">
      <c r="C48" s="158" t="s">
        <v>68</v>
      </c>
      <c r="D48" s="158"/>
      <c r="E48" s="158"/>
      <c r="F48" s="158"/>
      <c r="H48" s="158" t="s">
        <v>69</v>
      </c>
      <c r="I48" s="158"/>
      <c r="J48" s="158"/>
      <c r="K48" s="158"/>
      <c r="L48" s="158"/>
      <c r="M48" s="158"/>
      <c r="N48" s="158"/>
      <c r="O48" s="158"/>
      <c r="P48" s="158"/>
      <c r="Q48" s="158"/>
      <c r="S48" s="129">
        <v>1239344.6000000001</v>
      </c>
    </row>
    <row r="49" spans="2:25" ht="12" customHeight="1" x14ac:dyDescent="0.2">
      <c r="C49" s="158">
        <v>1420</v>
      </c>
      <c r="D49" s="158"/>
      <c r="E49" s="158"/>
      <c r="F49" s="158"/>
      <c r="H49" s="158" t="s">
        <v>605</v>
      </c>
      <c r="I49" s="158"/>
      <c r="J49" s="158"/>
      <c r="K49" s="158"/>
      <c r="L49" s="158"/>
      <c r="M49" s="158"/>
      <c r="N49" s="158"/>
      <c r="O49" s="158"/>
      <c r="P49" s="158"/>
      <c r="Q49" s="158"/>
      <c r="S49" s="129">
        <v>107630.15</v>
      </c>
    </row>
    <row r="50" spans="2:25" ht="12" customHeight="1" x14ac:dyDescent="0.2">
      <c r="C50" s="158" t="s">
        <v>71</v>
      </c>
      <c r="D50" s="158"/>
      <c r="E50" s="158"/>
      <c r="F50" s="158"/>
      <c r="H50" s="158" t="s">
        <v>606</v>
      </c>
      <c r="I50" s="158"/>
      <c r="J50" s="158"/>
      <c r="K50" s="158"/>
      <c r="L50" s="158"/>
      <c r="M50" s="158"/>
      <c r="N50" s="158"/>
      <c r="O50" s="158"/>
      <c r="P50" s="158"/>
      <c r="Q50" s="158"/>
      <c r="S50" s="129">
        <v>147184.95999999999</v>
      </c>
    </row>
    <row r="51" spans="2:25" ht="12" customHeight="1" x14ac:dyDescent="0.2">
      <c r="C51" s="158" t="s">
        <v>675</v>
      </c>
      <c r="D51" s="158"/>
      <c r="E51" s="158"/>
      <c r="F51" s="158"/>
      <c r="H51" s="158" t="s">
        <v>676</v>
      </c>
      <c r="I51" s="158"/>
      <c r="J51" s="158"/>
      <c r="K51" s="158"/>
      <c r="L51" s="158"/>
      <c r="M51" s="158"/>
      <c r="N51" s="158"/>
      <c r="O51" s="158"/>
      <c r="P51" s="158"/>
      <c r="Q51" s="158"/>
      <c r="S51" s="129">
        <v>0</v>
      </c>
    </row>
    <row r="52" spans="2:25" ht="12" customHeight="1" x14ac:dyDescent="0.2">
      <c r="C52" s="158" t="s">
        <v>72</v>
      </c>
      <c r="D52" s="158"/>
      <c r="E52" s="158"/>
      <c r="F52" s="158"/>
      <c r="H52" s="158" t="s">
        <v>607</v>
      </c>
      <c r="I52" s="158"/>
      <c r="J52" s="158"/>
      <c r="K52" s="158"/>
      <c r="L52" s="158"/>
      <c r="M52" s="158"/>
      <c r="N52" s="158"/>
      <c r="O52" s="158"/>
      <c r="P52" s="158"/>
      <c r="Q52" s="158"/>
      <c r="S52" s="129">
        <v>41887.629999999997</v>
      </c>
    </row>
    <row r="53" spans="2:25" ht="12" customHeight="1" x14ac:dyDescent="0.2">
      <c r="C53" s="158" t="s">
        <v>620</v>
      </c>
      <c r="D53" s="158"/>
      <c r="E53" s="158"/>
      <c r="F53" s="158"/>
      <c r="H53" s="158" t="s">
        <v>630</v>
      </c>
      <c r="I53" s="158"/>
      <c r="J53" s="158"/>
      <c r="K53" s="158"/>
      <c r="L53" s="158"/>
      <c r="M53" s="158"/>
      <c r="N53" s="158"/>
      <c r="O53" s="158"/>
      <c r="P53" s="158"/>
      <c r="Q53" s="158"/>
      <c r="S53" s="129">
        <v>0</v>
      </c>
    </row>
    <row r="54" spans="2:25" ht="12" customHeight="1" x14ac:dyDescent="0.2">
      <c r="C54" s="158" t="s">
        <v>629</v>
      </c>
      <c r="D54" s="158"/>
      <c r="E54" s="158"/>
      <c r="F54" s="158"/>
      <c r="H54" s="158" t="s">
        <v>631</v>
      </c>
      <c r="I54" s="158"/>
      <c r="J54" s="158"/>
      <c r="K54" s="158"/>
      <c r="L54" s="158"/>
      <c r="M54" s="158"/>
      <c r="N54" s="158"/>
      <c r="O54" s="158"/>
      <c r="P54" s="158"/>
      <c r="Q54" s="158"/>
      <c r="S54" s="132">
        <v>0</v>
      </c>
    </row>
    <row r="55" spans="2:25" ht="12" customHeight="1" x14ac:dyDescent="0.2">
      <c r="C55" s="158" t="s">
        <v>619</v>
      </c>
      <c r="D55" s="158"/>
      <c r="E55" s="158"/>
      <c r="F55" s="158"/>
      <c r="H55" s="158" t="s">
        <v>677</v>
      </c>
      <c r="I55" s="158"/>
      <c r="J55" s="158"/>
      <c r="K55" s="158"/>
      <c r="L55" s="158"/>
      <c r="M55" s="158"/>
      <c r="N55" s="158"/>
      <c r="O55" s="158"/>
      <c r="P55" s="158"/>
      <c r="Q55" s="158"/>
      <c r="S55" s="78">
        <v>0</v>
      </c>
    </row>
    <row r="56" spans="2:25" ht="12" customHeight="1" x14ac:dyDescent="0.2">
      <c r="C56" s="158" t="s">
        <v>552</v>
      </c>
      <c r="D56" s="158"/>
      <c r="E56" s="158"/>
      <c r="F56" s="158"/>
      <c r="H56" s="134"/>
      <c r="I56" s="158" t="s">
        <v>678</v>
      </c>
      <c r="J56" s="158"/>
      <c r="K56" s="158"/>
      <c r="L56" s="158"/>
      <c r="M56" s="158"/>
      <c r="N56" s="158"/>
      <c r="O56" s="158"/>
      <c r="P56" s="158"/>
      <c r="Q56" s="158"/>
      <c r="R56" s="158"/>
      <c r="S56" s="78">
        <v>115.46</v>
      </c>
    </row>
    <row r="57" spans="2:25" ht="12" customHeight="1" x14ac:dyDescent="0.2">
      <c r="C57" s="158" t="s">
        <v>401</v>
      </c>
      <c r="D57" s="158"/>
      <c r="E57" s="158"/>
      <c r="F57" s="158"/>
      <c r="H57" s="158" t="s">
        <v>655</v>
      </c>
      <c r="I57" s="158"/>
      <c r="J57" s="158"/>
      <c r="K57" s="158"/>
      <c r="L57" s="158"/>
      <c r="M57" s="158"/>
      <c r="N57" s="158"/>
      <c r="O57" s="158"/>
      <c r="P57" s="158"/>
      <c r="Q57" s="158"/>
      <c r="S57" s="78">
        <v>12982.66</v>
      </c>
    </row>
    <row r="58" spans="2:25" ht="12" customHeight="1" x14ac:dyDescent="0.2">
      <c r="H58" s="156" t="s">
        <v>73</v>
      </c>
      <c r="I58" s="156"/>
      <c r="J58" s="156"/>
      <c r="K58" s="156"/>
      <c r="L58" s="156"/>
      <c r="M58" s="156"/>
      <c r="N58" s="156"/>
      <c r="O58" s="156"/>
      <c r="P58" s="156"/>
      <c r="U58" s="157">
        <f>SUM(S10:S57)</f>
        <v>54636950.919999994</v>
      </c>
      <c r="V58" s="157"/>
      <c r="W58" s="157"/>
      <c r="Y58" s="77"/>
    </row>
    <row r="59" spans="2:25" ht="12" customHeight="1" x14ac:dyDescent="0.2"/>
    <row r="60" spans="2:25" ht="12" customHeight="1" x14ac:dyDescent="0.2">
      <c r="B60" s="156" t="s">
        <v>74</v>
      </c>
      <c r="C60" s="156"/>
      <c r="D60" s="156"/>
      <c r="E60" s="156"/>
      <c r="F60" s="156"/>
      <c r="G60" s="156"/>
      <c r="H60" s="156"/>
      <c r="I60" s="156"/>
      <c r="J60" s="156"/>
      <c r="K60" s="156"/>
    </row>
    <row r="61" spans="2:25" ht="12" customHeight="1" x14ac:dyDescent="0.2">
      <c r="C61" s="158" t="s">
        <v>75</v>
      </c>
      <c r="D61" s="158"/>
      <c r="E61" s="158"/>
      <c r="F61" s="158"/>
      <c r="H61" s="158" t="s">
        <v>76</v>
      </c>
      <c r="I61" s="158"/>
      <c r="J61" s="158"/>
      <c r="K61" s="158"/>
      <c r="L61" s="158"/>
      <c r="M61" s="158"/>
      <c r="N61" s="158"/>
      <c r="O61" s="158"/>
      <c r="P61" s="158"/>
      <c r="Q61" s="158"/>
      <c r="S61" s="129">
        <v>1112375.6499999999</v>
      </c>
    </row>
    <row r="62" spans="2:25" ht="12" customHeight="1" x14ac:dyDescent="0.2">
      <c r="C62" s="158" t="s">
        <v>77</v>
      </c>
      <c r="D62" s="158"/>
      <c r="E62" s="158"/>
      <c r="F62" s="158"/>
      <c r="H62" s="158" t="s">
        <v>78</v>
      </c>
      <c r="I62" s="158"/>
      <c r="J62" s="158"/>
      <c r="K62" s="158"/>
      <c r="L62" s="158"/>
      <c r="M62" s="158"/>
      <c r="N62" s="158"/>
      <c r="O62" s="158"/>
      <c r="P62" s="158"/>
      <c r="Q62" s="158"/>
      <c r="S62" s="129">
        <v>45071.88</v>
      </c>
    </row>
    <row r="63" spans="2:25" ht="12" customHeight="1" x14ac:dyDescent="0.2">
      <c r="C63" s="158" t="s">
        <v>79</v>
      </c>
      <c r="D63" s="158"/>
      <c r="E63" s="158"/>
      <c r="F63" s="158"/>
      <c r="H63" s="158" t="s">
        <v>80</v>
      </c>
      <c r="I63" s="158"/>
      <c r="J63" s="158"/>
      <c r="K63" s="158"/>
      <c r="L63" s="158"/>
      <c r="M63" s="158"/>
      <c r="N63" s="158"/>
      <c r="O63" s="158"/>
      <c r="P63" s="158"/>
      <c r="Q63" s="158"/>
      <c r="S63" s="129">
        <v>715632.48</v>
      </c>
    </row>
    <row r="64" spans="2:25" ht="12" customHeight="1" x14ac:dyDescent="0.2">
      <c r="C64" s="158" t="s">
        <v>81</v>
      </c>
      <c r="D64" s="158"/>
      <c r="E64" s="158"/>
      <c r="F64" s="158"/>
      <c r="H64" s="158" t="s">
        <v>82</v>
      </c>
      <c r="I64" s="158"/>
      <c r="J64" s="158"/>
      <c r="K64" s="158"/>
      <c r="L64" s="158"/>
      <c r="M64" s="158"/>
      <c r="N64" s="158"/>
      <c r="O64" s="158"/>
      <c r="P64" s="158"/>
      <c r="Q64" s="158"/>
      <c r="S64" s="129">
        <v>4682170.93</v>
      </c>
    </row>
    <row r="65" spans="2:23" ht="12" customHeight="1" x14ac:dyDescent="0.2">
      <c r="C65" s="158" t="s">
        <v>83</v>
      </c>
      <c r="D65" s="158"/>
      <c r="E65" s="158"/>
      <c r="F65" s="158"/>
      <c r="H65" s="158" t="s">
        <v>84</v>
      </c>
      <c r="I65" s="158"/>
      <c r="J65" s="158"/>
      <c r="K65" s="158"/>
      <c r="L65" s="158"/>
      <c r="M65" s="158"/>
      <c r="N65" s="158"/>
      <c r="O65" s="158"/>
      <c r="P65" s="158"/>
      <c r="Q65" s="158"/>
      <c r="S65" s="129">
        <v>460539.38</v>
      </c>
    </row>
    <row r="66" spans="2:23" ht="12" customHeight="1" x14ac:dyDescent="0.2">
      <c r="C66" s="158" t="s">
        <v>85</v>
      </c>
      <c r="D66" s="158"/>
      <c r="E66" s="158"/>
      <c r="F66" s="158"/>
      <c r="H66" s="158" t="s">
        <v>86</v>
      </c>
      <c r="I66" s="158"/>
      <c r="J66" s="158"/>
      <c r="K66" s="158"/>
      <c r="L66" s="158"/>
      <c r="M66" s="158"/>
      <c r="N66" s="158"/>
      <c r="O66" s="158"/>
      <c r="P66" s="158"/>
      <c r="Q66" s="158"/>
      <c r="S66" s="129">
        <v>60000</v>
      </c>
    </row>
    <row r="67" spans="2:23" ht="12" customHeight="1" x14ac:dyDescent="0.2">
      <c r="C67" s="158" t="s">
        <v>87</v>
      </c>
      <c r="D67" s="158"/>
      <c r="E67" s="158"/>
      <c r="F67" s="158"/>
      <c r="H67" s="158" t="s">
        <v>88</v>
      </c>
      <c r="I67" s="158"/>
      <c r="J67" s="158"/>
      <c r="K67" s="158"/>
      <c r="L67" s="158"/>
      <c r="M67" s="158"/>
      <c r="N67" s="158"/>
      <c r="O67" s="158"/>
      <c r="P67" s="158"/>
      <c r="Q67" s="158"/>
      <c r="S67" s="129">
        <v>3119443.63</v>
      </c>
    </row>
    <row r="68" spans="2:23" ht="12" customHeight="1" x14ac:dyDescent="0.2">
      <c r="C68" s="158" t="s">
        <v>89</v>
      </c>
      <c r="D68" s="158"/>
      <c r="E68" s="158"/>
      <c r="F68" s="158"/>
      <c r="H68" s="158" t="s">
        <v>90</v>
      </c>
      <c r="I68" s="158"/>
      <c r="J68" s="158"/>
      <c r="K68" s="158"/>
      <c r="L68" s="158"/>
      <c r="M68" s="158"/>
      <c r="N68" s="158"/>
      <c r="O68" s="158"/>
      <c r="P68" s="158"/>
      <c r="Q68" s="158"/>
      <c r="S68" s="129">
        <v>11428.88</v>
      </c>
    </row>
    <row r="69" spans="2:23" ht="12" customHeight="1" x14ac:dyDescent="0.2">
      <c r="C69" s="158" t="s">
        <v>91</v>
      </c>
      <c r="D69" s="158"/>
      <c r="E69" s="158"/>
      <c r="F69" s="158"/>
      <c r="H69" s="158" t="s">
        <v>92</v>
      </c>
      <c r="I69" s="158"/>
      <c r="J69" s="158"/>
      <c r="K69" s="158"/>
      <c r="L69" s="158"/>
      <c r="M69" s="158"/>
      <c r="N69" s="158"/>
      <c r="O69" s="158"/>
      <c r="P69" s="158"/>
      <c r="Q69" s="158"/>
      <c r="S69" s="129">
        <v>205633.94</v>
      </c>
    </row>
    <row r="70" spans="2:23" ht="12" customHeight="1" x14ac:dyDescent="0.2">
      <c r="C70" s="158" t="s">
        <v>93</v>
      </c>
      <c r="D70" s="158"/>
      <c r="E70" s="158"/>
      <c r="F70" s="158"/>
      <c r="H70" s="158" t="s">
        <v>94</v>
      </c>
      <c r="I70" s="158"/>
      <c r="J70" s="158"/>
      <c r="K70" s="158"/>
      <c r="L70" s="158"/>
      <c r="M70" s="158"/>
      <c r="N70" s="158"/>
      <c r="O70" s="158"/>
      <c r="P70" s="158"/>
      <c r="Q70" s="158"/>
      <c r="S70" s="129">
        <v>2023589.41</v>
      </c>
    </row>
    <row r="71" spans="2:23" ht="12" customHeight="1" x14ac:dyDescent="0.2">
      <c r="C71" s="158" t="s">
        <v>95</v>
      </c>
      <c r="D71" s="158"/>
      <c r="E71" s="158"/>
      <c r="F71" s="158"/>
      <c r="H71" s="158" t="s">
        <v>96</v>
      </c>
      <c r="I71" s="158"/>
      <c r="J71" s="158"/>
      <c r="K71" s="158"/>
      <c r="L71" s="158"/>
      <c r="M71" s="158"/>
      <c r="N71" s="158"/>
      <c r="O71" s="158"/>
      <c r="P71" s="158"/>
      <c r="Q71" s="158"/>
      <c r="S71" s="129">
        <v>4956767.88</v>
      </c>
    </row>
    <row r="72" spans="2:23" ht="12" customHeight="1" x14ac:dyDescent="0.2">
      <c r="C72" s="158" t="s">
        <v>97</v>
      </c>
      <c r="D72" s="158"/>
      <c r="E72" s="158"/>
      <c r="F72" s="158"/>
      <c r="H72" s="158" t="s">
        <v>98</v>
      </c>
      <c r="I72" s="158"/>
      <c r="J72" s="158"/>
      <c r="K72" s="158"/>
      <c r="L72" s="158"/>
      <c r="M72" s="158"/>
      <c r="N72" s="158"/>
      <c r="O72" s="158"/>
      <c r="P72" s="158"/>
      <c r="Q72" s="158"/>
      <c r="S72" s="129">
        <v>70738.81</v>
      </c>
    </row>
    <row r="73" spans="2:23" ht="12" customHeight="1" x14ac:dyDescent="0.2">
      <c r="C73" s="158" t="s">
        <v>99</v>
      </c>
      <c r="D73" s="158"/>
      <c r="E73" s="158"/>
      <c r="F73" s="158"/>
      <c r="H73" s="158" t="s">
        <v>100</v>
      </c>
      <c r="I73" s="158"/>
      <c r="J73" s="158"/>
      <c r="K73" s="158"/>
      <c r="L73" s="158"/>
      <c r="M73" s="158"/>
      <c r="N73" s="158"/>
      <c r="O73" s="158"/>
      <c r="P73" s="158"/>
      <c r="Q73" s="158"/>
      <c r="S73" s="129">
        <v>-7763994.8200000003</v>
      </c>
    </row>
    <row r="74" spans="2:23" ht="12" customHeight="1" x14ac:dyDescent="0.2">
      <c r="C74" s="158" t="s">
        <v>101</v>
      </c>
      <c r="D74" s="158"/>
      <c r="E74" s="158"/>
      <c r="F74" s="158"/>
      <c r="H74" s="158" t="s">
        <v>102</v>
      </c>
      <c r="I74" s="158"/>
      <c r="J74" s="158"/>
      <c r="K74" s="158"/>
      <c r="L74" s="158"/>
      <c r="M74" s="158"/>
      <c r="N74" s="158"/>
      <c r="O74" s="158"/>
      <c r="P74" s="158"/>
      <c r="Q74" s="158"/>
      <c r="S74" s="131">
        <v>-58000.1</v>
      </c>
    </row>
    <row r="75" spans="2:23" ht="12" customHeight="1" x14ac:dyDescent="0.2">
      <c r="H75" s="156" t="s">
        <v>103</v>
      </c>
      <c r="I75" s="156"/>
      <c r="J75" s="156"/>
      <c r="K75" s="156"/>
      <c r="L75" s="156"/>
      <c r="M75" s="156"/>
      <c r="N75" s="156"/>
      <c r="O75" s="156"/>
      <c r="P75" s="156"/>
      <c r="U75" s="157">
        <f>SUM(S61:S74)</f>
        <v>9641397.9499999974</v>
      </c>
      <c r="V75" s="157"/>
      <c r="W75" s="157"/>
    </row>
    <row r="76" spans="2:23" ht="12" customHeight="1" x14ac:dyDescent="0.2">
      <c r="B76" s="156" t="s">
        <v>218</v>
      </c>
      <c r="C76" s="156"/>
      <c r="D76" s="156"/>
      <c r="E76" s="156"/>
      <c r="F76" s="156"/>
      <c r="G76" s="156"/>
      <c r="H76" s="156"/>
      <c r="I76" s="156"/>
      <c r="J76" s="156"/>
      <c r="K76" s="156"/>
    </row>
    <row r="77" spans="2:23" ht="12" customHeight="1" x14ac:dyDescent="0.2">
      <c r="C77" s="158" t="s">
        <v>219</v>
      </c>
      <c r="D77" s="158"/>
      <c r="E77" s="158"/>
      <c r="F77" s="158"/>
      <c r="H77" s="158" t="s">
        <v>220</v>
      </c>
      <c r="I77" s="158"/>
      <c r="J77" s="158"/>
      <c r="K77" s="158"/>
      <c r="L77" s="158"/>
      <c r="M77" s="158"/>
      <c r="N77" s="158"/>
      <c r="O77" s="158"/>
      <c r="P77" s="158"/>
      <c r="Q77" s="158"/>
      <c r="S77" s="131">
        <v>0</v>
      </c>
    </row>
    <row r="78" spans="2:23" ht="12" customHeight="1" x14ac:dyDescent="0.2">
      <c r="H78" s="156" t="s">
        <v>221</v>
      </c>
      <c r="I78" s="156"/>
      <c r="J78" s="156"/>
      <c r="K78" s="156"/>
      <c r="L78" s="156"/>
      <c r="M78" s="156"/>
      <c r="N78" s="156"/>
      <c r="O78" s="156"/>
      <c r="P78" s="156"/>
      <c r="U78" s="160">
        <f>S77</f>
        <v>0</v>
      </c>
      <c r="V78" s="160"/>
      <c r="W78" s="160"/>
    </row>
    <row r="79" spans="2:23" ht="12" customHeight="1" x14ac:dyDescent="0.2"/>
    <row r="80" spans="2:23" ht="12" customHeight="1" thickBot="1" x14ac:dyDescent="0.25">
      <c r="I80" s="156" t="s">
        <v>104</v>
      </c>
      <c r="J80" s="156"/>
      <c r="K80" s="156"/>
      <c r="L80" s="156"/>
      <c r="M80" s="156"/>
      <c r="N80" s="156"/>
      <c r="O80" s="156"/>
      <c r="P80" s="156"/>
      <c r="U80" s="163">
        <f>U58+U75+U78</f>
        <v>64278348.86999999</v>
      </c>
      <c r="V80" s="163"/>
      <c r="W80" s="163"/>
    </row>
    <row r="81" spans="1:19" ht="12" customHeight="1" thickTop="1" x14ac:dyDescent="0.2"/>
    <row r="82" spans="1:19" ht="12" customHeight="1" x14ac:dyDescent="0.2">
      <c r="A82" s="156" t="s">
        <v>105</v>
      </c>
      <c r="B82" s="156"/>
      <c r="C82" s="156"/>
      <c r="D82" s="156"/>
      <c r="E82" s="156"/>
      <c r="F82" s="156"/>
      <c r="G82" s="156"/>
      <c r="H82" s="156"/>
      <c r="I82" s="156"/>
      <c r="J82" s="156"/>
      <c r="K82" s="156"/>
      <c r="L82" s="156"/>
      <c r="M82" s="156"/>
    </row>
    <row r="83" spans="1:19" ht="12" customHeight="1" x14ac:dyDescent="0.2"/>
    <row r="84" spans="1:19" ht="12" customHeight="1" x14ac:dyDescent="0.2">
      <c r="B84" s="156" t="s">
        <v>106</v>
      </c>
      <c r="C84" s="156"/>
      <c r="D84" s="156"/>
      <c r="E84" s="156"/>
      <c r="F84" s="156"/>
      <c r="G84" s="156"/>
      <c r="H84" s="156"/>
      <c r="I84" s="156"/>
      <c r="J84" s="156"/>
      <c r="K84" s="156"/>
      <c r="N84" s="184" t="s">
        <v>222</v>
      </c>
      <c r="O84" s="184"/>
    </row>
    <row r="85" spans="1:19" ht="12" customHeight="1" x14ac:dyDescent="0.2">
      <c r="B85" s="135"/>
      <c r="C85" s="158">
        <v>2105</v>
      </c>
      <c r="D85" s="158"/>
      <c r="E85" s="158"/>
      <c r="F85" s="158"/>
      <c r="G85" s="135"/>
      <c r="H85" s="158" t="s">
        <v>699</v>
      </c>
      <c r="I85" s="158"/>
      <c r="J85" s="158"/>
      <c r="K85" s="158"/>
      <c r="L85" s="158"/>
      <c r="M85" s="158"/>
      <c r="N85" s="158"/>
      <c r="O85" s="158"/>
      <c r="P85" s="158"/>
      <c r="Q85" s="158"/>
      <c r="S85" s="121">
        <v>1773880.21</v>
      </c>
    </row>
    <row r="86" spans="1:19" ht="12" customHeight="1" x14ac:dyDescent="0.2">
      <c r="C86" s="158">
        <v>2110</v>
      </c>
      <c r="D86" s="158"/>
      <c r="E86" s="158"/>
      <c r="F86" s="158"/>
      <c r="H86" s="158" t="s">
        <v>108</v>
      </c>
      <c r="I86" s="158"/>
      <c r="J86" s="158"/>
      <c r="K86" s="158"/>
      <c r="L86" s="158"/>
      <c r="M86" s="158"/>
      <c r="N86" s="158"/>
      <c r="O86" s="158"/>
      <c r="P86" s="158"/>
      <c r="Q86" s="158"/>
      <c r="S86" s="129">
        <v>38816490</v>
      </c>
    </row>
    <row r="87" spans="1:19" ht="12" customHeight="1" x14ac:dyDescent="0.2">
      <c r="C87" s="158" t="s">
        <v>109</v>
      </c>
      <c r="D87" s="158"/>
      <c r="E87" s="158"/>
      <c r="F87" s="158"/>
      <c r="H87" s="158" t="s">
        <v>110</v>
      </c>
      <c r="I87" s="158"/>
      <c r="J87" s="158"/>
      <c r="K87" s="158"/>
      <c r="L87" s="158"/>
      <c r="M87" s="158"/>
      <c r="N87" s="158"/>
      <c r="O87" s="158"/>
      <c r="P87" s="158"/>
      <c r="Q87" s="158"/>
      <c r="S87" s="129">
        <v>1058597.3</v>
      </c>
    </row>
    <row r="88" spans="1:19" ht="12" customHeight="1" x14ac:dyDescent="0.2">
      <c r="C88" s="158" t="s">
        <v>223</v>
      </c>
      <c r="D88" s="158"/>
      <c r="E88" s="158"/>
      <c r="F88" s="158"/>
      <c r="H88" s="158" t="s">
        <v>224</v>
      </c>
      <c r="I88" s="158"/>
      <c r="J88" s="158"/>
      <c r="K88" s="158"/>
      <c r="L88" s="158"/>
      <c r="M88" s="158"/>
      <c r="N88" s="158"/>
      <c r="O88" s="158"/>
      <c r="P88" s="158"/>
      <c r="Q88" s="158"/>
      <c r="S88" s="129">
        <v>0</v>
      </c>
    </row>
    <row r="89" spans="1:19" ht="12" customHeight="1" x14ac:dyDescent="0.2">
      <c r="C89" s="158" t="s">
        <v>111</v>
      </c>
      <c r="D89" s="158"/>
      <c r="E89" s="158"/>
      <c r="F89" s="158"/>
      <c r="H89" s="158" t="s">
        <v>112</v>
      </c>
      <c r="I89" s="158"/>
      <c r="J89" s="158"/>
      <c r="K89" s="158"/>
      <c r="L89" s="158"/>
      <c r="M89" s="158"/>
      <c r="N89" s="158"/>
      <c r="O89" s="158"/>
      <c r="P89" s="158"/>
      <c r="Q89" s="158"/>
      <c r="S89" s="129">
        <v>416.41</v>
      </c>
    </row>
    <row r="90" spans="1:19" ht="12" customHeight="1" x14ac:dyDescent="0.2">
      <c r="C90" s="158" t="s">
        <v>225</v>
      </c>
      <c r="D90" s="158"/>
      <c r="E90" s="158"/>
      <c r="F90" s="158"/>
      <c r="H90" s="158" t="s">
        <v>226</v>
      </c>
      <c r="I90" s="158"/>
      <c r="J90" s="158"/>
      <c r="K90" s="158"/>
      <c r="L90" s="158"/>
      <c r="M90" s="158"/>
      <c r="N90" s="158"/>
      <c r="O90" s="158"/>
      <c r="P90" s="158"/>
      <c r="Q90" s="158"/>
      <c r="S90" s="129">
        <v>0</v>
      </c>
    </row>
    <row r="91" spans="1:19" ht="12" customHeight="1" x14ac:dyDescent="0.2">
      <c r="C91" s="158" t="s">
        <v>113</v>
      </c>
      <c r="D91" s="158"/>
      <c r="E91" s="158"/>
      <c r="F91" s="158"/>
      <c r="H91" s="158" t="s">
        <v>114</v>
      </c>
      <c r="I91" s="158"/>
      <c r="J91" s="158"/>
      <c r="K91" s="158"/>
      <c r="L91" s="158"/>
      <c r="M91" s="158"/>
      <c r="N91" s="158"/>
      <c r="O91" s="158"/>
      <c r="P91" s="158"/>
      <c r="Q91" s="158"/>
      <c r="S91" s="129">
        <v>1188.81</v>
      </c>
    </row>
    <row r="92" spans="1:19" ht="12" customHeight="1" x14ac:dyDescent="0.2">
      <c r="C92" s="158">
        <v>2140</v>
      </c>
      <c r="D92" s="158"/>
      <c r="E92" s="158"/>
      <c r="F92" s="158"/>
      <c r="H92" s="158" t="s">
        <v>116</v>
      </c>
      <c r="I92" s="158"/>
      <c r="J92" s="158"/>
      <c r="K92" s="158"/>
      <c r="L92" s="158"/>
      <c r="M92" s="158"/>
      <c r="N92" s="158"/>
      <c r="O92" s="158"/>
      <c r="P92" s="158"/>
      <c r="Q92" s="158"/>
      <c r="S92" s="129">
        <v>0</v>
      </c>
    </row>
    <row r="93" spans="1:19" ht="12" customHeight="1" x14ac:dyDescent="0.2">
      <c r="C93" s="158">
        <v>2162</v>
      </c>
      <c r="D93" s="158"/>
      <c r="E93" s="158"/>
      <c r="F93" s="158"/>
      <c r="H93" s="158" t="s">
        <v>691</v>
      </c>
      <c r="I93" s="158"/>
      <c r="J93" s="158"/>
      <c r="K93" s="158"/>
      <c r="L93" s="158"/>
      <c r="M93" s="158"/>
      <c r="N93" s="158"/>
      <c r="O93" s="158"/>
      <c r="P93" s="158"/>
      <c r="Q93" s="158"/>
      <c r="S93" s="129">
        <v>0</v>
      </c>
    </row>
    <row r="94" spans="1:19" ht="12" customHeight="1" x14ac:dyDescent="0.2">
      <c r="C94" s="158">
        <v>2150</v>
      </c>
      <c r="D94" s="158"/>
      <c r="E94" s="158"/>
      <c r="F94" s="158"/>
      <c r="H94" s="158" t="s">
        <v>189</v>
      </c>
      <c r="I94" s="158"/>
      <c r="J94" s="158"/>
      <c r="K94" s="158"/>
      <c r="L94" s="158"/>
      <c r="M94" s="158"/>
      <c r="N94" s="158"/>
      <c r="O94" s="158"/>
      <c r="P94" s="158"/>
      <c r="Q94" s="158"/>
      <c r="S94" s="121">
        <v>181.28</v>
      </c>
    </row>
    <row r="95" spans="1:19" ht="12" customHeight="1" x14ac:dyDescent="0.2">
      <c r="C95" s="158" t="s">
        <v>117</v>
      </c>
      <c r="D95" s="158"/>
      <c r="E95" s="158"/>
      <c r="F95" s="158"/>
      <c r="H95" s="158" t="s">
        <v>118</v>
      </c>
      <c r="I95" s="158"/>
      <c r="J95" s="158"/>
      <c r="K95" s="158"/>
      <c r="L95" s="158"/>
      <c r="M95" s="158"/>
      <c r="N95" s="158"/>
      <c r="O95" s="158"/>
      <c r="P95" s="158"/>
      <c r="Q95" s="158"/>
      <c r="S95" s="129">
        <v>3225347.21</v>
      </c>
    </row>
    <row r="96" spans="1:19" ht="12" customHeight="1" x14ac:dyDescent="0.2">
      <c r="C96" s="158" t="s">
        <v>119</v>
      </c>
      <c r="D96" s="158"/>
      <c r="E96" s="158"/>
      <c r="F96" s="158"/>
      <c r="H96" s="158" t="s">
        <v>120</v>
      </c>
      <c r="I96" s="158"/>
      <c r="J96" s="158"/>
      <c r="K96" s="158"/>
      <c r="L96" s="158"/>
      <c r="M96" s="158"/>
      <c r="N96" s="158"/>
      <c r="O96" s="158"/>
      <c r="P96" s="158"/>
      <c r="Q96" s="158"/>
      <c r="S96" s="129">
        <v>16762.55</v>
      </c>
    </row>
    <row r="97" spans="3:19" ht="12" customHeight="1" x14ac:dyDescent="0.2">
      <c r="C97" s="158" t="s">
        <v>121</v>
      </c>
      <c r="D97" s="158"/>
      <c r="E97" s="158"/>
      <c r="F97" s="158"/>
      <c r="H97" s="158" t="s">
        <v>122</v>
      </c>
      <c r="I97" s="158"/>
      <c r="J97" s="158"/>
      <c r="K97" s="158"/>
      <c r="L97" s="158"/>
      <c r="M97" s="158"/>
      <c r="N97" s="158"/>
      <c r="O97" s="158"/>
      <c r="P97" s="158"/>
      <c r="Q97" s="158"/>
      <c r="S97" s="129">
        <v>238535.76</v>
      </c>
    </row>
    <row r="98" spans="3:19" ht="12" customHeight="1" x14ac:dyDescent="0.2">
      <c r="C98" s="158" t="s">
        <v>123</v>
      </c>
      <c r="D98" s="158"/>
      <c r="E98" s="158"/>
      <c r="F98" s="158"/>
      <c r="H98" s="158" t="s">
        <v>124</v>
      </c>
      <c r="I98" s="158"/>
      <c r="J98" s="158"/>
      <c r="K98" s="158"/>
      <c r="L98" s="158"/>
      <c r="M98" s="158"/>
      <c r="N98" s="158"/>
      <c r="O98" s="158"/>
      <c r="P98" s="158"/>
      <c r="Q98" s="158"/>
      <c r="S98" s="129">
        <v>10844.05</v>
      </c>
    </row>
    <row r="99" spans="3:19" ht="12" customHeight="1" x14ac:dyDescent="0.2">
      <c r="C99" s="158" t="s">
        <v>125</v>
      </c>
      <c r="D99" s="158"/>
      <c r="E99" s="158"/>
      <c r="F99" s="158"/>
      <c r="H99" s="158" t="s">
        <v>126</v>
      </c>
      <c r="I99" s="158"/>
      <c r="J99" s="158"/>
      <c r="K99" s="158"/>
      <c r="L99" s="158"/>
      <c r="M99" s="158"/>
      <c r="N99" s="158"/>
      <c r="O99" s="158"/>
      <c r="P99" s="158"/>
      <c r="Q99" s="158"/>
      <c r="S99" s="129">
        <v>123853.72</v>
      </c>
    </row>
    <row r="100" spans="3:19" ht="12" customHeight="1" x14ac:dyDescent="0.2">
      <c r="C100" s="158" t="s">
        <v>127</v>
      </c>
      <c r="D100" s="158"/>
      <c r="E100" s="158"/>
      <c r="F100" s="158"/>
      <c r="H100" s="158" t="s">
        <v>128</v>
      </c>
      <c r="I100" s="158"/>
      <c r="J100" s="158"/>
      <c r="K100" s="158"/>
      <c r="L100" s="158"/>
      <c r="M100" s="158"/>
      <c r="N100" s="158"/>
      <c r="O100" s="158"/>
      <c r="P100" s="158"/>
      <c r="Q100" s="158"/>
      <c r="S100" s="129">
        <v>133600.62</v>
      </c>
    </row>
    <row r="101" spans="3:19" ht="12" customHeight="1" x14ac:dyDescent="0.2">
      <c r="C101" s="158" t="s">
        <v>129</v>
      </c>
      <c r="D101" s="158"/>
      <c r="E101" s="158"/>
      <c r="F101" s="158"/>
      <c r="H101" s="158" t="s">
        <v>130</v>
      </c>
      <c r="I101" s="158"/>
      <c r="J101" s="158"/>
      <c r="K101" s="158"/>
      <c r="L101" s="158"/>
      <c r="M101" s="158"/>
      <c r="N101" s="158"/>
      <c r="O101" s="158"/>
      <c r="P101" s="158"/>
      <c r="Q101" s="158"/>
      <c r="S101" s="129">
        <v>95823.6</v>
      </c>
    </row>
    <row r="102" spans="3:19" ht="12" customHeight="1" x14ac:dyDescent="0.2">
      <c r="C102" s="158">
        <v>2242</v>
      </c>
      <c r="D102" s="158"/>
      <c r="E102" s="158"/>
      <c r="F102" s="158"/>
      <c r="H102" s="158" t="s">
        <v>644</v>
      </c>
      <c r="I102" s="158"/>
      <c r="J102" s="158"/>
      <c r="K102" s="158"/>
      <c r="L102" s="158"/>
      <c r="M102" s="158"/>
      <c r="N102" s="158"/>
      <c r="O102" s="158"/>
      <c r="P102" s="158"/>
      <c r="Q102" s="158"/>
      <c r="S102" s="129">
        <v>0</v>
      </c>
    </row>
    <row r="103" spans="3:19" ht="12" customHeight="1" x14ac:dyDescent="0.2">
      <c r="C103" s="158">
        <v>2244</v>
      </c>
      <c r="D103" s="158"/>
      <c r="E103" s="158"/>
      <c r="F103" s="158"/>
      <c r="H103" s="158" t="s">
        <v>608</v>
      </c>
      <c r="I103" s="158"/>
      <c r="J103" s="158"/>
      <c r="K103" s="158"/>
      <c r="L103" s="158"/>
      <c r="M103" s="158"/>
      <c r="N103" s="158"/>
      <c r="O103" s="158"/>
      <c r="P103" s="158"/>
      <c r="Q103" s="158"/>
      <c r="S103" s="129">
        <v>0</v>
      </c>
    </row>
    <row r="104" spans="3:19" ht="12" customHeight="1" x14ac:dyDescent="0.2">
      <c r="C104" s="158" t="s">
        <v>227</v>
      </c>
      <c r="D104" s="158"/>
      <c r="E104" s="158"/>
      <c r="F104" s="158"/>
      <c r="H104" s="158" t="s">
        <v>228</v>
      </c>
      <c r="I104" s="158"/>
      <c r="J104" s="158"/>
      <c r="K104" s="158"/>
      <c r="L104" s="158"/>
      <c r="M104" s="158"/>
      <c r="N104" s="158"/>
      <c r="O104" s="158"/>
      <c r="P104" s="158"/>
      <c r="Q104" s="158"/>
      <c r="S104" s="129">
        <v>22639</v>
      </c>
    </row>
    <row r="105" spans="3:19" ht="12" customHeight="1" x14ac:dyDescent="0.2">
      <c r="C105" s="158">
        <v>2246</v>
      </c>
      <c r="D105" s="158"/>
      <c r="E105" s="158"/>
      <c r="F105" s="158"/>
      <c r="H105" s="158" t="s">
        <v>135</v>
      </c>
      <c r="I105" s="158"/>
      <c r="J105" s="158"/>
      <c r="K105" s="158"/>
      <c r="L105" s="158"/>
      <c r="M105" s="158"/>
      <c r="N105" s="158"/>
      <c r="O105" s="158"/>
      <c r="P105" s="158"/>
      <c r="Q105" s="158"/>
      <c r="S105" s="129">
        <v>0</v>
      </c>
    </row>
    <row r="106" spans="3:19" ht="12" customHeight="1" x14ac:dyDescent="0.2">
      <c r="C106" s="158">
        <v>2247</v>
      </c>
      <c r="D106" s="158"/>
      <c r="E106" s="158"/>
      <c r="F106" s="158"/>
      <c r="H106" s="158" t="s">
        <v>609</v>
      </c>
      <c r="I106" s="158"/>
      <c r="J106" s="158"/>
      <c r="K106" s="158"/>
      <c r="L106" s="158"/>
      <c r="M106" s="158"/>
      <c r="N106" s="158"/>
      <c r="O106" s="158"/>
      <c r="P106" s="158"/>
      <c r="Q106" s="158"/>
      <c r="S106" s="129">
        <v>0</v>
      </c>
    </row>
    <row r="107" spans="3:19" ht="12" customHeight="1" x14ac:dyDescent="0.2">
      <c r="C107" s="158">
        <v>2248</v>
      </c>
      <c r="D107" s="158"/>
      <c r="E107" s="158"/>
      <c r="F107" s="158"/>
      <c r="H107" s="158" t="s">
        <v>610</v>
      </c>
      <c r="I107" s="158"/>
      <c r="J107" s="158"/>
      <c r="K107" s="158"/>
      <c r="L107" s="158"/>
      <c r="M107" s="158"/>
      <c r="N107" s="158"/>
      <c r="O107" s="158"/>
      <c r="P107" s="158"/>
      <c r="Q107" s="158"/>
      <c r="S107" s="129">
        <v>0</v>
      </c>
    </row>
    <row r="108" spans="3:19" ht="12" customHeight="1" x14ac:dyDescent="0.2">
      <c r="C108" s="158">
        <v>2249</v>
      </c>
      <c r="D108" s="158"/>
      <c r="E108" s="158"/>
      <c r="F108" s="158"/>
      <c r="H108" s="158" t="s">
        <v>141</v>
      </c>
      <c r="I108" s="158"/>
      <c r="J108" s="158"/>
      <c r="K108" s="158"/>
      <c r="L108" s="158"/>
      <c r="M108" s="158"/>
      <c r="N108" s="158"/>
      <c r="O108" s="158"/>
      <c r="P108" s="158"/>
      <c r="Q108" s="158"/>
      <c r="S108" s="129">
        <v>0</v>
      </c>
    </row>
    <row r="109" spans="3:19" ht="12" customHeight="1" x14ac:dyDescent="0.2">
      <c r="C109" s="158" t="s">
        <v>142</v>
      </c>
      <c r="D109" s="158"/>
      <c r="E109" s="158"/>
      <c r="F109" s="158"/>
      <c r="H109" s="158" t="s">
        <v>143</v>
      </c>
      <c r="I109" s="158"/>
      <c r="J109" s="158"/>
      <c r="K109" s="158"/>
      <c r="L109" s="158"/>
      <c r="M109" s="158"/>
      <c r="N109" s="158"/>
      <c r="O109" s="158"/>
      <c r="P109" s="158"/>
      <c r="Q109" s="158"/>
      <c r="S109" s="129">
        <v>620977.18999999994</v>
      </c>
    </row>
    <row r="110" spans="3:19" ht="12" customHeight="1" x14ac:dyDescent="0.2">
      <c r="C110" s="158" t="s">
        <v>144</v>
      </c>
      <c r="D110" s="158"/>
      <c r="E110" s="158"/>
      <c r="F110" s="158"/>
      <c r="H110" s="158" t="s">
        <v>145</v>
      </c>
      <c r="I110" s="158"/>
      <c r="J110" s="158"/>
      <c r="K110" s="158"/>
      <c r="L110" s="158"/>
      <c r="M110" s="158"/>
      <c r="N110" s="158"/>
      <c r="O110" s="158"/>
      <c r="P110" s="158"/>
      <c r="Q110" s="158"/>
      <c r="S110" s="129">
        <v>4600000</v>
      </c>
    </row>
    <row r="111" spans="3:19" ht="12" customHeight="1" x14ac:dyDescent="0.2">
      <c r="C111" s="158">
        <v>2301</v>
      </c>
      <c r="D111" s="158"/>
      <c r="E111" s="158"/>
      <c r="F111" s="158"/>
      <c r="H111" s="158" t="s">
        <v>656</v>
      </c>
      <c r="I111" s="158"/>
      <c r="J111" s="158"/>
      <c r="K111" s="158"/>
      <c r="L111" s="158"/>
      <c r="M111" s="158"/>
      <c r="N111" s="158"/>
      <c r="O111" s="158"/>
      <c r="P111" s="158"/>
      <c r="Q111" s="158"/>
      <c r="S111" s="129">
        <v>2100000</v>
      </c>
    </row>
    <row r="112" spans="3:19" ht="12" customHeight="1" x14ac:dyDescent="0.2">
      <c r="C112" s="158">
        <v>2305</v>
      </c>
      <c r="D112" s="158"/>
      <c r="E112" s="158"/>
      <c r="F112" s="158"/>
      <c r="H112" s="158" t="s">
        <v>574</v>
      </c>
      <c r="I112" s="158"/>
      <c r="J112" s="158"/>
      <c r="K112" s="158"/>
      <c r="L112" s="158"/>
      <c r="M112" s="158"/>
      <c r="N112" s="158"/>
      <c r="O112" s="158"/>
      <c r="P112" s="158"/>
      <c r="Q112" s="158"/>
      <c r="S112" s="129">
        <v>93466.5</v>
      </c>
    </row>
    <row r="113" spans="2:23" ht="12" customHeight="1" x14ac:dyDescent="0.2">
      <c r="C113" s="130">
        <v>2400</v>
      </c>
      <c r="D113" s="130"/>
      <c r="E113" s="130"/>
      <c r="F113" s="134"/>
      <c r="H113" s="158" t="s">
        <v>666</v>
      </c>
      <c r="I113" s="158"/>
      <c r="J113" s="158"/>
      <c r="K113" s="158"/>
      <c r="L113" s="158"/>
      <c r="M113" s="158"/>
      <c r="N113" s="158"/>
      <c r="O113" s="158"/>
      <c r="P113" s="158"/>
      <c r="Q113" s="158"/>
      <c r="S113" s="129">
        <v>0</v>
      </c>
    </row>
    <row r="114" spans="2:23" ht="12" customHeight="1" x14ac:dyDescent="0.2">
      <c r="C114" s="158" t="s">
        <v>146</v>
      </c>
      <c r="D114" s="158"/>
      <c r="E114" s="158"/>
      <c r="F114" s="158"/>
      <c r="H114" s="158" t="s">
        <v>645</v>
      </c>
      <c r="I114" s="158"/>
      <c r="J114" s="158"/>
      <c r="K114" s="158"/>
      <c r="L114" s="158"/>
      <c r="M114" s="158"/>
      <c r="N114" s="158"/>
      <c r="O114" s="158"/>
      <c r="P114" s="158"/>
      <c r="Q114" s="158"/>
      <c r="S114" s="129">
        <v>0</v>
      </c>
    </row>
    <row r="115" spans="2:23" ht="12" customHeight="1" x14ac:dyDescent="0.2">
      <c r="C115" s="158" t="s">
        <v>147</v>
      </c>
      <c r="D115" s="158"/>
      <c r="E115" s="158"/>
      <c r="F115" s="158"/>
      <c r="H115" s="158" t="s">
        <v>697</v>
      </c>
      <c r="I115" s="158"/>
      <c r="J115" s="158"/>
      <c r="K115" s="158"/>
      <c r="L115" s="158"/>
      <c r="M115" s="158"/>
      <c r="N115" s="158"/>
      <c r="O115" s="158"/>
      <c r="P115" s="158"/>
      <c r="Q115" s="158"/>
      <c r="S115" s="129">
        <v>0</v>
      </c>
    </row>
    <row r="116" spans="2:23" ht="12" customHeight="1" x14ac:dyDescent="0.2">
      <c r="C116" s="158" t="s">
        <v>587</v>
      </c>
      <c r="D116" s="158"/>
      <c r="E116" s="158"/>
      <c r="F116" s="158"/>
      <c r="H116" s="158" t="s">
        <v>692</v>
      </c>
      <c r="I116" s="158"/>
      <c r="J116" s="158"/>
      <c r="K116" s="158"/>
      <c r="L116" s="158"/>
      <c r="M116" s="158"/>
      <c r="N116" s="158"/>
      <c r="O116" s="158"/>
      <c r="P116" s="158"/>
      <c r="Q116" s="158"/>
      <c r="S116" s="132">
        <v>0</v>
      </c>
    </row>
    <row r="117" spans="2:23" ht="12" customHeight="1" x14ac:dyDescent="0.2">
      <c r="H117" s="156" t="s">
        <v>148</v>
      </c>
      <c r="I117" s="156"/>
      <c r="J117" s="156"/>
      <c r="K117" s="156"/>
      <c r="L117" s="156"/>
      <c r="M117" s="156"/>
      <c r="N117" s="156"/>
      <c r="O117" s="156"/>
      <c r="P117" s="156"/>
      <c r="U117" s="157">
        <f>SUM(S85:S116)</f>
        <v>52932604.209999986</v>
      </c>
      <c r="V117" s="157"/>
      <c r="W117" s="157"/>
    </row>
    <row r="118" spans="2:23" ht="12" customHeight="1" x14ac:dyDescent="0.2"/>
    <row r="119" spans="2:23" ht="12" customHeight="1" x14ac:dyDescent="0.2">
      <c r="B119" s="156" t="s">
        <v>149</v>
      </c>
      <c r="C119" s="156"/>
      <c r="D119" s="156"/>
      <c r="E119" s="156"/>
      <c r="F119" s="156"/>
      <c r="G119" s="156"/>
      <c r="H119" s="156"/>
      <c r="I119" s="156"/>
      <c r="J119" s="156"/>
      <c r="K119" s="156"/>
    </row>
    <row r="120" spans="2:23" ht="12" customHeight="1" x14ac:dyDescent="0.2"/>
    <row r="121" spans="2:23" ht="12" customHeight="1" x14ac:dyDescent="0.2">
      <c r="C121" s="158" t="s">
        <v>229</v>
      </c>
      <c r="D121" s="158"/>
      <c r="E121" s="158"/>
      <c r="F121" s="158"/>
      <c r="H121" s="158" t="s">
        <v>230</v>
      </c>
      <c r="I121" s="158"/>
      <c r="J121" s="158"/>
      <c r="K121" s="158"/>
      <c r="L121" s="158"/>
      <c r="M121" s="158"/>
      <c r="N121" s="158"/>
      <c r="O121" s="158"/>
      <c r="P121" s="158"/>
      <c r="Q121" s="158"/>
      <c r="S121" s="129">
        <v>0</v>
      </c>
    </row>
    <row r="122" spans="2:23" ht="12" customHeight="1" x14ac:dyDescent="0.2">
      <c r="C122" s="158" t="s">
        <v>150</v>
      </c>
      <c r="D122" s="158"/>
      <c r="E122" s="158"/>
      <c r="F122" s="158"/>
      <c r="H122" s="158" t="s">
        <v>151</v>
      </c>
      <c r="I122" s="158"/>
      <c r="J122" s="158"/>
      <c r="K122" s="158"/>
      <c r="L122" s="158"/>
      <c r="M122" s="158"/>
      <c r="N122" s="158"/>
      <c r="O122" s="158"/>
      <c r="P122" s="158"/>
      <c r="Q122" s="158"/>
      <c r="S122" s="129">
        <v>0</v>
      </c>
    </row>
    <row r="123" spans="2:23" ht="12" customHeight="1" x14ac:dyDescent="0.2">
      <c r="C123" s="158" t="s">
        <v>152</v>
      </c>
      <c r="D123" s="158"/>
      <c r="E123" s="158"/>
      <c r="F123" s="158"/>
      <c r="H123" s="158" t="s">
        <v>153</v>
      </c>
      <c r="I123" s="158"/>
      <c r="J123" s="158"/>
      <c r="K123" s="158"/>
      <c r="L123" s="158"/>
      <c r="M123" s="158"/>
      <c r="N123" s="158"/>
      <c r="O123" s="158"/>
      <c r="P123" s="158"/>
      <c r="Q123" s="158"/>
      <c r="S123" s="129">
        <v>16195.44</v>
      </c>
    </row>
    <row r="124" spans="2:23" ht="12" customHeight="1" x14ac:dyDescent="0.2">
      <c r="C124" s="158" t="s">
        <v>154</v>
      </c>
      <c r="D124" s="158"/>
      <c r="E124" s="158"/>
      <c r="F124" s="158"/>
      <c r="H124" s="158" t="s">
        <v>155</v>
      </c>
      <c r="I124" s="158"/>
      <c r="J124" s="158"/>
      <c r="K124" s="158"/>
      <c r="L124" s="158"/>
      <c r="M124" s="158"/>
      <c r="N124" s="158"/>
      <c r="O124" s="158"/>
      <c r="P124" s="158"/>
      <c r="Q124" s="158"/>
      <c r="S124" s="129">
        <v>4200.3599999999997</v>
      </c>
    </row>
    <row r="125" spans="2:23" ht="12" customHeight="1" x14ac:dyDescent="0.2">
      <c r="C125" s="158" t="s">
        <v>156</v>
      </c>
      <c r="D125" s="158"/>
      <c r="E125" s="158"/>
      <c r="F125" s="158"/>
      <c r="H125" s="158" t="s">
        <v>157</v>
      </c>
      <c r="I125" s="158"/>
      <c r="J125" s="158"/>
      <c r="K125" s="158"/>
      <c r="L125" s="158"/>
      <c r="M125" s="158"/>
      <c r="N125" s="158"/>
      <c r="O125" s="158"/>
      <c r="P125" s="158"/>
      <c r="Q125" s="158"/>
      <c r="S125" s="132">
        <v>19160.82</v>
      </c>
    </row>
    <row r="126" spans="2:23" ht="12" customHeight="1" x14ac:dyDescent="0.2">
      <c r="C126" s="158">
        <v>2431</v>
      </c>
      <c r="D126" s="158"/>
      <c r="E126" s="158"/>
      <c r="F126" s="158"/>
      <c r="H126" s="158" t="s">
        <v>545</v>
      </c>
      <c r="I126" s="158"/>
      <c r="J126" s="158"/>
      <c r="K126" s="158"/>
      <c r="L126" s="158"/>
      <c r="M126" s="158"/>
      <c r="N126" s="158"/>
      <c r="O126" s="158"/>
      <c r="P126" s="158"/>
      <c r="Q126" s="158"/>
      <c r="S126" s="78">
        <v>0</v>
      </c>
    </row>
    <row r="127" spans="2:23" ht="12" customHeight="1" x14ac:dyDescent="0.2">
      <c r="C127" s="158">
        <v>2432</v>
      </c>
      <c r="D127" s="158"/>
      <c r="E127" s="158"/>
      <c r="F127" s="158"/>
      <c r="H127" s="158" t="s">
        <v>668</v>
      </c>
      <c r="I127" s="158"/>
      <c r="J127" s="158"/>
      <c r="K127" s="158"/>
      <c r="L127" s="158"/>
      <c r="M127" s="158"/>
      <c r="N127" s="158"/>
      <c r="O127" s="158"/>
      <c r="P127" s="158"/>
      <c r="Q127" s="158"/>
      <c r="S127" s="78">
        <v>0</v>
      </c>
    </row>
    <row r="128" spans="2:23" ht="12" customHeight="1" x14ac:dyDescent="0.2">
      <c r="C128" s="158">
        <v>2433</v>
      </c>
      <c r="D128" s="158"/>
      <c r="E128" s="158"/>
      <c r="F128" s="158"/>
      <c r="H128" s="158" t="s">
        <v>544</v>
      </c>
      <c r="I128" s="158"/>
      <c r="J128" s="158"/>
      <c r="K128" s="158"/>
      <c r="L128" s="158"/>
      <c r="M128" s="158"/>
      <c r="N128" s="158"/>
      <c r="O128" s="158"/>
      <c r="P128" s="158"/>
      <c r="Q128" s="158"/>
      <c r="S128" s="78">
        <v>0</v>
      </c>
    </row>
    <row r="129" spans="1:23" ht="12" customHeight="1" x14ac:dyDescent="0.2">
      <c r="H129" s="156" t="s">
        <v>158</v>
      </c>
      <c r="I129" s="156"/>
      <c r="J129" s="156"/>
      <c r="K129" s="156"/>
      <c r="L129" s="156"/>
      <c r="M129" s="156"/>
      <c r="N129" s="156"/>
      <c r="O129" s="156"/>
      <c r="P129" s="156"/>
      <c r="U129" s="160">
        <f>SUM(S121:S128)</f>
        <v>39556.619999999995</v>
      </c>
      <c r="V129" s="160"/>
      <c r="W129" s="160"/>
    </row>
    <row r="130" spans="1:23" ht="12" customHeight="1" x14ac:dyDescent="0.2"/>
    <row r="131" spans="1:23" ht="12" customHeight="1" x14ac:dyDescent="0.2">
      <c r="I131" s="156" t="s">
        <v>159</v>
      </c>
      <c r="J131" s="156"/>
      <c r="K131" s="156"/>
      <c r="L131" s="156"/>
      <c r="M131" s="156"/>
      <c r="N131" s="156"/>
      <c r="O131" s="156"/>
      <c r="P131" s="156"/>
      <c r="U131" s="157">
        <f>U117+U129</f>
        <v>52972160.829999983</v>
      </c>
      <c r="V131" s="157"/>
      <c r="W131" s="157"/>
    </row>
    <row r="132" spans="1:23" ht="12" customHeight="1" x14ac:dyDescent="0.2"/>
    <row r="133" spans="1:23" ht="12" customHeight="1" x14ac:dyDescent="0.2">
      <c r="A133" s="156" t="s">
        <v>160</v>
      </c>
      <c r="B133" s="156"/>
      <c r="C133" s="156"/>
      <c r="D133" s="156"/>
      <c r="E133" s="156"/>
      <c r="F133" s="156"/>
      <c r="G133" s="156"/>
      <c r="H133" s="156"/>
      <c r="I133" s="156"/>
      <c r="J133" s="156"/>
      <c r="K133" s="156"/>
      <c r="L133" s="156"/>
      <c r="M133" s="156"/>
    </row>
    <row r="134" spans="1:23" ht="12" customHeight="1" x14ac:dyDescent="0.2">
      <c r="C134" s="158" t="s">
        <v>161</v>
      </c>
      <c r="D134" s="158"/>
      <c r="E134" s="158"/>
      <c r="F134" s="158"/>
      <c r="H134" s="158" t="s">
        <v>162</v>
      </c>
      <c r="I134" s="158"/>
      <c r="J134" s="158"/>
      <c r="K134" s="158"/>
      <c r="L134" s="158"/>
      <c r="M134" s="158"/>
      <c r="N134" s="158"/>
      <c r="O134" s="158"/>
      <c r="P134" s="158"/>
      <c r="Q134" s="158"/>
      <c r="S134" s="129">
        <v>152325</v>
      </c>
    </row>
    <row r="135" spans="1:23" ht="12" customHeight="1" x14ac:dyDescent="0.2">
      <c r="C135" s="158" t="s">
        <v>163</v>
      </c>
      <c r="D135" s="158"/>
      <c r="E135" s="158"/>
      <c r="F135" s="158"/>
      <c r="H135" s="158" t="s">
        <v>164</v>
      </c>
      <c r="I135" s="158"/>
      <c r="J135" s="158"/>
      <c r="K135" s="158"/>
      <c r="L135" s="158"/>
      <c r="M135" s="158"/>
      <c r="N135" s="158"/>
      <c r="O135" s="158"/>
      <c r="P135" s="158"/>
      <c r="Q135" s="158"/>
      <c r="S135" s="129">
        <v>1709758</v>
      </c>
    </row>
    <row r="136" spans="1:23" ht="12" customHeight="1" x14ac:dyDescent="0.2">
      <c r="C136" s="158" t="s">
        <v>165</v>
      </c>
      <c r="D136" s="158"/>
      <c r="E136" s="158"/>
      <c r="F136" s="158"/>
      <c r="H136" s="158" t="s">
        <v>166</v>
      </c>
      <c r="I136" s="158"/>
      <c r="J136" s="158"/>
      <c r="K136" s="158"/>
      <c r="L136" s="158"/>
      <c r="M136" s="158"/>
      <c r="N136" s="158"/>
      <c r="O136" s="158"/>
      <c r="P136" s="158"/>
      <c r="Q136" s="158"/>
      <c r="S136" s="129">
        <v>-1681410.83</v>
      </c>
    </row>
    <row r="137" spans="1:23" ht="12" customHeight="1" x14ac:dyDescent="0.2">
      <c r="C137" s="130" t="s">
        <v>165</v>
      </c>
      <c r="D137" s="130"/>
      <c r="E137" s="130"/>
      <c r="F137" s="134"/>
      <c r="H137" s="158" t="s">
        <v>167</v>
      </c>
      <c r="I137" s="158"/>
      <c r="J137" s="158"/>
      <c r="K137" s="158"/>
      <c r="L137" s="158"/>
      <c r="M137" s="158"/>
      <c r="N137" s="158"/>
      <c r="O137" s="158"/>
      <c r="P137" s="158"/>
      <c r="Q137" s="158"/>
      <c r="S137" s="129">
        <v>11135312.050000001</v>
      </c>
    </row>
    <row r="138" spans="1:23" ht="12" customHeight="1" x14ac:dyDescent="0.2">
      <c r="C138" s="130">
        <v>3525</v>
      </c>
      <c r="D138" s="130"/>
      <c r="E138" s="130"/>
      <c r="F138" s="134"/>
      <c r="H138" s="158" t="s">
        <v>547</v>
      </c>
      <c r="I138" s="158"/>
      <c r="J138" s="158"/>
      <c r="K138" s="158"/>
      <c r="L138" s="158"/>
      <c r="M138" s="158"/>
      <c r="N138" s="158"/>
      <c r="O138" s="158"/>
      <c r="P138" s="158"/>
      <c r="Q138" s="158"/>
      <c r="S138" s="129">
        <v>21195.55</v>
      </c>
    </row>
    <row r="139" spans="1:23" ht="12" customHeight="1" x14ac:dyDescent="0.2">
      <c r="C139" s="158" t="s">
        <v>168</v>
      </c>
      <c r="D139" s="158"/>
      <c r="E139" s="158"/>
      <c r="F139" s="158"/>
      <c r="H139" s="158" t="s">
        <v>169</v>
      </c>
      <c r="I139" s="158"/>
      <c r="J139" s="158"/>
      <c r="K139" s="158"/>
      <c r="L139" s="158"/>
      <c r="M139" s="158"/>
      <c r="N139" s="158"/>
      <c r="O139" s="158"/>
      <c r="P139" s="158"/>
      <c r="Q139" s="158"/>
      <c r="S139" s="129">
        <v>-1983.47</v>
      </c>
    </row>
    <row r="140" spans="1:23" ht="12" customHeight="1" x14ac:dyDescent="0.2">
      <c r="C140" s="158" t="s">
        <v>170</v>
      </c>
      <c r="D140" s="158"/>
      <c r="E140" s="158"/>
      <c r="F140" s="158"/>
      <c r="H140" s="158" t="s">
        <v>171</v>
      </c>
      <c r="I140" s="158"/>
      <c r="J140" s="158"/>
      <c r="K140" s="158"/>
      <c r="L140" s="158"/>
      <c r="M140" s="158"/>
      <c r="N140" s="158"/>
      <c r="O140" s="158"/>
      <c r="P140" s="158"/>
      <c r="Q140" s="158"/>
      <c r="S140" s="129">
        <v>-6000</v>
      </c>
    </row>
    <row r="141" spans="1:23" ht="12" customHeight="1" x14ac:dyDescent="0.2">
      <c r="C141" s="158" t="s">
        <v>172</v>
      </c>
      <c r="D141" s="158"/>
      <c r="E141" s="158"/>
      <c r="F141" s="158"/>
      <c r="H141" s="158" t="s">
        <v>173</v>
      </c>
      <c r="I141" s="158"/>
      <c r="J141" s="158"/>
      <c r="K141" s="158"/>
      <c r="L141" s="158"/>
      <c r="M141" s="158"/>
      <c r="N141" s="158"/>
      <c r="O141" s="158"/>
      <c r="P141" s="158"/>
      <c r="Q141" s="158"/>
      <c r="S141" s="129">
        <v>-6000</v>
      </c>
    </row>
    <row r="142" spans="1:23" ht="12" customHeight="1" x14ac:dyDescent="0.2">
      <c r="C142" s="158" t="s">
        <v>174</v>
      </c>
      <c r="D142" s="158"/>
      <c r="E142" s="158"/>
      <c r="F142" s="158"/>
      <c r="H142" s="158" t="s">
        <v>175</v>
      </c>
      <c r="I142" s="158"/>
      <c r="J142" s="158"/>
      <c r="K142" s="158"/>
      <c r="L142" s="158"/>
      <c r="M142" s="158"/>
      <c r="N142" s="158"/>
      <c r="O142" s="158"/>
      <c r="P142" s="158"/>
      <c r="Q142" s="158"/>
      <c r="S142" s="129">
        <v>-6000</v>
      </c>
    </row>
    <row r="143" spans="1:23" ht="12" customHeight="1" x14ac:dyDescent="0.2">
      <c r="C143" s="158" t="s">
        <v>231</v>
      </c>
      <c r="D143" s="158"/>
      <c r="E143" s="158"/>
      <c r="F143" s="158"/>
      <c r="H143" s="158" t="s">
        <v>232</v>
      </c>
      <c r="I143" s="158"/>
      <c r="J143" s="158"/>
      <c r="K143" s="158"/>
      <c r="L143" s="158"/>
      <c r="M143" s="158"/>
      <c r="N143" s="158"/>
      <c r="O143" s="158"/>
      <c r="P143" s="158"/>
      <c r="Q143" s="158"/>
      <c r="S143" s="132">
        <v>-11008.26</v>
      </c>
    </row>
    <row r="144" spans="1:23" ht="12" customHeight="1" x14ac:dyDescent="0.2">
      <c r="I144" s="156" t="s">
        <v>176</v>
      </c>
      <c r="J144" s="156"/>
      <c r="K144" s="156"/>
      <c r="L144" s="156"/>
      <c r="M144" s="156"/>
      <c r="N144" s="156"/>
      <c r="O144" s="156"/>
      <c r="P144" s="156"/>
      <c r="U144" s="167">
        <f>SUM(S134:S143)</f>
        <v>11306188.040000001</v>
      </c>
      <c r="V144" s="167"/>
      <c r="W144" s="167"/>
    </row>
    <row r="145" spans="9:23" ht="12" customHeight="1" x14ac:dyDescent="0.2"/>
    <row r="146" spans="9:23" ht="12" customHeight="1" x14ac:dyDescent="0.2">
      <c r="I146" s="156" t="s">
        <v>177</v>
      </c>
      <c r="J146" s="156"/>
      <c r="K146" s="156"/>
      <c r="L146" s="156"/>
      <c r="M146" s="156"/>
      <c r="N146" s="156"/>
      <c r="O146" s="156"/>
      <c r="P146" s="156"/>
    </row>
    <row r="147" spans="9:23" ht="12" customHeight="1" thickBot="1" x14ac:dyDescent="0.25">
      <c r="I147" s="156"/>
      <c r="J147" s="156"/>
      <c r="K147" s="156"/>
      <c r="L147" s="156"/>
      <c r="M147" s="156"/>
      <c r="N147" s="156"/>
      <c r="O147" s="156"/>
      <c r="P147" s="156"/>
      <c r="U147" s="183">
        <f>U131+U144</f>
        <v>64278348.869999982</v>
      </c>
      <c r="V147" s="183"/>
      <c r="W147" s="183"/>
    </row>
    <row r="148" spans="9:23" ht="6" customHeight="1" thickTop="1" x14ac:dyDescent="0.2"/>
    <row r="150" spans="9:23" ht="12.75" customHeight="1" x14ac:dyDescent="0.2">
      <c r="V150" s="77">
        <f>U80-U147</f>
        <v>0</v>
      </c>
    </row>
  </sheetData>
  <mergeCells count="247">
    <mergeCell ref="C18:F18"/>
    <mergeCell ref="H18:Q18"/>
    <mergeCell ref="H33:Q33"/>
    <mergeCell ref="H42:Q42"/>
    <mergeCell ref="C93:F93"/>
    <mergeCell ref="H93:Q93"/>
    <mergeCell ref="C12:F12"/>
    <mergeCell ref="H12:Q12"/>
    <mergeCell ref="C13:F13"/>
    <mergeCell ref="H13:Q13"/>
    <mergeCell ref="C15:F15"/>
    <mergeCell ref="H15:Q15"/>
    <mergeCell ref="C16:F16"/>
    <mergeCell ref="H16:Q16"/>
    <mergeCell ref="C17:F17"/>
    <mergeCell ref="H17:Q17"/>
    <mergeCell ref="C14:F14"/>
    <mergeCell ref="H14:Q14"/>
    <mergeCell ref="C19:F19"/>
    <mergeCell ref="H19:Q19"/>
    <mergeCell ref="C20:F20"/>
    <mergeCell ref="H20:Q20"/>
    <mergeCell ref="C21:F21"/>
    <mergeCell ref="H21:Q21"/>
    <mergeCell ref="A1:X1"/>
    <mergeCell ref="A3:X3"/>
    <mergeCell ref="A4:X4"/>
    <mergeCell ref="A7:M7"/>
    <mergeCell ref="B8:K8"/>
    <mergeCell ref="C10:F10"/>
    <mergeCell ref="H10:Q10"/>
    <mergeCell ref="C11:F11"/>
    <mergeCell ref="H11:Q11"/>
    <mergeCell ref="C22:F22"/>
    <mergeCell ref="H22:Q22"/>
    <mergeCell ref="C23:F23"/>
    <mergeCell ref="H23:Q23"/>
    <mergeCell ref="C24:F24"/>
    <mergeCell ref="H24:Q24"/>
    <mergeCell ref="C25:F25"/>
    <mergeCell ref="H25:Q25"/>
    <mergeCell ref="C26:F26"/>
    <mergeCell ref="H26:Q26"/>
    <mergeCell ref="C27:F27"/>
    <mergeCell ref="H27:Q27"/>
    <mergeCell ref="C28:F28"/>
    <mergeCell ref="H28:Q28"/>
    <mergeCell ref="C30:F30"/>
    <mergeCell ref="H30:Q30"/>
    <mergeCell ref="C32:F32"/>
    <mergeCell ref="H32:Q32"/>
    <mergeCell ref="C34:F34"/>
    <mergeCell ref="H34:Q34"/>
    <mergeCell ref="C29:F29"/>
    <mergeCell ref="H29:Q29"/>
    <mergeCell ref="C35:F35"/>
    <mergeCell ref="H35:Q35"/>
    <mergeCell ref="U58:W58"/>
    <mergeCell ref="C47:F47"/>
    <mergeCell ref="H47:Q47"/>
    <mergeCell ref="C36:F36"/>
    <mergeCell ref="H36:Q36"/>
    <mergeCell ref="C37:F37"/>
    <mergeCell ref="H37:Q37"/>
    <mergeCell ref="C39:F39"/>
    <mergeCell ref="H39:Q39"/>
    <mergeCell ref="C41:F41"/>
    <mergeCell ref="H41:Q41"/>
    <mergeCell ref="C44:F44"/>
    <mergeCell ref="H44:Q44"/>
    <mergeCell ref="C53:F53"/>
    <mergeCell ref="C54:F54"/>
    <mergeCell ref="H53:Q53"/>
    <mergeCell ref="H54:Q54"/>
    <mergeCell ref="C57:F57"/>
    <mergeCell ref="H57:Q57"/>
    <mergeCell ref="C45:F45"/>
    <mergeCell ref="H45:Q45"/>
    <mergeCell ref="C40:F40"/>
    <mergeCell ref="H40:Q40"/>
    <mergeCell ref="C43:F43"/>
    <mergeCell ref="H43:Q43"/>
    <mergeCell ref="C46:F46"/>
    <mergeCell ref="H46:Q46"/>
    <mergeCell ref="C62:F62"/>
    <mergeCell ref="H62:Q62"/>
    <mergeCell ref="C48:F48"/>
    <mergeCell ref="H48:Q48"/>
    <mergeCell ref="H58:P58"/>
    <mergeCell ref="C63:F63"/>
    <mergeCell ref="H63:Q63"/>
    <mergeCell ref="C49:F49"/>
    <mergeCell ref="C50:F50"/>
    <mergeCell ref="H49:Q49"/>
    <mergeCell ref="H50:Q50"/>
    <mergeCell ref="C64:F64"/>
    <mergeCell ref="H64:Q64"/>
    <mergeCell ref="C51:F51"/>
    <mergeCell ref="H51:Q51"/>
    <mergeCell ref="C55:F55"/>
    <mergeCell ref="H55:Q55"/>
    <mergeCell ref="C56:F56"/>
    <mergeCell ref="I56:R56"/>
    <mergeCell ref="B60:K60"/>
    <mergeCell ref="C61:F61"/>
    <mergeCell ref="H61:Q61"/>
    <mergeCell ref="C52:F52"/>
    <mergeCell ref="H52:Q52"/>
    <mergeCell ref="C65:F65"/>
    <mergeCell ref="H65:Q65"/>
    <mergeCell ref="C66:F66"/>
    <mergeCell ref="H66:Q66"/>
    <mergeCell ref="C67:F67"/>
    <mergeCell ref="H67:Q67"/>
    <mergeCell ref="C68:F68"/>
    <mergeCell ref="H68:Q68"/>
    <mergeCell ref="C69:F69"/>
    <mergeCell ref="H69:Q69"/>
    <mergeCell ref="C70:F70"/>
    <mergeCell ref="H70:Q70"/>
    <mergeCell ref="C77:F77"/>
    <mergeCell ref="H77:Q77"/>
    <mergeCell ref="C71:F71"/>
    <mergeCell ref="H71:Q71"/>
    <mergeCell ref="C72:F72"/>
    <mergeCell ref="H72:Q72"/>
    <mergeCell ref="C73:F73"/>
    <mergeCell ref="H73:Q73"/>
    <mergeCell ref="H78:P78"/>
    <mergeCell ref="U78:W78"/>
    <mergeCell ref="I80:P80"/>
    <mergeCell ref="U80:W80"/>
    <mergeCell ref="A82:M82"/>
    <mergeCell ref="C74:F74"/>
    <mergeCell ref="H74:Q74"/>
    <mergeCell ref="H75:P75"/>
    <mergeCell ref="U75:W75"/>
    <mergeCell ref="B76:K76"/>
    <mergeCell ref="B84:K84"/>
    <mergeCell ref="N84:O84"/>
    <mergeCell ref="C87:F87"/>
    <mergeCell ref="H87:Q87"/>
    <mergeCell ref="C88:F88"/>
    <mergeCell ref="H88:Q88"/>
    <mergeCell ref="C89:F89"/>
    <mergeCell ref="H89:Q89"/>
    <mergeCell ref="C90:F90"/>
    <mergeCell ref="H90:Q90"/>
    <mergeCell ref="C86:F86"/>
    <mergeCell ref="H86:Q86"/>
    <mergeCell ref="C85:F85"/>
    <mergeCell ref="H85:Q85"/>
    <mergeCell ref="H108:Q108"/>
    <mergeCell ref="C91:F91"/>
    <mergeCell ref="H91:Q91"/>
    <mergeCell ref="C95:F95"/>
    <mergeCell ref="H95:Q95"/>
    <mergeCell ref="C96:F96"/>
    <mergeCell ref="H96:Q96"/>
    <mergeCell ref="C97:F97"/>
    <mergeCell ref="H97:Q97"/>
    <mergeCell ref="C98:F98"/>
    <mergeCell ref="H98:Q98"/>
    <mergeCell ref="C92:F92"/>
    <mergeCell ref="H92:Q92"/>
    <mergeCell ref="C94:F94"/>
    <mergeCell ref="H94:Q94"/>
    <mergeCell ref="U129:W129"/>
    <mergeCell ref="I131:P131"/>
    <mergeCell ref="U131:W131"/>
    <mergeCell ref="C99:F99"/>
    <mergeCell ref="H99:Q99"/>
    <mergeCell ref="C100:F100"/>
    <mergeCell ref="H100:Q100"/>
    <mergeCell ref="C101:F101"/>
    <mergeCell ref="H101:Q101"/>
    <mergeCell ref="C104:F104"/>
    <mergeCell ref="H104:Q104"/>
    <mergeCell ref="C109:F109"/>
    <mergeCell ref="H109:Q109"/>
    <mergeCell ref="C103:F103"/>
    <mergeCell ref="H103:Q103"/>
    <mergeCell ref="C105:F105"/>
    <mergeCell ref="H105:Q105"/>
    <mergeCell ref="C106:F106"/>
    <mergeCell ref="H106:Q106"/>
    <mergeCell ref="C107:F107"/>
    <mergeCell ref="H107:Q107"/>
    <mergeCell ref="C102:F102"/>
    <mergeCell ref="H102:Q102"/>
    <mergeCell ref="C108:F108"/>
    <mergeCell ref="C126:F126"/>
    <mergeCell ref="C127:F127"/>
    <mergeCell ref="C128:F128"/>
    <mergeCell ref="H126:Q126"/>
    <mergeCell ref="H127:Q127"/>
    <mergeCell ref="H128:Q128"/>
    <mergeCell ref="C125:F125"/>
    <mergeCell ref="H125:Q125"/>
    <mergeCell ref="H129:P129"/>
    <mergeCell ref="I146:P147"/>
    <mergeCell ref="U147:W147"/>
    <mergeCell ref="C141:F141"/>
    <mergeCell ref="H141:Q141"/>
    <mergeCell ref="C142:F142"/>
    <mergeCell ref="H142:Q142"/>
    <mergeCell ref="C143:F143"/>
    <mergeCell ref="H143:Q143"/>
    <mergeCell ref="A133:M133"/>
    <mergeCell ref="C134:F134"/>
    <mergeCell ref="H134:Q134"/>
    <mergeCell ref="C135:F135"/>
    <mergeCell ref="H135:Q135"/>
    <mergeCell ref="C136:F136"/>
    <mergeCell ref="H136:Q136"/>
    <mergeCell ref="H137:Q137"/>
    <mergeCell ref="H138:Q138"/>
    <mergeCell ref="C139:F139"/>
    <mergeCell ref="H139:Q139"/>
    <mergeCell ref="C140:F140"/>
    <mergeCell ref="H140:Q140"/>
    <mergeCell ref="I144:P144"/>
    <mergeCell ref="U144:W144"/>
    <mergeCell ref="C110:F110"/>
    <mergeCell ref="H110:Q110"/>
    <mergeCell ref="H117:P117"/>
    <mergeCell ref="U117:W117"/>
    <mergeCell ref="B119:K119"/>
    <mergeCell ref="C121:F121"/>
    <mergeCell ref="C123:F123"/>
    <mergeCell ref="H123:Q123"/>
    <mergeCell ref="C124:F124"/>
    <mergeCell ref="H124:Q124"/>
    <mergeCell ref="C114:F114"/>
    <mergeCell ref="H114:Q114"/>
    <mergeCell ref="C111:F111"/>
    <mergeCell ref="H111:Q111"/>
    <mergeCell ref="H121:Q121"/>
    <mergeCell ref="C122:F122"/>
    <mergeCell ref="H122:Q122"/>
    <mergeCell ref="C116:F116"/>
    <mergeCell ref="H116:Q116"/>
    <mergeCell ref="H113:Q113"/>
    <mergeCell ref="C112:F112"/>
    <mergeCell ref="H112:Q112"/>
    <mergeCell ref="C115:F115"/>
    <mergeCell ref="H115:Q115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  <outlinePr summaryBelow="0"/>
    <pageSetUpPr autoPageBreaks="0"/>
  </sheetPr>
  <dimension ref="A1:X63"/>
  <sheetViews>
    <sheetView showGridLines="0" topLeftCell="A19" zoomScaleNormal="100" workbookViewId="0">
      <selection activeCell="AA103" sqref="AA103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0.7109375" customWidth="1"/>
    <col min="20" max="20" width="2.28515625" customWidth="1"/>
    <col min="21" max="21" width="1.28515625" customWidth="1"/>
    <col min="22" max="22" width="6.28515625" customWidth="1"/>
    <col min="23" max="23" width="3.140625" customWidth="1"/>
    <col min="24" max="24" width="1.28515625" customWidth="1"/>
  </cols>
  <sheetData>
    <row r="1" spans="1:24" ht="12" customHeight="1" x14ac:dyDescent="0.2">
      <c r="A1" s="196" t="s">
        <v>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 ht="12" customHeight="1" x14ac:dyDescent="0.2">
      <c r="A2" s="196" t="s">
        <v>703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</row>
    <row r="3" spans="1:24" ht="12" customHeight="1" x14ac:dyDescent="0.2"/>
    <row r="4" spans="1:24" ht="12" customHeight="1" x14ac:dyDescent="0.2">
      <c r="A4" s="192" t="s">
        <v>2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</row>
    <row r="5" spans="1:24" ht="12" customHeight="1" x14ac:dyDescent="0.2"/>
    <row r="6" spans="1:24" ht="12" customHeight="1" x14ac:dyDescent="0.2">
      <c r="B6" s="192" t="s">
        <v>3</v>
      </c>
      <c r="C6" s="192"/>
      <c r="D6" s="192"/>
      <c r="E6" s="192"/>
      <c r="F6" s="192"/>
      <c r="G6" s="192"/>
      <c r="H6" s="192"/>
      <c r="I6" s="192"/>
      <c r="J6" s="192"/>
      <c r="K6" s="192"/>
    </row>
    <row r="7" spans="1:24" ht="12" customHeight="1" x14ac:dyDescent="0.2">
      <c r="C7" s="186" t="s">
        <v>8</v>
      </c>
      <c r="D7" s="186"/>
      <c r="E7" s="186"/>
      <c r="F7" s="186"/>
      <c r="H7" s="186" t="s">
        <v>179</v>
      </c>
      <c r="I7" s="186"/>
      <c r="J7" s="186"/>
      <c r="K7" s="186"/>
      <c r="L7" s="186"/>
      <c r="M7" s="186"/>
      <c r="N7" s="186"/>
      <c r="O7" s="186"/>
      <c r="P7" s="186"/>
      <c r="Q7" s="186"/>
      <c r="S7" s="5">
        <v>90785.4</v>
      </c>
    </row>
    <row r="8" spans="1:24" ht="12" customHeight="1" x14ac:dyDescent="0.2">
      <c r="C8" s="186" t="s">
        <v>16</v>
      </c>
      <c r="D8" s="186"/>
      <c r="E8" s="186"/>
      <c r="F8" s="186"/>
      <c r="H8" s="186" t="s">
        <v>17</v>
      </c>
      <c r="I8" s="186"/>
      <c r="J8" s="186"/>
      <c r="K8" s="186"/>
      <c r="L8" s="186"/>
      <c r="M8" s="186"/>
      <c r="N8" s="186"/>
      <c r="O8" s="186"/>
      <c r="P8" s="186"/>
      <c r="Q8" s="186"/>
      <c r="S8" s="5">
        <v>969431.54</v>
      </c>
    </row>
    <row r="9" spans="1:24" ht="12" customHeight="1" x14ac:dyDescent="0.2">
      <c r="C9" s="186" t="s">
        <v>180</v>
      </c>
      <c r="D9" s="186"/>
      <c r="E9" s="186"/>
      <c r="F9" s="186"/>
      <c r="H9" s="186" t="s">
        <v>181</v>
      </c>
      <c r="I9" s="186"/>
      <c r="J9" s="186"/>
      <c r="K9" s="186"/>
      <c r="L9" s="186"/>
      <c r="M9" s="186"/>
      <c r="N9" s="186"/>
      <c r="O9" s="186"/>
      <c r="P9" s="186"/>
      <c r="Q9" s="186"/>
      <c r="S9" s="5">
        <v>0</v>
      </c>
    </row>
    <row r="10" spans="1:24" ht="12" customHeight="1" x14ac:dyDescent="0.2">
      <c r="C10" s="186" t="s">
        <v>18</v>
      </c>
      <c r="D10" s="186"/>
      <c r="E10" s="186"/>
      <c r="F10" s="186"/>
      <c r="H10" s="186" t="s">
        <v>19</v>
      </c>
      <c r="I10" s="186"/>
      <c r="J10" s="186"/>
      <c r="K10" s="186"/>
      <c r="L10" s="186"/>
      <c r="M10" s="186"/>
      <c r="N10" s="186"/>
      <c r="O10" s="186"/>
      <c r="P10" s="186"/>
      <c r="Q10" s="186"/>
      <c r="S10" s="5">
        <v>6479.4</v>
      </c>
    </row>
    <row r="11" spans="1:24" ht="12" customHeight="1" x14ac:dyDescent="0.2">
      <c r="C11" s="186" t="s">
        <v>20</v>
      </c>
      <c r="D11" s="186"/>
      <c r="E11" s="186"/>
      <c r="F11" s="186"/>
      <c r="H11" s="186" t="s">
        <v>21</v>
      </c>
      <c r="I11" s="186"/>
      <c r="J11" s="186"/>
      <c r="K11" s="186"/>
      <c r="L11" s="186"/>
      <c r="M11" s="186"/>
      <c r="N11" s="186"/>
      <c r="O11" s="186"/>
      <c r="P11" s="186"/>
      <c r="Q11" s="186"/>
      <c r="S11" s="5">
        <v>0</v>
      </c>
    </row>
    <row r="12" spans="1:24" ht="12" customHeight="1" x14ac:dyDescent="0.2">
      <c r="C12" s="186" t="s">
        <v>22</v>
      </c>
      <c r="D12" s="186"/>
      <c r="E12" s="186"/>
      <c r="F12" s="186"/>
      <c r="H12" s="186" t="s">
        <v>23</v>
      </c>
      <c r="I12" s="186"/>
      <c r="J12" s="186"/>
      <c r="K12" s="186"/>
      <c r="L12" s="186"/>
      <c r="M12" s="186"/>
      <c r="N12" s="186"/>
      <c r="O12" s="186"/>
      <c r="P12" s="186"/>
      <c r="Q12" s="186"/>
      <c r="S12" s="5">
        <v>0</v>
      </c>
    </row>
    <row r="13" spans="1:24" ht="12" customHeight="1" x14ac:dyDescent="0.2">
      <c r="C13" s="186">
        <v>1224</v>
      </c>
      <c r="D13" s="186"/>
      <c r="E13" s="186"/>
      <c r="F13" s="186"/>
      <c r="H13" s="186" t="s">
        <v>25</v>
      </c>
      <c r="I13" s="186"/>
      <c r="J13" s="186"/>
      <c r="K13" s="186"/>
      <c r="L13" s="186"/>
      <c r="M13" s="186"/>
      <c r="N13" s="186"/>
      <c r="O13" s="186"/>
      <c r="P13" s="186"/>
      <c r="Q13" s="186"/>
      <c r="S13" s="5">
        <v>0</v>
      </c>
    </row>
    <row r="14" spans="1:24" ht="12" customHeight="1" x14ac:dyDescent="0.2">
      <c r="C14" s="186" t="s">
        <v>26</v>
      </c>
      <c r="D14" s="186"/>
      <c r="E14" s="186"/>
      <c r="F14" s="186"/>
      <c r="H14" s="186" t="s">
        <v>233</v>
      </c>
      <c r="I14" s="186"/>
      <c r="J14" s="186"/>
      <c r="K14" s="186"/>
      <c r="L14" s="186"/>
      <c r="M14" s="186"/>
      <c r="N14" s="186"/>
      <c r="O14" s="186"/>
      <c r="P14" s="186"/>
      <c r="Q14" s="186"/>
      <c r="S14" s="5">
        <v>0</v>
      </c>
    </row>
    <row r="15" spans="1:24" ht="12" customHeight="1" x14ac:dyDescent="0.2">
      <c r="C15" s="186" t="s">
        <v>28</v>
      </c>
      <c r="D15" s="186"/>
      <c r="E15" s="186"/>
      <c r="F15" s="186"/>
      <c r="H15" s="186" t="s">
        <v>234</v>
      </c>
      <c r="I15" s="186"/>
      <c r="J15" s="186"/>
      <c r="K15" s="186"/>
      <c r="L15" s="186"/>
      <c r="M15" s="186"/>
      <c r="N15" s="186"/>
      <c r="O15" s="186"/>
      <c r="P15" s="186"/>
      <c r="Q15" s="186"/>
      <c r="S15" s="5">
        <v>0</v>
      </c>
    </row>
    <row r="16" spans="1:24" ht="12" customHeight="1" x14ac:dyDescent="0.2">
      <c r="C16" s="186" t="s">
        <v>30</v>
      </c>
      <c r="D16" s="186"/>
      <c r="E16" s="186"/>
      <c r="F16" s="186"/>
      <c r="H16" s="186" t="s">
        <v>31</v>
      </c>
      <c r="I16" s="186"/>
      <c r="J16" s="186"/>
      <c r="K16" s="186"/>
      <c r="L16" s="186"/>
      <c r="M16" s="186"/>
      <c r="N16" s="186"/>
      <c r="O16" s="186"/>
      <c r="P16" s="186"/>
      <c r="Q16" s="186"/>
      <c r="S16" s="5">
        <v>0</v>
      </c>
    </row>
    <row r="17" spans="1:23" ht="12" customHeight="1" x14ac:dyDescent="0.2">
      <c r="C17" s="186" t="s">
        <v>46</v>
      </c>
      <c r="D17" s="186"/>
      <c r="E17" s="186"/>
      <c r="F17" s="186"/>
      <c r="H17" s="186" t="s">
        <v>196</v>
      </c>
      <c r="I17" s="186"/>
      <c r="J17" s="186"/>
      <c r="K17" s="186"/>
      <c r="L17" s="186"/>
      <c r="M17" s="186"/>
      <c r="N17" s="186"/>
      <c r="O17" s="186"/>
      <c r="P17" s="186"/>
      <c r="Q17" s="186"/>
      <c r="S17" s="5">
        <v>0</v>
      </c>
    </row>
    <row r="18" spans="1:23" ht="12" customHeight="1" x14ac:dyDescent="0.2">
      <c r="C18" s="186" t="s">
        <v>56</v>
      </c>
      <c r="D18" s="186"/>
      <c r="E18" s="186"/>
      <c r="F18" s="186"/>
      <c r="H18" s="186" t="s">
        <v>185</v>
      </c>
      <c r="I18" s="186"/>
      <c r="J18" s="186"/>
      <c r="K18" s="186"/>
      <c r="L18" s="186"/>
      <c r="M18" s="186"/>
      <c r="N18" s="186"/>
      <c r="O18" s="186"/>
      <c r="P18" s="186"/>
      <c r="Q18" s="186"/>
      <c r="S18" s="5">
        <v>8248.91</v>
      </c>
    </row>
    <row r="19" spans="1:23" ht="12" customHeight="1" x14ac:dyDescent="0.2">
      <c r="C19" s="186">
        <v>1250</v>
      </c>
      <c r="D19" s="186"/>
      <c r="E19" s="186"/>
      <c r="F19" s="186"/>
      <c r="H19" s="186" t="s">
        <v>183</v>
      </c>
      <c r="I19" s="186"/>
      <c r="J19" s="186"/>
      <c r="K19" s="186"/>
      <c r="L19" s="186"/>
      <c r="M19" s="186"/>
      <c r="N19" s="186"/>
      <c r="O19" s="186"/>
      <c r="P19" s="186"/>
      <c r="Q19" s="186"/>
      <c r="S19" s="6">
        <v>2100000</v>
      </c>
    </row>
    <row r="20" spans="1:23" ht="12" customHeight="1" x14ac:dyDescent="0.2">
      <c r="H20" s="192" t="s">
        <v>73</v>
      </c>
      <c r="I20" s="192"/>
      <c r="J20" s="192"/>
      <c r="K20" s="192"/>
      <c r="L20" s="192"/>
      <c r="M20" s="192"/>
      <c r="N20" s="192"/>
      <c r="O20" s="192"/>
      <c r="P20" s="192"/>
      <c r="U20" s="187">
        <f>SUM(S7:S19)</f>
        <v>3174945.25</v>
      </c>
      <c r="V20" s="187"/>
      <c r="W20" s="187"/>
    </row>
    <row r="21" spans="1:23" ht="12" customHeight="1" x14ac:dyDescent="0.2"/>
    <row r="22" spans="1:23" ht="12" customHeight="1" x14ac:dyDescent="0.2">
      <c r="B22" s="192" t="s">
        <v>74</v>
      </c>
      <c r="C22" s="192"/>
      <c r="D22" s="192"/>
      <c r="E22" s="192"/>
      <c r="F22" s="192"/>
      <c r="G22" s="192"/>
      <c r="H22" s="192"/>
      <c r="I22" s="192"/>
      <c r="J22" s="192"/>
      <c r="K22" s="192"/>
    </row>
    <row r="23" spans="1:23" ht="12" customHeight="1" x14ac:dyDescent="0.2">
      <c r="C23" s="186" t="s">
        <v>75</v>
      </c>
      <c r="D23" s="186"/>
      <c r="E23" s="186"/>
      <c r="F23" s="186"/>
      <c r="H23" s="186" t="s">
        <v>186</v>
      </c>
      <c r="I23" s="186"/>
      <c r="J23" s="186"/>
      <c r="K23" s="186"/>
      <c r="L23" s="186"/>
      <c r="M23" s="186"/>
      <c r="N23" s="186"/>
      <c r="O23" s="186"/>
      <c r="P23" s="186"/>
      <c r="Q23" s="186"/>
      <c r="S23" s="5">
        <v>8577.17</v>
      </c>
    </row>
    <row r="24" spans="1:23" ht="12" customHeight="1" x14ac:dyDescent="0.2">
      <c r="C24" s="186" t="s">
        <v>87</v>
      </c>
      <c r="D24" s="186"/>
      <c r="E24" s="186"/>
      <c r="F24" s="186"/>
      <c r="H24" s="186" t="s">
        <v>88</v>
      </c>
      <c r="I24" s="186"/>
      <c r="J24" s="186"/>
      <c r="K24" s="186"/>
      <c r="L24" s="186"/>
      <c r="M24" s="186"/>
      <c r="N24" s="186"/>
      <c r="O24" s="186"/>
      <c r="P24" s="186"/>
      <c r="Q24" s="186"/>
      <c r="S24" s="5">
        <v>20237.79</v>
      </c>
    </row>
    <row r="25" spans="1:23" ht="12" customHeight="1" x14ac:dyDescent="0.2">
      <c r="C25" s="186" t="s">
        <v>99</v>
      </c>
      <c r="D25" s="186"/>
      <c r="E25" s="186"/>
      <c r="F25" s="186"/>
      <c r="H25" s="186" t="s">
        <v>187</v>
      </c>
      <c r="I25" s="186"/>
      <c r="J25" s="186"/>
      <c r="K25" s="186"/>
      <c r="L25" s="186"/>
      <c r="M25" s="186"/>
      <c r="N25" s="186"/>
      <c r="O25" s="186"/>
      <c r="P25" s="186"/>
      <c r="Q25" s="186"/>
      <c r="S25" s="6">
        <v>-12743.61</v>
      </c>
    </row>
    <row r="26" spans="1:23" ht="12" customHeight="1" x14ac:dyDescent="0.2">
      <c r="H26" s="192" t="s">
        <v>103</v>
      </c>
      <c r="I26" s="192"/>
      <c r="J26" s="192"/>
      <c r="K26" s="192"/>
      <c r="L26" s="192"/>
      <c r="M26" s="192"/>
      <c r="N26" s="192"/>
      <c r="O26" s="192"/>
      <c r="P26" s="192"/>
      <c r="U26" s="194">
        <f>SUM(S23:S25)</f>
        <v>16071.349999999999</v>
      </c>
      <c r="V26" s="194"/>
      <c r="W26" s="194"/>
    </row>
    <row r="27" spans="1:23" ht="12" customHeight="1" thickBot="1" x14ac:dyDescent="0.25">
      <c r="I27" s="192" t="s">
        <v>104</v>
      </c>
      <c r="J27" s="192"/>
      <c r="K27" s="192"/>
      <c r="L27" s="192"/>
      <c r="M27" s="192"/>
      <c r="N27" s="192"/>
      <c r="O27" s="192"/>
      <c r="P27" s="192"/>
      <c r="U27" s="195">
        <f>U20+U26</f>
        <v>3191016.6</v>
      </c>
      <c r="V27" s="195"/>
      <c r="W27" s="195"/>
    </row>
    <row r="28" spans="1:23" ht="12" customHeight="1" thickTop="1" x14ac:dyDescent="0.2"/>
    <row r="29" spans="1:23" ht="12" customHeight="1" x14ac:dyDescent="0.2">
      <c r="A29" s="192" t="s">
        <v>105</v>
      </c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</row>
    <row r="30" spans="1:23" ht="12" customHeight="1" x14ac:dyDescent="0.2"/>
    <row r="31" spans="1:23" ht="12" customHeight="1" x14ac:dyDescent="0.2">
      <c r="B31" s="192" t="s">
        <v>106</v>
      </c>
      <c r="C31" s="192"/>
      <c r="D31" s="192"/>
      <c r="E31" s="192"/>
      <c r="F31" s="192"/>
      <c r="G31" s="192"/>
      <c r="H31" s="192"/>
      <c r="I31" s="192"/>
      <c r="J31" s="192"/>
      <c r="K31" s="192"/>
    </row>
    <row r="32" spans="1:23" ht="12" customHeight="1" x14ac:dyDescent="0.2">
      <c r="C32" s="186" t="s">
        <v>109</v>
      </c>
      <c r="D32" s="186"/>
      <c r="E32" s="186"/>
      <c r="F32" s="186"/>
      <c r="H32" s="186" t="s">
        <v>110</v>
      </c>
      <c r="I32" s="186"/>
      <c r="J32" s="186"/>
      <c r="K32" s="186"/>
      <c r="L32" s="186"/>
      <c r="M32" s="186"/>
      <c r="N32" s="186"/>
      <c r="O32" s="186"/>
      <c r="P32" s="186"/>
      <c r="Q32" s="186"/>
      <c r="S32" s="5">
        <v>639982.09</v>
      </c>
    </row>
    <row r="33" spans="1:23" ht="12" customHeight="1" x14ac:dyDescent="0.2">
      <c r="C33" s="186" t="s">
        <v>188</v>
      </c>
      <c r="D33" s="186"/>
      <c r="E33" s="186"/>
      <c r="F33" s="186"/>
      <c r="H33" s="186" t="s">
        <v>189</v>
      </c>
      <c r="I33" s="186"/>
      <c r="J33" s="186"/>
      <c r="K33" s="186"/>
      <c r="L33" s="186"/>
      <c r="M33" s="186"/>
      <c r="N33" s="186"/>
      <c r="O33" s="186"/>
      <c r="P33" s="186"/>
      <c r="Q33" s="186"/>
      <c r="S33" s="5">
        <v>149.47999999999999</v>
      </c>
    </row>
    <row r="34" spans="1:23" ht="12" customHeight="1" x14ac:dyDescent="0.2">
      <c r="C34" s="186">
        <v>2175</v>
      </c>
      <c r="D34" s="186"/>
      <c r="E34" s="186"/>
      <c r="F34" s="186"/>
      <c r="H34" s="186" t="s">
        <v>118</v>
      </c>
      <c r="I34" s="186"/>
      <c r="J34" s="186"/>
      <c r="K34" s="186"/>
      <c r="L34" s="186"/>
      <c r="M34" s="186"/>
      <c r="N34" s="186"/>
      <c r="O34" s="186"/>
      <c r="P34" s="186"/>
      <c r="Q34" s="186"/>
      <c r="S34" s="121">
        <v>6493</v>
      </c>
    </row>
    <row r="35" spans="1:23" ht="12" customHeight="1" x14ac:dyDescent="0.2">
      <c r="C35" s="186" t="s">
        <v>121</v>
      </c>
      <c r="D35" s="186"/>
      <c r="E35" s="186"/>
      <c r="F35" s="186"/>
      <c r="H35" s="186" t="s">
        <v>190</v>
      </c>
      <c r="I35" s="186"/>
      <c r="J35" s="186"/>
      <c r="K35" s="186"/>
      <c r="L35" s="186"/>
      <c r="M35" s="186"/>
      <c r="N35" s="186"/>
      <c r="O35" s="186"/>
      <c r="P35" s="186"/>
      <c r="Q35" s="186"/>
      <c r="S35" s="5">
        <v>3825</v>
      </c>
    </row>
    <row r="36" spans="1:23" ht="12" customHeight="1" x14ac:dyDescent="0.2">
      <c r="C36" s="186">
        <v>2230</v>
      </c>
      <c r="D36" s="186"/>
      <c r="E36" s="186"/>
      <c r="F36" s="186"/>
      <c r="H36" s="186" t="s">
        <v>597</v>
      </c>
      <c r="I36" s="186"/>
      <c r="J36" s="186"/>
      <c r="K36" s="186"/>
      <c r="L36" s="186"/>
      <c r="M36" s="186"/>
      <c r="N36" s="186"/>
      <c r="O36" s="186"/>
      <c r="P36" s="186"/>
      <c r="Q36" s="186"/>
      <c r="S36" s="136">
        <v>32247.19</v>
      </c>
    </row>
    <row r="37" spans="1:23" ht="12" customHeight="1" x14ac:dyDescent="0.2">
      <c r="C37" s="186" t="s">
        <v>129</v>
      </c>
      <c r="D37" s="186"/>
      <c r="E37" s="186"/>
      <c r="F37" s="186"/>
      <c r="H37" s="186" t="s">
        <v>191</v>
      </c>
      <c r="I37" s="186"/>
      <c r="J37" s="186"/>
      <c r="K37" s="186"/>
      <c r="L37" s="186"/>
      <c r="M37" s="186"/>
      <c r="N37" s="186"/>
      <c r="O37" s="186"/>
      <c r="P37" s="186"/>
      <c r="Q37" s="186"/>
      <c r="S37" s="5">
        <v>16838.03</v>
      </c>
    </row>
    <row r="38" spans="1:23" ht="12" customHeight="1" x14ac:dyDescent="0.2">
      <c r="C38" s="186">
        <v>2241</v>
      </c>
      <c r="D38" s="186"/>
      <c r="E38" s="186"/>
      <c r="F38" s="186"/>
      <c r="H38" s="186" t="s">
        <v>693</v>
      </c>
      <c r="I38" s="186"/>
      <c r="J38" s="186"/>
      <c r="K38" s="186"/>
      <c r="L38" s="186"/>
      <c r="M38" s="186"/>
      <c r="N38" s="186"/>
      <c r="O38" s="186"/>
      <c r="P38" s="186"/>
      <c r="Q38" s="186"/>
      <c r="S38" s="136">
        <v>36126.82</v>
      </c>
    </row>
    <row r="39" spans="1:23" ht="12" customHeight="1" x14ac:dyDescent="0.2">
      <c r="C39" s="186" t="s">
        <v>131</v>
      </c>
      <c r="D39" s="186"/>
      <c r="E39" s="186"/>
      <c r="F39" s="186"/>
      <c r="H39" s="186" t="s">
        <v>192</v>
      </c>
      <c r="I39" s="186"/>
      <c r="J39" s="186"/>
      <c r="K39" s="186"/>
      <c r="L39" s="186"/>
      <c r="M39" s="186"/>
      <c r="N39" s="186"/>
      <c r="O39" s="186"/>
      <c r="P39" s="186"/>
      <c r="Q39" s="186"/>
      <c r="S39" s="5">
        <v>2494</v>
      </c>
    </row>
    <row r="40" spans="1:23" ht="12" customHeight="1" x14ac:dyDescent="0.2">
      <c r="C40" s="186" t="s">
        <v>227</v>
      </c>
      <c r="D40" s="186"/>
      <c r="E40" s="186"/>
      <c r="F40" s="186"/>
      <c r="H40" s="186" t="s">
        <v>235</v>
      </c>
      <c r="I40" s="186"/>
      <c r="J40" s="186"/>
      <c r="K40" s="186"/>
      <c r="L40" s="186"/>
      <c r="M40" s="186"/>
      <c r="N40" s="186"/>
      <c r="O40" s="186"/>
      <c r="P40" s="186"/>
      <c r="Q40" s="186"/>
      <c r="S40" s="5">
        <v>4651</v>
      </c>
    </row>
    <row r="41" spans="1:23" ht="12" customHeight="1" x14ac:dyDescent="0.2">
      <c r="C41" s="186" t="s">
        <v>236</v>
      </c>
      <c r="D41" s="186"/>
      <c r="E41" s="186"/>
      <c r="F41" s="186"/>
      <c r="H41" s="186" t="s">
        <v>205</v>
      </c>
      <c r="I41" s="186"/>
      <c r="J41" s="186"/>
      <c r="K41" s="186"/>
      <c r="L41" s="186"/>
      <c r="M41" s="186"/>
      <c r="N41" s="186"/>
      <c r="O41" s="186"/>
      <c r="P41" s="186"/>
      <c r="Q41" s="186"/>
      <c r="S41" s="5">
        <v>162892.82</v>
      </c>
    </row>
    <row r="42" spans="1:23" ht="12" customHeight="1" x14ac:dyDescent="0.2">
      <c r="C42" s="186">
        <v>2401</v>
      </c>
      <c r="D42" s="186"/>
      <c r="E42" s="186"/>
      <c r="F42" s="186"/>
      <c r="H42" s="186" t="s">
        <v>666</v>
      </c>
      <c r="I42" s="186"/>
      <c r="J42" s="186"/>
      <c r="K42" s="186"/>
      <c r="L42" s="186"/>
      <c r="M42" s="186"/>
      <c r="N42" s="186"/>
      <c r="O42" s="186"/>
      <c r="P42" s="186"/>
      <c r="Q42" s="186"/>
      <c r="S42" s="123">
        <v>0</v>
      </c>
    </row>
    <row r="43" spans="1:23" ht="12" customHeight="1" x14ac:dyDescent="0.2">
      <c r="H43" s="192" t="s">
        <v>148</v>
      </c>
      <c r="I43" s="192"/>
      <c r="J43" s="192"/>
      <c r="K43" s="192"/>
      <c r="L43" s="192"/>
      <c r="M43" s="192"/>
      <c r="N43" s="192"/>
      <c r="O43" s="192"/>
      <c r="P43" s="192"/>
      <c r="S43" s="5"/>
      <c r="U43" s="187">
        <f>SUM(S32:S42)</f>
        <v>905699.42999999993</v>
      </c>
      <c r="V43" s="187"/>
      <c r="W43" s="187"/>
    </row>
    <row r="44" spans="1:23" ht="12" customHeight="1" x14ac:dyDescent="0.2">
      <c r="I44" s="192" t="s">
        <v>159</v>
      </c>
      <c r="J44" s="192"/>
      <c r="K44" s="192"/>
      <c r="L44" s="192"/>
      <c r="M44" s="192"/>
      <c r="N44" s="192"/>
      <c r="O44" s="192"/>
      <c r="P44" s="192"/>
      <c r="S44" s="5"/>
      <c r="U44" s="191">
        <f>U43</f>
        <v>905699.42999999993</v>
      </c>
      <c r="V44" s="191"/>
      <c r="W44" s="191"/>
    </row>
    <row r="45" spans="1:23" ht="12" customHeight="1" x14ac:dyDescent="0.2">
      <c r="S45" s="5"/>
      <c r="U45" s="187"/>
      <c r="V45" s="187"/>
      <c r="W45" s="187"/>
    </row>
    <row r="46" spans="1:23" ht="12" customHeight="1" x14ac:dyDescent="0.2">
      <c r="A46" s="192" t="s">
        <v>160</v>
      </c>
      <c r="B46" s="192"/>
      <c r="C46" s="192"/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S46" s="5"/>
      <c r="U46" s="187"/>
      <c r="V46" s="187"/>
      <c r="W46" s="187"/>
    </row>
    <row r="47" spans="1:23" ht="12" customHeight="1" x14ac:dyDescent="0.2">
      <c r="S47" s="5"/>
      <c r="U47" s="187"/>
      <c r="V47" s="187"/>
      <c r="W47" s="187"/>
    </row>
    <row r="48" spans="1:23" ht="12" customHeight="1" x14ac:dyDescent="0.2">
      <c r="C48" s="186" t="s">
        <v>165</v>
      </c>
      <c r="D48" s="186"/>
      <c r="E48" s="186"/>
      <c r="F48" s="186"/>
      <c r="H48" s="186" t="s">
        <v>166</v>
      </c>
      <c r="I48" s="186"/>
      <c r="J48" s="186"/>
      <c r="K48" s="186"/>
      <c r="L48" s="186"/>
      <c r="M48" s="186"/>
      <c r="N48" s="186"/>
      <c r="O48" s="186"/>
      <c r="P48" s="186"/>
      <c r="Q48" s="186"/>
      <c r="S48" s="5">
        <v>206815.9</v>
      </c>
      <c r="U48" s="187"/>
      <c r="V48" s="187"/>
      <c r="W48" s="187"/>
    </row>
    <row r="49" spans="1:23" ht="12" customHeight="1" x14ac:dyDescent="0.2">
      <c r="C49" s="186" t="s">
        <v>165</v>
      </c>
      <c r="D49" s="186"/>
      <c r="E49" s="186"/>
      <c r="F49" s="186"/>
      <c r="H49" s="186" t="s">
        <v>193</v>
      </c>
      <c r="I49" s="186"/>
      <c r="J49" s="186"/>
      <c r="K49" s="186"/>
      <c r="L49" s="186"/>
      <c r="M49" s="186"/>
      <c r="N49" s="186"/>
      <c r="O49" s="186"/>
      <c r="P49" s="186"/>
      <c r="Q49" s="186"/>
      <c r="S49" s="5">
        <v>2078501.27</v>
      </c>
      <c r="U49" s="187"/>
      <c r="V49" s="187"/>
      <c r="W49" s="187"/>
    </row>
    <row r="50" spans="1:23" ht="12" customHeight="1" x14ac:dyDescent="0.2">
      <c r="U50" s="187"/>
      <c r="V50" s="187"/>
      <c r="W50" s="187"/>
    </row>
    <row r="51" spans="1:23" ht="12" customHeight="1" x14ac:dyDescent="0.2">
      <c r="I51" s="192" t="s">
        <v>176</v>
      </c>
      <c r="J51" s="192"/>
      <c r="K51" s="192"/>
      <c r="L51" s="192"/>
      <c r="M51" s="192"/>
      <c r="N51" s="192"/>
      <c r="O51" s="192"/>
      <c r="P51" s="192"/>
      <c r="U51" s="191">
        <f>SUM(S48:S49)</f>
        <v>2285317.17</v>
      </c>
      <c r="V51" s="191"/>
      <c r="W51" s="191"/>
    </row>
    <row r="52" spans="1:23" ht="12" customHeight="1" x14ac:dyDescent="0.2">
      <c r="U52" s="187"/>
      <c r="V52" s="187"/>
      <c r="W52" s="187"/>
    </row>
    <row r="53" spans="1:23" ht="12" customHeight="1" x14ac:dyDescent="0.2">
      <c r="I53" s="192" t="s">
        <v>177</v>
      </c>
      <c r="J53" s="192"/>
      <c r="K53" s="192"/>
      <c r="L53" s="192"/>
      <c r="M53" s="192"/>
      <c r="N53" s="192"/>
      <c r="O53" s="192"/>
      <c r="P53" s="192"/>
      <c r="U53" s="187"/>
      <c r="V53" s="187"/>
      <c r="W53" s="187"/>
    </row>
    <row r="54" spans="1:23" ht="12" customHeight="1" thickBot="1" x14ac:dyDescent="0.25">
      <c r="I54" s="192"/>
      <c r="J54" s="192"/>
      <c r="K54" s="192"/>
      <c r="L54" s="192"/>
      <c r="M54" s="192"/>
      <c r="N54" s="192"/>
      <c r="O54" s="192"/>
      <c r="P54" s="192"/>
      <c r="U54" s="190">
        <f>U44+U51</f>
        <v>3191016.5999999996</v>
      </c>
      <c r="V54" s="190"/>
      <c r="W54" s="190"/>
    </row>
    <row r="55" spans="1:23" ht="12" customHeight="1" thickTop="1" x14ac:dyDescent="0.2">
      <c r="U55" s="187"/>
      <c r="V55" s="187"/>
      <c r="W55" s="187"/>
    </row>
    <row r="56" spans="1:23" ht="12" customHeight="1" x14ac:dyDescent="0.2">
      <c r="S56" t="s">
        <v>394</v>
      </c>
      <c r="V56" s="72">
        <f>U27-U54</f>
        <v>0</v>
      </c>
    </row>
    <row r="57" spans="1:23" ht="12" customHeight="1" x14ac:dyDescent="0.2"/>
    <row r="58" spans="1:23" ht="12" customHeight="1" x14ac:dyDescent="0.2">
      <c r="A58" s="188"/>
      <c r="B58" s="188"/>
      <c r="C58" s="188"/>
      <c r="D58" s="188"/>
      <c r="F58" s="189"/>
      <c r="G58" s="189"/>
      <c r="H58" s="189"/>
      <c r="I58" s="189"/>
      <c r="J58" s="189"/>
      <c r="V58" s="73"/>
      <c r="W58" s="1"/>
    </row>
    <row r="59" spans="1:23" ht="12" customHeight="1" x14ac:dyDescent="0.2">
      <c r="A59" s="188"/>
      <c r="B59" s="188"/>
      <c r="C59" s="188"/>
      <c r="D59" s="188"/>
      <c r="F59" s="193"/>
      <c r="G59" s="193"/>
      <c r="H59" s="193"/>
      <c r="I59" s="193"/>
    </row>
    <row r="60" spans="1:23" ht="12" customHeight="1" x14ac:dyDescent="0.2"/>
    <row r="61" spans="1:23" ht="12" customHeight="1" x14ac:dyDescent="0.2"/>
    <row r="62" spans="1:23" ht="12" customHeight="1" x14ac:dyDescent="0.2"/>
    <row r="63" spans="1:23" ht="12" customHeight="1" x14ac:dyDescent="0.2"/>
  </sheetData>
  <mergeCells count="93">
    <mergeCell ref="C34:F34"/>
    <mergeCell ref="H34:Q34"/>
    <mergeCell ref="A1:X1"/>
    <mergeCell ref="A2:X2"/>
    <mergeCell ref="A4:M4"/>
    <mergeCell ref="B6:K6"/>
    <mergeCell ref="C7:F7"/>
    <mergeCell ref="H7:Q7"/>
    <mergeCell ref="C8:F8"/>
    <mergeCell ref="H8:Q8"/>
    <mergeCell ref="C9:F9"/>
    <mergeCell ref="H9:Q9"/>
    <mergeCell ref="C10:F10"/>
    <mergeCell ref="H10:Q10"/>
    <mergeCell ref="C11:F11"/>
    <mergeCell ref="H11:Q11"/>
    <mergeCell ref="C12:F12"/>
    <mergeCell ref="H12:Q12"/>
    <mergeCell ref="C14:F14"/>
    <mergeCell ref="H14:Q14"/>
    <mergeCell ref="C13:F13"/>
    <mergeCell ref="H13:Q13"/>
    <mergeCell ref="C15:F15"/>
    <mergeCell ref="H15:Q15"/>
    <mergeCell ref="C16:F16"/>
    <mergeCell ref="H16:Q16"/>
    <mergeCell ref="C17:F17"/>
    <mergeCell ref="H17:Q17"/>
    <mergeCell ref="C19:F19"/>
    <mergeCell ref="H19:Q19"/>
    <mergeCell ref="H20:P20"/>
    <mergeCell ref="U20:W20"/>
    <mergeCell ref="B22:K22"/>
    <mergeCell ref="C23:F23"/>
    <mergeCell ref="H23:Q23"/>
    <mergeCell ref="C24:F24"/>
    <mergeCell ref="H24:Q24"/>
    <mergeCell ref="C25:F25"/>
    <mergeCell ref="H25:Q25"/>
    <mergeCell ref="H26:P26"/>
    <mergeCell ref="U26:W26"/>
    <mergeCell ref="I27:P27"/>
    <mergeCell ref="U27:W27"/>
    <mergeCell ref="A29:M29"/>
    <mergeCell ref="B31:K31"/>
    <mergeCell ref="C32:F32"/>
    <mergeCell ref="H32:Q32"/>
    <mergeCell ref="C33:F33"/>
    <mergeCell ref="H33:Q33"/>
    <mergeCell ref="C35:F35"/>
    <mergeCell ref="H35:Q35"/>
    <mergeCell ref="C37:F37"/>
    <mergeCell ref="H37:Q37"/>
    <mergeCell ref="C39:F39"/>
    <mergeCell ref="H39:Q39"/>
    <mergeCell ref="C36:F36"/>
    <mergeCell ref="H36:Q36"/>
    <mergeCell ref="C38:F38"/>
    <mergeCell ref="H38:Q38"/>
    <mergeCell ref="C40:F40"/>
    <mergeCell ref="H40:Q40"/>
    <mergeCell ref="C41:F41"/>
    <mergeCell ref="H41:Q41"/>
    <mergeCell ref="H43:P43"/>
    <mergeCell ref="C42:F42"/>
    <mergeCell ref="H42:Q42"/>
    <mergeCell ref="C48:F48"/>
    <mergeCell ref="H48:Q48"/>
    <mergeCell ref="U45:W45"/>
    <mergeCell ref="U46:W46"/>
    <mergeCell ref="U47:W47"/>
    <mergeCell ref="A59:D59"/>
    <mergeCell ref="F59:I59"/>
    <mergeCell ref="C49:F49"/>
    <mergeCell ref="H49:Q49"/>
    <mergeCell ref="I51:P51"/>
    <mergeCell ref="I53:P54"/>
    <mergeCell ref="C18:F18"/>
    <mergeCell ref="H18:Q18"/>
    <mergeCell ref="U48:W48"/>
    <mergeCell ref="A58:D58"/>
    <mergeCell ref="F58:J58"/>
    <mergeCell ref="U49:W49"/>
    <mergeCell ref="U50:W50"/>
    <mergeCell ref="U52:W52"/>
    <mergeCell ref="U53:W53"/>
    <mergeCell ref="U54:W54"/>
    <mergeCell ref="U55:W55"/>
    <mergeCell ref="U51:W51"/>
    <mergeCell ref="U43:W43"/>
    <mergeCell ref="I44:P44"/>
    <mergeCell ref="U44:W44"/>
    <mergeCell ref="A46:M46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outlinePr summaryBelow="0"/>
    <pageSetUpPr autoPageBreaks="0"/>
  </sheetPr>
  <dimension ref="A1:AB100"/>
  <sheetViews>
    <sheetView showGridLines="0" topLeftCell="A19" zoomScaleNormal="100" workbookViewId="0">
      <selection activeCell="AA103" sqref="AA103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0.85546875" style="75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0.7109375" style="75" customWidth="1"/>
    <col min="20" max="20" width="2.28515625" style="75" customWidth="1"/>
    <col min="21" max="21" width="1.28515625" style="75" customWidth="1"/>
    <col min="22" max="22" width="6.28515625" style="75" customWidth="1"/>
    <col min="23" max="23" width="3.140625" style="75" customWidth="1"/>
    <col min="24" max="24" width="1.28515625" style="75" customWidth="1"/>
    <col min="25" max="28" width="0" style="75" hidden="1" customWidth="1"/>
    <col min="29" max="16384" width="5.28515625" style="75"/>
  </cols>
  <sheetData>
    <row r="1" spans="1:28" ht="12" customHeight="1" x14ac:dyDescent="0.2">
      <c r="A1" s="164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AB1" s="95" t="s">
        <v>0</v>
      </c>
    </row>
    <row r="2" spans="1:28" ht="12" customHeight="1" x14ac:dyDescent="0.2">
      <c r="A2" s="164" t="s">
        <v>702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</row>
    <row r="3" spans="1:28" ht="12" customHeight="1" x14ac:dyDescent="0.2">
      <c r="A3" s="165" t="s">
        <v>194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AB3" s="95" t="s">
        <v>509</v>
      </c>
    </row>
    <row r="4" spans="1:28" ht="12" customHeight="1" x14ac:dyDescent="0.2">
      <c r="A4" s="156" t="s">
        <v>2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AB4" s="96" t="s">
        <v>194</v>
      </c>
    </row>
    <row r="5" spans="1:28" ht="12" customHeight="1" x14ac:dyDescent="0.2">
      <c r="B5" s="156" t="s">
        <v>3</v>
      </c>
      <c r="C5" s="156"/>
      <c r="D5" s="156"/>
      <c r="E5" s="156"/>
      <c r="F5" s="156"/>
      <c r="G5" s="156"/>
      <c r="H5" s="156"/>
      <c r="I5" s="156"/>
      <c r="J5" s="156"/>
      <c r="K5" s="156"/>
      <c r="S5" s="97">
        <v>43465</v>
      </c>
    </row>
    <row r="6" spans="1:28" ht="12" customHeight="1" x14ac:dyDescent="0.2"/>
    <row r="7" spans="1:28" ht="12" customHeight="1" x14ac:dyDescent="0.2">
      <c r="C7" s="158" t="s">
        <v>6</v>
      </c>
      <c r="D7" s="158"/>
      <c r="E7" s="158"/>
      <c r="F7" s="158"/>
      <c r="H7" s="158" t="s">
        <v>195</v>
      </c>
      <c r="I7" s="158"/>
      <c r="J7" s="158"/>
      <c r="K7" s="158"/>
      <c r="L7" s="158"/>
      <c r="M7" s="158"/>
      <c r="N7" s="158"/>
      <c r="O7" s="158"/>
      <c r="P7" s="158"/>
      <c r="Q7" s="158"/>
      <c r="S7" s="129">
        <v>48775.17</v>
      </c>
      <c r="AB7" s="98" t="s">
        <v>2</v>
      </c>
    </row>
    <row r="8" spans="1:28" ht="12" customHeight="1" x14ac:dyDescent="0.2">
      <c r="C8" s="158" t="s">
        <v>16</v>
      </c>
      <c r="D8" s="158"/>
      <c r="E8" s="158"/>
      <c r="F8" s="158"/>
      <c r="H8" s="158" t="s">
        <v>17</v>
      </c>
      <c r="I8" s="158"/>
      <c r="J8" s="158"/>
      <c r="K8" s="158"/>
      <c r="L8" s="158"/>
      <c r="M8" s="158"/>
      <c r="N8" s="158"/>
      <c r="O8" s="158"/>
      <c r="P8" s="158"/>
      <c r="Q8" s="158"/>
      <c r="S8" s="129">
        <v>89821.27</v>
      </c>
    </row>
    <row r="9" spans="1:28" ht="12" customHeight="1" x14ac:dyDescent="0.2">
      <c r="C9" s="158" t="s">
        <v>40</v>
      </c>
      <c r="D9" s="158"/>
      <c r="E9" s="158"/>
      <c r="F9" s="158"/>
      <c r="H9" s="158" t="s">
        <v>61</v>
      </c>
      <c r="I9" s="158"/>
      <c r="J9" s="158"/>
      <c r="K9" s="158"/>
      <c r="L9" s="158"/>
      <c r="M9" s="158"/>
      <c r="N9" s="158"/>
      <c r="O9" s="158"/>
      <c r="P9" s="158"/>
      <c r="Q9" s="158"/>
      <c r="S9" s="129">
        <v>0</v>
      </c>
    </row>
    <row r="10" spans="1:28" ht="12" customHeight="1" x14ac:dyDescent="0.2">
      <c r="C10" s="158" t="s">
        <v>182</v>
      </c>
      <c r="D10" s="158"/>
      <c r="E10" s="158"/>
      <c r="F10" s="158"/>
      <c r="H10" s="158" t="s">
        <v>183</v>
      </c>
      <c r="I10" s="158"/>
      <c r="J10" s="158"/>
      <c r="K10" s="158"/>
      <c r="L10" s="158"/>
      <c r="M10" s="158"/>
      <c r="N10" s="158"/>
      <c r="O10" s="158"/>
      <c r="P10" s="158"/>
      <c r="Q10" s="158"/>
      <c r="S10" s="129">
        <v>4600000</v>
      </c>
    </row>
    <row r="11" spans="1:28" ht="12" customHeight="1" x14ac:dyDescent="0.2">
      <c r="C11" s="158">
        <v>1239</v>
      </c>
      <c r="D11" s="158"/>
      <c r="E11" s="158"/>
      <c r="F11" s="158"/>
      <c r="H11" s="158" t="s">
        <v>694</v>
      </c>
      <c r="I11" s="158"/>
      <c r="J11" s="158"/>
      <c r="K11" s="158"/>
      <c r="L11" s="158"/>
      <c r="M11" s="158"/>
      <c r="N11" s="158"/>
      <c r="O11" s="158"/>
      <c r="P11" s="158"/>
      <c r="Q11" s="158"/>
      <c r="S11" s="129">
        <v>2650</v>
      </c>
    </row>
    <row r="12" spans="1:28" ht="12" customHeight="1" x14ac:dyDescent="0.2">
      <c r="C12" s="158" t="s">
        <v>46</v>
      </c>
      <c r="D12" s="158"/>
      <c r="E12" s="158"/>
      <c r="F12" s="158"/>
      <c r="H12" s="158" t="s">
        <v>196</v>
      </c>
      <c r="I12" s="158"/>
      <c r="J12" s="158"/>
      <c r="K12" s="158"/>
      <c r="L12" s="158"/>
      <c r="M12" s="158"/>
      <c r="N12" s="158"/>
      <c r="O12" s="158"/>
      <c r="P12" s="158"/>
      <c r="Q12" s="158"/>
      <c r="S12" s="129">
        <v>0</v>
      </c>
    </row>
    <row r="13" spans="1:28" ht="12" customHeight="1" x14ac:dyDescent="0.2">
      <c r="C13" s="158" t="s">
        <v>48</v>
      </c>
      <c r="D13" s="158"/>
      <c r="E13" s="158"/>
      <c r="F13" s="158"/>
      <c r="H13" s="158" t="s">
        <v>49</v>
      </c>
      <c r="I13" s="158"/>
      <c r="J13" s="158"/>
      <c r="K13" s="158"/>
      <c r="L13" s="158"/>
      <c r="M13" s="158"/>
      <c r="N13" s="158"/>
      <c r="O13" s="158"/>
      <c r="P13" s="158"/>
      <c r="Q13" s="158"/>
      <c r="S13" s="129">
        <v>102045.52</v>
      </c>
    </row>
    <row r="14" spans="1:28" ht="12" customHeight="1" x14ac:dyDescent="0.2">
      <c r="C14" s="158">
        <v>1243</v>
      </c>
      <c r="D14" s="158"/>
      <c r="E14" s="158"/>
      <c r="F14" s="158"/>
      <c r="H14" s="158" t="s">
        <v>683</v>
      </c>
      <c r="I14" s="158"/>
      <c r="J14" s="158"/>
      <c r="K14" s="158"/>
      <c r="L14" s="158"/>
      <c r="M14" s="158"/>
      <c r="N14" s="158"/>
      <c r="O14" s="158"/>
      <c r="P14" s="158"/>
      <c r="Q14" s="158"/>
      <c r="S14" s="129">
        <v>0</v>
      </c>
    </row>
    <row r="15" spans="1:28" ht="12" customHeight="1" x14ac:dyDescent="0.2">
      <c r="C15" s="158" t="s">
        <v>56</v>
      </c>
      <c r="D15" s="158"/>
      <c r="E15" s="158"/>
      <c r="F15" s="158"/>
      <c r="H15" s="158" t="s">
        <v>59</v>
      </c>
      <c r="I15" s="158"/>
      <c r="J15" s="158"/>
      <c r="K15" s="158"/>
      <c r="L15" s="158"/>
      <c r="M15" s="158"/>
      <c r="N15" s="158"/>
      <c r="O15" s="158"/>
      <c r="P15" s="158"/>
      <c r="Q15" s="158"/>
      <c r="S15" s="129">
        <v>0</v>
      </c>
    </row>
    <row r="16" spans="1:28" ht="12" customHeight="1" x14ac:dyDescent="0.2">
      <c r="C16" s="158" t="s">
        <v>197</v>
      </c>
      <c r="D16" s="158"/>
      <c r="E16" s="158"/>
      <c r="F16" s="158"/>
      <c r="H16" s="158" t="s">
        <v>198</v>
      </c>
      <c r="I16" s="158"/>
      <c r="J16" s="158"/>
      <c r="K16" s="158"/>
      <c r="L16" s="158"/>
      <c r="M16" s="158"/>
      <c r="N16" s="158"/>
      <c r="O16" s="158"/>
      <c r="P16" s="158"/>
      <c r="Q16" s="158"/>
      <c r="S16" s="129">
        <v>15362.97</v>
      </c>
    </row>
    <row r="17" spans="1:23" ht="12" customHeight="1" x14ac:dyDescent="0.2">
      <c r="C17" s="158" t="s">
        <v>58</v>
      </c>
      <c r="D17" s="158"/>
      <c r="E17" s="158"/>
      <c r="F17" s="158"/>
      <c r="H17" s="158" t="s">
        <v>59</v>
      </c>
      <c r="I17" s="158"/>
      <c r="J17" s="158"/>
      <c r="K17" s="158"/>
      <c r="L17" s="158"/>
      <c r="M17" s="158"/>
      <c r="N17" s="158"/>
      <c r="O17" s="158"/>
      <c r="P17" s="158"/>
      <c r="Q17" s="158"/>
      <c r="S17" s="129">
        <v>0</v>
      </c>
    </row>
    <row r="18" spans="1:23" ht="12" customHeight="1" x14ac:dyDescent="0.2">
      <c r="C18" s="158" t="s">
        <v>199</v>
      </c>
      <c r="D18" s="158"/>
      <c r="E18" s="158"/>
      <c r="F18" s="158"/>
      <c r="H18" s="158" t="s">
        <v>200</v>
      </c>
      <c r="I18" s="158"/>
      <c r="J18" s="158"/>
      <c r="K18" s="158"/>
      <c r="L18" s="158"/>
      <c r="M18" s="158"/>
      <c r="N18" s="158"/>
      <c r="O18" s="158"/>
      <c r="P18" s="158"/>
      <c r="Q18" s="158"/>
      <c r="S18" s="131">
        <f>104563.66+8000+74554.69</f>
        <v>187118.35</v>
      </c>
    </row>
    <row r="19" spans="1:23" ht="12" customHeight="1" x14ac:dyDescent="0.2">
      <c r="H19" s="156" t="s">
        <v>73</v>
      </c>
      <c r="I19" s="156"/>
      <c r="J19" s="156"/>
      <c r="K19" s="156"/>
      <c r="L19" s="156"/>
      <c r="M19" s="156"/>
      <c r="N19" s="156"/>
      <c r="O19" s="156"/>
      <c r="P19" s="156"/>
      <c r="U19" s="157">
        <f>SUM(S7:S18)</f>
        <v>5045773.2799999993</v>
      </c>
      <c r="V19" s="157"/>
      <c r="W19" s="157"/>
    </row>
    <row r="20" spans="1:23" ht="12" customHeight="1" x14ac:dyDescent="0.2"/>
    <row r="21" spans="1:23" ht="12" customHeight="1" x14ac:dyDescent="0.2">
      <c r="B21" s="156" t="s">
        <v>74</v>
      </c>
      <c r="C21" s="156"/>
      <c r="D21" s="156"/>
      <c r="E21" s="156"/>
      <c r="F21" s="156"/>
      <c r="G21" s="156"/>
      <c r="H21" s="156"/>
      <c r="I21" s="156"/>
      <c r="J21" s="156"/>
      <c r="K21" s="156"/>
    </row>
    <row r="22" spans="1:23" ht="12" customHeight="1" x14ac:dyDescent="0.2">
      <c r="C22" s="158" t="s">
        <v>75</v>
      </c>
      <c r="D22" s="158"/>
      <c r="E22" s="158"/>
      <c r="F22" s="158"/>
      <c r="H22" s="158" t="s">
        <v>186</v>
      </c>
      <c r="I22" s="158"/>
      <c r="J22" s="158"/>
      <c r="K22" s="158"/>
      <c r="L22" s="158"/>
      <c r="M22" s="158"/>
      <c r="N22" s="158"/>
      <c r="O22" s="158"/>
      <c r="P22" s="158"/>
      <c r="Q22" s="158"/>
      <c r="S22" s="129">
        <v>138413.75</v>
      </c>
    </row>
    <row r="23" spans="1:23" ht="12" customHeight="1" x14ac:dyDescent="0.2">
      <c r="C23" s="158" t="s">
        <v>81</v>
      </c>
      <c r="D23" s="158"/>
      <c r="E23" s="158"/>
      <c r="F23" s="158"/>
      <c r="H23" s="158" t="s">
        <v>201</v>
      </c>
      <c r="I23" s="158"/>
      <c r="J23" s="158"/>
      <c r="K23" s="158"/>
      <c r="L23" s="158"/>
      <c r="M23" s="158"/>
      <c r="N23" s="158"/>
      <c r="O23" s="158"/>
      <c r="P23" s="158"/>
      <c r="Q23" s="158"/>
      <c r="S23" s="129">
        <v>193555.25</v>
      </c>
    </row>
    <row r="24" spans="1:23" ht="12" customHeight="1" x14ac:dyDescent="0.2">
      <c r="C24" s="158" t="s">
        <v>87</v>
      </c>
      <c r="D24" s="158"/>
      <c r="E24" s="158"/>
      <c r="F24" s="158"/>
      <c r="H24" s="158" t="s">
        <v>88</v>
      </c>
      <c r="I24" s="158"/>
      <c r="J24" s="158"/>
      <c r="K24" s="158"/>
      <c r="L24" s="158"/>
      <c r="M24" s="158"/>
      <c r="N24" s="158"/>
      <c r="O24" s="158"/>
      <c r="P24" s="158"/>
      <c r="Q24" s="158"/>
      <c r="S24" s="129">
        <v>716032.14</v>
      </c>
    </row>
    <row r="25" spans="1:23" ht="12" customHeight="1" x14ac:dyDescent="0.2">
      <c r="C25" s="130"/>
      <c r="D25" s="130"/>
      <c r="E25" s="130"/>
      <c r="F25" s="130"/>
      <c r="H25" s="158" t="s">
        <v>94</v>
      </c>
      <c r="I25" s="158"/>
      <c r="J25" s="158"/>
      <c r="K25" s="158"/>
      <c r="L25" s="158"/>
      <c r="M25" s="158"/>
      <c r="N25" s="158"/>
      <c r="O25" s="158"/>
      <c r="P25" s="158"/>
      <c r="Q25" s="158"/>
      <c r="S25" s="129">
        <v>0</v>
      </c>
    </row>
    <row r="26" spans="1:23" ht="12" customHeight="1" x14ac:dyDescent="0.2">
      <c r="C26" s="158" t="s">
        <v>99</v>
      </c>
      <c r="D26" s="158"/>
      <c r="E26" s="158"/>
      <c r="F26" s="158"/>
      <c r="H26" s="158" t="s">
        <v>187</v>
      </c>
      <c r="I26" s="158"/>
      <c r="J26" s="158"/>
      <c r="K26" s="158"/>
      <c r="L26" s="158"/>
      <c r="M26" s="158"/>
      <c r="N26" s="158"/>
      <c r="O26" s="158"/>
      <c r="P26" s="158"/>
      <c r="Q26" s="158"/>
      <c r="S26" s="131">
        <v>-604223.72</v>
      </c>
    </row>
    <row r="27" spans="1:23" ht="12" customHeight="1" x14ac:dyDescent="0.2">
      <c r="H27" s="156" t="s">
        <v>103</v>
      </c>
      <c r="I27" s="156"/>
      <c r="J27" s="156"/>
      <c r="K27" s="156"/>
      <c r="L27" s="156"/>
      <c r="M27" s="156"/>
      <c r="N27" s="156"/>
      <c r="O27" s="156"/>
      <c r="P27" s="156"/>
      <c r="U27" s="160">
        <f>SUM(S22:S26)</f>
        <v>443777.42000000004</v>
      </c>
      <c r="V27" s="160"/>
      <c r="W27" s="160"/>
    </row>
    <row r="28" spans="1:23" ht="12" customHeight="1" thickBot="1" x14ac:dyDescent="0.25">
      <c r="I28" s="156" t="s">
        <v>104</v>
      </c>
      <c r="J28" s="156"/>
      <c r="K28" s="156"/>
      <c r="L28" s="156"/>
      <c r="M28" s="156"/>
      <c r="N28" s="156"/>
      <c r="O28" s="156"/>
      <c r="P28" s="156"/>
      <c r="U28" s="163">
        <f>U27+U19</f>
        <v>5489550.6999999993</v>
      </c>
      <c r="V28" s="163"/>
      <c r="W28" s="163"/>
    </row>
    <row r="29" spans="1:23" ht="12" customHeight="1" thickTop="1" x14ac:dyDescent="0.2"/>
    <row r="30" spans="1:23" ht="12" customHeight="1" x14ac:dyDescent="0.2">
      <c r="A30" s="156" t="s">
        <v>105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</row>
    <row r="31" spans="1:23" ht="12" customHeight="1" x14ac:dyDescent="0.2">
      <c r="B31" s="156" t="s">
        <v>106</v>
      </c>
      <c r="C31" s="156"/>
      <c r="D31" s="156"/>
      <c r="E31" s="156"/>
      <c r="F31" s="156"/>
      <c r="G31" s="156"/>
      <c r="H31" s="156"/>
      <c r="I31" s="156"/>
      <c r="J31" s="156"/>
      <c r="K31" s="156"/>
    </row>
    <row r="32" spans="1:23" ht="12" customHeight="1" x14ac:dyDescent="0.2">
      <c r="C32" s="158" t="s">
        <v>109</v>
      </c>
      <c r="D32" s="158"/>
      <c r="E32" s="158"/>
      <c r="F32" s="158"/>
      <c r="H32" s="158" t="s">
        <v>110</v>
      </c>
      <c r="I32" s="158"/>
      <c r="J32" s="158"/>
      <c r="K32" s="158"/>
      <c r="L32" s="158"/>
      <c r="M32" s="158"/>
      <c r="N32" s="158"/>
      <c r="O32" s="158"/>
      <c r="P32" s="158"/>
      <c r="Q32" s="158"/>
      <c r="S32" s="129">
        <v>3161.36</v>
      </c>
    </row>
    <row r="33" spans="1:23" ht="12.75" customHeight="1" x14ac:dyDescent="0.2">
      <c r="C33" s="158" t="s">
        <v>111</v>
      </c>
      <c r="D33" s="158"/>
      <c r="E33" s="158"/>
      <c r="F33" s="158"/>
      <c r="H33" s="158" t="s">
        <v>237</v>
      </c>
      <c r="I33" s="158"/>
      <c r="J33" s="158"/>
      <c r="K33" s="158"/>
      <c r="L33" s="158"/>
      <c r="M33" s="158"/>
      <c r="N33" s="158"/>
      <c r="O33" s="158"/>
      <c r="P33" s="158"/>
      <c r="Q33" s="158"/>
      <c r="S33" s="129">
        <v>0</v>
      </c>
    </row>
    <row r="34" spans="1:23" ht="12" customHeight="1" x14ac:dyDescent="0.2">
      <c r="C34" s="158" t="s">
        <v>225</v>
      </c>
      <c r="D34" s="158"/>
      <c r="E34" s="158"/>
      <c r="F34" s="158"/>
      <c r="H34" s="158" t="s">
        <v>238</v>
      </c>
      <c r="I34" s="158"/>
      <c r="J34" s="158"/>
      <c r="K34" s="158"/>
      <c r="L34" s="158"/>
      <c r="M34" s="158"/>
      <c r="N34" s="158"/>
      <c r="O34" s="158"/>
      <c r="P34" s="158"/>
      <c r="Q34" s="158"/>
      <c r="S34" s="129">
        <v>0</v>
      </c>
    </row>
    <row r="35" spans="1:23" ht="12" customHeight="1" x14ac:dyDescent="0.2">
      <c r="C35" s="158" t="s">
        <v>113</v>
      </c>
      <c r="D35" s="158"/>
      <c r="E35" s="158"/>
      <c r="F35" s="158"/>
      <c r="H35" s="158" t="s">
        <v>239</v>
      </c>
      <c r="I35" s="158"/>
      <c r="J35" s="158"/>
      <c r="K35" s="158"/>
      <c r="L35" s="158"/>
      <c r="M35" s="158"/>
      <c r="N35" s="158"/>
      <c r="O35" s="158"/>
      <c r="P35" s="158"/>
      <c r="Q35" s="158"/>
      <c r="S35" s="129">
        <v>0</v>
      </c>
    </row>
    <row r="36" spans="1:23" ht="12" customHeight="1" x14ac:dyDescent="0.2">
      <c r="C36" s="158">
        <v>2150</v>
      </c>
      <c r="D36" s="158"/>
      <c r="E36" s="158"/>
      <c r="F36" s="158"/>
      <c r="H36" s="158" t="s">
        <v>189</v>
      </c>
      <c r="I36" s="158"/>
      <c r="J36" s="158"/>
      <c r="K36" s="158"/>
      <c r="L36" s="158"/>
      <c r="M36" s="158"/>
      <c r="N36" s="158"/>
      <c r="O36" s="158"/>
      <c r="P36" s="158"/>
      <c r="Q36" s="158"/>
      <c r="S36" s="121">
        <v>37.479999999999997</v>
      </c>
    </row>
    <row r="37" spans="1:23" ht="12" customHeight="1" x14ac:dyDescent="0.2">
      <c r="C37" s="158" t="s">
        <v>117</v>
      </c>
      <c r="D37" s="158"/>
      <c r="E37" s="158"/>
      <c r="F37" s="158"/>
      <c r="H37" s="158" t="s">
        <v>118</v>
      </c>
      <c r="I37" s="158"/>
      <c r="J37" s="158"/>
      <c r="K37" s="158"/>
      <c r="L37" s="158"/>
      <c r="M37" s="158"/>
      <c r="N37" s="158"/>
      <c r="O37" s="158"/>
      <c r="P37" s="158"/>
      <c r="Q37" s="158"/>
      <c r="S37" s="129">
        <v>181998.74</v>
      </c>
    </row>
    <row r="38" spans="1:23" ht="12" customHeight="1" x14ac:dyDescent="0.2">
      <c r="C38" s="158" t="s">
        <v>119</v>
      </c>
      <c r="D38" s="158"/>
      <c r="E38" s="158"/>
      <c r="F38" s="158"/>
      <c r="H38" s="158" t="s">
        <v>190</v>
      </c>
      <c r="I38" s="158"/>
      <c r="J38" s="158"/>
      <c r="K38" s="158"/>
      <c r="L38" s="158"/>
      <c r="M38" s="158"/>
      <c r="N38" s="158"/>
      <c r="O38" s="158"/>
      <c r="P38" s="158"/>
      <c r="Q38" s="158"/>
      <c r="S38" s="129">
        <v>39066.29</v>
      </c>
    </row>
    <row r="39" spans="1:23" ht="12" customHeight="1" x14ac:dyDescent="0.2">
      <c r="C39" s="158">
        <v>2215</v>
      </c>
      <c r="D39" s="158"/>
      <c r="E39" s="158"/>
      <c r="F39" s="158"/>
      <c r="H39" s="158" t="s">
        <v>638</v>
      </c>
      <c r="I39" s="158"/>
      <c r="J39" s="158"/>
      <c r="K39" s="158"/>
      <c r="L39" s="158"/>
      <c r="M39" s="158"/>
      <c r="N39" s="158"/>
      <c r="O39" s="158"/>
      <c r="P39" s="158"/>
      <c r="Q39" s="158"/>
      <c r="S39" s="121">
        <v>13898</v>
      </c>
    </row>
    <row r="40" spans="1:23" ht="12.75" customHeight="1" x14ac:dyDescent="0.2">
      <c r="C40" s="158" t="s">
        <v>125</v>
      </c>
      <c r="D40" s="158"/>
      <c r="E40" s="158"/>
      <c r="F40" s="158"/>
      <c r="H40" s="158" t="s">
        <v>202</v>
      </c>
      <c r="I40" s="158"/>
      <c r="J40" s="158"/>
      <c r="K40" s="158"/>
      <c r="L40" s="158"/>
      <c r="M40" s="158"/>
      <c r="N40" s="158"/>
      <c r="O40" s="158"/>
      <c r="P40" s="158"/>
      <c r="Q40" s="158"/>
      <c r="S40" s="129">
        <v>0</v>
      </c>
    </row>
    <row r="41" spans="1:23" ht="12" customHeight="1" x14ac:dyDescent="0.2">
      <c r="C41" s="158" t="s">
        <v>127</v>
      </c>
      <c r="D41" s="158"/>
      <c r="E41" s="158"/>
      <c r="F41" s="158"/>
      <c r="H41" s="158" t="s">
        <v>203</v>
      </c>
      <c r="I41" s="158"/>
      <c r="J41" s="158"/>
      <c r="K41" s="158"/>
      <c r="L41" s="158"/>
      <c r="M41" s="158"/>
      <c r="N41" s="158"/>
      <c r="O41" s="158"/>
      <c r="P41" s="158"/>
      <c r="Q41" s="158"/>
      <c r="S41" s="129">
        <v>36815.99</v>
      </c>
    </row>
    <row r="42" spans="1:23" ht="12" customHeight="1" x14ac:dyDescent="0.2">
      <c r="C42" s="158" t="s">
        <v>129</v>
      </c>
      <c r="D42" s="158"/>
      <c r="E42" s="158"/>
      <c r="F42" s="158"/>
      <c r="H42" s="158" t="s">
        <v>191</v>
      </c>
      <c r="I42" s="158"/>
      <c r="J42" s="158"/>
      <c r="K42" s="158"/>
      <c r="L42" s="158"/>
      <c r="M42" s="158"/>
      <c r="N42" s="158"/>
      <c r="O42" s="158"/>
      <c r="P42" s="158"/>
      <c r="Q42" s="158"/>
      <c r="S42" s="129">
        <v>2849.45</v>
      </c>
    </row>
    <row r="43" spans="1:23" ht="12" customHeight="1" x14ac:dyDescent="0.2">
      <c r="C43" s="158">
        <v>2401</v>
      </c>
      <c r="D43" s="158"/>
      <c r="E43" s="158"/>
      <c r="F43" s="158"/>
      <c r="H43" s="158" t="s">
        <v>205</v>
      </c>
      <c r="I43" s="158"/>
      <c r="J43" s="158"/>
      <c r="K43" s="158"/>
      <c r="L43" s="158"/>
      <c r="M43" s="158"/>
      <c r="N43" s="158"/>
      <c r="O43" s="158"/>
      <c r="P43" s="158"/>
      <c r="Q43" s="158"/>
      <c r="S43" s="78">
        <v>213898.98</v>
      </c>
    </row>
    <row r="44" spans="1:23" ht="12" customHeight="1" x14ac:dyDescent="0.2">
      <c r="C44" s="158">
        <v>2402</v>
      </c>
      <c r="D44" s="158"/>
      <c r="E44" s="158"/>
      <c r="F44" s="158"/>
      <c r="H44" s="158" t="s">
        <v>679</v>
      </c>
      <c r="I44" s="158"/>
      <c r="J44" s="158"/>
      <c r="K44" s="158"/>
      <c r="L44" s="158"/>
      <c r="M44" s="158"/>
      <c r="N44" s="158"/>
      <c r="O44" s="158"/>
      <c r="P44" s="158"/>
      <c r="Q44" s="158"/>
      <c r="S44" s="78">
        <v>0</v>
      </c>
    </row>
    <row r="45" spans="1:23" ht="12" customHeight="1" x14ac:dyDescent="0.2">
      <c r="H45" s="156" t="s">
        <v>148</v>
      </c>
      <c r="I45" s="156"/>
      <c r="J45" s="156"/>
      <c r="K45" s="156"/>
      <c r="L45" s="156"/>
      <c r="M45" s="156"/>
      <c r="N45" s="156"/>
      <c r="O45" s="156"/>
      <c r="P45" s="156"/>
      <c r="U45" s="160">
        <f>SUM(S32:S44)</f>
        <v>491726.29000000004</v>
      </c>
      <c r="V45" s="160"/>
      <c r="W45" s="160"/>
    </row>
    <row r="46" spans="1:23" ht="12" customHeight="1" x14ac:dyDescent="0.2">
      <c r="I46" s="156" t="s">
        <v>159</v>
      </c>
      <c r="J46" s="156"/>
      <c r="K46" s="156"/>
      <c r="L46" s="156"/>
      <c r="M46" s="156"/>
      <c r="N46" s="156"/>
      <c r="O46" s="156"/>
      <c r="P46" s="156"/>
      <c r="U46" s="160">
        <f>U45</f>
        <v>491726.29000000004</v>
      </c>
      <c r="V46" s="160"/>
      <c r="W46" s="160"/>
    </row>
    <row r="47" spans="1:23" ht="12" customHeight="1" x14ac:dyDescent="0.2">
      <c r="A47" s="156" t="s">
        <v>160</v>
      </c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S47" s="129"/>
    </row>
    <row r="48" spans="1:23" ht="12" customHeight="1" x14ac:dyDescent="0.2">
      <c r="C48" s="158" t="s">
        <v>161</v>
      </c>
      <c r="D48" s="158"/>
      <c r="E48" s="158"/>
      <c r="F48" s="158"/>
      <c r="H48" s="158" t="s">
        <v>162</v>
      </c>
      <c r="I48" s="158"/>
      <c r="J48" s="158"/>
      <c r="K48" s="158"/>
      <c r="L48" s="158"/>
      <c r="M48" s="158"/>
      <c r="N48" s="158"/>
      <c r="O48" s="158"/>
      <c r="P48" s="158"/>
      <c r="Q48" s="158"/>
      <c r="S48" s="129">
        <v>1000</v>
      </c>
    </row>
    <row r="49" spans="3:28" ht="12" customHeight="1" x14ac:dyDescent="0.2">
      <c r="C49" s="158" t="s">
        <v>165</v>
      </c>
      <c r="D49" s="158"/>
      <c r="E49" s="158"/>
      <c r="F49" s="158"/>
      <c r="H49" s="158" t="s">
        <v>567</v>
      </c>
      <c r="I49" s="158"/>
      <c r="J49" s="158"/>
      <c r="K49" s="158"/>
      <c r="L49" s="158"/>
      <c r="M49" s="158"/>
      <c r="N49" s="158"/>
      <c r="O49" s="158"/>
      <c r="P49" s="158"/>
      <c r="Q49" s="158"/>
      <c r="S49" s="129">
        <v>0</v>
      </c>
    </row>
    <row r="50" spans="3:28" ht="12" customHeight="1" x14ac:dyDescent="0.2">
      <c r="C50" s="158" t="s">
        <v>165</v>
      </c>
      <c r="D50" s="158"/>
      <c r="E50" s="158"/>
      <c r="F50" s="158"/>
      <c r="H50" s="158" t="s">
        <v>166</v>
      </c>
      <c r="I50" s="158"/>
      <c r="J50" s="158"/>
      <c r="K50" s="158"/>
      <c r="L50" s="158"/>
      <c r="M50" s="158"/>
      <c r="N50" s="158"/>
      <c r="O50" s="158"/>
      <c r="P50" s="158"/>
      <c r="Q50" s="158"/>
      <c r="S50" s="136">
        <v>829796.72</v>
      </c>
    </row>
    <row r="51" spans="3:28" ht="12" customHeight="1" x14ac:dyDescent="0.2">
      <c r="C51" s="158" t="s">
        <v>206</v>
      </c>
      <c r="D51" s="158"/>
      <c r="E51" s="158"/>
      <c r="F51" s="158"/>
      <c r="H51" s="158" t="s">
        <v>207</v>
      </c>
      <c r="I51" s="158"/>
      <c r="J51" s="158"/>
      <c r="K51" s="158"/>
      <c r="L51" s="158"/>
      <c r="M51" s="158"/>
      <c r="N51" s="158"/>
      <c r="O51" s="158"/>
      <c r="P51" s="158"/>
      <c r="Q51" s="158"/>
      <c r="S51" s="129">
        <v>20835.169999999998</v>
      </c>
    </row>
    <row r="52" spans="3:28" ht="12" customHeight="1" x14ac:dyDescent="0.2">
      <c r="C52" s="158" t="s">
        <v>208</v>
      </c>
      <c r="D52" s="158"/>
      <c r="E52" s="158"/>
      <c r="F52" s="158"/>
      <c r="H52" s="158" t="s">
        <v>209</v>
      </c>
      <c r="I52" s="158"/>
      <c r="J52" s="158"/>
      <c r="K52" s="158"/>
      <c r="L52" s="158"/>
      <c r="M52" s="158"/>
      <c r="N52" s="158"/>
      <c r="O52" s="158"/>
      <c r="P52" s="158"/>
      <c r="Q52" s="158"/>
      <c r="S52" s="129">
        <v>1375119.12</v>
      </c>
    </row>
    <row r="53" spans="3:28" ht="12" customHeight="1" x14ac:dyDescent="0.2">
      <c r="C53" s="158" t="s">
        <v>210</v>
      </c>
      <c r="D53" s="158"/>
      <c r="E53" s="158"/>
      <c r="F53" s="158"/>
      <c r="H53" s="158" t="s">
        <v>211</v>
      </c>
      <c r="I53" s="158"/>
      <c r="J53" s="158"/>
      <c r="K53" s="158"/>
      <c r="L53" s="158"/>
      <c r="M53" s="158"/>
      <c r="N53" s="158"/>
      <c r="O53" s="158"/>
      <c r="P53" s="158"/>
      <c r="Q53" s="158"/>
      <c r="S53" s="129">
        <v>1375119.12</v>
      </c>
    </row>
    <row r="54" spans="3:28" ht="12" customHeight="1" x14ac:dyDescent="0.2">
      <c r="C54" s="158" t="s">
        <v>212</v>
      </c>
      <c r="D54" s="158"/>
      <c r="E54" s="158"/>
      <c r="F54" s="158"/>
      <c r="H54" s="158" t="s">
        <v>213</v>
      </c>
      <c r="I54" s="158"/>
      <c r="J54" s="158"/>
      <c r="K54" s="158"/>
      <c r="L54" s="158"/>
      <c r="M54" s="158"/>
      <c r="N54" s="158"/>
      <c r="O54" s="158"/>
      <c r="P54" s="158"/>
      <c r="Q54" s="158"/>
      <c r="S54" s="136">
        <v>1375119.12</v>
      </c>
      <c r="AB54" s="98" t="s">
        <v>105</v>
      </c>
    </row>
    <row r="55" spans="3:28" ht="12" customHeight="1" x14ac:dyDescent="0.2">
      <c r="C55" s="158" t="s">
        <v>214</v>
      </c>
      <c r="D55" s="158"/>
      <c r="E55" s="158"/>
      <c r="F55" s="158"/>
      <c r="H55" s="158" t="s">
        <v>215</v>
      </c>
      <c r="I55" s="158"/>
      <c r="J55" s="158"/>
      <c r="K55" s="158"/>
      <c r="L55" s="158"/>
      <c r="M55" s="158"/>
      <c r="N55" s="158"/>
      <c r="O55" s="158"/>
      <c r="P55" s="158"/>
      <c r="Q55" s="158"/>
      <c r="S55" s="129">
        <v>20835.16</v>
      </c>
    </row>
    <row r="56" spans="3:28" ht="12" customHeight="1" x14ac:dyDescent="0.2">
      <c r="I56" s="156" t="s">
        <v>176</v>
      </c>
      <c r="J56" s="156"/>
      <c r="K56" s="156"/>
      <c r="L56" s="156"/>
      <c r="M56" s="156"/>
      <c r="N56" s="156"/>
      <c r="O56" s="156"/>
      <c r="P56" s="156"/>
      <c r="U56" s="160">
        <f>SUM(S48:S55)</f>
        <v>4997824.41</v>
      </c>
      <c r="V56" s="160"/>
      <c r="W56" s="160"/>
    </row>
    <row r="57" spans="3:28" ht="12" customHeight="1" x14ac:dyDescent="0.2">
      <c r="I57" s="156" t="s">
        <v>177</v>
      </c>
      <c r="J57" s="156"/>
      <c r="K57" s="156"/>
      <c r="L57" s="156"/>
      <c r="M57" s="156"/>
      <c r="N57" s="156"/>
      <c r="O57" s="156"/>
      <c r="P57" s="156"/>
    </row>
    <row r="58" spans="3:28" ht="13.5" customHeight="1" thickBot="1" x14ac:dyDescent="0.25">
      <c r="I58" s="156"/>
      <c r="J58" s="156"/>
      <c r="K58" s="156"/>
      <c r="L58" s="156"/>
      <c r="M58" s="156"/>
      <c r="N58" s="156"/>
      <c r="O58" s="156"/>
      <c r="P58" s="156"/>
      <c r="U58" s="197">
        <f>U56+U46</f>
        <v>5489550.7000000002</v>
      </c>
      <c r="V58" s="197"/>
      <c r="W58" s="197"/>
    </row>
    <row r="59" spans="3:28" ht="12" customHeight="1" thickTop="1" x14ac:dyDescent="0.2"/>
    <row r="60" spans="3:28" ht="12" customHeight="1" x14ac:dyDescent="0.2">
      <c r="V60" s="77">
        <f>U58-U28</f>
        <v>0</v>
      </c>
    </row>
    <row r="61" spans="3:28" ht="12" customHeight="1" x14ac:dyDescent="0.2"/>
    <row r="62" spans="3:28" ht="12" customHeight="1" x14ac:dyDescent="0.2"/>
    <row r="63" spans="3:28" ht="12" customHeight="1" x14ac:dyDescent="0.2"/>
    <row r="64" spans="3:28" ht="12" customHeight="1" x14ac:dyDescent="0.2"/>
    <row r="65" spans="28:28" ht="12" customHeight="1" x14ac:dyDescent="0.2"/>
    <row r="66" spans="28:28" ht="12" customHeight="1" x14ac:dyDescent="0.2"/>
    <row r="67" spans="28:28" ht="12" customHeight="1" x14ac:dyDescent="0.2"/>
    <row r="68" spans="28:28" ht="12" customHeight="1" x14ac:dyDescent="0.2"/>
    <row r="69" spans="28:28" ht="12" customHeight="1" x14ac:dyDescent="0.2"/>
    <row r="74" spans="28:28" ht="12.75" customHeight="1" x14ac:dyDescent="0.2">
      <c r="AB74" s="98" t="s">
        <v>160</v>
      </c>
    </row>
    <row r="99" spans="28:28" ht="12.75" customHeight="1" x14ac:dyDescent="0.2">
      <c r="AB99" s="99" t="s">
        <v>523</v>
      </c>
    </row>
    <row r="100" spans="28:28" ht="12.75" customHeight="1" x14ac:dyDescent="0.2">
      <c r="AB100" s="99" t="s">
        <v>524</v>
      </c>
    </row>
  </sheetData>
  <mergeCells count="98">
    <mergeCell ref="C42:F42"/>
    <mergeCell ref="H42:Q42"/>
    <mergeCell ref="A1:X1"/>
    <mergeCell ref="A2:X2"/>
    <mergeCell ref="A3:X3"/>
    <mergeCell ref="A4:M4"/>
    <mergeCell ref="B5:K5"/>
    <mergeCell ref="C7:F7"/>
    <mergeCell ref="H7:Q7"/>
    <mergeCell ref="C8:F8"/>
    <mergeCell ref="H8:Q8"/>
    <mergeCell ref="C9:F9"/>
    <mergeCell ref="H9:Q9"/>
    <mergeCell ref="C10:F10"/>
    <mergeCell ref="H10:Q10"/>
    <mergeCell ref="C12:F12"/>
    <mergeCell ref="H12:Q12"/>
    <mergeCell ref="C13:F13"/>
    <mergeCell ref="H13:Q13"/>
    <mergeCell ref="C11:F11"/>
    <mergeCell ref="H11:Q11"/>
    <mergeCell ref="C15:F15"/>
    <mergeCell ref="H15:Q15"/>
    <mergeCell ref="C14:F14"/>
    <mergeCell ref="H14:Q14"/>
    <mergeCell ref="C16:F16"/>
    <mergeCell ref="H16:Q16"/>
    <mergeCell ref="C17:F17"/>
    <mergeCell ref="H17:Q17"/>
    <mergeCell ref="C18:F18"/>
    <mergeCell ref="H18:Q18"/>
    <mergeCell ref="H19:P19"/>
    <mergeCell ref="U19:W19"/>
    <mergeCell ref="B21:K21"/>
    <mergeCell ref="C22:F22"/>
    <mergeCell ref="H22:Q22"/>
    <mergeCell ref="C23:F23"/>
    <mergeCell ref="H23:Q23"/>
    <mergeCell ref="C24:F24"/>
    <mergeCell ref="H24:Q24"/>
    <mergeCell ref="C26:F26"/>
    <mergeCell ref="H26:Q26"/>
    <mergeCell ref="H25:Q25"/>
    <mergeCell ref="H27:P27"/>
    <mergeCell ref="U27:W27"/>
    <mergeCell ref="I28:P28"/>
    <mergeCell ref="U28:W28"/>
    <mergeCell ref="A30:M30"/>
    <mergeCell ref="B31:K31"/>
    <mergeCell ref="C32:F32"/>
    <mergeCell ref="H32:Q32"/>
    <mergeCell ref="C33:F33"/>
    <mergeCell ref="H33:Q33"/>
    <mergeCell ref="C34:F34"/>
    <mergeCell ref="H34:Q34"/>
    <mergeCell ref="C35:F35"/>
    <mergeCell ref="H35:Q35"/>
    <mergeCell ref="C37:F37"/>
    <mergeCell ref="H37:Q37"/>
    <mergeCell ref="C36:F36"/>
    <mergeCell ref="H36:Q36"/>
    <mergeCell ref="C38:F38"/>
    <mergeCell ref="H38:Q38"/>
    <mergeCell ref="C40:F40"/>
    <mergeCell ref="H40:Q40"/>
    <mergeCell ref="C41:F41"/>
    <mergeCell ref="H41:Q41"/>
    <mergeCell ref="C39:F39"/>
    <mergeCell ref="H39:Q39"/>
    <mergeCell ref="C43:F43"/>
    <mergeCell ref="H43:Q43"/>
    <mergeCell ref="H45:P45"/>
    <mergeCell ref="U45:W45"/>
    <mergeCell ref="I46:P46"/>
    <mergeCell ref="U46:W46"/>
    <mergeCell ref="C44:F44"/>
    <mergeCell ref="H44:Q44"/>
    <mergeCell ref="A47:M47"/>
    <mergeCell ref="C48:F48"/>
    <mergeCell ref="H48:Q48"/>
    <mergeCell ref="C49:F49"/>
    <mergeCell ref="H49:Q49"/>
    <mergeCell ref="C50:F50"/>
    <mergeCell ref="H50:Q50"/>
    <mergeCell ref="C51:F51"/>
    <mergeCell ref="H51:Q51"/>
    <mergeCell ref="C52:F52"/>
    <mergeCell ref="H52:Q52"/>
    <mergeCell ref="I56:P56"/>
    <mergeCell ref="U56:W56"/>
    <mergeCell ref="I57:P58"/>
    <mergeCell ref="U58:W58"/>
    <mergeCell ref="C53:F53"/>
    <mergeCell ref="H53:Q53"/>
    <mergeCell ref="C54:F54"/>
    <mergeCell ref="H54:Q54"/>
    <mergeCell ref="C55:F55"/>
    <mergeCell ref="H55:Q55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-0.249977111117893"/>
  </sheetPr>
  <dimension ref="A1:F74"/>
  <sheetViews>
    <sheetView topLeftCell="A37" zoomScaleNormal="100" workbookViewId="0">
      <selection activeCell="AA103" sqref="AA103"/>
    </sheetView>
  </sheetViews>
  <sheetFormatPr defaultRowHeight="12.75" x14ac:dyDescent="0.2"/>
  <cols>
    <col min="1" max="4" width="9.140625" style="75"/>
    <col min="5" max="5" width="30.42578125" style="75" bestFit="1" customWidth="1"/>
    <col min="6" max="6" width="11.7109375" style="75" customWidth="1"/>
    <col min="7" max="16384" width="9.140625" style="75"/>
  </cols>
  <sheetData>
    <row r="1" spans="1:6" ht="13.5" thickBot="1" x14ac:dyDescent="0.25">
      <c r="A1" s="82"/>
      <c r="B1" s="82"/>
      <c r="C1" s="82"/>
      <c r="D1" s="82"/>
      <c r="E1" s="82"/>
      <c r="F1" s="110" t="s">
        <v>704</v>
      </c>
    </row>
    <row r="2" spans="1:6" ht="13.5" thickTop="1" x14ac:dyDescent="0.2">
      <c r="A2" s="81" t="s">
        <v>335</v>
      </c>
      <c r="B2" s="81"/>
      <c r="C2" s="81"/>
      <c r="D2" s="81"/>
      <c r="E2" s="81"/>
      <c r="F2" s="103"/>
    </row>
    <row r="3" spans="1:6" x14ac:dyDescent="0.2">
      <c r="A3" s="81"/>
      <c r="B3" s="81" t="s">
        <v>3</v>
      </c>
      <c r="C3" s="81"/>
      <c r="D3" s="81"/>
      <c r="E3" s="81"/>
      <c r="F3" s="103"/>
    </row>
    <row r="4" spans="1:6" x14ac:dyDescent="0.2">
      <c r="A4" s="81"/>
      <c r="B4" s="81"/>
      <c r="C4" s="81" t="s">
        <v>336</v>
      </c>
      <c r="D4" s="81"/>
      <c r="E4" s="81"/>
      <c r="F4" s="103"/>
    </row>
    <row r="5" spans="1:6" x14ac:dyDescent="0.2">
      <c r="A5" s="81"/>
      <c r="B5" s="81"/>
      <c r="C5" s="81"/>
      <c r="D5" s="81" t="s">
        <v>391</v>
      </c>
      <c r="E5" s="81"/>
      <c r="F5" s="103"/>
    </row>
    <row r="6" spans="1:6" x14ac:dyDescent="0.2">
      <c r="A6" s="81"/>
      <c r="B6" s="81"/>
      <c r="C6" s="81"/>
      <c r="D6" s="81" t="s">
        <v>393</v>
      </c>
      <c r="E6" s="81"/>
      <c r="F6" s="103">
        <v>235</v>
      </c>
    </row>
    <row r="7" spans="1:6" x14ac:dyDescent="0.2">
      <c r="A7" s="81"/>
      <c r="B7" s="81"/>
      <c r="C7" s="81"/>
      <c r="D7" s="81" t="s">
        <v>338</v>
      </c>
      <c r="E7" s="81"/>
      <c r="F7" s="103">
        <v>459441.12</v>
      </c>
    </row>
    <row r="8" spans="1:6" x14ac:dyDescent="0.2">
      <c r="A8" s="81"/>
      <c r="B8" s="81"/>
      <c r="C8" s="81"/>
      <c r="D8" s="81" t="s">
        <v>339</v>
      </c>
      <c r="E8" s="81"/>
      <c r="F8" s="103">
        <v>97741.05</v>
      </c>
    </row>
    <row r="9" spans="1:6" ht="13.5" thickBot="1" x14ac:dyDescent="0.25">
      <c r="A9" s="81"/>
      <c r="B9" s="81"/>
      <c r="C9" s="81"/>
      <c r="D9" s="81"/>
      <c r="E9" s="81"/>
      <c r="F9" s="103"/>
    </row>
    <row r="10" spans="1:6" ht="13.5" thickBot="1" x14ac:dyDescent="0.25">
      <c r="A10" s="81"/>
      <c r="B10" s="81"/>
      <c r="C10" s="81" t="s">
        <v>340</v>
      </c>
      <c r="D10" s="81"/>
      <c r="E10" s="81"/>
      <c r="F10" s="104">
        <f>ROUND(SUM(F4:F8),5)</f>
        <v>557417.17000000004</v>
      </c>
    </row>
    <row r="11" spans="1:6" x14ac:dyDescent="0.2">
      <c r="A11" s="81"/>
      <c r="B11" s="81" t="s">
        <v>275</v>
      </c>
      <c r="C11" s="81"/>
      <c r="D11" s="81"/>
      <c r="E11" s="81"/>
      <c r="F11" s="103">
        <f>ROUND(F3+F10,5)</f>
        <v>557417.17000000004</v>
      </c>
    </row>
    <row r="12" spans="1:6" x14ac:dyDescent="0.2">
      <c r="A12" s="81"/>
      <c r="B12" s="81" t="s">
        <v>341</v>
      </c>
      <c r="C12" s="81"/>
      <c r="D12" s="81"/>
      <c r="E12" s="81"/>
      <c r="F12" s="103"/>
    </row>
    <row r="13" spans="1:6" x14ac:dyDescent="0.2">
      <c r="A13" s="81"/>
      <c r="B13" s="81"/>
      <c r="C13" s="81" t="s">
        <v>342</v>
      </c>
      <c r="D13" s="81"/>
      <c r="E13" s="81"/>
      <c r="F13" s="137">
        <v>44183.17</v>
      </c>
    </row>
    <row r="14" spans="1:6" x14ac:dyDescent="0.2">
      <c r="A14" s="81"/>
      <c r="B14" s="81"/>
      <c r="C14" s="81" t="s">
        <v>343</v>
      </c>
      <c r="D14" s="81"/>
      <c r="E14" s="81"/>
      <c r="F14" s="137">
        <v>30402.58</v>
      </c>
    </row>
    <row r="15" spans="1:6" x14ac:dyDescent="0.2">
      <c r="A15" s="81"/>
      <c r="B15" s="81"/>
      <c r="C15" s="81" t="s">
        <v>344</v>
      </c>
      <c r="D15" s="81"/>
      <c r="E15" s="81"/>
      <c r="F15" s="137">
        <v>69208.179999999993</v>
      </c>
    </row>
    <row r="16" spans="1:6" x14ac:dyDescent="0.2">
      <c r="A16" s="81"/>
      <c r="B16" s="81"/>
      <c r="C16" s="81" t="s">
        <v>345</v>
      </c>
      <c r="D16" s="81"/>
      <c r="E16" s="81"/>
      <c r="F16" s="137">
        <v>54277.27</v>
      </c>
    </row>
    <row r="17" spans="1:6" x14ac:dyDescent="0.2">
      <c r="A17" s="81"/>
      <c r="B17" s="81"/>
      <c r="C17" s="81" t="s">
        <v>346</v>
      </c>
      <c r="D17" s="81"/>
      <c r="E17" s="81"/>
      <c r="F17" s="137">
        <v>30406.89</v>
      </c>
    </row>
    <row r="18" spans="1:6" x14ac:dyDescent="0.2">
      <c r="A18" s="81"/>
      <c r="B18" s="81"/>
      <c r="C18" s="81" t="s">
        <v>347</v>
      </c>
      <c r="D18" s="81"/>
      <c r="E18" s="81"/>
      <c r="F18" s="137">
        <v>24019.25</v>
      </c>
    </row>
    <row r="19" spans="1:6" x14ac:dyDescent="0.2">
      <c r="A19" s="81"/>
      <c r="B19" s="81"/>
      <c r="C19" s="81" t="s">
        <v>348</v>
      </c>
      <c r="D19" s="81"/>
      <c r="E19" s="81"/>
      <c r="F19" s="137">
        <v>246490.68</v>
      </c>
    </row>
    <row r="20" spans="1:6" x14ac:dyDescent="0.2">
      <c r="A20" s="81"/>
      <c r="B20" s="81"/>
      <c r="C20" s="81" t="s">
        <v>349</v>
      </c>
      <c r="D20" s="81"/>
      <c r="E20" s="81"/>
      <c r="F20" s="137">
        <v>458729.25</v>
      </c>
    </row>
    <row r="21" spans="1:6" x14ac:dyDescent="0.2">
      <c r="A21" s="81"/>
      <c r="B21" s="81"/>
      <c r="C21" s="81" t="s">
        <v>350</v>
      </c>
      <c r="D21" s="81"/>
      <c r="E21" s="81"/>
      <c r="F21" s="137">
        <v>40054.61</v>
      </c>
    </row>
    <row r="22" spans="1:6" x14ac:dyDescent="0.2">
      <c r="A22" s="81"/>
      <c r="B22" s="81"/>
      <c r="C22" s="81" t="s">
        <v>351</v>
      </c>
      <c r="D22" s="81"/>
      <c r="E22" s="81"/>
      <c r="F22" s="137">
        <v>71762.38</v>
      </c>
    </row>
    <row r="23" spans="1:6" x14ac:dyDescent="0.2">
      <c r="A23" s="81"/>
      <c r="B23" s="81"/>
      <c r="C23" s="81" t="s">
        <v>352</v>
      </c>
      <c r="D23" s="81"/>
      <c r="E23" s="81"/>
      <c r="F23" s="137">
        <v>993000</v>
      </c>
    </row>
    <row r="24" spans="1:6" x14ac:dyDescent="0.2">
      <c r="A24" s="81"/>
      <c r="B24" s="81"/>
      <c r="C24" s="81" t="s">
        <v>353</v>
      </c>
      <c r="D24" s="81"/>
      <c r="E24" s="81"/>
      <c r="F24" s="137">
        <v>22740.47</v>
      </c>
    </row>
    <row r="25" spans="1:6" x14ac:dyDescent="0.2">
      <c r="A25" s="81"/>
      <c r="B25" s="81"/>
      <c r="C25" s="81" t="s">
        <v>354</v>
      </c>
      <c r="D25" s="81"/>
      <c r="E25" s="81"/>
      <c r="F25" s="137">
        <v>144153.57999999999</v>
      </c>
    </row>
    <row r="26" spans="1:6" x14ac:dyDescent="0.2">
      <c r="A26" s="81"/>
      <c r="B26" s="81"/>
      <c r="C26" s="81" t="s">
        <v>355</v>
      </c>
      <c r="D26" s="81"/>
      <c r="E26" s="81"/>
      <c r="F26" s="137">
        <v>1095847.6499999999</v>
      </c>
    </row>
    <row r="27" spans="1:6" x14ac:dyDescent="0.2">
      <c r="A27" s="81"/>
      <c r="B27" s="81"/>
      <c r="C27" s="81" t="s">
        <v>356</v>
      </c>
      <c r="D27" s="81"/>
      <c r="E27" s="81"/>
      <c r="F27" s="137">
        <v>16428</v>
      </c>
    </row>
    <row r="28" spans="1:6" x14ac:dyDescent="0.2">
      <c r="A28" s="81"/>
      <c r="B28" s="81"/>
      <c r="C28" s="81" t="s">
        <v>357</v>
      </c>
      <c r="D28" s="81"/>
      <c r="E28" s="81"/>
      <c r="F28" s="137">
        <v>17892.39</v>
      </c>
    </row>
    <row r="29" spans="1:6" x14ac:dyDescent="0.2">
      <c r="A29" s="81"/>
      <c r="B29" s="81"/>
      <c r="C29" s="81" t="s">
        <v>358</v>
      </c>
      <c r="D29" s="81"/>
      <c r="E29" s="81"/>
      <c r="F29" s="137">
        <v>107880.06</v>
      </c>
    </row>
    <row r="30" spans="1:6" x14ac:dyDescent="0.2">
      <c r="A30" s="81"/>
      <c r="B30" s="81"/>
      <c r="C30" s="81" t="s">
        <v>359</v>
      </c>
      <c r="D30" s="81"/>
      <c r="E30" s="81"/>
      <c r="F30" s="137">
        <v>6029.69</v>
      </c>
    </row>
    <row r="31" spans="1:6" x14ac:dyDescent="0.2">
      <c r="A31" s="81"/>
      <c r="B31" s="81"/>
      <c r="C31" s="81" t="s">
        <v>360</v>
      </c>
      <c r="D31" s="81"/>
      <c r="E31" s="81"/>
      <c r="F31" s="137">
        <v>62029.53</v>
      </c>
    </row>
    <row r="32" spans="1:6" x14ac:dyDescent="0.2">
      <c r="A32" s="81"/>
      <c r="B32" s="81"/>
      <c r="C32" s="81" t="s">
        <v>361</v>
      </c>
      <c r="D32" s="81"/>
      <c r="E32" s="81"/>
      <c r="F32" s="137">
        <v>186350.3</v>
      </c>
    </row>
    <row r="33" spans="1:6" x14ac:dyDescent="0.2">
      <c r="A33" s="81"/>
      <c r="B33" s="81"/>
      <c r="C33" s="81" t="s">
        <v>362</v>
      </c>
      <c r="D33" s="81"/>
      <c r="E33" s="81"/>
      <c r="F33" s="137">
        <v>4474</v>
      </c>
    </row>
    <row r="34" spans="1:6" x14ac:dyDescent="0.2">
      <c r="A34" s="81"/>
      <c r="B34" s="81"/>
      <c r="C34" s="81" t="s">
        <v>364</v>
      </c>
      <c r="D34" s="81"/>
      <c r="E34" s="81"/>
      <c r="F34" s="137">
        <v>188141.96</v>
      </c>
    </row>
    <row r="35" spans="1:6" x14ac:dyDescent="0.2">
      <c r="A35" s="81"/>
      <c r="B35" s="81"/>
      <c r="C35" s="81" t="s">
        <v>577</v>
      </c>
      <c r="D35" s="81"/>
      <c r="E35" s="81"/>
      <c r="F35" s="137">
        <v>25005.61</v>
      </c>
    </row>
    <row r="36" spans="1:6" x14ac:dyDescent="0.2">
      <c r="A36" s="81"/>
      <c r="B36" s="81"/>
      <c r="C36" s="81" t="s">
        <v>365</v>
      </c>
      <c r="D36" s="81"/>
      <c r="E36" s="81"/>
      <c r="F36" s="137">
        <v>-2440135.64</v>
      </c>
    </row>
    <row r="37" spans="1:6" ht="13.5" thickBot="1" x14ac:dyDescent="0.25">
      <c r="A37" s="81"/>
      <c r="B37" s="81"/>
      <c r="C37" s="138" t="s">
        <v>521</v>
      </c>
      <c r="D37" s="138"/>
      <c r="E37" s="138"/>
      <c r="F37" s="137">
        <v>0</v>
      </c>
    </row>
    <row r="38" spans="1:6" x14ac:dyDescent="0.2">
      <c r="A38" s="81"/>
      <c r="B38" s="81" t="s">
        <v>366</v>
      </c>
      <c r="C38" s="81"/>
      <c r="D38" s="81"/>
      <c r="E38" s="81"/>
      <c r="F38" s="105">
        <f>ROUND(SUM(F12:F37),5)</f>
        <v>1499371.86</v>
      </c>
    </row>
    <row r="39" spans="1:6" x14ac:dyDescent="0.2">
      <c r="A39" s="81"/>
      <c r="B39" s="81"/>
      <c r="C39" s="81"/>
      <c r="D39" s="81"/>
      <c r="E39" s="81"/>
      <c r="F39" s="103"/>
    </row>
    <row r="40" spans="1:6" x14ac:dyDescent="0.2">
      <c r="A40" s="81"/>
      <c r="B40" s="81" t="s">
        <v>218</v>
      </c>
      <c r="C40" s="81"/>
      <c r="D40" s="81"/>
      <c r="E40" s="81"/>
      <c r="F40" s="103"/>
    </row>
    <row r="41" spans="1:6" x14ac:dyDescent="0.2">
      <c r="A41" s="81"/>
      <c r="B41" s="81"/>
      <c r="C41" s="81" t="s">
        <v>367</v>
      </c>
      <c r="D41" s="81"/>
      <c r="E41" s="81"/>
      <c r="F41" s="137">
        <v>25126.67</v>
      </c>
    </row>
    <row r="42" spans="1:6" ht="13.5" thickBot="1" x14ac:dyDescent="0.25">
      <c r="A42" s="81"/>
      <c r="B42" s="81"/>
      <c r="C42" s="81" t="s">
        <v>657</v>
      </c>
      <c r="D42" s="81"/>
      <c r="E42" s="81"/>
      <c r="F42" s="137">
        <v>0</v>
      </c>
    </row>
    <row r="43" spans="1:6" ht="13.5" thickBot="1" x14ac:dyDescent="0.25">
      <c r="A43" s="81"/>
      <c r="B43" s="81" t="s">
        <v>368</v>
      </c>
      <c r="C43" s="81"/>
      <c r="D43" s="81"/>
      <c r="E43" s="81"/>
      <c r="F43" s="105">
        <f>ROUND(SUM(F40:F42),5)</f>
        <v>25126.67</v>
      </c>
    </row>
    <row r="44" spans="1:6" ht="13.5" thickBot="1" x14ac:dyDescent="0.25">
      <c r="A44" s="83" t="s">
        <v>369</v>
      </c>
      <c r="B44" s="83"/>
      <c r="C44" s="83"/>
      <c r="D44" s="83"/>
      <c r="E44" s="83"/>
      <c r="F44" s="106">
        <f>ROUND(F2+F11+F38+F43,5)</f>
        <v>2081915.7</v>
      </c>
    </row>
    <row r="45" spans="1:6" ht="13.5" thickTop="1" x14ac:dyDescent="0.2">
      <c r="A45" s="81" t="s">
        <v>370</v>
      </c>
      <c r="B45" s="81"/>
      <c r="C45" s="81"/>
      <c r="D45" s="81"/>
      <c r="E45" s="81"/>
      <c r="F45" s="103"/>
    </row>
    <row r="46" spans="1:6" x14ac:dyDescent="0.2">
      <c r="A46" s="81"/>
      <c r="B46" s="81" t="s">
        <v>105</v>
      </c>
      <c r="C46" s="81"/>
      <c r="D46" s="81"/>
      <c r="E46" s="81"/>
      <c r="F46" s="103"/>
    </row>
    <row r="47" spans="1:6" x14ac:dyDescent="0.2">
      <c r="A47" s="81"/>
      <c r="B47" s="81"/>
      <c r="C47" s="81" t="s">
        <v>106</v>
      </c>
      <c r="D47" s="81"/>
      <c r="E47" s="81"/>
      <c r="F47" s="103"/>
    </row>
    <row r="48" spans="1:6" x14ac:dyDescent="0.2">
      <c r="A48" s="81"/>
      <c r="B48" s="81"/>
      <c r="C48" s="81"/>
      <c r="D48" s="81" t="s">
        <v>371</v>
      </c>
      <c r="E48" s="81"/>
      <c r="F48" s="103"/>
    </row>
    <row r="49" spans="1:6" x14ac:dyDescent="0.2">
      <c r="A49" s="81"/>
      <c r="B49" s="81"/>
      <c r="C49" s="81"/>
      <c r="D49" s="81"/>
      <c r="E49" s="81" t="s">
        <v>372</v>
      </c>
      <c r="F49" s="137">
        <v>0</v>
      </c>
    </row>
    <row r="50" spans="1:6" x14ac:dyDescent="0.2">
      <c r="A50" s="81"/>
      <c r="B50" s="81"/>
      <c r="C50" s="81"/>
      <c r="D50" s="81"/>
      <c r="E50" s="81" t="s">
        <v>373</v>
      </c>
      <c r="F50" s="137">
        <v>0</v>
      </c>
    </row>
    <row r="51" spans="1:6" x14ac:dyDescent="0.2">
      <c r="A51" s="81"/>
      <c r="B51" s="81"/>
      <c r="C51" s="81"/>
      <c r="D51" s="81"/>
      <c r="E51" s="81" t="s">
        <v>374</v>
      </c>
      <c r="F51" s="137">
        <v>0</v>
      </c>
    </row>
    <row r="52" spans="1:6" x14ac:dyDescent="0.2">
      <c r="A52" s="81"/>
      <c r="B52" s="81"/>
      <c r="C52" s="81"/>
      <c r="D52" s="81"/>
      <c r="E52" s="81" t="s">
        <v>592</v>
      </c>
      <c r="F52" s="137">
        <v>0</v>
      </c>
    </row>
    <row r="53" spans="1:6" x14ac:dyDescent="0.2">
      <c r="A53" s="81"/>
      <c r="B53" s="81"/>
      <c r="C53" s="81"/>
      <c r="D53" s="81"/>
      <c r="E53" s="81" t="s">
        <v>375</v>
      </c>
      <c r="F53" s="137">
        <v>0</v>
      </c>
    </row>
    <row r="54" spans="1:6" x14ac:dyDescent="0.2">
      <c r="A54" s="81"/>
      <c r="B54" s="81"/>
      <c r="C54" s="81"/>
      <c r="D54" s="81"/>
      <c r="E54" s="81" t="s">
        <v>376</v>
      </c>
      <c r="F54" s="137">
        <v>2125</v>
      </c>
    </row>
    <row r="55" spans="1:6" x14ac:dyDescent="0.2">
      <c r="A55" s="81"/>
      <c r="B55" s="81"/>
      <c r="C55" s="81"/>
      <c r="D55" s="81"/>
      <c r="E55" s="81" t="s">
        <v>377</v>
      </c>
      <c r="F55" s="137">
        <v>0</v>
      </c>
    </row>
    <row r="56" spans="1:6" x14ac:dyDescent="0.2">
      <c r="A56" s="81"/>
      <c r="B56" s="81"/>
      <c r="C56" s="81"/>
      <c r="D56" s="81"/>
      <c r="E56" s="81" t="s">
        <v>632</v>
      </c>
      <c r="F56" s="137">
        <v>18782.650000000001</v>
      </c>
    </row>
    <row r="57" spans="1:6" x14ac:dyDescent="0.2">
      <c r="A57" s="81"/>
      <c r="B57" s="81"/>
      <c r="C57" s="81"/>
      <c r="D57" s="81"/>
      <c r="E57" s="81" t="s">
        <v>378</v>
      </c>
      <c r="F57" s="137">
        <v>926765.48</v>
      </c>
    </row>
    <row r="58" spans="1:6" x14ac:dyDescent="0.2">
      <c r="A58" s="81"/>
      <c r="B58" s="81"/>
      <c r="C58" s="81"/>
      <c r="D58" s="81"/>
      <c r="E58" s="81" t="s">
        <v>379</v>
      </c>
      <c r="F58" s="137">
        <v>0</v>
      </c>
    </row>
    <row r="59" spans="1:6" ht="13.5" thickBot="1" x14ac:dyDescent="0.25">
      <c r="A59" s="81"/>
      <c r="B59" s="81"/>
      <c r="C59" s="81"/>
      <c r="D59" s="81"/>
      <c r="E59" s="81" t="s">
        <v>380</v>
      </c>
      <c r="F59" s="137">
        <v>15929.36</v>
      </c>
    </row>
    <row r="60" spans="1:6" ht="13.5" thickBot="1" x14ac:dyDescent="0.25">
      <c r="A60" s="81"/>
      <c r="B60" s="81"/>
      <c r="C60" s="81"/>
      <c r="D60" s="81" t="s">
        <v>381</v>
      </c>
      <c r="E60" s="81"/>
      <c r="F60" s="104">
        <f>ROUND(SUM(F48:F59),5)</f>
        <v>963602.49</v>
      </c>
    </row>
    <row r="61" spans="1:6" x14ac:dyDescent="0.2">
      <c r="A61" s="81"/>
      <c r="B61" s="81"/>
      <c r="C61" s="81" t="s">
        <v>382</v>
      </c>
      <c r="D61" s="81"/>
      <c r="E61" s="81"/>
      <c r="F61" s="103">
        <f>ROUND(F47+F60,5)</f>
        <v>963602.49</v>
      </c>
    </row>
    <row r="62" spans="1:6" x14ac:dyDescent="0.2">
      <c r="A62" s="81"/>
      <c r="B62" s="81"/>
      <c r="C62" s="81" t="s">
        <v>149</v>
      </c>
      <c r="D62" s="81"/>
      <c r="E62" s="81"/>
      <c r="F62" s="103"/>
    </row>
    <row r="63" spans="1:6" x14ac:dyDescent="0.2">
      <c r="A63" s="81"/>
      <c r="B63" s="81"/>
      <c r="C63" s="81"/>
      <c r="D63" s="81" t="s">
        <v>383</v>
      </c>
      <c r="E63" s="81"/>
      <c r="F63" s="137">
        <v>1038675.03</v>
      </c>
    </row>
    <row r="64" spans="1:6" ht="13.5" thickBot="1" x14ac:dyDescent="0.25">
      <c r="A64" s="81"/>
      <c r="B64" s="81"/>
      <c r="C64" s="81"/>
      <c r="D64" s="81" t="s">
        <v>384</v>
      </c>
      <c r="E64" s="81"/>
      <c r="F64" s="137">
        <v>1248741.29</v>
      </c>
    </row>
    <row r="65" spans="1:6" ht="13.5" thickBot="1" x14ac:dyDescent="0.25">
      <c r="A65" s="81"/>
      <c r="B65" s="81"/>
      <c r="C65" s="81" t="s">
        <v>319</v>
      </c>
      <c r="D65" s="81"/>
      <c r="E65" s="81"/>
      <c r="F65" s="104">
        <f>ROUND(SUM(F62:F64),5)</f>
        <v>2287416.3199999998</v>
      </c>
    </row>
    <row r="66" spans="1:6" x14ac:dyDescent="0.2">
      <c r="A66" s="81"/>
      <c r="B66" s="81" t="s">
        <v>320</v>
      </c>
      <c r="C66" s="81"/>
      <c r="D66" s="81"/>
      <c r="E66" s="81"/>
      <c r="F66" s="103">
        <f>ROUND(F46+F61+F65,5)</f>
        <v>3251018.81</v>
      </c>
    </row>
    <row r="67" spans="1:6" x14ac:dyDescent="0.2">
      <c r="A67" s="81"/>
      <c r="B67" s="81" t="s">
        <v>160</v>
      </c>
      <c r="C67" s="81"/>
      <c r="D67" s="81"/>
      <c r="E67" s="81"/>
      <c r="F67" s="103"/>
    </row>
    <row r="68" spans="1:6" x14ac:dyDescent="0.2">
      <c r="A68" s="81"/>
      <c r="B68" s="81"/>
      <c r="C68" s="81" t="s">
        <v>385</v>
      </c>
      <c r="D68" s="81"/>
      <c r="E68" s="81"/>
      <c r="F68" s="137">
        <v>25000.03</v>
      </c>
    </row>
    <row r="69" spans="1:6" x14ac:dyDescent="0.2">
      <c r="A69" s="81"/>
      <c r="B69" s="81"/>
      <c r="C69" s="81" t="s">
        <v>386</v>
      </c>
      <c r="D69" s="81"/>
      <c r="E69" s="81"/>
      <c r="F69" s="137">
        <v>-1161233.3</v>
      </c>
    </row>
    <row r="70" spans="1:6" ht="13.5" thickBot="1" x14ac:dyDescent="0.25">
      <c r="A70" s="81"/>
      <c r="B70" s="81"/>
      <c r="C70" s="81" t="s">
        <v>387</v>
      </c>
      <c r="D70" s="81"/>
      <c r="E70" s="81"/>
      <c r="F70" s="137">
        <v>-32869.839999999997</v>
      </c>
    </row>
    <row r="71" spans="1:6" ht="13.5" thickBot="1" x14ac:dyDescent="0.25">
      <c r="A71" s="81"/>
      <c r="B71" s="81" t="s">
        <v>331</v>
      </c>
      <c r="C71" s="81"/>
      <c r="D71" s="81"/>
      <c r="E71" s="81"/>
      <c r="F71" s="105">
        <f>ROUND(SUM(F67:F70),5)</f>
        <v>-1169103.1100000001</v>
      </c>
    </row>
    <row r="72" spans="1:6" ht="13.5" thickBot="1" x14ac:dyDescent="0.25">
      <c r="A72" s="83" t="s">
        <v>388</v>
      </c>
      <c r="B72" s="83"/>
      <c r="C72" s="83"/>
      <c r="D72" s="83"/>
      <c r="E72" s="83"/>
      <c r="F72" s="106">
        <f>ROUND(F45+F66+F71,5)</f>
        <v>2081915.7</v>
      </c>
    </row>
    <row r="73" spans="1:6" ht="13.5" thickTop="1" x14ac:dyDescent="0.2">
      <c r="A73" s="84"/>
      <c r="B73" s="84"/>
      <c r="C73" s="84"/>
      <c r="D73" s="84"/>
      <c r="E73" s="84"/>
      <c r="F73" s="107"/>
    </row>
    <row r="74" spans="1:6" x14ac:dyDescent="0.2">
      <c r="E74" s="139" t="s">
        <v>392</v>
      </c>
      <c r="F74" s="140">
        <f>F44-F72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-0.249977111117893"/>
  </sheetPr>
  <dimension ref="A1:S100"/>
  <sheetViews>
    <sheetView topLeftCell="A61" workbookViewId="0">
      <selection activeCell="AA103" sqref="AA103"/>
    </sheetView>
  </sheetViews>
  <sheetFormatPr defaultRowHeight="12.75" x14ac:dyDescent="0.2"/>
  <cols>
    <col min="1" max="4" width="9.140625" style="75"/>
    <col min="5" max="5" width="31.140625" style="75" bestFit="1" customWidth="1"/>
    <col min="6" max="6" width="11.28515625" style="75" bestFit="1" customWidth="1"/>
    <col min="7" max="16384" width="9.140625" style="75"/>
  </cols>
  <sheetData>
    <row r="1" spans="1:19" x14ac:dyDescent="0.2">
      <c r="A1" s="100"/>
      <c r="B1" s="100"/>
      <c r="C1" s="100"/>
      <c r="D1" s="100"/>
      <c r="E1" s="100"/>
      <c r="F1" s="107"/>
    </row>
    <row r="2" spans="1:19" x14ac:dyDescent="0.2">
      <c r="A2" s="100"/>
      <c r="B2" s="182" t="s">
        <v>407</v>
      </c>
      <c r="C2" s="182"/>
      <c r="D2" s="182"/>
      <c r="E2" s="182"/>
      <c r="F2" s="182"/>
    </row>
    <row r="3" spans="1:19" x14ac:dyDescent="0.2">
      <c r="A3" s="100"/>
      <c r="B3" s="182"/>
      <c r="C3" s="182"/>
      <c r="D3" s="182"/>
      <c r="E3" s="182"/>
      <c r="F3" s="182"/>
    </row>
    <row r="4" spans="1:19" x14ac:dyDescent="0.2">
      <c r="A4" s="100"/>
      <c r="B4" s="100"/>
      <c r="C4" s="100"/>
      <c r="D4" s="100"/>
      <c r="E4" s="100"/>
      <c r="F4" s="107"/>
    </row>
    <row r="5" spans="1:19" ht="13.5" thickBot="1" x14ac:dyDescent="0.25">
      <c r="A5" s="101"/>
      <c r="B5" s="101"/>
      <c r="C5" s="101"/>
      <c r="D5" s="101"/>
      <c r="E5" s="101"/>
      <c r="F5" s="102" t="s">
        <v>705</v>
      </c>
    </row>
    <row r="6" spans="1:19" ht="13.5" thickTop="1" x14ac:dyDescent="0.2">
      <c r="A6" s="83" t="s">
        <v>335</v>
      </c>
      <c r="B6" s="83"/>
      <c r="C6" s="83"/>
      <c r="D6" s="83"/>
      <c r="E6" s="83"/>
      <c r="F6" s="103"/>
    </row>
    <row r="7" spans="1:19" x14ac:dyDescent="0.2">
      <c r="A7" s="83"/>
      <c r="B7" s="83" t="s">
        <v>3</v>
      </c>
      <c r="C7" s="83"/>
      <c r="D7" s="83"/>
      <c r="E7" s="83"/>
      <c r="F7" s="103"/>
    </row>
    <row r="8" spans="1:19" x14ac:dyDescent="0.2">
      <c r="A8" s="83"/>
      <c r="B8" s="83"/>
      <c r="C8" s="83" t="s">
        <v>336</v>
      </c>
      <c r="D8" s="83"/>
      <c r="E8" s="83"/>
      <c r="F8" s="103"/>
    </row>
    <row r="9" spans="1:19" ht="13.5" thickBot="1" x14ac:dyDescent="0.25">
      <c r="A9" s="83"/>
      <c r="B9" s="83"/>
      <c r="C9" s="83"/>
      <c r="D9" s="83" t="s">
        <v>408</v>
      </c>
      <c r="E9" s="83"/>
      <c r="F9" s="109">
        <v>310340.3</v>
      </c>
      <c r="S9" s="75">
        <v>0</v>
      </c>
    </row>
    <row r="10" spans="1:19" x14ac:dyDescent="0.2">
      <c r="A10" s="83"/>
      <c r="B10" s="83"/>
      <c r="C10" s="83" t="s">
        <v>340</v>
      </c>
      <c r="D10" s="83"/>
      <c r="E10" s="83"/>
      <c r="F10" s="103">
        <f>ROUND(SUM(F8:F9),5)</f>
        <v>310340.3</v>
      </c>
      <c r="S10" s="75">
        <v>0</v>
      </c>
    </row>
    <row r="11" spans="1:19" x14ac:dyDescent="0.2">
      <c r="A11" s="83"/>
      <c r="B11" s="83"/>
      <c r="C11" s="83" t="s">
        <v>409</v>
      </c>
      <c r="D11" s="83"/>
      <c r="E11" s="83"/>
      <c r="F11" s="103"/>
    </row>
    <row r="12" spans="1:19" x14ac:dyDescent="0.2">
      <c r="A12" s="83"/>
      <c r="B12" s="83"/>
      <c r="C12" s="83"/>
      <c r="D12" s="83" t="s">
        <v>646</v>
      </c>
      <c r="E12" s="83"/>
      <c r="F12" s="103">
        <v>0</v>
      </c>
    </row>
    <row r="13" spans="1:19" x14ac:dyDescent="0.2">
      <c r="A13" s="83"/>
      <c r="B13" s="83"/>
      <c r="C13" s="83"/>
      <c r="D13" s="83" t="s">
        <v>410</v>
      </c>
      <c r="E13" s="83"/>
      <c r="F13" s="103">
        <v>0</v>
      </c>
    </row>
    <row r="14" spans="1:19" x14ac:dyDescent="0.2">
      <c r="A14" s="83"/>
      <c r="B14" s="83"/>
      <c r="C14" s="83"/>
      <c r="D14" s="83" t="s">
        <v>411</v>
      </c>
      <c r="E14" s="83"/>
      <c r="F14" s="103">
        <v>1248741.27</v>
      </c>
    </row>
    <row r="15" spans="1:19" x14ac:dyDescent="0.2">
      <c r="A15" s="83"/>
      <c r="B15" s="83"/>
      <c r="C15" s="83"/>
      <c r="D15" s="83" t="s">
        <v>684</v>
      </c>
      <c r="E15" s="83"/>
      <c r="F15" s="103">
        <v>0</v>
      </c>
    </row>
    <row r="16" spans="1:19" x14ac:dyDescent="0.2">
      <c r="A16" s="83"/>
      <c r="B16" s="83"/>
      <c r="C16" s="83"/>
      <c r="D16" s="83" t="s">
        <v>689</v>
      </c>
      <c r="E16" s="83"/>
      <c r="F16" s="103">
        <v>0</v>
      </c>
    </row>
    <row r="17" spans="1:6" ht="13.5" thickBot="1" x14ac:dyDescent="0.25">
      <c r="A17" s="83"/>
      <c r="B17" s="83"/>
      <c r="C17" s="83"/>
      <c r="D17" s="83" t="s">
        <v>412</v>
      </c>
      <c r="E17" s="83"/>
      <c r="F17" s="103">
        <v>251062.5</v>
      </c>
    </row>
    <row r="18" spans="1:6" ht="13.5" thickBot="1" x14ac:dyDescent="0.25">
      <c r="A18" s="83"/>
      <c r="B18" s="83"/>
      <c r="C18" s="83" t="s">
        <v>413</v>
      </c>
      <c r="D18" s="83"/>
      <c r="E18" s="83"/>
      <c r="F18" s="104">
        <f>ROUND(SUM(F11:F17),5)</f>
        <v>1499803.77</v>
      </c>
    </row>
    <row r="19" spans="1:6" x14ac:dyDescent="0.2">
      <c r="A19" s="83"/>
      <c r="B19" s="83" t="s">
        <v>275</v>
      </c>
      <c r="C19" s="83"/>
      <c r="D19" s="83"/>
      <c r="E19" s="83"/>
      <c r="F19" s="103">
        <f>ROUND(F7+F10+F18,5)</f>
        <v>1810144.07</v>
      </c>
    </row>
    <row r="20" spans="1:6" x14ac:dyDescent="0.2">
      <c r="A20" s="83"/>
      <c r="B20" s="83" t="s">
        <v>341</v>
      </c>
      <c r="C20" s="83"/>
      <c r="D20" s="83"/>
      <c r="E20" s="83"/>
      <c r="F20" s="103"/>
    </row>
    <row r="21" spans="1:6" x14ac:dyDescent="0.2">
      <c r="A21" s="83"/>
      <c r="B21" s="83"/>
      <c r="C21" s="83" t="s">
        <v>414</v>
      </c>
      <c r="D21" s="83"/>
      <c r="E21" s="83"/>
      <c r="F21" s="103">
        <v>9453</v>
      </c>
    </row>
    <row r="22" spans="1:6" x14ac:dyDescent="0.2">
      <c r="A22" s="83"/>
      <c r="B22" s="83"/>
      <c r="C22" s="83" t="s">
        <v>415</v>
      </c>
      <c r="D22" s="83"/>
      <c r="E22" s="83"/>
      <c r="F22" s="103">
        <v>8820</v>
      </c>
    </row>
    <row r="23" spans="1:6" x14ac:dyDescent="0.2">
      <c r="A23" s="83"/>
      <c r="B23" s="83"/>
      <c r="C23" s="83" t="s">
        <v>416</v>
      </c>
      <c r="D23" s="83"/>
      <c r="E23" s="83"/>
      <c r="F23" s="103">
        <v>600963.01</v>
      </c>
    </row>
    <row r="24" spans="1:6" x14ac:dyDescent="0.2">
      <c r="A24" s="83"/>
      <c r="B24" s="83"/>
      <c r="C24" s="83" t="s">
        <v>417</v>
      </c>
      <c r="D24" s="83"/>
      <c r="E24" s="83"/>
      <c r="F24" s="103">
        <v>-1445983.87</v>
      </c>
    </row>
    <row r="25" spans="1:6" x14ac:dyDescent="0.2">
      <c r="A25" s="83"/>
      <c r="B25" s="83"/>
      <c r="C25" s="83" t="s">
        <v>418</v>
      </c>
      <c r="D25" s="83"/>
      <c r="E25" s="83"/>
      <c r="F25" s="103">
        <v>0</v>
      </c>
    </row>
    <row r="26" spans="1:6" x14ac:dyDescent="0.2">
      <c r="A26" s="83"/>
      <c r="B26" s="83"/>
      <c r="C26" s="83" t="s">
        <v>419</v>
      </c>
      <c r="D26" s="83"/>
      <c r="E26" s="83"/>
      <c r="F26" s="103">
        <v>158820</v>
      </c>
    </row>
    <row r="27" spans="1:6" x14ac:dyDescent="0.2">
      <c r="A27" s="83"/>
      <c r="B27" s="83"/>
      <c r="C27" s="83" t="s">
        <v>420</v>
      </c>
      <c r="D27" s="83"/>
      <c r="E27" s="83"/>
      <c r="F27" s="103">
        <v>950000</v>
      </c>
    </row>
    <row r="28" spans="1:6" ht="13.5" thickBot="1" x14ac:dyDescent="0.25">
      <c r="A28" s="83"/>
      <c r="B28" s="83"/>
      <c r="C28" s="83" t="s">
        <v>421</v>
      </c>
      <c r="D28" s="83"/>
      <c r="E28" s="83"/>
      <c r="F28" s="109">
        <v>0</v>
      </c>
    </row>
    <row r="29" spans="1:6" x14ac:dyDescent="0.2">
      <c r="A29" s="83"/>
      <c r="B29" s="83" t="s">
        <v>366</v>
      </c>
      <c r="C29" s="83"/>
      <c r="D29" s="83"/>
      <c r="E29" s="83"/>
      <c r="F29" s="103">
        <f>ROUND(SUM(F20:F28),5)</f>
        <v>282072.14</v>
      </c>
    </row>
    <row r="30" spans="1:6" x14ac:dyDescent="0.2">
      <c r="A30" s="83"/>
      <c r="B30" s="83" t="s">
        <v>218</v>
      </c>
      <c r="C30" s="83"/>
      <c r="D30" s="83"/>
      <c r="E30" s="83"/>
      <c r="F30" s="103"/>
    </row>
    <row r="31" spans="1:6" x14ac:dyDescent="0.2">
      <c r="A31" s="83"/>
      <c r="B31" s="83"/>
      <c r="C31" s="83" t="s">
        <v>422</v>
      </c>
      <c r="D31" s="83"/>
      <c r="E31" s="83"/>
      <c r="F31" s="103"/>
    </row>
    <row r="32" spans="1:6" x14ac:dyDescent="0.2">
      <c r="A32" s="83"/>
      <c r="B32" s="83"/>
      <c r="C32" s="83"/>
      <c r="D32" s="83" t="s">
        <v>423</v>
      </c>
      <c r="E32" s="83"/>
      <c r="F32" s="103">
        <v>201952.97</v>
      </c>
    </row>
    <row r="33" spans="1:6" x14ac:dyDescent="0.2">
      <c r="A33" s="83"/>
      <c r="B33" s="83"/>
      <c r="C33" s="83"/>
      <c r="D33" s="83" t="s">
        <v>424</v>
      </c>
      <c r="E33" s="83"/>
      <c r="F33" s="103">
        <v>36739.96</v>
      </c>
    </row>
    <row r="34" spans="1:6" x14ac:dyDescent="0.2">
      <c r="A34" s="83"/>
      <c r="B34" s="83"/>
      <c r="C34" s="83"/>
      <c r="D34" s="83" t="s">
        <v>425</v>
      </c>
      <c r="E34" s="83"/>
      <c r="F34" s="103">
        <v>204583.12</v>
      </c>
    </row>
    <row r="35" spans="1:6" x14ac:dyDescent="0.2">
      <c r="A35" s="83"/>
      <c r="B35" s="83"/>
      <c r="C35" s="83"/>
      <c r="D35" s="83" t="s">
        <v>426</v>
      </c>
      <c r="E35" s="83"/>
      <c r="F35" s="103">
        <v>160786.65</v>
      </c>
    </row>
    <row r="36" spans="1:6" x14ac:dyDescent="0.2">
      <c r="A36" s="83"/>
      <c r="B36" s="83"/>
      <c r="C36" s="83"/>
      <c r="D36" s="83" t="s">
        <v>427</v>
      </c>
      <c r="E36" s="83"/>
      <c r="F36" s="103">
        <v>469887.67</v>
      </c>
    </row>
    <row r="37" spans="1:6" x14ac:dyDescent="0.2">
      <c r="A37" s="83"/>
      <c r="B37" s="83"/>
      <c r="C37" s="83"/>
      <c r="D37" s="83" t="s">
        <v>428</v>
      </c>
      <c r="E37" s="83"/>
      <c r="F37" s="103">
        <v>142493.89000000001</v>
      </c>
    </row>
    <row r="38" spans="1:6" x14ac:dyDescent="0.2">
      <c r="A38" s="83"/>
      <c r="B38" s="83"/>
      <c r="C38" s="83"/>
      <c r="D38" s="83" t="s">
        <v>429</v>
      </c>
      <c r="E38" s="83"/>
      <c r="F38" s="103">
        <v>7801.94</v>
      </c>
    </row>
    <row r="39" spans="1:6" x14ac:dyDescent="0.2">
      <c r="A39" s="83"/>
      <c r="B39" s="83"/>
      <c r="C39" s="83"/>
      <c r="D39" s="83" t="s">
        <v>430</v>
      </c>
      <c r="E39" s="83"/>
      <c r="F39" s="103">
        <v>71525.64</v>
      </c>
    </row>
    <row r="40" spans="1:6" x14ac:dyDescent="0.2">
      <c r="A40" s="83"/>
      <c r="B40" s="83"/>
      <c r="C40" s="83"/>
      <c r="D40" s="83" t="s">
        <v>431</v>
      </c>
      <c r="E40" s="83"/>
      <c r="F40" s="103">
        <v>103280.98</v>
      </c>
    </row>
    <row r="41" spans="1:6" x14ac:dyDescent="0.2">
      <c r="A41" s="83"/>
      <c r="B41" s="83"/>
      <c r="C41" s="83"/>
      <c r="D41" s="83" t="s">
        <v>432</v>
      </c>
      <c r="E41" s="83"/>
      <c r="F41" s="103">
        <v>83943.52</v>
      </c>
    </row>
    <row r="42" spans="1:6" x14ac:dyDescent="0.2">
      <c r="A42" s="83"/>
      <c r="B42" s="83"/>
      <c r="C42" s="83"/>
      <c r="D42" s="83" t="s">
        <v>433</v>
      </c>
      <c r="E42" s="83"/>
      <c r="F42" s="103">
        <v>58496.39</v>
      </c>
    </row>
    <row r="43" spans="1:6" x14ac:dyDescent="0.2">
      <c r="A43" s="83"/>
      <c r="B43" s="83"/>
      <c r="C43" s="83"/>
      <c r="D43" s="83" t="s">
        <v>434</v>
      </c>
      <c r="E43" s="83"/>
      <c r="F43" s="103">
        <v>145647.73000000001</v>
      </c>
    </row>
    <row r="44" spans="1:6" x14ac:dyDescent="0.2">
      <c r="A44" s="83"/>
      <c r="B44" s="83"/>
      <c r="C44" s="83"/>
      <c r="D44" s="83" t="s">
        <v>435</v>
      </c>
      <c r="E44" s="83"/>
      <c r="F44" s="103">
        <v>81424.679999999993</v>
      </c>
    </row>
    <row r="45" spans="1:6" x14ac:dyDescent="0.2">
      <c r="A45" s="83"/>
      <c r="B45" s="83"/>
      <c r="C45" s="83"/>
      <c r="D45" s="83" t="s">
        <v>436</v>
      </c>
      <c r="E45" s="83"/>
      <c r="F45" s="103">
        <v>248197.36</v>
      </c>
    </row>
    <row r="46" spans="1:6" x14ac:dyDescent="0.2">
      <c r="A46" s="83"/>
      <c r="B46" s="83"/>
      <c r="C46" s="83"/>
      <c r="D46" s="83" t="s">
        <v>437</v>
      </c>
      <c r="E46" s="83"/>
      <c r="F46" s="103">
        <v>169409.85</v>
      </c>
    </row>
    <row r="47" spans="1:6" x14ac:dyDescent="0.2">
      <c r="A47" s="83"/>
      <c r="B47" s="83"/>
      <c r="C47" s="83"/>
      <c r="D47" s="83" t="s">
        <v>438</v>
      </c>
      <c r="E47" s="83"/>
      <c r="F47" s="103">
        <v>120783.21</v>
      </c>
    </row>
    <row r="48" spans="1:6" x14ac:dyDescent="0.2">
      <c r="A48" s="83"/>
      <c r="B48" s="83"/>
      <c r="C48" s="83"/>
      <c r="D48" s="83" t="s">
        <v>439</v>
      </c>
      <c r="E48" s="83"/>
      <c r="F48" s="103">
        <v>33508.339999999997</v>
      </c>
    </row>
    <row r="49" spans="1:6" x14ac:dyDescent="0.2">
      <c r="A49" s="83"/>
      <c r="B49" s="83"/>
      <c r="C49" s="83"/>
      <c r="D49" s="83" t="s">
        <v>440</v>
      </c>
      <c r="E49" s="83"/>
      <c r="F49" s="103">
        <v>5233</v>
      </c>
    </row>
    <row r="50" spans="1:6" x14ac:dyDescent="0.2">
      <c r="A50" s="83"/>
      <c r="B50" s="83"/>
      <c r="C50" s="83"/>
      <c r="D50" s="83" t="s">
        <v>441</v>
      </c>
      <c r="E50" s="83"/>
      <c r="F50" s="103">
        <v>1720.66</v>
      </c>
    </row>
    <row r="51" spans="1:6" x14ac:dyDescent="0.2">
      <c r="A51" s="83"/>
      <c r="B51" s="83"/>
      <c r="C51" s="83"/>
      <c r="D51" s="83" t="s">
        <v>442</v>
      </c>
      <c r="E51" s="83"/>
      <c r="F51" s="103">
        <v>201770.28</v>
      </c>
    </row>
    <row r="52" spans="1:6" x14ac:dyDescent="0.2">
      <c r="A52" s="83"/>
      <c r="B52" s="83"/>
      <c r="C52" s="83"/>
      <c r="D52" s="83" t="s">
        <v>443</v>
      </c>
      <c r="E52" s="83"/>
      <c r="F52" s="103">
        <v>120197.47</v>
      </c>
    </row>
    <row r="53" spans="1:6" x14ac:dyDescent="0.2">
      <c r="A53" s="83"/>
      <c r="B53" s="83"/>
      <c r="C53" s="83"/>
      <c r="D53" s="83" t="s">
        <v>444</v>
      </c>
      <c r="E53" s="83"/>
      <c r="F53" s="103">
        <v>113478.17</v>
      </c>
    </row>
    <row r="54" spans="1:6" x14ac:dyDescent="0.2">
      <c r="A54" s="83"/>
      <c r="B54" s="83"/>
      <c r="C54" s="83"/>
      <c r="D54" s="83" t="s">
        <v>445</v>
      </c>
      <c r="E54" s="83"/>
      <c r="F54" s="103">
        <v>13985.85</v>
      </c>
    </row>
    <row r="55" spans="1:6" x14ac:dyDescent="0.2">
      <c r="A55" s="83"/>
      <c r="B55" s="83"/>
      <c r="C55" s="83"/>
      <c r="D55" s="83" t="s">
        <v>446</v>
      </c>
      <c r="E55" s="83"/>
      <c r="F55" s="103">
        <v>10153.42</v>
      </c>
    </row>
    <row r="56" spans="1:6" ht="13.5" thickBot="1" x14ac:dyDescent="0.25">
      <c r="A56" s="83"/>
      <c r="B56" s="83"/>
      <c r="C56" s="83"/>
      <c r="D56" s="83" t="s">
        <v>447</v>
      </c>
      <c r="E56" s="83"/>
      <c r="F56" s="103">
        <v>275583.8</v>
      </c>
    </row>
    <row r="57" spans="1:6" ht="13.5" thickBot="1" x14ac:dyDescent="0.25">
      <c r="A57" s="83"/>
      <c r="B57" s="83"/>
      <c r="C57" s="83" t="s">
        <v>448</v>
      </c>
      <c r="D57" s="83"/>
      <c r="E57" s="83"/>
      <c r="F57" s="105">
        <f>ROUND(SUM(F31:F56),5)</f>
        <v>3082586.55</v>
      </c>
    </row>
    <row r="58" spans="1:6" ht="13.5" thickBot="1" x14ac:dyDescent="0.25">
      <c r="A58" s="83"/>
      <c r="B58" s="83" t="s">
        <v>368</v>
      </c>
      <c r="C58" s="83"/>
      <c r="D58" s="83"/>
      <c r="E58" s="83"/>
      <c r="F58" s="105">
        <f>ROUND(F30+F57,5)</f>
        <v>3082586.55</v>
      </c>
    </row>
    <row r="59" spans="1:6" ht="13.5" thickBot="1" x14ac:dyDescent="0.25">
      <c r="A59" s="83" t="s">
        <v>369</v>
      </c>
      <c r="B59" s="83"/>
      <c r="C59" s="83"/>
      <c r="D59" s="83"/>
      <c r="E59" s="83"/>
      <c r="F59" s="106">
        <f>ROUND(F6+F19+F29+F58,5)</f>
        <v>5174802.76</v>
      </c>
    </row>
    <row r="60" spans="1:6" ht="13.5" thickTop="1" x14ac:dyDescent="0.2">
      <c r="A60" s="83" t="s">
        <v>370</v>
      </c>
      <c r="B60" s="83"/>
      <c r="C60" s="83"/>
      <c r="D60" s="83"/>
      <c r="E60" s="83"/>
      <c r="F60" s="103"/>
    </row>
    <row r="61" spans="1:6" x14ac:dyDescent="0.2">
      <c r="A61" s="83"/>
      <c r="B61" s="83" t="s">
        <v>105</v>
      </c>
      <c r="C61" s="83"/>
      <c r="D61" s="83"/>
      <c r="E61" s="83"/>
      <c r="F61" s="103"/>
    </row>
    <row r="62" spans="1:6" x14ac:dyDescent="0.2">
      <c r="A62" s="83"/>
      <c r="B62" s="83"/>
      <c r="C62" s="83" t="s">
        <v>106</v>
      </c>
      <c r="D62" s="83"/>
      <c r="E62" s="83"/>
      <c r="F62" s="103"/>
    </row>
    <row r="63" spans="1:6" x14ac:dyDescent="0.2">
      <c r="A63" s="83"/>
      <c r="B63" s="83"/>
      <c r="C63" s="83"/>
      <c r="D63" s="83" t="s">
        <v>449</v>
      </c>
      <c r="E63" s="83"/>
      <c r="F63" s="103"/>
    </row>
    <row r="64" spans="1:6" ht="13.5" thickBot="1" x14ac:dyDescent="0.25">
      <c r="A64" s="83"/>
      <c r="B64" s="83"/>
      <c r="C64" s="83"/>
      <c r="D64" s="83"/>
      <c r="E64" s="83" t="s">
        <v>450</v>
      </c>
      <c r="F64" s="109">
        <v>0</v>
      </c>
    </row>
    <row r="65" spans="1:6" x14ac:dyDescent="0.2">
      <c r="A65" s="83"/>
      <c r="B65" s="83"/>
      <c r="C65" s="83"/>
      <c r="D65" s="83" t="s">
        <v>451</v>
      </c>
      <c r="E65" s="83"/>
      <c r="F65" s="103">
        <f>ROUND(SUM(F63:F64),5)</f>
        <v>0</v>
      </c>
    </row>
    <row r="66" spans="1:6" x14ac:dyDescent="0.2">
      <c r="A66" s="83"/>
      <c r="B66" s="83"/>
      <c r="C66" s="83"/>
      <c r="D66" s="83" t="s">
        <v>371</v>
      </c>
      <c r="E66" s="83"/>
      <c r="F66" s="103"/>
    </row>
    <row r="67" spans="1:6" x14ac:dyDescent="0.2">
      <c r="A67" s="83"/>
      <c r="B67" s="83"/>
      <c r="C67" s="83"/>
      <c r="D67" s="83"/>
      <c r="E67" s="83" t="s">
        <v>452</v>
      </c>
      <c r="F67" s="103">
        <v>0</v>
      </c>
    </row>
    <row r="68" spans="1:6" x14ac:dyDescent="0.2">
      <c r="A68" s="83"/>
      <c r="B68" s="83"/>
      <c r="C68" s="83"/>
      <c r="D68" s="83"/>
      <c r="E68" s="83" t="s">
        <v>472</v>
      </c>
      <c r="F68" s="103">
        <v>1770</v>
      </c>
    </row>
    <row r="69" spans="1:6" x14ac:dyDescent="0.2">
      <c r="A69" s="83"/>
      <c r="B69" s="83"/>
      <c r="C69" s="83"/>
      <c r="D69" s="83"/>
      <c r="E69" s="83" t="s">
        <v>453</v>
      </c>
      <c r="F69" s="103">
        <v>92119.51</v>
      </c>
    </row>
    <row r="70" spans="1:6" ht="13.5" thickBot="1" x14ac:dyDescent="0.25">
      <c r="A70" s="83"/>
      <c r="B70" s="83"/>
      <c r="C70" s="83"/>
      <c r="D70" s="83"/>
      <c r="E70" s="83" t="s">
        <v>615</v>
      </c>
      <c r="F70" s="103">
        <v>0</v>
      </c>
    </row>
    <row r="71" spans="1:6" ht="13.5" thickBot="1" x14ac:dyDescent="0.25">
      <c r="A71" s="83"/>
      <c r="B71" s="83"/>
      <c r="C71" s="83"/>
      <c r="D71" s="83" t="s">
        <v>381</v>
      </c>
      <c r="E71" s="83"/>
      <c r="F71" s="104">
        <f>ROUND(SUM(F66:F70),5)</f>
        <v>93889.51</v>
      </c>
    </row>
    <row r="72" spans="1:6" x14ac:dyDescent="0.2">
      <c r="A72" s="83"/>
      <c r="B72" s="83"/>
      <c r="C72" s="83" t="s">
        <v>382</v>
      </c>
      <c r="D72" s="83"/>
      <c r="E72" s="83"/>
      <c r="F72" s="103">
        <f>ROUND(F62+F65+F71,5)</f>
        <v>93889.51</v>
      </c>
    </row>
    <row r="73" spans="1:6" x14ac:dyDescent="0.2">
      <c r="A73" s="83"/>
      <c r="B73" s="83"/>
      <c r="C73" s="83" t="s">
        <v>149</v>
      </c>
      <c r="D73" s="83"/>
      <c r="E73" s="83"/>
      <c r="F73" s="103"/>
    </row>
    <row r="74" spans="1:6" x14ac:dyDescent="0.2">
      <c r="A74" s="83"/>
      <c r="B74" s="83"/>
      <c r="C74" s="83"/>
      <c r="D74" s="83" t="s">
        <v>454</v>
      </c>
      <c r="E74" s="83"/>
      <c r="F74" s="103">
        <v>0</v>
      </c>
    </row>
    <row r="75" spans="1:6" ht="13.5" thickBot="1" x14ac:dyDescent="0.25">
      <c r="A75" s="83"/>
      <c r="B75" s="83"/>
      <c r="C75" s="83"/>
      <c r="D75" s="83" t="s">
        <v>455</v>
      </c>
      <c r="E75" s="83"/>
      <c r="F75" s="103">
        <v>247750</v>
      </c>
    </row>
    <row r="76" spans="1:6" ht="13.5" thickBot="1" x14ac:dyDescent="0.25">
      <c r="A76" s="83"/>
      <c r="B76" s="83"/>
      <c r="C76" s="83" t="s">
        <v>319</v>
      </c>
      <c r="D76" s="83"/>
      <c r="E76" s="83"/>
      <c r="F76" s="104">
        <f>ROUND(SUM(F73:F75),5)</f>
        <v>247750</v>
      </c>
    </row>
    <row r="77" spans="1:6" x14ac:dyDescent="0.2">
      <c r="A77" s="83"/>
      <c r="B77" s="83" t="s">
        <v>320</v>
      </c>
      <c r="C77" s="83"/>
      <c r="D77" s="83"/>
      <c r="E77" s="83"/>
      <c r="F77" s="103">
        <f>ROUND(F61+F72+F76,5)</f>
        <v>341639.51</v>
      </c>
    </row>
    <row r="78" spans="1:6" x14ac:dyDescent="0.2">
      <c r="A78" s="83"/>
      <c r="B78" s="83" t="s">
        <v>160</v>
      </c>
      <c r="C78" s="83"/>
      <c r="D78" s="83"/>
      <c r="E78" s="83"/>
      <c r="F78" s="103"/>
    </row>
    <row r="79" spans="1:6" x14ac:dyDescent="0.2">
      <c r="A79" s="83"/>
      <c r="B79" s="83"/>
      <c r="C79" s="83" t="s">
        <v>456</v>
      </c>
      <c r="D79" s="83"/>
      <c r="E79" s="83"/>
      <c r="F79" s="103"/>
    </row>
    <row r="80" spans="1:6" x14ac:dyDescent="0.2">
      <c r="A80" s="83"/>
      <c r="B80" s="83"/>
      <c r="C80" s="83"/>
      <c r="D80" s="83" t="s">
        <v>457</v>
      </c>
      <c r="E80" s="83"/>
      <c r="F80" s="103">
        <v>0</v>
      </c>
    </row>
    <row r="81" spans="1:6" x14ac:dyDescent="0.2">
      <c r="A81" s="83"/>
      <c r="B81" s="83"/>
      <c r="C81" s="83"/>
      <c r="D81" s="83" t="s">
        <v>458</v>
      </c>
      <c r="E81" s="83"/>
      <c r="F81" s="103">
        <v>0</v>
      </c>
    </row>
    <row r="82" spans="1:6" x14ac:dyDescent="0.2">
      <c r="A82" s="83"/>
      <c r="B82" s="83"/>
      <c r="C82" s="83"/>
      <c r="D82" s="83" t="s">
        <v>459</v>
      </c>
      <c r="E82" s="83"/>
      <c r="F82" s="103">
        <v>0</v>
      </c>
    </row>
    <row r="83" spans="1:6" x14ac:dyDescent="0.2">
      <c r="A83" s="83"/>
      <c r="B83" s="83"/>
      <c r="C83" s="83"/>
      <c r="D83" s="83" t="s">
        <v>460</v>
      </c>
      <c r="E83" s="83"/>
      <c r="F83" s="103">
        <v>0</v>
      </c>
    </row>
    <row r="84" spans="1:6" x14ac:dyDescent="0.2">
      <c r="A84" s="83"/>
      <c r="B84" s="83"/>
      <c r="C84" s="83"/>
      <c r="D84" s="83" t="s">
        <v>461</v>
      </c>
      <c r="E84" s="83"/>
      <c r="F84" s="103">
        <v>0</v>
      </c>
    </row>
    <row r="85" spans="1:6" x14ac:dyDescent="0.2">
      <c r="A85" s="83"/>
      <c r="B85" s="83"/>
      <c r="C85" s="83" t="s">
        <v>462</v>
      </c>
      <c r="D85" s="83"/>
      <c r="E85" s="83"/>
      <c r="F85" s="103">
        <f>ROUND(SUM(F79:F84),5)</f>
        <v>0</v>
      </c>
    </row>
    <row r="86" spans="1:6" x14ac:dyDescent="0.2">
      <c r="A86" s="83"/>
      <c r="B86" s="83"/>
      <c r="C86" s="83" t="s">
        <v>463</v>
      </c>
      <c r="D86" s="83"/>
      <c r="E86" s="83"/>
      <c r="F86" s="103"/>
    </row>
    <row r="87" spans="1:6" x14ac:dyDescent="0.2">
      <c r="A87" s="83"/>
      <c r="B87" s="83"/>
      <c r="C87" s="83"/>
      <c r="D87" s="83" t="s">
        <v>464</v>
      </c>
      <c r="E87" s="83"/>
      <c r="F87" s="103">
        <v>1542072.01</v>
      </c>
    </row>
    <row r="88" spans="1:6" x14ac:dyDescent="0.2">
      <c r="A88" s="83"/>
      <c r="B88" s="83"/>
      <c r="C88" s="83"/>
      <c r="D88" s="83" t="s">
        <v>465</v>
      </c>
      <c r="E88" s="83"/>
      <c r="F88" s="103">
        <v>1542063.01</v>
      </c>
    </row>
    <row r="89" spans="1:6" x14ac:dyDescent="0.2">
      <c r="A89" s="83"/>
      <c r="B89" s="83"/>
      <c r="C89" s="83"/>
      <c r="D89" s="83" t="s">
        <v>466</v>
      </c>
      <c r="E89" s="83"/>
      <c r="F89" s="103">
        <v>1542081.01</v>
      </c>
    </row>
    <row r="90" spans="1:6" x14ac:dyDescent="0.2">
      <c r="A90" s="83"/>
      <c r="B90" s="83"/>
      <c r="C90" s="83"/>
      <c r="D90" s="83" t="s">
        <v>467</v>
      </c>
      <c r="E90" s="83"/>
      <c r="F90" s="103">
        <v>17295.29</v>
      </c>
    </row>
    <row r="91" spans="1:6" ht="13.5" thickBot="1" x14ac:dyDescent="0.25">
      <c r="A91" s="83"/>
      <c r="B91" s="83"/>
      <c r="C91" s="83"/>
      <c r="D91" s="83" t="s">
        <v>468</v>
      </c>
      <c r="E91" s="83"/>
      <c r="F91" s="109">
        <v>15909.29</v>
      </c>
    </row>
    <row r="92" spans="1:6" x14ac:dyDescent="0.2">
      <c r="A92" s="83"/>
      <c r="B92" s="83"/>
      <c r="C92" s="83" t="s">
        <v>469</v>
      </c>
      <c r="D92" s="83"/>
      <c r="E92" s="83"/>
      <c r="F92" s="103">
        <f>SUM(F87:F91)</f>
        <v>4659420.6100000003</v>
      </c>
    </row>
    <row r="93" spans="1:6" x14ac:dyDescent="0.2">
      <c r="A93" s="83"/>
      <c r="B93" s="83"/>
      <c r="C93" s="83" t="s">
        <v>470</v>
      </c>
      <c r="D93" s="83"/>
      <c r="E93" s="83"/>
      <c r="F93" s="103">
        <v>0</v>
      </c>
    </row>
    <row r="94" spans="1:6" x14ac:dyDescent="0.2">
      <c r="A94" s="83"/>
      <c r="B94" s="83"/>
      <c r="C94" s="83" t="s">
        <v>695</v>
      </c>
      <c r="D94" s="83"/>
      <c r="E94" s="83"/>
      <c r="F94" s="103">
        <v>-120000</v>
      </c>
    </row>
    <row r="95" spans="1:6" x14ac:dyDescent="0.2">
      <c r="A95" s="83"/>
      <c r="B95" s="83"/>
      <c r="C95" s="83" t="s">
        <v>471</v>
      </c>
      <c r="D95" s="83"/>
      <c r="E95" s="83"/>
      <c r="F95" s="103">
        <v>102973.5</v>
      </c>
    </row>
    <row r="96" spans="1:6" ht="13.5" thickBot="1" x14ac:dyDescent="0.25">
      <c r="A96" s="83"/>
      <c r="B96" s="83"/>
      <c r="C96" s="83" t="s">
        <v>387</v>
      </c>
      <c r="D96" s="83"/>
      <c r="E96" s="83"/>
      <c r="F96" s="103">
        <v>190769.14</v>
      </c>
    </row>
    <row r="97" spans="1:6" ht="13.5" thickBot="1" x14ac:dyDescent="0.25">
      <c r="A97" s="83"/>
      <c r="B97" s="83" t="s">
        <v>331</v>
      </c>
      <c r="C97" s="83"/>
      <c r="D97" s="83"/>
      <c r="E97" s="83"/>
      <c r="F97" s="105">
        <f>ROUND(F85+SUM(F92:F96),5)</f>
        <v>4833163.25</v>
      </c>
    </row>
    <row r="98" spans="1:6" ht="13.5" thickBot="1" x14ac:dyDescent="0.25">
      <c r="A98" s="83" t="s">
        <v>388</v>
      </c>
      <c r="B98" s="83"/>
      <c r="C98" s="83"/>
      <c r="D98" s="83"/>
      <c r="E98" s="83"/>
      <c r="F98" s="106">
        <f>F97+F77</f>
        <v>5174802.76</v>
      </c>
    </row>
    <row r="99" spans="1:6" ht="13.5" thickTop="1" x14ac:dyDescent="0.2">
      <c r="A99" s="100"/>
      <c r="B99" s="100"/>
      <c r="C99" s="100"/>
      <c r="D99" s="100"/>
      <c r="E99" s="100"/>
      <c r="F99" s="107"/>
    </row>
    <row r="100" spans="1:6" x14ac:dyDescent="0.2">
      <c r="F100" s="140">
        <f>F98-F59</f>
        <v>0</v>
      </c>
    </row>
  </sheetData>
  <mergeCells count="1">
    <mergeCell ref="B2:F3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-0.249977111117893"/>
  </sheetPr>
  <dimension ref="A1:G57"/>
  <sheetViews>
    <sheetView workbookViewId="0">
      <selection activeCell="AA103" sqref="AA103"/>
    </sheetView>
  </sheetViews>
  <sheetFormatPr defaultRowHeight="12.75" x14ac:dyDescent="0.2"/>
  <cols>
    <col min="1" max="4" width="9.140625" style="75"/>
    <col min="5" max="5" width="15" style="75" bestFit="1" customWidth="1"/>
    <col min="6" max="6" width="11.28515625" style="75" bestFit="1" customWidth="1"/>
    <col min="7" max="16384" width="9.140625" style="75"/>
  </cols>
  <sheetData>
    <row r="1" spans="1:7" ht="13.5" thickBot="1" x14ac:dyDescent="0.25">
      <c r="A1" s="101"/>
      <c r="B1" s="101"/>
      <c r="C1" s="101"/>
      <c r="D1" s="101"/>
      <c r="E1" s="101"/>
      <c r="F1" s="102" t="s">
        <v>705</v>
      </c>
      <c r="G1" s="111"/>
    </row>
    <row r="2" spans="1:7" ht="12.75" customHeight="1" thickTop="1" x14ac:dyDescent="0.2">
      <c r="A2" s="83" t="s">
        <v>335</v>
      </c>
      <c r="B2" s="83"/>
      <c r="C2" s="83"/>
      <c r="D2" s="83"/>
      <c r="E2" s="83"/>
      <c r="F2" s="103"/>
      <c r="G2" s="107"/>
    </row>
    <row r="3" spans="1:7" ht="12.75" customHeight="1" x14ac:dyDescent="0.2">
      <c r="A3" s="83"/>
      <c r="B3" s="83" t="s">
        <v>3</v>
      </c>
      <c r="C3" s="83"/>
      <c r="D3" s="83"/>
      <c r="E3" s="83"/>
      <c r="F3" s="103"/>
      <c r="G3" s="107"/>
    </row>
    <row r="4" spans="1:7" x14ac:dyDescent="0.2">
      <c r="A4" s="83"/>
      <c r="B4" s="83"/>
      <c r="C4" s="83" t="s">
        <v>336</v>
      </c>
      <c r="D4" s="83"/>
      <c r="E4" s="83"/>
      <c r="F4" s="103"/>
      <c r="G4" s="107"/>
    </row>
    <row r="5" spans="1:7" ht="13.5" thickBot="1" x14ac:dyDescent="0.25">
      <c r="A5" s="83"/>
      <c r="B5" s="83"/>
      <c r="C5" s="83"/>
      <c r="D5" s="83" t="s">
        <v>481</v>
      </c>
      <c r="E5" s="83"/>
      <c r="F5" s="103">
        <v>36136.980000000003</v>
      </c>
      <c r="G5" s="107"/>
    </row>
    <row r="6" spans="1:7" ht="13.5" thickBot="1" x14ac:dyDescent="0.25">
      <c r="A6" s="83"/>
      <c r="B6" s="83"/>
      <c r="C6" s="83" t="s">
        <v>340</v>
      </c>
      <c r="D6" s="83"/>
      <c r="E6" s="83"/>
      <c r="F6" s="104">
        <f>ROUND(SUM(F4:F5),5)</f>
        <v>36136.980000000003</v>
      </c>
      <c r="G6" s="107"/>
    </row>
    <row r="7" spans="1:7" x14ac:dyDescent="0.2">
      <c r="A7" s="83"/>
      <c r="B7" s="83" t="s">
        <v>409</v>
      </c>
      <c r="C7" s="83"/>
      <c r="D7" s="83"/>
      <c r="E7" s="83"/>
      <c r="F7" s="120"/>
      <c r="G7" s="107"/>
    </row>
    <row r="8" spans="1:7" x14ac:dyDescent="0.2">
      <c r="A8" s="83"/>
      <c r="B8" s="83"/>
      <c r="C8" s="83"/>
      <c r="D8" s="83" t="s">
        <v>680</v>
      </c>
      <c r="E8" s="83"/>
      <c r="F8" s="120">
        <v>0</v>
      </c>
      <c r="G8" s="107"/>
    </row>
    <row r="9" spans="1:7" x14ac:dyDescent="0.2">
      <c r="A9" s="83"/>
      <c r="B9" s="83"/>
      <c r="C9" s="83"/>
      <c r="D9" s="83" t="s">
        <v>688</v>
      </c>
      <c r="E9" s="83"/>
      <c r="F9" s="120">
        <v>81656.72</v>
      </c>
      <c r="G9" s="107"/>
    </row>
    <row r="10" spans="1:7" x14ac:dyDescent="0.2">
      <c r="A10" s="83"/>
      <c r="B10" s="83" t="s">
        <v>275</v>
      </c>
      <c r="C10" s="83"/>
      <c r="D10" s="83"/>
      <c r="E10" s="83"/>
      <c r="F10" s="103">
        <f>ROUND(F3+F6+F8+F9,5)</f>
        <v>117793.7</v>
      </c>
      <c r="G10" s="107"/>
    </row>
    <row r="11" spans="1:7" x14ac:dyDescent="0.2">
      <c r="A11" s="83"/>
      <c r="B11" s="83" t="s">
        <v>341</v>
      </c>
      <c r="C11" s="83"/>
      <c r="D11" s="83"/>
      <c r="E11" s="83"/>
      <c r="F11" s="103"/>
      <c r="G11" s="107"/>
    </row>
    <row r="12" spans="1:7" x14ac:dyDescent="0.2">
      <c r="A12" s="83"/>
      <c r="B12" s="83"/>
      <c r="C12" s="83" t="s">
        <v>482</v>
      </c>
      <c r="D12" s="83"/>
      <c r="E12" s="83"/>
      <c r="F12" s="103">
        <v>-794769.22</v>
      </c>
      <c r="G12" s="107"/>
    </row>
    <row r="13" spans="1:7" x14ac:dyDescent="0.2">
      <c r="A13" s="83"/>
      <c r="B13" s="83"/>
      <c r="C13" s="83" t="s">
        <v>483</v>
      </c>
      <c r="D13" s="83"/>
      <c r="E13" s="83"/>
      <c r="F13" s="103">
        <v>-9183.48</v>
      </c>
      <c r="G13" s="107"/>
    </row>
    <row r="14" spans="1:7" x14ac:dyDescent="0.2">
      <c r="A14" s="83"/>
      <c r="B14" s="83"/>
      <c r="C14" s="83" t="s">
        <v>484</v>
      </c>
      <c r="D14" s="83"/>
      <c r="E14" s="83"/>
      <c r="F14" s="103">
        <v>-114090</v>
      </c>
      <c r="G14" s="107"/>
    </row>
    <row r="15" spans="1:7" x14ac:dyDescent="0.2">
      <c r="A15" s="83"/>
      <c r="B15" s="83"/>
      <c r="C15" s="83" t="s">
        <v>485</v>
      </c>
      <c r="D15" s="83"/>
      <c r="E15" s="83"/>
      <c r="F15" s="103">
        <v>-172458</v>
      </c>
      <c r="G15" s="107"/>
    </row>
    <row r="16" spans="1:7" x14ac:dyDescent="0.2">
      <c r="A16" s="83"/>
      <c r="B16" s="83"/>
      <c r="C16" s="83" t="s">
        <v>486</v>
      </c>
      <c r="D16" s="83"/>
      <c r="E16" s="83"/>
      <c r="F16" s="103">
        <v>6396505.0499999998</v>
      </c>
      <c r="G16" s="107"/>
    </row>
    <row r="17" spans="1:7" x14ac:dyDescent="0.2">
      <c r="A17" s="83"/>
      <c r="B17" s="83"/>
      <c r="C17" s="83" t="s">
        <v>504</v>
      </c>
      <c r="D17" s="83"/>
      <c r="E17" s="83"/>
      <c r="F17" s="103">
        <v>0</v>
      </c>
      <c r="G17" s="107"/>
    </row>
    <row r="18" spans="1:7" x14ac:dyDescent="0.2">
      <c r="A18" s="83"/>
      <c r="B18" s="83"/>
      <c r="C18" s="83" t="s">
        <v>487</v>
      </c>
      <c r="D18" s="83"/>
      <c r="E18" s="83"/>
      <c r="F18" s="103">
        <v>9394.19</v>
      </c>
      <c r="G18" s="107"/>
    </row>
    <row r="19" spans="1:7" x14ac:dyDescent="0.2">
      <c r="A19" s="83"/>
      <c r="B19" s="83"/>
      <c r="C19" s="83" t="s">
        <v>488</v>
      </c>
      <c r="D19" s="83"/>
      <c r="E19" s="83"/>
      <c r="F19" s="103">
        <v>1898482.76</v>
      </c>
      <c r="G19" s="107"/>
    </row>
    <row r="20" spans="1:7" x14ac:dyDescent="0.2">
      <c r="A20" s="83"/>
      <c r="B20" s="83"/>
      <c r="C20" s="83" t="s">
        <v>489</v>
      </c>
      <c r="D20" s="83"/>
      <c r="E20" s="83"/>
      <c r="F20" s="103">
        <v>152311.53</v>
      </c>
      <c r="G20" s="107"/>
    </row>
    <row r="21" spans="1:7" x14ac:dyDescent="0.2">
      <c r="A21" s="83"/>
      <c r="B21" s="83"/>
      <c r="C21" s="83" t="s">
        <v>593</v>
      </c>
      <c r="D21" s="83"/>
      <c r="E21" s="83"/>
      <c r="F21" s="103">
        <v>0</v>
      </c>
      <c r="G21" s="107"/>
    </row>
    <row r="22" spans="1:7" x14ac:dyDescent="0.2">
      <c r="A22" s="83"/>
      <c r="B22" s="83"/>
      <c r="C22" s="83" t="s">
        <v>490</v>
      </c>
      <c r="D22" s="83"/>
      <c r="E22" s="83"/>
      <c r="F22" s="103">
        <v>230237.91</v>
      </c>
      <c r="G22" s="107"/>
    </row>
    <row r="23" spans="1:7" ht="13.5" thickBot="1" x14ac:dyDescent="0.25">
      <c r="A23" s="83"/>
      <c r="B23" s="83"/>
      <c r="C23" s="83" t="s">
        <v>578</v>
      </c>
      <c r="D23" s="83"/>
      <c r="E23" s="83"/>
      <c r="F23" s="103">
        <v>557749</v>
      </c>
      <c r="G23" s="107"/>
    </row>
    <row r="24" spans="1:7" ht="13.5" thickBot="1" x14ac:dyDescent="0.25">
      <c r="A24" s="83"/>
      <c r="B24" s="83" t="s">
        <v>366</v>
      </c>
      <c r="C24" s="83"/>
      <c r="D24" s="83"/>
      <c r="E24" s="83"/>
      <c r="F24" s="105">
        <f>ROUND(SUM(F11:F23),5)</f>
        <v>8154179.7400000002</v>
      </c>
      <c r="G24" s="107"/>
    </row>
    <row r="25" spans="1:7" ht="13.5" thickBot="1" x14ac:dyDescent="0.25">
      <c r="A25" s="83" t="s">
        <v>369</v>
      </c>
      <c r="B25" s="83"/>
      <c r="C25" s="83"/>
      <c r="D25" s="83"/>
      <c r="E25" s="83"/>
      <c r="F25" s="106">
        <f>ROUND(F2+F10+F24,5)</f>
        <v>8271973.4400000004</v>
      </c>
      <c r="G25" s="100"/>
    </row>
    <row r="26" spans="1:7" ht="13.5" thickTop="1" x14ac:dyDescent="0.2">
      <c r="A26" s="83" t="s">
        <v>370</v>
      </c>
      <c r="B26" s="83"/>
      <c r="C26" s="83"/>
      <c r="D26" s="83"/>
      <c r="E26" s="83"/>
      <c r="F26" s="103"/>
      <c r="G26" s="107"/>
    </row>
    <row r="27" spans="1:7" x14ac:dyDescent="0.2">
      <c r="A27" s="83"/>
      <c r="B27" s="83" t="s">
        <v>105</v>
      </c>
      <c r="C27" s="83"/>
      <c r="D27" s="83"/>
      <c r="E27" s="83"/>
      <c r="F27" s="103"/>
      <c r="G27" s="107"/>
    </row>
    <row r="28" spans="1:7" x14ac:dyDescent="0.2">
      <c r="A28" s="83"/>
      <c r="B28" s="83"/>
      <c r="C28" s="83" t="s">
        <v>106</v>
      </c>
      <c r="D28" s="83"/>
      <c r="E28" s="83"/>
      <c r="F28" s="103"/>
      <c r="G28" s="107"/>
    </row>
    <row r="29" spans="1:7" x14ac:dyDescent="0.2">
      <c r="A29" s="83"/>
      <c r="B29" s="83"/>
      <c r="C29" s="83"/>
      <c r="D29" s="83" t="s">
        <v>449</v>
      </c>
      <c r="E29" s="83"/>
      <c r="F29" s="103"/>
      <c r="G29" s="107"/>
    </row>
    <row r="30" spans="1:7" ht="13.5" thickBot="1" x14ac:dyDescent="0.25">
      <c r="A30" s="83"/>
      <c r="B30" s="83"/>
      <c r="C30" s="83"/>
      <c r="D30" s="83"/>
      <c r="E30" s="83" t="s">
        <v>449</v>
      </c>
      <c r="F30" s="109">
        <v>0</v>
      </c>
      <c r="G30" s="107"/>
    </row>
    <row r="31" spans="1:7" x14ac:dyDescent="0.2">
      <c r="A31" s="83"/>
      <c r="B31" s="83"/>
      <c r="C31" s="83"/>
      <c r="D31" s="83" t="s">
        <v>451</v>
      </c>
      <c r="E31" s="83"/>
      <c r="F31" s="103">
        <f>ROUND(SUM(F29:F30),5)</f>
        <v>0</v>
      </c>
      <c r="G31" s="107"/>
    </row>
    <row r="32" spans="1:7" x14ac:dyDescent="0.2">
      <c r="A32" s="83"/>
      <c r="B32" s="83"/>
      <c r="C32" s="83"/>
      <c r="D32" s="83" t="s">
        <v>371</v>
      </c>
      <c r="E32" s="83"/>
      <c r="F32" s="103"/>
      <c r="G32" s="107"/>
    </row>
    <row r="33" spans="1:7" x14ac:dyDescent="0.2">
      <c r="A33" s="83"/>
      <c r="B33" s="83"/>
      <c r="C33" s="83"/>
      <c r="D33" s="83"/>
      <c r="E33" s="83" t="s">
        <v>491</v>
      </c>
      <c r="F33" s="103">
        <v>0</v>
      </c>
      <c r="G33" s="107"/>
    </row>
    <row r="34" spans="1:7" x14ac:dyDescent="0.2">
      <c r="A34" s="83"/>
      <c r="B34" s="83"/>
      <c r="C34" s="83"/>
      <c r="D34" s="83"/>
      <c r="E34" s="83" t="s">
        <v>579</v>
      </c>
      <c r="F34" s="103">
        <v>2650</v>
      </c>
      <c r="G34" s="107"/>
    </row>
    <row r="35" spans="1:7" x14ac:dyDescent="0.2">
      <c r="A35" s="83"/>
      <c r="B35" s="83"/>
      <c r="C35" s="83"/>
      <c r="D35" s="83"/>
      <c r="E35" s="83" t="s">
        <v>492</v>
      </c>
      <c r="F35" s="103">
        <v>251062.5</v>
      </c>
      <c r="G35" s="107"/>
    </row>
    <row r="36" spans="1:7" ht="13.5" thickBot="1" x14ac:dyDescent="0.25">
      <c r="A36" s="83"/>
      <c r="B36" s="83"/>
      <c r="C36" s="83"/>
      <c r="D36" s="83"/>
      <c r="E36" s="128" t="s">
        <v>708</v>
      </c>
      <c r="F36" s="103">
        <f>51729.39+535745.05+67599.45+54460.76</f>
        <v>709534.65</v>
      </c>
      <c r="G36" s="107"/>
    </row>
    <row r="37" spans="1:7" ht="13.5" thickBot="1" x14ac:dyDescent="0.25">
      <c r="A37" s="83"/>
      <c r="B37" s="83"/>
      <c r="C37" s="83"/>
      <c r="D37" s="83" t="s">
        <v>381</v>
      </c>
      <c r="E37" s="83"/>
      <c r="F37" s="104">
        <f>ROUND(SUM(F32:F36),5)</f>
        <v>963247.15</v>
      </c>
      <c r="G37" s="107"/>
    </row>
    <row r="38" spans="1:7" x14ac:dyDescent="0.2">
      <c r="A38" s="83"/>
      <c r="B38" s="83"/>
      <c r="C38" s="83" t="s">
        <v>382</v>
      </c>
      <c r="D38" s="83"/>
      <c r="E38" s="83"/>
      <c r="F38" s="103">
        <f>ROUND(F28+F31+F37,5)</f>
        <v>963247.15</v>
      </c>
      <c r="G38" s="107"/>
    </row>
    <row r="39" spans="1:7" x14ac:dyDescent="0.2">
      <c r="A39" s="83"/>
      <c r="B39" s="83"/>
      <c r="C39" s="83" t="s">
        <v>149</v>
      </c>
      <c r="D39" s="83"/>
      <c r="E39" s="83"/>
      <c r="F39" s="103"/>
      <c r="G39" s="107"/>
    </row>
    <row r="40" spans="1:7" x14ac:dyDescent="0.2">
      <c r="A40" s="83"/>
      <c r="B40" s="83"/>
      <c r="C40" s="83"/>
      <c r="D40" s="83" t="s">
        <v>493</v>
      </c>
      <c r="E40" s="83"/>
      <c r="F40" s="103">
        <v>819709.5</v>
      </c>
      <c r="G40" s="107"/>
    </row>
    <row r="41" spans="1:7" x14ac:dyDescent="0.2">
      <c r="A41" s="83"/>
      <c r="B41" s="83"/>
      <c r="C41" s="83"/>
      <c r="D41" s="83" t="s">
        <v>494</v>
      </c>
      <c r="E41" s="83"/>
      <c r="F41" s="103">
        <v>825953</v>
      </c>
      <c r="G41" s="107"/>
    </row>
    <row r="42" spans="1:7" x14ac:dyDescent="0.2">
      <c r="A42" s="83"/>
      <c r="B42" s="83"/>
      <c r="C42" s="83"/>
      <c r="D42" s="83" t="s">
        <v>495</v>
      </c>
      <c r="E42" s="83"/>
      <c r="F42" s="103">
        <v>656846.65</v>
      </c>
      <c r="G42" s="107"/>
    </row>
    <row r="43" spans="1:7" ht="13.5" thickBot="1" x14ac:dyDescent="0.25">
      <c r="A43" s="83"/>
      <c r="B43" s="83"/>
      <c r="C43" s="83"/>
      <c r="D43" s="83" t="s">
        <v>496</v>
      </c>
      <c r="E43" s="83"/>
      <c r="F43" s="103">
        <v>3563493</v>
      </c>
      <c r="G43" s="107"/>
    </row>
    <row r="44" spans="1:7" ht="13.5" thickBot="1" x14ac:dyDescent="0.25">
      <c r="A44" s="83"/>
      <c r="B44" s="83"/>
      <c r="C44" s="83" t="s">
        <v>319</v>
      </c>
      <c r="D44" s="83"/>
      <c r="E44" s="83"/>
      <c r="F44" s="104">
        <f>ROUND(SUM(F39:F43),5)</f>
        <v>5866002.1500000004</v>
      </c>
      <c r="G44" s="107"/>
    </row>
    <row r="45" spans="1:7" x14ac:dyDescent="0.2">
      <c r="A45" s="83"/>
      <c r="B45" s="83" t="s">
        <v>320</v>
      </c>
      <c r="C45" s="83"/>
      <c r="D45" s="83"/>
      <c r="E45" s="83"/>
      <c r="F45" s="103">
        <f>ROUND(F27+F38+F44,5)</f>
        <v>6829249.2999999998</v>
      </c>
      <c r="G45" s="107"/>
    </row>
    <row r="46" spans="1:7" x14ac:dyDescent="0.2">
      <c r="A46" s="83"/>
      <c r="B46" s="83" t="s">
        <v>160</v>
      </c>
      <c r="C46" s="83"/>
      <c r="D46" s="83"/>
      <c r="E46" s="83"/>
      <c r="F46" s="103"/>
      <c r="G46" s="107"/>
    </row>
    <row r="47" spans="1:7" x14ac:dyDescent="0.2">
      <c r="A47" s="83"/>
      <c r="B47" s="83"/>
      <c r="C47" s="83" t="s">
        <v>505</v>
      </c>
      <c r="D47" s="83"/>
      <c r="E47" s="83"/>
      <c r="F47" s="103">
        <v>0</v>
      </c>
      <c r="G47" s="107"/>
    </row>
    <row r="48" spans="1:7" x14ac:dyDescent="0.2">
      <c r="A48" s="83"/>
      <c r="B48" s="83"/>
      <c r="C48" s="83" t="s">
        <v>497</v>
      </c>
      <c r="D48" s="83"/>
      <c r="E48" s="83"/>
      <c r="F48" s="103">
        <v>672128</v>
      </c>
      <c r="G48" s="107"/>
    </row>
    <row r="49" spans="1:7" x14ac:dyDescent="0.2">
      <c r="A49" s="83"/>
      <c r="B49" s="83"/>
      <c r="C49" s="83" t="s">
        <v>498</v>
      </c>
      <c r="D49" s="83"/>
      <c r="E49" s="83"/>
      <c r="F49" s="103">
        <v>38348</v>
      </c>
      <c r="G49" s="107"/>
    </row>
    <row r="50" spans="1:7" x14ac:dyDescent="0.2">
      <c r="A50" s="83"/>
      <c r="B50" s="83"/>
      <c r="C50" s="83" t="s">
        <v>499</v>
      </c>
      <c r="D50" s="83"/>
      <c r="E50" s="83"/>
      <c r="F50" s="103">
        <v>38348</v>
      </c>
      <c r="G50" s="107"/>
    </row>
    <row r="51" spans="1:7" x14ac:dyDescent="0.2">
      <c r="A51" s="83"/>
      <c r="B51" s="83"/>
      <c r="C51" s="83" t="s">
        <v>500</v>
      </c>
      <c r="D51" s="83"/>
      <c r="E51" s="83"/>
      <c r="F51" s="103">
        <v>672128.77</v>
      </c>
      <c r="G51" s="107"/>
    </row>
    <row r="52" spans="1:7" x14ac:dyDescent="0.2">
      <c r="A52" s="83"/>
      <c r="B52" s="83"/>
      <c r="C52" s="83" t="s">
        <v>501</v>
      </c>
      <c r="D52" s="83"/>
      <c r="E52" s="83"/>
      <c r="F52" s="103">
        <v>672128.03</v>
      </c>
      <c r="G52" s="107"/>
    </row>
    <row r="53" spans="1:7" ht="13.5" thickBot="1" x14ac:dyDescent="0.25">
      <c r="A53" s="83"/>
      <c r="B53" s="83"/>
      <c r="C53" s="83" t="s">
        <v>387</v>
      </c>
      <c r="D53" s="83"/>
      <c r="E53" s="83"/>
      <c r="F53" s="103">
        <v>-650356.66</v>
      </c>
      <c r="G53" s="107"/>
    </row>
    <row r="54" spans="1:7" ht="13.5" thickBot="1" x14ac:dyDescent="0.25">
      <c r="A54" s="83"/>
      <c r="B54" s="83" t="s">
        <v>331</v>
      </c>
      <c r="C54" s="83"/>
      <c r="D54" s="83"/>
      <c r="E54" s="83"/>
      <c r="F54" s="105">
        <f>ROUND(SUM(F46:F53),5)</f>
        <v>1442724.14</v>
      </c>
      <c r="G54" s="107"/>
    </row>
    <row r="55" spans="1:7" ht="13.5" thickBot="1" x14ac:dyDescent="0.25">
      <c r="A55" s="83" t="s">
        <v>388</v>
      </c>
      <c r="B55" s="83"/>
      <c r="C55" s="83"/>
      <c r="D55" s="83"/>
      <c r="E55" s="83"/>
      <c r="F55" s="106">
        <f>ROUND(F26+F45+F54,5)</f>
        <v>8271973.4400000004</v>
      </c>
      <c r="G55" s="100"/>
    </row>
    <row r="56" spans="1:7" ht="13.5" thickTop="1" x14ac:dyDescent="0.2"/>
    <row r="57" spans="1:7" x14ac:dyDescent="0.2">
      <c r="F57" s="140">
        <f>F55-F25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</sheetPr>
  <dimension ref="A2:S46"/>
  <sheetViews>
    <sheetView topLeftCell="A25" workbookViewId="0">
      <selection activeCell="AA103" sqref="AA103"/>
    </sheetView>
  </sheetViews>
  <sheetFormatPr defaultRowHeight="12.75" x14ac:dyDescent="0.2"/>
  <cols>
    <col min="3" max="3" width="15.28515625" bestFit="1" customWidth="1"/>
    <col min="4" max="4" width="17.140625" style="75" bestFit="1" customWidth="1"/>
    <col min="5" max="5" width="27.5703125" style="75" bestFit="1" customWidth="1"/>
    <col min="6" max="6" width="11.28515625" bestFit="1" customWidth="1"/>
    <col min="8" max="8" width="9.7109375" bestFit="1" customWidth="1"/>
  </cols>
  <sheetData>
    <row r="2" spans="1:19" x14ac:dyDescent="0.2">
      <c r="A2" s="198" t="s">
        <v>706</v>
      </c>
      <c r="B2" s="199"/>
      <c r="C2" s="199"/>
      <c r="D2" s="199"/>
      <c r="E2" s="199"/>
      <c r="F2" s="200"/>
    </row>
    <row r="3" spans="1:19" x14ac:dyDescent="0.2">
      <c r="A3" s="201"/>
      <c r="B3" s="202"/>
      <c r="C3" s="202"/>
      <c r="D3" s="202"/>
      <c r="E3" s="202"/>
      <c r="F3" s="203"/>
    </row>
    <row r="4" spans="1:19" x14ac:dyDescent="0.2">
      <c r="A4" s="201"/>
      <c r="B4" s="202"/>
      <c r="C4" s="202"/>
      <c r="D4" s="202"/>
      <c r="E4" s="202"/>
      <c r="F4" s="203"/>
    </row>
    <row r="5" spans="1:19" x14ac:dyDescent="0.2">
      <c r="A5" s="204"/>
      <c r="B5" s="205"/>
      <c r="C5" s="205"/>
      <c r="D5" s="205"/>
      <c r="E5" s="205"/>
      <c r="F5" s="206"/>
    </row>
    <row r="8" spans="1:19" ht="13.5" thickBot="1" x14ac:dyDescent="0.25">
      <c r="A8" s="46"/>
      <c r="B8" s="46"/>
      <c r="C8" s="46"/>
      <c r="D8" s="87"/>
      <c r="E8" s="87"/>
      <c r="F8" s="47" t="s">
        <v>707</v>
      </c>
    </row>
    <row r="9" spans="1:19" ht="13.5" thickTop="1" x14ac:dyDescent="0.2">
      <c r="A9" s="40" t="s">
        <v>335</v>
      </c>
      <c r="B9" s="40"/>
      <c r="C9" s="40"/>
      <c r="D9" s="80"/>
      <c r="E9" s="80"/>
      <c r="F9" s="41"/>
      <c r="S9">
        <v>0</v>
      </c>
    </row>
    <row r="10" spans="1:19" x14ac:dyDescent="0.2">
      <c r="A10" s="40"/>
      <c r="B10" s="40" t="s">
        <v>3</v>
      </c>
      <c r="C10" s="40"/>
      <c r="D10" s="80"/>
      <c r="E10" s="80"/>
      <c r="F10" s="41"/>
      <c r="S10">
        <v>0</v>
      </c>
    </row>
    <row r="11" spans="1:19" x14ac:dyDescent="0.2">
      <c r="A11" s="40"/>
      <c r="B11" s="40"/>
      <c r="C11" s="40" t="s">
        <v>336</v>
      </c>
      <c r="D11" s="80"/>
      <c r="E11" s="80"/>
      <c r="F11" s="41"/>
    </row>
    <row r="12" spans="1:19" ht="13.5" thickBot="1" x14ac:dyDescent="0.25">
      <c r="A12" s="40"/>
      <c r="B12" s="40"/>
      <c r="C12" s="40"/>
      <c r="D12" s="80" t="s">
        <v>510</v>
      </c>
      <c r="E12" s="80"/>
      <c r="F12" s="42">
        <v>250</v>
      </c>
    </row>
    <row r="13" spans="1:19" x14ac:dyDescent="0.2">
      <c r="A13" s="40"/>
      <c r="B13" s="40"/>
      <c r="C13" s="40" t="s">
        <v>340</v>
      </c>
      <c r="D13" s="80"/>
      <c r="E13" s="80"/>
      <c r="F13" s="41">
        <f>F12</f>
        <v>250</v>
      </c>
    </row>
    <row r="14" spans="1:19" x14ac:dyDescent="0.2">
      <c r="A14" s="40"/>
      <c r="B14" s="40"/>
      <c r="C14" s="40" t="s">
        <v>511</v>
      </c>
      <c r="D14" s="80"/>
      <c r="E14" s="80"/>
      <c r="F14" s="41"/>
    </row>
    <row r="15" spans="1:19" ht="13.5" thickBot="1" x14ac:dyDescent="0.25">
      <c r="A15" s="40"/>
      <c r="B15" s="40"/>
      <c r="C15" s="40"/>
      <c r="D15" s="80" t="s">
        <v>512</v>
      </c>
      <c r="E15" s="80"/>
      <c r="F15" s="42">
        <v>694083.7</v>
      </c>
    </row>
    <row r="16" spans="1:19" x14ac:dyDescent="0.2">
      <c r="A16" s="40"/>
      <c r="B16" s="40"/>
      <c r="C16" s="40" t="s">
        <v>513</v>
      </c>
      <c r="D16" s="80"/>
      <c r="E16" s="80"/>
      <c r="F16" s="41">
        <f>F15</f>
        <v>694083.7</v>
      </c>
    </row>
    <row r="17" spans="1:6" x14ac:dyDescent="0.2">
      <c r="A17" s="40"/>
      <c r="B17" s="40"/>
      <c r="C17" s="40" t="s">
        <v>409</v>
      </c>
      <c r="D17" s="80"/>
      <c r="E17" s="80"/>
      <c r="F17" s="41"/>
    </row>
    <row r="18" spans="1:6" x14ac:dyDescent="0.2">
      <c r="A18" s="40"/>
      <c r="B18" s="40"/>
      <c r="C18" s="40"/>
      <c r="D18" s="80" t="s">
        <v>514</v>
      </c>
      <c r="E18" s="80"/>
      <c r="F18" s="41">
        <v>0</v>
      </c>
    </row>
    <row r="19" spans="1:6" x14ac:dyDescent="0.2">
      <c r="A19" s="40"/>
      <c r="B19" s="40"/>
      <c r="C19" s="40"/>
      <c r="D19" s="80" t="s">
        <v>515</v>
      </c>
      <c r="E19" s="80"/>
      <c r="F19" s="41">
        <v>0</v>
      </c>
    </row>
    <row r="20" spans="1:6" x14ac:dyDescent="0.2">
      <c r="A20" s="40"/>
      <c r="B20" s="40"/>
      <c r="C20" s="40"/>
      <c r="D20" s="80" t="s">
        <v>633</v>
      </c>
      <c r="E20" s="80"/>
      <c r="F20" s="41">
        <v>0</v>
      </c>
    </row>
    <row r="21" spans="1:6" x14ac:dyDescent="0.2">
      <c r="A21" s="40"/>
      <c r="B21" s="40"/>
      <c r="C21" s="40"/>
      <c r="D21" s="80" t="s">
        <v>658</v>
      </c>
      <c r="E21" s="80"/>
      <c r="F21" s="41">
        <v>0</v>
      </c>
    </row>
    <row r="22" spans="1:6" ht="13.5" thickBot="1" x14ac:dyDescent="0.25">
      <c r="A22" s="40"/>
      <c r="B22" s="40"/>
      <c r="C22" s="40"/>
      <c r="D22" s="80" t="s">
        <v>669</v>
      </c>
      <c r="E22" s="80"/>
      <c r="F22" s="41">
        <v>0</v>
      </c>
    </row>
    <row r="23" spans="1:6" ht="13.5" thickBot="1" x14ac:dyDescent="0.25">
      <c r="A23" s="40"/>
      <c r="B23" s="40"/>
      <c r="C23" s="40" t="s">
        <v>413</v>
      </c>
      <c r="D23" s="80"/>
      <c r="E23" s="80"/>
      <c r="F23" s="43">
        <f>F18+F19+F20+F21+F22</f>
        <v>0</v>
      </c>
    </row>
    <row r="24" spans="1:6" ht="13.5" thickBot="1" x14ac:dyDescent="0.25">
      <c r="A24" s="40"/>
      <c r="B24" s="40" t="s">
        <v>275</v>
      </c>
      <c r="C24" s="40"/>
      <c r="D24" s="80"/>
      <c r="E24" s="80"/>
      <c r="F24" s="43">
        <f>F23+F16+F13</f>
        <v>694333.7</v>
      </c>
    </row>
    <row r="25" spans="1:6" ht="13.5" thickBot="1" x14ac:dyDescent="0.25">
      <c r="A25" s="40" t="s">
        <v>369</v>
      </c>
      <c r="B25" s="40"/>
      <c r="C25" s="40"/>
      <c r="D25" s="80"/>
      <c r="E25" s="80"/>
      <c r="F25" s="44">
        <f>F24</f>
        <v>694333.7</v>
      </c>
    </row>
    <row r="26" spans="1:6" ht="13.5" thickTop="1" x14ac:dyDescent="0.2">
      <c r="A26" s="40" t="s">
        <v>370</v>
      </c>
      <c r="B26" s="40"/>
      <c r="C26" s="40"/>
      <c r="D26" s="80"/>
      <c r="E26" s="80"/>
      <c r="F26" s="41"/>
    </row>
    <row r="27" spans="1:6" x14ac:dyDescent="0.2">
      <c r="A27" s="40"/>
      <c r="B27" s="40" t="s">
        <v>105</v>
      </c>
      <c r="C27" s="40"/>
      <c r="D27" s="80"/>
      <c r="E27" s="80"/>
      <c r="F27" s="41"/>
    </row>
    <row r="28" spans="1:6" x14ac:dyDescent="0.2">
      <c r="A28" s="40"/>
      <c r="B28" s="40"/>
      <c r="C28" s="40" t="s">
        <v>106</v>
      </c>
      <c r="D28" s="80"/>
      <c r="E28" s="80"/>
      <c r="F28" s="41"/>
    </row>
    <row r="29" spans="1:6" x14ac:dyDescent="0.2">
      <c r="A29" s="40"/>
      <c r="B29" s="40"/>
      <c r="C29" s="40"/>
      <c r="D29" s="80" t="s">
        <v>449</v>
      </c>
      <c r="E29" s="80"/>
      <c r="F29" s="41"/>
    </row>
    <row r="30" spans="1:6" ht="13.5" thickBot="1" x14ac:dyDescent="0.25">
      <c r="A30" s="40"/>
      <c r="B30" s="40"/>
      <c r="C30" s="40"/>
      <c r="D30" s="80"/>
      <c r="E30" s="80" t="s">
        <v>516</v>
      </c>
      <c r="F30" s="42">
        <v>2970.42</v>
      </c>
    </row>
    <row r="31" spans="1:6" x14ac:dyDescent="0.2">
      <c r="A31" s="40"/>
      <c r="B31" s="40"/>
      <c r="C31" s="40"/>
      <c r="D31" s="80" t="s">
        <v>451</v>
      </c>
      <c r="E31" s="80"/>
      <c r="F31" s="41">
        <f>F30</f>
        <v>2970.42</v>
      </c>
    </row>
    <row r="32" spans="1:6" x14ac:dyDescent="0.2">
      <c r="A32" s="40"/>
      <c r="B32" s="40"/>
      <c r="C32" s="40"/>
      <c r="D32" s="80" t="s">
        <v>371</v>
      </c>
      <c r="E32" s="80"/>
      <c r="F32" s="41"/>
    </row>
    <row r="33" spans="1:8" x14ac:dyDescent="0.2">
      <c r="A33" s="40"/>
      <c r="B33" s="40"/>
      <c r="C33" s="40"/>
      <c r="D33" s="80"/>
      <c r="E33" s="80" t="s">
        <v>517</v>
      </c>
      <c r="F33" s="41">
        <v>0</v>
      </c>
    </row>
    <row r="34" spans="1:8" x14ac:dyDescent="0.2">
      <c r="A34" s="40"/>
      <c r="B34" s="40"/>
      <c r="C34" s="40"/>
      <c r="D34" s="80"/>
      <c r="E34" s="80" t="s">
        <v>518</v>
      </c>
      <c r="F34" s="41">
        <v>277917.64</v>
      </c>
    </row>
    <row r="35" spans="1:8" x14ac:dyDescent="0.2">
      <c r="A35" s="40"/>
      <c r="B35" s="40"/>
      <c r="C35" s="40"/>
      <c r="D35" s="80"/>
      <c r="E35" s="80" t="s">
        <v>659</v>
      </c>
      <c r="F35" s="41">
        <v>6963.83</v>
      </c>
    </row>
    <row r="36" spans="1:8" ht="13.5" thickBot="1" x14ac:dyDescent="0.25">
      <c r="A36" s="40"/>
      <c r="B36" s="40"/>
      <c r="C36" s="40"/>
      <c r="D36" s="80"/>
      <c r="E36" s="80" t="s">
        <v>519</v>
      </c>
      <c r="F36" s="41">
        <v>15484.3</v>
      </c>
    </row>
    <row r="37" spans="1:8" ht="13.5" thickBot="1" x14ac:dyDescent="0.25">
      <c r="A37" s="40"/>
      <c r="B37" s="40"/>
      <c r="C37" s="40"/>
      <c r="D37" s="80" t="s">
        <v>381</v>
      </c>
      <c r="E37" s="80"/>
      <c r="F37" s="43">
        <f>F33+F35+F36+F34</f>
        <v>300365.77</v>
      </c>
    </row>
    <row r="38" spans="1:8" ht="13.5" thickBot="1" x14ac:dyDescent="0.25">
      <c r="A38" s="40"/>
      <c r="B38" s="40"/>
      <c r="C38" s="40" t="s">
        <v>382</v>
      </c>
      <c r="D38" s="80"/>
      <c r="E38" s="80"/>
      <c r="F38" s="45">
        <f>F37+F31</f>
        <v>303336.19</v>
      </c>
    </row>
    <row r="39" spans="1:8" x14ac:dyDescent="0.2">
      <c r="A39" s="40"/>
      <c r="B39" s="40" t="s">
        <v>320</v>
      </c>
      <c r="C39" s="40"/>
      <c r="D39" s="80"/>
      <c r="E39" s="80"/>
      <c r="F39" s="41">
        <f>F38</f>
        <v>303336.19</v>
      </c>
    </row>
    <row r="40" spans="1:8" x14ac:dyDescent="0.2">
      <c r="A40" s="40"/>
      <c r="B40" s="40" t="s">
        <v>160</v>
      </c>
      <c r="C40" s="40"/>
      <c r="D40" s="80"/>
      <c r="E40" s="80"/>
      <c r="F40" s="41"/>
    </row>
    <row r="41" spans="1:8" x14ac:dyDescent="0.2">
      <c r="A41" s="40"/>
      <c r="B41" s="40"/>
      <c r="C41" s="40" t="s">
        <v>520</v>
      </c>
      <c r="D41" s="80"/>
      <c r="E41" s="80"/>
      <c r="F41" s="41">
        <v>377364.76</v>
      </c>
    </row>
    <row r="42" spans="1:8" ht="13.5" thickBot="1" x14ac:dyDescent="0.25">
      <c r="A42" s="40"/>
      <c r="B42" s="40"/>
      <c r="C42" s="40" t="s">
        <v>387</v>
      </c>
      <c r="D42" s="80"/>
      <c r="E42" s="80"/>
      <c r="F42" s="41">
        <v>13632.75</v>
      </c>
      <c r="H42" s="74"/>
    </row>
    <row r="43" spans="1:8" ht="13.5" thickBot="1" x14ac:dyDescent="0.25">
      <c r="A43" s="40"/>
      <c r="B43" s="40" t="s">
        <v>331</v>
      </c>
      <c r="C43" s="40"/>
      <c r="D43" s="80"/>
      <c r="E43" s="80"/>
      <c r="F43" s="43">
        <f>F41+F42</f>
        <v>390997.51</v>
      </c>
    </row>
    <row r="44" spans="1:8" ht="13.5" thickBot="1" x14ac:dyDescent="0.25">
      <c r="A44" s="40" t="s">
        <v>388</v>
      </c>
      <c r="B44" s="40"/>
      <c r="C44" s="40"/>
      <c r="D44" s="80"/>
      <c r="E44" s="80"/>
      <c r="F44" s="44">
        <f>F39+F43</f>
        <v>694333.7</v>
      </c>
    </row>
    <row r="45" spans="1:8" ht="15.75" thickTop="1" x14ac:dyDescent="0.25">
      <c r="A45" s="39"/>
      <c r="B45" s="39"/>
      <c r="C45" s="39"/>
      <c r="D45" s="88"/>
      <c r="E45" s="88"/>
      <c r="F45" s="39"/>
    </row>
    <row r="46" spans="1:8" x14ac:dyDescent="0.2">
      <c r="F46" s="74">
        <f>F25-F44</f>
        <v>0</v>
      </c>
    </row>
  </sheetData>
  <mergeCells count="1">
    <mergeCell ref="A2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55"/>
  <sheetViews>
    <sheetView view="pageBreakPreview" zoomScale="75" zoomScaleNormal="75" zoomScaleSheetLayoutView="75" workbookViewId="0">
      <pane ySplit="4" topLeftCell="A116" activePane="bottomLeft" state="frozen"/>
      <selection activeCell="D162" sqref="D162"/>
      <selection pane="bottomLeft" activeCell="D158" sqref="D158"/>
    </sheetView>
  </sheetViews>
  <sheetFormatPr defaultColWidth="7.140625" defaultRowHeight="15" x14ac:dyDescent="0.2"/>
  <cols>
    <col min="1" max="1" width="57" style="2" customWidth="1"/>
    <col min="2" max="2" width="25.85546875" style="2" customWidth="1"/>
    <col min="3" max="3" width="7.5703125" style="2" customWidth="1"/>
    <col min="4" max="4" width="21.42578125" style="2" customWidth="1"/>
    <col min="5" max="5" width="7.5703125" style="2" customWidth="1"/>
    <col min="6" max="6" width="21.42578125" style="2" customWidth="1"/>
    <col min="7" max="7" width="7.5703125" style="2" customWidth="1"/>
    <col min="8" max="8" width="21.42578125" style="2" customWidth="1"/>
    <col min="9" max="9" width="7.5703125" style="2" customWidth="1"/>
    <col min="10" max="10" width="22.42578125" style="2" customWidth="1"/>
    <col min="11" max="11" width="7.5703125" style="2" customWidth="1"/>
    <col min="12" max="12" width="21.42578125" style="2" customWidth="1"/>
    <col min="13" max="13" width="7.5703125" style="2" customWidth="1"/>
    <col min="14" max="14" width="21.42578125" style="2" customWidth="1"/>
    <col min="15" max="15" width="7.5703125" style="2" customWidth="1"/>
    <col min="16" max="16" width="25.85546875" style="7" customWidth="1"/>
    <col min="17" max="17" width="63.28515625" style="2" bestFit="1" customWidth="1"/>
    <col min="18" max="18" width="25.85546875" style="59" customWidth="1"/>
    <col min="19" max="19" width="7.5703125" style="2" customWidth="1"/>
    <col min="20" max="20" width="21.42578125" style="59" customWidth="1"/>
    <col min="21" max="21" width="7.5703125" style="2" customWidth="1"/>
    <col min="22" max="22" width="22.140625" style="59" customWidth="1"/>
    <col min="23" max="23" width="2.85546875" style="2" customWidth="1"/>
    <col min="24" max="24" width="21.140625" style="59" customWidth="1"/>
    <col min="25" max="25" width="2.85546875" style="2" customWidth="1"/>
    <col min="26" max="26" width="23" style="59" customWidth="1"/>
    <col min="27" max="27" width="2.85546875" style="2" customWidth="1"/>
    <col min="28" max="28" width="23" style="59" customWidth="1"/>
    <col min="29" max="29" width="2.85546875" style="2" customWidth="1"/>
    <col min="30" max="30" width="24.28515625" style="59" customWidth="1"/>
    <col min="31" max="31" width="2.85546875" style="2" customWidth="1"/>
    <col min="32" max="32" width="24.85546875" style="2" customWidth="1"/>
    <col min="33" max="33" width="63.28515625" style="2" bestFit="1" customWidth="1"/>
    <col min="34" max="34" width="24.42578125" style="2" customWidth="1"/>
    <col min="35" max="35" width="2.85546875" style="2" customWidth="1"/>
    <col min="36" max="36" width="25.42578125" style="2" customWidth="1"/>
    <col min="37" max="37" width="2.85546875" style="2" customWidth="1"/>
    <col min="38" max="38" width="22.85546875" style="2" bestFit="1" customWidth="1"/>
    <col min="39" max="39" width="2.85546875" style="2" customWidth="1"/>
    <col min="40" max="40" width="24" style="2" bestFit="1" customWidth="1"/>
    <col min="41" max="41" width="2.85546875" style="2" customWidth="1"/>
    <col min="42" max="42" width="17.140625" style="2" customWidth="1"/>
    <col min="43" max="43" width="11.28515625" style="2" bestFit="1" customWidth="1"/>
    <col min="44" max="16384" width="7.140625" style="2"/>
  </cols>
  <sheetData>
    <row r="1" spans="1:42" s="29" customFormat="1" ht="46.5" x14ac:dyDescent="0.2">
      <c r="A1" s="155" t="s">
        <v>252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 t="s">
        <v>252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 t="s">
        <v>252</v>
      </c>
      <c r="AH1" s="155"/>
      <c r="AI1" s="155"/>
      <c r="AJ1" s="155"/>
      <c r="AK1" s="155"/>
      <c r="AL1" s="155"/>
      <c r="AM1" s="155"/>
      <c r="AN1" s="155"/>
      <c r="AO1" s="37"/>
      <c r="AP1" s="28"/>
    </row>
    <row r="2" spans="1:42" s="29" customFormat="1" ht="46.5" x14ac:dyDescent="0.2">
      <c r="A2" s="155" t="s">
        <v>721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 t="s">
        <v>722</v>
      </c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 t="s">
        <v>251</v>
      </c>
      <c r="AH2" s="155"/>
      <c r="AI2" s="155"/>
      <c r="AJ2" s="155"/>
      <c r="AK2" s="155"/>
      <c r="AL2" s="155"/>
      <c r="AM2" s="155"/>
      <c r="AN2" s="155"/>
      <c r="AO2" s="37"/>
      <c r="AP2" s="28"/>
    </row>
    <row r="3" spans="1:42" s="29" customFormat="1" ht="43.5" customHeight="1" x14ac:dyDescent="0.2">
      <c r="P3" s="30"/>
      <c r="R3" s="52"/>
      <c r="T3" s="52"/>
      <c r="V3" s="52"/>
      <c r="X3" s="52"/>
      <c r="Z3" s="52"/>
      <c r="AB3" s="52"/>
      <c r="AD3" s="52"/>
      <c r="AG3" s="155" t="s">
        <v>723</v>
      </c>
      <c r="AH3" s="155"/>
      <c r="AI3" s="155"/>
      <c r="AJ3" s="155"/>
      <c r="AK3" s="155"/>
      <c r="AL3" s="155"/>
      <c r="AM3" s="155"/>
      <c r="AN3" s="155"/>
    </row>
    <row r="4" spans="1:42" s="31" customFormat="1" ht="79.5" thickBot="1" x14ac:dyDescent="0.25">
      <c r="A4" s="32"/>
      <c r="B4" s="33" t="s">
        <v>240</v>
      </c>
      <c r="C4" s="33"/>
      <c r="D4" s="33" t="s">
        <v>241</v>
      </c>
      <c r="E4" s="33"/>
      <c r="F4" s="33" t="s">
        <v>242</v>
      </c>
      <c r="G4" s="33"/>
      <c r="H4" s="33" t="s">
        <v>243</v>
      </c>
      <c r="I4" s="33"/>
      <c r="J4" s="33" t="s">
        <v>244</v>
      </c>
      <c r="K4" s="33"/>
      <c r="L4" s="33" t="s">
        <v>473</v>
      </c>
      <c r="M4" s="33"/>
      <c r="N4" s="36" t="s">
        <v>502</v>
      </c>
      <c r="O4" s="33"/>
      <c r="P4" s="34" t="s">
        <v>245</v>
      </c>
      <c r="Q4" s="35"/>
      <c r="R4" s="53" t="s">
        <v>240</v>
      </c>
      <c r="S4" s="33"/>
      <c r="T4" s="53" t="s">
        <v>241</v>
      </c>
      <c r="U4" s="33"/>
      <c r="V4" s="53" t="s">
        <v>242</v>
      </c>
      <c r="W4" s="33"/>
      <c r="X4" s="53" t="s">
        <v>243</v>
      </c>
      <c r="Y4" s="33"/>
      <c r="Z4" s="53" t="s">
        <v>244</v>
      </c>
      <c r="AA4" s="33"/>
      <c r="AB4" s="53" t="s">
        <v>473</v>
      </c>
      <c r="AC4" s="33"/>
      <c r="AD4" s="64" t="s">
        <v>502</v>
      </c>
      <c r="AE4" s="33"/>
      <c r="AF4" s="34" t="s">
        <v>245</v>
      </c>
      <c r="AG4" s="35"/>
      <c r="AH4" s="33">
        <v>2020</v>
      </c>
      <c r="AI4" s="33"/>
      <c r="AJ4" s="33">
        <v>2019</v>
      </c>
      <c r="AK4" s="33"/>
      <c r="AL4" s="36" t="s">
        <v>711</v>
      </c>
      <c r="AM4" s="36"/>
      <c r="AN4" s="36" t="s">
        <v>712</v>
      </c>
      <c r="AO4" s="36"/>
      <c r="AP4" s="36" t="s">
        <v>566</v>
      </c>
    </row>
    <row r="5" spans="1:42" s="9" customFormat="1" ht="24.95" customHeight="1" x14ac:dyDescent="0.2">
      <c r="A5" s="8" t="s">
        <v>2</v>
      </c>
      <c r="P5" s="10"/>
      <c r="Q5" s="8" t="s">
        <v>2</v>
      </c>
      <c r="R5" s="65"/>
      <c r="T5" s="65"/>
      <c r="V5" s="65"/>
      <c r="X5" s="65"/>
      <c r="Z5" s="65"/>
      <c r="AB5" s="65"/>
      <c r="AD5" s="65"/>
      <c r="AG5" s="8" t="s">
        <v>2</v>
      </c>
    </row>
    <row r="6" spans="1:42" s="9" customFormat="1" ht="24.95" customHeight="1" x14ac:dyDescent="0.2">
      <c r="A6" s="8" t="s">
        <v>253</v>
      </c>
      <c r="P6" s="10"/>
      <c r="Q6" s="8" t="s">
        <v>253</v>
      </c>
      <c r="R6" s="65"/>
      <c r="T6" s="65"/>
      <c r="V6" s="65"/>
      <c r="X6" s="65"/>
      <c r="Z6" s="65"/>
      <c r="AB6" s="65"/>
      <c r="AD6" s="65"/>
      <c r="AG6" s="8" t="s">
        <v>253</v>
      </c>
    </row>
    <row r="7" spans="1:42" s="9" customFormat="1" ht="24.95" customHeight="1" x14ac:dyDescent="0.35">
      <c r="A7" s="11" t="s">
        <v>246</v>
      </c>
      <c r="B7" s="12">
        <f>SUM(CNT!S9:S15)</f>
        <v>12175040.52</v>
      </c>
      <c r="C7" s="12"/>
      <c r="D7" s="12">
        <f>SUM(BPM!S11)</f>
        <v>400527.6</v>
      </c>
      <c r="E7" s="12"/>
      <c r="F7" s="12">
        <f>SUM(DEP!S7)</f>
        <v>1474637.76</v>
      </c>
      <c r="G7" s="12"/>
      <c r="H7" s="12">
        <f>Lending!F13</f>
        <v>22465.58</v>
      </c>
      <c r="J7" s="12">
        <f>BSC!F5+BSC!F6+BSC!F7</f>
        <v>219368.79</v>
      </c>
      <c r="L7" s="12">
        <f>'Oliari Co'!F10</f>
        <v>516029.67</v>
      </c>
      <c r="N7" s="12">
        <f>'722 Bedford St'!E10</f>
        <v>134223.62</v>
      </c>
      <c r="P7" s="12">
        <f>SUM(B7:N7)</f>
        <v>14942293.539999997</v>
      </c>
      <c r="Q7" s="11" t="s">
        <v>246</v>
      </c>
      <c r="R7" s="54">
        <v>6743347.3199999994</v>
      </c>
      <c r="S7" s="12"/>
      <c r="T7" s="54">
        <v>541872.43999999994</v>
      </c>
      <c r="U7" s="12"/>
      <c r="V7" s="54">
        <v>255565.97</v>
      </c>
      <c r="W7" s="12"/>
      <c r="X7" s="54">
        <v>3825</v>
      </c>
      <c r="Z7" s="54">
        <v>533383.14</v>
      </c>
      <c r="AB7" s="54">
        <v>416802.32</v>
      </c>
      <c r="AD7" s="54">
        <v>23389.119999999999</v>
      </c>
      <c r="AF7" s="12">
        <f>SUM(R7:AD7)</f>
        <v>8518185.3099999987</v>
      </c>
      <c r="AG7" s="11" t="s">
        <v>246</v>
      </c>
      <c r="AH7" s="122">
        <f>P7</f>
        <v>14942293.539999997</v>
      </c>
      <c r="AI7" s="12"/>
      <c r="AJ7" s="12">
        <f>AF7</f>
        <v>8518185.3099999987</v>
      </c>
      <c r="AK7" s="12"/>
      <c r="AL7" s="12">
        <f t="shared" ref="AL7:AL13" si="0">AH7-AJ7</f>
        <v>6424108.2299999986</v>
      </c>
      <c r="AM7" s="12"/>
      <c r="AN7" s="13">
        <f>AH7/AJ7</f>
        <v>1.7541639441041932</v>
      </c>
      <c r="AO7" s="13"/>
      <c r="AP7" s="14">
        <f t="shared" ref="AP7:AP13" si="1">AN7-1</f>
        <v>0.75416394410419318</v>
      </c>
    </row>
    <row r="8" spans="1:42" s="9" customFormat="1" ht="24.95" customHeight="1" x14ac:dyDescent="0.2">
      <c r="A8" s="9" t="s">
        <v>247</v>
      </c>
      <c r="B8" s="12">
        <f>CNT!S16</f>
        <v>59550740.170000002</v>
      </c>
      <c r="C8" s="12"/>
      <c r="D8" s="12">
        <f>SUM(BPM!S12:S13)</f>
        <v>71398.2</v>
      </c>
      <c r="E8" s="12"/>
      <c r="F8" s="12">
        <f>SUM(DEP!S8)</f>
        <v>1017.77</v>
      </c>
      <c r="G8" s="12"/>
      <c r="H8" s="12">
        <v>0</v>
      </c>
      <c r="J8" s="12">
        <v>0</v>
      </c>
      <c r="L8" s="12">
        <v>0</v>
      </c>
      <c r="N8" s="12">
        <v>0</v>
      </c>
      <c r="P8" s="12">
        <f t="shared" ref="P8:P30" si="2">SUM(B8:N8)</f>
        <v>59623156.140000008</v>
      </c>
      <c r="Q8" s="9" t="s">
        <v>247</v>
      </c>
      <c r="R8" s="54">
        <v>10912218.73</v>
      </c>
      <c r="S8" s="12"/>
      <c r="T8" s="54">
        <v>467604.25</v>
      </c>
      <c r="U8" s="12"/>
      <c r="V8" s="54">
        <v>87072.33</v>
      </c>
      <c r="W8" s="12"/>
      <c r="X8" s="54">
        <v>0</v>
      </c>
      <c r="Z8" s="54">
        <v>0</v>
      </c>
      <c r="AB8" s="54">
        <v>0</v>
      </c>
      <c r="AD8" s="54">
        <v>0</v>
      </c>
      <c r="AF8" s="12">
        <f t="shared" ref="AF8:AF30" si="3">SUM(R8:AD8)</f>
        <v>11466895.310000001</v>
      </c>
      <c r="AG8" s="9" t="s">
        <v>247</v>
      </c>
      <c r="AH8" s="122">
        <f t="shared" ref="AH8:AH30" si="4">P8</f>
        <v>59623156.140000008</v>
      </c>
      <c r="AI8" s="12"/>
      <c r="AJ8" s="12">
        <f t="shared" ref="AJ8:AJ30" si="5">AF8</f>
        <v>11466895.310000001</v>
      </c>
      <c r="AK8" s="12"/>
      <c r="AL8" s="12">
        <f t="shared" si="0"/>
        <v>48156260.830000006</v>
      </c>
      <c r="AM8" s="12"/>
      <c r="AN8" s="13">
        <f>AH8/AJ8</f>
        <v>5.1995901704975109</v>
      </c>
      <c r="AO8" s="13"/>
      <c r="AP8" s="14">
        <f t="shared" si="1"/>
        <v>4.1995901704975109</v>
      </c>
    </row>
    <row r="9" spans="1:42" s="9" customFormat="1" ht="24.95" customHeight="1" x14ac:dyDescent="0.2">
      <c r="A9" s="9" t="s">
        <v>254</v>
      </c>
      <c r="B9" s="12">
        <f>CNT!S49</f>
        <v>71260.14</v>
      </c>
      <c r="C9" s="12"/>
      <c r="D9" s="12">
        <v>0</v>
      </c>
      <c r="E9" s="12"/>
      <c r="F9" s="12">
        <f>DEP!S31</f>
        <v>3307.48</v>
      </c>
      <c r="G9" s="12"/>
      <c r="H9" s="12">
        <f>Lending!F16+Lending!F18</f>
        <v>863111.40999999992</v>
      </c>
      <c r="J9" s="12">
        <v>0</v>
      </c>
      <c r="L9" s="12">
        <v>0</v>
      </c>
      <c r="N9" s="12">
        <f>'722 Bedford St'!E16</f>
        <v>0</v>
      </c>
      <c r="P9" s="12">
        <f t="shared" si="2"/>
        <v>937679.02999999991</v>
      </c>
      <c r="Q9" s="9" t="s">
        <v>254</v>
      </c>
      <c r="R9" s="54">
        <v>58081.79</v>
      </c>
      <c r="S9" s="12"/>
      <c r="T9" s="54">
        <v>0</v>
      </c>
      <c r="U9" s="12"/>
      <c r="V9" s="54">
        <v>0</v>
      </c>
      <c r="W9" s="12"/>
      <c r="X9" s="54">
        <v>694225.71</v>
      </c>
      <c r="Z9" s="54">
        <v>0</v>
      </c>
      <c r="AB9" s="54">
        <v>0</v>
      </c>
      <c r="AD9" s="54">
        <v>0</v>
      </c>
      <c r="AF9" s="12">
        <f t="shared" si="3"/>
        <v>752307.5</v>
      </c>
      <c r="AG9" s="9" t="s">
        <v>254</v>
      </c>
      <c r="AH9" s="122">
        <f t="shared" si="4"/>
        <v>937679.02999999991</v>
      </c>
      <c r="AI9" s="12"/>
      <c r="AJ9" s="12">
        <f t="shared" si="5"/>
        <v>752307.5</v>
      </c>
      <c r="AK9" s="12"/>
      <c r="AL9" s="12">
        <f t="shared" si="0"/>
        <v>185371.52999999991</v>
      </c>
      <c r="AM9" s="12"/>
      <c r="AN9" s="13">
        <f t="shared" ref="AN9:AN13" si="6">AH9/AJ9</f>
        <v>1.2464039372198203</v>
      </c>
      <c r="AO9" s="13"/>
      <c r="AP9" s="14">
        <f t="shared" si="1"/>
        <v>0.24640393721982035</v>
      </c>
    </row>
    <row r="10" spans="1:42" s="9" customFormat="1" ht="24.95" customHeight="1" x14ac:dyDescent="0.2">
      <c r="A10" s="9" t="s">
        <v>255</v>
      </c>
      <c r="B10" s="12">
        <f>CNT!S42</f>
        <v>1560</v>
      </c>
      <c r="C10" s="12"/>
      <c r="D10" s="12">
        <v>0</v>
      </c>
      <c r="E10" s="12"/>
      <c r="F10" s="12">
        <f>DEP!S16+DEP!S17+DEP!S18</f>
        <v>181998.65999999997</v>
      </c>
      <c r="G10" s="12"/>
      <c r="H10" s="12">
        <v>0</v>
      </c>
      <c r="J10" s="12">
        <v>0</v>
      </c>
      <c r="L10" s="12">
        <v>0</v>
      </c>
      <c r="N10" s="12">
        <v>0</v>
      </c>
      <c r="P10" s="12">
        <f t="shared" si="2"/>
        <v>183558.65999999997</v>
      </c>
      <c r="Q10" s="9" t="s">
        <v>255</v>
      </c>
      <c r="R10" s="54">
        <v>0</v>
      </c>
      <c r="S10" s="12"/>
      <c r="T10" s="54">
        <v>0</v>
      </c>
      <c r="U10" s="12"/>
      <c r="V10" s="54">
        <v>114150.39000000001</v>
      </c>
      <c r="W10" s="12"/>
      <c r="X10" s="54">
        <v>0</v>
      </c>
      <c r="Z10" s="54">
        <v>0</v>
      </c>
      <c r="AB10" s="54">
        <v>0</v>
      </c>
      <c r="AD10" s="54">
        <v>0</v>
      </c>
      <c r="AF10" s="12">
        <f t="shared" si="3"/>
        <v>114150.39000000001</v>
      </c>
      <c r="AG10" s="9" t="s">
        <v>255</v>
      </c>
      <c r="AH10" s="122">
        <f t="shared" si="4"/>
        <v>183558.65999999997</v>
      </c>
      <c r="AI10" s="12"/>
      <c r="AJ10" s="12">
        <f t="shared" si="5"/>
        <v>114150.39000000001</v>
      </c>
      <c r="AK10" s="12"/>
      <c r="AL10" s="12">
        <f t="shared" si="0"/>
        <v>69408.26999999996</v>
      </c>
      <c r="AM10" s="12"/>
      <c r="AN10" s="13">
        <f t="shared" si="6"/>
        <v>1.6080423378316968</v>
      </c>
      <c r="AO10" s="13"/>
      <c r="AP10" s="14">
        <f t="shared" si="1"/>
        <v>0.60804233783169681</v>
      </c>
    </row>
    <row r="11" spans="1:42" s="9" customFormat="1" ht="24.95" customHeight="1" x14ac:dyDescent="0.2">
      <c r="A11" s="9" t="s">
        <v>256</v>
      </c>
      <c r="B11" s="12">
        <f>SUM(CNT!S29:S32,CNT!S43:S45)</f>
        <v>705675.51</v>
      </c>
      <c r="C11" s="12"/>
      <c r="D11" s="12">
        <f>SUM(BPM!S18)</f>
        <v>0</v>
      </c>
      <c r="E11" s="12"/>
      <c r="F11" s="12">
        <f>DEP!S10+DEP!S9+DEP!S11</f>
        <v>5706322.3200000003</v>
      </c>
      <c r="G11" s="12"/>
      <c r="H11" s="12">
        <v>0</v>
      </c>
      <c r="J11" s="12">
        <f>BSC!F13</f>
        <v>250000</v>
      </c>
      <c r="L11" s="12">
        <f>'Oliari Co'!F17</f>
        <v>1694219.03</v>
      </c>
      <c r="N11" s="12">
        <f>'722 Bedford St'!E13+'722 Bedford St'!E14</f>
        <v>818750</v>
      </c>
      <c r="P11" s="12">
        <f t="shared" si="2"/>
        <v>9174966.8599999994</v>
      </c>
      <c r="Q11" s="9" t="s">
        <v>256</v>
      </c>
      <c r="R11" s="54">
        <v>512510.45999999996</v>
      </c>
      <c r="S11" s="12"/>
      <c r="T11" s="54">
        <v>1780000</v>
      </c>
      <c r="U11" s="12"/>
      <c r="V11" s="54">
        <v>4600000</v>
      </c>
      <c r="W11" s="12"/>
      <c r="X11" s="54">
        <v>0</v>
      </c>
      <c r="Z11" s="54">
        <v>0</v>
      </c>
      <c r="AB11" s="54">
        <v>1473476.37</v>
      </c>
      <c r="AD11" s="54">
        <v>128640.72</v>
      </c>
      <c r="AF11" s="12">
        <f t="shared" si="3"/>
        <v>8494627.5500000007</v>
      </c>
      <c r="AG11" s="9" t="s">
        <v>256</v>
      </c>
      <c r="AH11" s="122">
        <f t="shared" si="4"/>
        <v>9174966.8599999994</v>
      </c>
      <c r="AI11" s="12"/>
      <c r="AJ11" s="12">
        <f t="shared" si="5"/>
        <v>8494627.5500000007</v>
      </c>
      <c r="AK11" s="12"/>
      <c r="AL11" s="12">
        <f t="shared" si="0"/>
        <v>680339.30999999866</v>
      </c>
      <c r="AM11" s="12"/>
      <c r="AN11" s="13">
        <f t="shared" si="6"/>
        <v>1.0800905402850769</v>
      </c>
      <c r="AO11" s="13"/>
      <c r="AP11" s="14">
        <f t="shared" si="1"/>
        <v>8.0090540285076894E-2</v>
      </c>
    </row>
    <row r="12" spans="1:42" s="9" customFormat="1" ht="24.95" customHeight="1" x14ac:dyDescent="0.2">
      <c r="A12" s="9" t="s">
        <v>257</v>
      </c>
      <c r="B12" s="12">
        <f>SUM(CNT!S46:S48)</f>
        <v>6343160.3700000001</v>
      </c>
      <c r="C12" s="12"/>
      <c r="D12" s="12">
        <v>0</v>
      </c>
      <c r="E12" s="12"/>
      <c r="F12" s="12">
        <v>0</v>
      </c>
      <c r="G12" s="12"/>
      <c r="H12" s="12">
        <v>0</v>
      </c>
      <c r="J12" s="12">
        <v>0</v>
      </c>
      <c r="L12" s="12">
        <v>0</v>
      </c>
      <c r="N12" s="12">
        <v>0</v>
      </c>
      <c r="P12" s="12">
        <f t="shared" si="2"/>
        <v>6343160.3700000001</v>
      </c>
      <c r="Q12" s="9" t="s">
        <v>257</v>
      </c>
      <c r="R12" s="54">
        <v>2797327.4899999998</v>
      </c>
      <c r="S12" s="12"/>
      <c r="T12" s="54">
        <v>0</v>
      </c>
      <c r="U12" s="12"/>
      <c r="V12" s="54">
        <v>0</v>
      </c>
      <c r="W12" s="12"/>
      <c r="X12" s="54">
        <v>0</v>
      </c>
      <c r="Z12" s="54">
        <v>0</v>
      </c>
      <c r="AB12" s="54">
        <v>0</v>
      </c>
      <c r="AD12" s="54">
        <v>0</v>
      </c>
      <c r="AF12" s="12">
        <f t="shared" si="3"/>
        <v>2797327.4899999998</v>
      </c>
      <c r="AG12" s="9" t="s">
        <v>257</v>
      </c>
      <c r="AH12" s="122">
        <f t="shared" si="4"/>
        <v>6343160.3700000001</v>
      </c>
      <c r="AI12" s="12"/>
      <c r="AJ12" s="12">
        <f t="shared" si="5"/>
        <v>2797327.4899999998</v>
      </c>
      <c r="AK12" s="12"/>
      <c r="AL12" s="12">
        <f t="shared" si="0"/>
        <v>3545832.8800000004</v>
      </c>
      <c r="AM12" s="12"/>
      <c r="AN12" s="13">
        <f t="shared" si="6"/>
        <v>2.2675787488864954</v>
      </c>
      <c r="AO12" s="13"/>
      <c r="AP12" s="14">
        <f t="shared" si="1"/>
        <v>1.2675787488864954</v>
      </c>
    </row>
    <row r="13" spans="1:42" s="9" customFormat="1" ht="24.95" customHeight="1" x14ac:dyDescent="0.2">
      <c r="A13" s="15" t="s">
        <v>258</v>
      </c>
      <c r="B13" s="12">
        <f>CNT!S40</f>
        <v>-282985</v>
      </c>
      <c r="C13" s="12"/>
      <c r="D13" s="12">
        <f>BPM!S21</f>
        <v>0</v>
      </c>
      <c r="E13" s="12"/>
      <c r="F13" s="12">
        <v>0</v>
      </c>
      <c r="G13" s="12"/>
      <c r="H13" s="12">
        <v>0</v>
      </c>
      <c r="I13" s="12"/>
      <c r="J13" s="12">
        <f>BSC!F11</f>
        <v>0</v>
      </c>
      <c r="K13" s="12"/>
      <c r="L13" s="12">
        <v>0</v>
      </c>
      <c r="M13" s="12"/>
      <c r="N13" s="12">
        <v>0</v>
      </c>
      <c r="O13" s="12"/>
      <c r="P13" s="12">
        <f t="shared" si="2"/>
        <v>-282985</v>
      </c>
      <c r="Q13" s="15" t="s">
        <v>258</v>
      </c>
      <c r="R13" s="54">
        <v>411483.02</v>
      </c>
      <c r="S13" s="12"/>
      <c r="T13" s="54">
        <v>0</v>
      </c>
      <c r="U13" s="12"/>
      <c r="V13" s="54">
        <v>0</v>
      </c>
      <c r="W13" s="12"/>
      <c r="X13" s="54">
        <v>0</v>
      </c>
      <c r="Y13" s="12"/>
      <c r="Z13" s="54">
        <v>0</v>
      </c>
      <c r="AA13" s="12"/>
      <c r="AB13" s="54">
        <v>0</v>
      </c>
      <c r="AC13" s="12"/>
      <c r="AD13" s="54">
        <v>0</v>
      </c>
      <c r="AE13" s="12"/>
      <c r="AF13" s="12">
        <f t="shared" si="3"/>
        <v>411483.02</v>
      </c>
      <c r="AG13" s="15" t="s">
        <v>258</v>
      </c>
      <c r="AH13" s="122">
        <f t="shared" si="4"/>
        <v>-282985</v>
      </c>
      <c r="AI13" s="12"/>
      <c r="AJ13" s="12">
        <f t="shared" si="5"/>
        <v>411483.02</v>
      </c>
      <c r="AK13" s="12"/>
      <c r="AL13" s="12">
        <f t="shared" si="0"/>
        <v>-694468.02</v>
      </c>
      <c r="AM13" s="12"/>
      <c r="AN13" s="13">
        <f t="shared" si="6"/>
        <v>-0.68771975086602599</v>
      </c>
      <c r="AO13" s="13"/>
      <c r="AP13" s="14">
        <f t="shared" si="1"/>
        <v>-1.687719750866026</v>
      </c>
    </row>
    <row r="14" spans="1:42" s="9" customFormat="1" ht="24.95" customHeight="1" x14ac:dyDescent="0.2">
      <c r="A14" s="9" t="s">
        <v>248</v>
      </c>
      <c r="B14" s="12">
        <f>CNT!S18</f>
        <v>37047450.5</v>
      </c>
      <c r="C14" s="12"/>
      <c r="D14" s="12">
        <f>BPM!S14</f>
        <v>0</v>
      </c>
      <c r="E14" s="12"/>
      <c r="F14" s="12">
        <v>0</v>
      </c>
      <c r="G14" s="12"/>
      <c r="H14" s="12">
        <v>0</v>
      </c>
      <c r="J14" s="12">
        <v>0</v>
      </c>
      <c r="L14" s="12">
        <v>0</v>
      </c>
      <c r="N14" s="12">
        <v>0</v>
      </c>
      <c r="P14" s="12">
        <f t="shared" si="2"/>
        <v>37047450.5</v>
      </c>
      <c r="Q14" s="9" t="s">
        <v>248</v>
      </c>
      <c r="R14" s="54">
        <v>91198464.469999999</v>
      </c>
      <c r="S14" s="12"/>
      <c r="T14" s="54">
        <v>52199.56</v>
      </c>
      <c r="U14" s="12"/>
      <c r="V14" s="54">
        <v>0</v>
      </c>
      <c r="W14" s="12"/>
      <c r="X14" s="54">
        <v>0</v>
      </c>
      <c r="Z14" s="54">
        <v>0</v>
      </c>
      <c r="AB14" s="54">
        <v>0</v>
      </c>
      <c r="AD14" s="54">
        <v>0</v>
      </c>
      <c r="AF14" s="12">
        <f t="shared" si="3"/>
        <v>91250664.030000001</v>
      </c>
      <c r="AG14" s="9" t="s">
        <v>248</v>
      </c>
      <c r="AH14" s="122">
        <f t="shared" si="4"/>
        <v>37047450.5</v>
      </c>
      <c r="AI14" s="12"/>
      <c r="AJ14" s="12">
        <f t="shared" si="5"/>
        <v>91250664.030000001</v>
      </c>
      <c r="AK14" s="12"/>
      <c r="AL14" s="12">
        <f t="shared" ref="AL14:AL30" si="7">AH14-AJ14</f>
        <v>-54203213.530000001</v>
      </c>
      <c r="AM14" s="12"/>
      <c r="AN14" s="13">
        <f t="shared" ref="AN14:AN24" si="8">AH14/AJ14</f>
        <v>0.40599650308100887</v>
      </c>
      <c r="AO14" s="13"/>
      <c r="AP14" s="14">
        <f t="shared" ref="AP14:AP31" si="9">AN14-1</f>
        <v>-0.59400349691899113</v>
      </c>
    </row>
    <row r="15" spans="1:42" s="9" customFormat="1" ht="24.95" customHeight="1" x14ac:dyDescent="0.2">
      <c r="A15" s="9" t="s">
        <v>249</v>
      </c>
      <c r="B15" s="12">
        <f>CNT!S19</f>
        <v>103537080.8</v>
      </c>
      <c r="C15" s="12"/>
      <c r="D15" s="12">
        <f>BPM!S15</f>
        <v>0</v>
      </c>
      <c r="E15" s="12"/>
      <c r="F15" s="12">
        <v>0</v>
      </c>
      <c r="G15" s="12"/>
      <c r="H15" s="12">
        <v>0</v>
      </c>
      <c r="J15" s="12">
        <v>0</v>
      </c>
      <c r="L15" s="12">
        <v>0</v>
      </c>
      <c r="N15" s="12">
        <v>0</v>
      </c>
      <c r="P15" s="12">
        <f t="shared" si="2"/>
        <v>103537080.8</v>
      </c>
      <c r="Q15" s="9" t="s">
        <v>249</v>
      </c>
      <c r="R15" s="54">
        <v>82606038.780000001</v>
      </c>
      <c r="S15" s="12"/>
      <c r="T15" s="54">
        <v>5468.7</v>
      </c>
      <c r="U15" s="12"/>
      <c r="V15" s="54">
        <v>0</v>
      </c>
      <c r="W15" s="12"/>
      <c r="X15" s="54">
        <v>0</v>
      </c>
      <c r="Z15" s="54">
        <v>0</v>
      </c>
      <c r="AB15" s="54">
        <v>0</v>
      </c>
      <c r="AD15" s="54">
        <v>0</v>
      </c>
      <c r="AF15" s="12">
        <f t="shared" si="3"/>
        <v>82611507.480000004</v>
      </c>
      <c r="AG15" s="9" t="s">
        <v>249</v>
      </c>
      <c r="AH15" s="122">
        <f t="shared" si="4"/>
        <v>103537080.8</v>
      </c>
      <c r="AI15" s="12"/>
      <c r="AJ15" s="12">
        <f t="shared" si="5"/>
        <v>82611507.480000004</v>
      </c>
      <c r="AK15" s="12"/>
      <c r="AL15" s="12">
        <f t="shared" si="7"/>
        <v>20925573.319999993</v>
      </c>
      <c r="AM15" s="12"/>
      <c r="AN15" s="13">
        <f t="shared" si="8"/>
        <v>1.2533009499320178</v>
      </c>
      <c r="AO15" s="13"/>
      <c r="AP15" s="14">
        <f t="shared" si="9"/>
        <v>0.25330094993201779</v>
      </c>
    </row>
    <row r="16" spans="1:42" s="9" customFormat="1" ht="24.95" customHeight="1" x14ac:dyDescent="0.2">
      <c r="A16" s="9" t="s">
        <v>250</v>
      </c>
      <c r="B16" s="12">
        <f>CNT!S20</f>
        <v>421655.88</v>
      </c>
      <c r="C16" s="12"/>
      <c r="D16" s="12">
        <f>BPM!S16</f>
        <v>0</v>
      </c>
      <c r="E16" s="12"/>
      <c r="F16" s="12">
        <v>0</v>
      </c>
      <c r="G16" s="12"/>
      <c r="H16" s="12">
        <v>0</v>
      </c>
      <c r="J16" s="12">
        <v>0</v>
      </c>
      <c r="L16" s="12">
        <v>0</v>
      </c>
      <c r="N16" s="12">
        <v>0</v>
      </c>
      <c r="P16" s="12">
        <f t="shared" si="2"/>
        <v>421655.88</v>
      </c>
      <c r="Q16" s="9" t="s">
        <v>250</v>
      </c>
      <c r="R16" s="54">
        <v>842696.44</v>
      </c>
      <c r="S16" s="12"/>
      <c r="T16" s="54">
        <v>94.5</v>
      </c>
      <c r="U16" s="12"/>
      <c r="V16" s="54">
        <v>0</v>
      </c>
      <c r="W16" s="12"/>
      <c r="X16" s="54">
        <v>0</v>
      </c>
      <c r="Z16" s="54">
        <v>0</v>
      </c>
      <c r="AB16" s="54">
        <v>0</v>
      </c>
      <c r="AD16" s="54">
        <v>0</v>
      </c>
      <c r="AF16" s="12">
        <f t="shared" si="3"/>
        <v>842790.94</v>
      </c>
      <c r="AG16" s="9" t="s">
        <v>250</v>
      </c>
      <c r="AH16" s="122">
        <f t="shared" si="4"/>
        <v>421655.88</v>
      </c>
      <c r="AI16" s="12"/>
      <c r="AJ16" s="12">
        <f t="shared" si="5"/>
        <v>842790.94</v>
      </c>
      <c r="AK16" s="12"/>
      <c r="AL16" s="12">
        <f t="shared" si="7"/>
        <v>-421135.05999999994</v>
      </c>
      <c r="AM16" s="12"/>
      <c r="AN16" s="13">
        <f t="shared" si="8"/>
        <v>0.50030898528643419</v>
      </c>
      <c r="AO16" s="13"/>
      <c r="AP16" s="14">
        <f t="shared" si="9"/>
        <v>-0.49969101471356581</v>
      </c>
    </row>
    <row r="17" spans="1:42" s="9" customFormat="1" ht="24.95" customHeight="1" x14ac:dyDescent="0.2">
      <c r="A17" s="9" t="s">
        <v>259</v>
      </c>
      <c r="B17" s="12">
        <f>CNT!S21</f>
        <v>1633475.51</v>
      </c>
      <c r="C17" s="12"/>
      <c r="D17" s="12">
        <v>0</v>
      </c>
      <c r="E17" s="12"/>
      <c r="F17" s="12">
        <v>0</v>
      </c>
      <c r="G17" s="12"/>
      <c r="H17" s="12">
        <v>0</v>
      </c>
      <c r="J17" s="12">
        <v>0</v>
      </c>
      <c r="L17" s="12">
        <v>0</v>
      </c>
      <c r="N17" s="12">
        <v>0</v>
      </c>
      <c r="P17" s="12">
        <f t="shared" si="2"/>
        <v>1633475.51</v>
      </c>
      <c r="Q17" s="9" t="s">
        <v>259</v>
      </c>
      <c r="R17" s="54">
        <v>2281364.31</v>
      </c>
      <c r="S17" s="12"/>
      <c r="T17" s="54">
        <v>0</v>
      </c>
      <c r="U17" s="12"/>
      <c r="V17" s="54">
        <v>0</v>
      </c>
      <c r="W17" s="12"/>
      <c r="X17" s="54">
        <v>0</v>
      </c>
      <c r="Z17" s="54">
        <v>0</v>
      </c>
      <c r="AB17" s="54">
        <v>0</v>
      </c>
      <c r="AD17" s="54">
        <v>0</v>
      </c>
      <c r="AF17" s="12">
        <f t="shared" si="3"/>
        <v>2281364.31</v>
      </c>
      <c r="AG17" s="9" t="s">
        <v>259</v>
      </c>
      <c r="AH17" s="122">
        <f t="shared" si="4"/>
        <v>1633475.51</v>
      </c>
      <c r="AI17" s="12"/>
      <c r="AJ17" s="12">
        <f t="shared" si="5"/>
        <v>2281364.31</v>
      </c>
      <c r="AK17" s="12"/>
      <c r="AL17" s="12">
        <f t="shared" si="7"/>
        <v>-647888.80000000005</v>
      </c>
      <c r="AM17" s="12"/>
      <c r="AN17" s="13">
        <f t="shared" si="8"/>
        <v>0.71600818108704434</v>
      </c>
      <c r="AO17" s="13"/>
      <c r="AP17" s="14">
        <f t="shared" si="9"/>
        <v>-0.28399181891295566</v>
      </c>
    </row>
    <row r="18" spans="1:42" s="9" customFormat="1" ht="24.95" customHeight="1" x14ac:dyDescent="0.2">
      <c r="A18" s="9" t="s">
        <v>260</v>
      </c>
      <c r="B18" s="12">
        <f>CNT!S22</f>
        <v>0</v>
      </c>
      <c r="C18" s="12"/>
      <c r="D18" s="12">
        <f>BPM!S17</f>
        <v>0</v>
      </c>
      <c r="E18" s="12"/>
      <c r="F18" s="12">
        <v>0</v>
      </c>
      <c r="G18" s="12"/>
      <c r="H18" s="12">
        <v>0</v>
      </c>
      <c r="J18" s="12">
        <v>0</v>
      </c>
      <c r="L18" s="12">
        <v>0</v>
      </c>
      <c r="N18" s="12">
        <v>0</v>
      </c>
      <c r="P18" s="12">
        <f t="shared" si="2"/>
        <v>0</v>
      </c>
      <c r="Q18" s="9" t="s">
        <v>260</v>
      </c>
      <c r="R18" s="54">
        <v>54688.35</v>
      </c>
      <c r="S18" s="12"/>
      <c r="T18" s="54">
        <v>0</v>
      </c>
      <c r="U18" s="12"/>
      <c r="V18" s="54">
        <v>0</v>
      </c>
      <c r="W18" s="12"/>
      <c r="X18" s="54">
        <v>0</v>
      </c>
      <c r="Z18" s="54">
        <v>0</v>
      </c>
      <c r="AB18" s="54">
        <v>0</v>
      </c>
      <c r="AD18" s="54">
        <v>0</v>
      </c>
      <c r="AF18" s="12">
        <f t="shared" si="3"/>
        <v>54688.35</v>
      </c>
      <c r="AG18" s="9" t="s">
        <v>260</v>
      </c>
      <c r="AH18" s="122">
        <f t="shared" si="4"/>
        <v>0</v>
      </c>
      <c r="AI18" s="12"/>
      <c r="AJ18" s="12">
        <f t="shared" si="5"/>
        <v>54688.35</v>
      </c>
      <c r="AK18" s="12"/>
      <c r="AL18" s="12">
        <f t="shared" si="7"/>
        <v>-54688.35</v>
      </c>
      <c r="AM18" s="12"/>
      <c r="AN18" s="13">
        <f t="shared" si="8"/>
        <v>0</v>
      </c>
      <c r="AO18" s="13"/>
      <c r="AP18" s="14">
        <f t="shared" si="9"/>
        <v>-1</v>
      </c>
    </row>
    <row r="19" spans="1:42" s="9" customFormat="1" ht="24.95" customHeight="1" x14ac:dyDescent="0.2">
      <c r="A19" s="9" t="s">
        <v>261</v>
      </c>
      <c r="B19" s="12">
        <f>CNT!S23</f>
        <v>835262.51</v>
      </c>
      <c r="C19" s="12"/>
      <c r="D19" s="12">
        <v>0</v>
      </c>
      <c r="E19" s="12"/>
      <c r="F19" s="12">
        <v>0</v>
      </c>
      <c r="G19" s="12"/>
      <c r="H19" s="12">
        <v>0</v>
      </c>
      <c r="J19" s="12">
        <v>0</v>
      </c>
      <c r="L19" s="12">
        <v>0</v>
      </c>
      <c r="N19" s="12">
        <v>0</v>
      </c>
      <c r="P19" s="12">
        <f t="shared" si="2"/>
        <v>835262.51</v>
      </c>
      <c r="Q19" s="9" t="s">
        <v>261</v>
      </c>
      <c r="R19" s="54">
        <v>1223008.6200000001</v>
      </c>
      <c r="S19" s="12"/>
      <c r="T19" s="54">
        <v>0</v>
      </c>
      <c r="U19" s="12"/>
      <c r="V19" s="54">
        <v>0</v>
      </c>
      <c r="W19" s="12"/>
      <c r="X19" s="54">
        <v>0</v>
      </c>
      <c r="Z19" s="54">
        <v>0</v>
      </c>
      <c r="AB19" s="54">
        <v>0</v>
      </c>
      <c r="AD19" s="54">
        <v>0</v>
      </c>
      <c r="AF19" s="12">
        <f t="shared" si="3"/>
        <v>1223008.6200000001</v>
      </c>
      <c r="AG19" s="9" t="s">
        <v>261</v>
      </c>
      <c r="AH19" s="122">
        <f t="shared" si="4"/>
        <v>835262.51</v>
      </c>
      <c r="AI19" s="12"/>
      <c r="AJ19" s="12">
        <f t="shared" si="5"/>
        <v>1223008.6200000001</v>
      </c>
      <c r="AK19" s="12"/>
      <c r="AL19" s="12">
        <f t="shared" si="7"/>
        <v>-387746.1100000001</v>
      </c>
      <c r="AM19" s="12"/>
      <c r="AN19" s="13">
        <f t="shared" si="8"/>
        <v>0.6829571732699643</v>
      </c>
      <c r="AO19" s="13"/>
      <c r="AP19" s="14">
        <f t="shared" si="9"/>
        <v>-0.3170428267300357</v>
      </c>
    </row>
    <row r="20" spans="1:42" s="9" customFormat="1" ht="24.95" customHeight="1" x14ac:dyDescent="0.2">
      <c r="A20" s="9" t="s">
        <v>262</v>
      </c>
      <c r="B20" s="12">
        <f>CNT!S24</f>
        <v>294538.81</v>
      </c>
      <c r="C20" s="12"/>
      <c r="D20" s="12">
        <v>0</v>
      </c>
      <c r="E20" s="12"/>
      <c r="F20" s="12">
        <v>0</v>
      </c>
      <c r="G20" s="12"/>
      <c r="H20" s="12">
        <v>0</v>
      </c>
      <c r="J20" s="12">
        <v>0</v>
      </c>
      <c r="L20" s="12">
        <v>0</v>
      </c>
      <c r="N20" s="12">
        <v>0</v>
      </c>
      <c r="P20" s="12">
        <f t="shared" si="2"/>
        <v>294538.81</v>
      </c>
      <c r="Q20" s="9" t="s">
        <v>262</v>
      </c>
      <c r="R20" s="54">
        <v>15072.88</v>
      </c>
      <c r="S20" s="12"/>
      <c r="T20" s="54">
        <v>0</v>
      </c>
      <c r="U20" s="12"/>
      <c r="V20" s="54">
        <v>0</v>
      </c>
      <c r="W20" s="12"/>
      <c r="X20" s="54">
        <v>0</v>
      </c>
      <c r="Z20" s="54">
        <v>0</v>
      </c>
      <c r="AB20" s="54">
        <v>0</v>
      </c>
      <c r="AD20" s="54">
        <v>0</v>
      </c>
      <c r="AF20" s="12">
        <f t="shared" si="3"/>
        <v>15072.88</v>
      </c>
      <c r="AG20" s="9" t="s">
        <v>262</v>
      </c>
      <c r="AH20" s="122">
        <f t="shared" si="4"/>
        <v>294538.81</v>
      </c>
      <c r="AI20" s="12"/>
      <c r="AJ20" s="12">
        <f t="shared" si="5"/>
        <v>15072.88</v>
      </c>
      <c r="AK20" s="12"/>
      <c r="AL20" s="12">
        <f t="shared" si="7"/>
        <v>279465.93</v>
      </c>
      <c r="AM20" s="12"/>
      <c r="AN20" s="13">
        <f t="shared" si="8"/>
        <v>19.540977570311714</v>
      </c>
      <c r="AO20" s="13"/>
      <c r="AP20" s="14">
        <f t="shared" si="9"/>
        <v>18.540977570311714</v>
      </c>
    </row>
    <row r="21" spans="1:42" s="9" customFormat="1" ht="24.95" customHeight="1" x14ac:dyDescent="0.2">
      <c r="A21" s="9" t="s">
        <v>559</v>
      </c>
      <c r="B21" s="12">
        <f>CNT!S25</f>
        <v>-48354900.82</v>
      </c>
      <c r="C21" s="12"/>
      <c r="D21" s="12">
        <v>0</v>
      </c>
      <c r="E21" s="12"/>
      <c r="F21" s="12">
        <v>0</v>
      </c>
      <c r="G21" s="12"/>
      <c r="H21" s="12">
        <v>0</v>
      </c>
      <c r="J21" s="12">
        <v>0</v>
      </c>
      <c r="L21" s="12">
        <v>0</v>
      </c>
      <c r="N21" s="12">
        <v>0</v>
      </c>
      <c r="P21" s="12">
        <f t="shared" si="2"/>
        <v>-48354900.82</v>
      </c>
      <c r="Q21" s="9" t="s">
        <v>559</v>
      </c>
      <c r="R21" s="54">
        <v>-18365302.25</v>
      </c>
      <c r="S21" s="12"/>
      <c r="T21" s="54">
        <v>0</v>
      </c>
      <c r="U21" s="12"/>
      <c r="V21" s="54">
        <v>0</v>
      </c>
      <c r="W21" s="12"/>
      <c r="X21" s="54">
        <v>0</v>
      </c>
      <c r="Z21" s="54">
        <v>0</v>
      </c>
      <c r="AB21" s="54">
        <v>0</v>
      </c>
      <c r="AD21" s="54">
        <v>0</v>
      </c>
      <c r="AF21" s="12">
        <f t="shared" si="3"/>
        <v>-18365302.25</v>
      </c>
      <c r="AG21" s="9" t="s">
        <v>559</v>
      </c>
      <c r="AH21" s="122">
        <f t="shared" si="4"/>
        <v>-48354900.82</v>
      </c>
      <c r="AI21" s="12"/>
      <c r="AJ21" s="12">
        <f t="shared" si="5"/>
        <v>-18365302.25</v>
      </c>
      <c r="AK21" s="12"/>
      <c r="AL21" s="12">
        <f t="shared" si="7"/>
        <v>-29989598.57</v>
      </c>
      <c r="AM21" s="12"/>
      <c r="AN21" s="13">
        <f t="shared" si="8"/>
        <v>2.6329488162929637</v>
      </c>
      <c r="AO21" s="13"/>
      <c r="AP21" s="14">
        <f t="shared" si="9"/>
        <v>1.6329488162929637</v>
      </c>
    </row>
    <row r="22" spans="1:42" s="9" customFormat="1" ht="24.95" customHeight="1" x14ac:dyDescent="0.2">
      <c r="A22" s="9" t="s">
        <v>560</v>
      </c>
      <c r="B22" s="12">
        <f>CNT!S17</f>
        <v>3749.98</v>
      </c>
      <c r="C22" s="12"/>
      <c r="D22" s="12">
        <v>0</v>
      </c>
      <c r="E22" s="12"/>
      <c r="F22" s="12">
        <v>0</v>
      </c>
      <c r="G22" s="12"/>
      <c r="H22" s="12">
        <v>0</v>
      </c>
      <c r="I22" s="12"/>
      <c r="J22" s="12">
        <v>0</v>
      </c>
      <c r="K22" s="12"/>
      <c r="L22" s="12">
        <v>0</v>
      </c>
      <c r="M22" s="12"/>
      <c r="N22" s="12">
        <v>0</v>
      </c>
      <c r="O22" s="12"/>
      <c r="P22" s="12">
        <f t="shared" si="2"/>
        <v>3749.98</v>
      </c>
      <c r="Q22" s="9" t="s">
        <v>560</v>
      </c>
      <c r="R22" s="54">
        <v>10661.9</v>
      </c>
      <c r="S22" s="12"/>
      <c r="T22" s="54">
        <v>0</v>
      </c>
      <c r="U22" s="12"/>
      <c r="V22" s="54">
        <v>0</v>
      </c>
      <c r="W22" s="12"/>
      <c r="X22" s="54">
        <v>0</v>
      </c>
      <c r="Y22" s="12"/>
      <c r="Z22" s="54">
        <v>0</v>
      </c>
      <c r="AA22" s="12"/>
      <c r="AB22" s="54">
        <v>0</v>
      </c>
      <c r="AC22" s="12"/>
      <c r="AD22" s="54">
        <v>0</v>
      </c>
      <c r="AE22" s="12"/>
      <c r="AF22" s="12">
        <f t="shared" si="3"/>
        <v>10661.9</v>
      </c>
      <c r="AG22" s="9" t="s">
        <v>560</v>
      </c>
      <c r="AH22" s="122">
        <f t="shared" si="4"/>
        <v>3749.98</v>
      </c>
      <c r="AI22" s="12"/>
      <c r="AJ22" s="12">
        <f t="shared" si="5"/>
        <v>10661.9</v>
      </c>
      <c r="AK22" s="12"/>
      <c r="AL22" s="12">
        <f t="shared" si="7"/>
        <v>-6911.92</v>
      </c>
      <c r="AM22" s="12"/>
      <c r="AN22" s="13">
        <f t="shared" si="8"/>
        <v>0.35171779889137961</v>
      </c>
      <c r="AO22" s="13"/>
      <c r="AP22" s="14">
        <f t="shared" si="9"/>
        <v>-0.64828220110862045</v>
      </c>
    </row>
    <row r="23" spans="1:42" s="9" customFormat="1" ht="24.95" customHeight="1" x14ac:dyDescent="0.2">
      <c r="A23" s="9" t="s">
        <v>263</v>
      </c>
      <c r="B23" s="12">
        <f>CNT!S26</f>
        <v>-160035712.21000001</v>
      </c>
      <c r="C23" s="12"/>
      <c r="D23" s="12">
        <v>0</v>
      </c>
      <c r="E23" s="12"/>
      <c r="F23" s="12">
        <v>0</v>
      </c>
      <c r="G23" s="12"/>
      <c r="H23" s="12">
        <v>0</v>
      </c>
      <c r="J23" s="12">
        <v>0</v>
      </c>
      <c r="L23" s="12">
        <v>0</v>
      </c>
      <c r="N23" s="12">
        <v>0</v>
      </c>
      <c r="P23" s="12">
        <f t="shared" si="2"/>
        <v>-160035712.21000001</v>
      </c>
      <c r="Q23" s="9" t="s">
        <v>263</v>
      </c>
      <c r="R23" s="54">
        <v>-149244812.71000001</v>
      </c>
      <c r="S23" s="12"/>
      <c r="T23" s="54">
        <v>0</v>
      </c>
      <c r="U23" s="12"/>
      <c r="V23" s="54">
        <v>0</v>
      </c>
      <c r="W23" s="12"/>
      <c r="X23" s="54">
        <v>0</v>
      </c>
      <c r="Z23" s="54">
        <v>0</v>
      </c>
      <c r="AB23" s="54">
        <v>0</v>
      </c>
      <c r="AD23" s="54">
        <v>0</v>
      </c>
      <c r="AF23" s="12">
        <f t="shared" si="3"/>
        <v>-149244812.71000001</v>
      </c>
      <c r="AG23" s="9" t="s">
        <v>263</v>
      </c>
      <c r="AH23" s="122">
        <f t="shared" si="4"/>
        <v>-160035712.21000001</v>
      </c>
      <c r="AI23" s="12"/>
      <c r="AJ23" s="12">
        <f t="shared" si="5"/>
        <v>-149244812.71000001</v>
      </c>
      <c r="AK23" s="12"/>
      <c r="AL23" s="12">
        <f t="shared" si="7"/>
        <v>-10790899.5</v>
      </c>
      <c r="AM23" s="12"/>
      <c r="AN23" s="13">
        <f t="shared" si="8"/>
        <v>1.0723033471251557</v>
      </c>
      <c r="AO23" s="13"/>
      <c r="AP23" s="14">
        <f t="shared" si="9"/>
        <v>7.2303347125155737E-2</v>
      </c>
    </row>
    <row r="24" spans="1:42" s="9" customFormat="1" ht="24.95" customHeight="1" x14ac:dyDescent="0.2">
      <c r="A24" s="9" t="s">
        <v>594</v>
      </c>
      <c r="B24" s="12">
        <f>CNT!S27</f>
        <v>-30081777.469999999</v>
      </c>
      <c r="C24" s="12"/>
      <c r="D24" s="12">
        <v>0</v>
      </c>
      <c r="E24" s="12"/>
      <c r="F24" s="12">
        <v>0</v>
      </c>
      <c r="G24" s="12"/>
      <c r="H24" s="12">
        <v>0</v>
      </c>
      <c r="J24" s="12">
        <v>0</v>
      </c>
      <c r="L24" s="12">
        <v>0</v>
      </c>
      <c r="N24" s="12">
        <v>0</v>
      </c>
      <c r="P24" s="12">
        <f t="shared" si="2"/>
        <v>-30081777.469999999</v>
      </c>
      <c r="Q24" s="9" t="s">
        <v>594</v>
      </c>
      <c r="R24" s="54">
        <v>-20471810.41</v>
      </c>
      <c r="S24" s="12"/>
      <c r="T24" s="54">
        <v>0</v>
      </c>
      <c r="U24" s="12"/>
      <c r="V24" s="54">
        <v>0</v>
      </c>
      <c r="W24" s="12"/>
      <c r="X24" s="54">
        <v>0</v>
      </c>
      <c r="Z24" s="54">
        <v>0</v>
      </c>
      <c r="AB24" s="54">
        <v>0</v>
      </c>
      <c r="AD24" s="54">
        <v>0</v>
      </c>
      <c r="AF24" s="12">
        <f t="shared" si="3"/>
        <v>-20471810.41</v>
      </c>
      <c r="AG24" s="9" t="s">
        <v>594</v>
      </c>
      <c r="AH24" s="122">
        <f t="shared" si="4"/>
        <v>-30081777.469999999</v>
      </c>
      <c r="AI24" s="12"/>
      <c r="AJ24" s="12">
        <f t="shared" si="5"/>
        <v>-20471810.41</v>
      </c>
      <c r="AK24" s="12"/>
      <c r="AL24" s="12">
        <f t="shared" si="7"/>
        <v>-9609967.0599999987</v>
      </c>
      <c r="AM24" s="12"/>
      <c r="AN24" s="13">
        <f t="shared" si="8"/>
        <v>1.4694243873666275</v>
      </c>
      <c r="AO24" s="13"/>
      <c r="AP24" s="14">
        <f t="shared" si="9"/>
        <v>0.4694243873666275</v>
      </c>
    </row>
    <row r="25" spans="1:42" s="9" customFormat="1" ht="24.95" customHeight="1" x14ac:dyDescent="0.2">
      <c r="A25" s="9" t="s">
        <v>264</v>
      </c>
      <c r="B25" s="12">
        <f>CNT!S28</f>
        <v>-29140.21</v>
      </c>
      <c r="C25" s="12"/>
      <c r="D25" s="12">
        <v>0</v>
      </c>
      <c r="E25" s="12"/>
      <c r="F25" s="12">
        <v>0</v>
      </c>
      <c r="G25" s="12"/>
      <c r="H25" s="12">
        <v>0</v>
      </c>
      <c r="J25" s="12">
        <v>0</v>
      </c>
      <c r="L25" s="12">
        <v>0</v>
      </c>
      <c r="N25" s="12">
        <v>0</v>
      </c>
      <c r="P25" s="12">
        <f t="shared" si="2"/>
        <v>-29140.21</v>
      </c>
      <c r="Q25" s="9" t="s">
        <v>264</v>
      </c>
      <c r="R25" s="54">
        <v>-62121.71</v>
      </c>
      <c r="S25" s="12"/>
      <c r="T25" s="54">
        <v>0</v>
      </c>
      <c r="U25" s="12"/>
      <c r="V25" s="54">
        <v>0</v>
      </c>
      <c r="W25" s="12"/>
      <c r="X25" s="54">
        <v>0</v>
      </c>
      <c r="Z25" s="54">
        <v>0</v>
      </c>
      <c r="AB25" s="54">
        <v>0</v>
      </c>
      <c r="AD25" s="54">
        <v>0</v>
      </c>
      <c r="AF25" s="12">
        <f t="shared" si="3"/>
        <v>-62121.71</v>
      </c>
      <c r="AG25" s="9" t="s">
        <v>264</v>
      </c>
      <c r="AH25" s="122">
        <f t="shared" si="4"/>
        <v>-29140.21</v>
      </c>
      <c r="AI25" s="12"/>
      <c r="AJ25" s="12">
        <f t="shared" si="5"/>
        <v>-62121.71</v>
      </c>
      <c r="AK25" s="12"/>
      <c r="AL25" s="12">
        <f t="shared" si="7"/>
        <v>32981.5</v>
      </c>
      <c r="AM25" s="12"/>
      <c r="AN25" s="13">
        <v>0</v>
      </c>
      <c r="AO25" s="13"/>
      <c r="AP25" s="14">
        <f>AN25-1</f>
        <v>-1</v>
      </c>
    </row>
    <row r="26" spans="1:42" s="9" customFormat="1" ht="24.95" customHeight="1" x14ac:dyDescent="0.2">
      <c r="A26" s="9" t="s">
        <v>265</v>
      </c>
      <c r="B26" s="12">
        <f>CNT!S50</f>
        <v>134112.59</v>
      </c>
      <c r="C26" s="12"/>
      <c r="D26" s="12">
        <v>0</v>
      </c>
      <c r="E26" s="12"/>
      <c r="F26" s="12">
        <v>0</v>
      </c>
      <c r="G26" s="12"/>
      <c r="H26" s="12">
        <v>0</v>
      </c>
      <c r="J26" s="12">
        <v>0</v>
      </c>
      <c r="L26" s="12">
        <v>0</v>
      </c>
      <c r="N26" s="12">
        <v>0</v>
      </c>
      <c r="P26" s="12">
        <f t="shared" si="2"/>
        <v>134112.59</v>
      </c>
      <c r="Q26" s="9" t="s">
        <v>265</v>
      </c>
      <c r="R26" s="54">
        <v>138310.92000000001</v>
      </c>
      <c r="S26" s="12"/>
      <c r="T26" s="54">
        <v>0</v>
      </c>
      <c r="U26" s="12"/>
      <c r="V26" s="54">
        <v>0</v>
      </c>
      <c r="W26" s="12"/>
      <c r="X26" s="54">
        <v>0</v>
      </c>
      <c r="Z26" s="54">
        <v>0</v>
      </c>
      <c r="AB26" s="54">
        <v>0</v>
      </c>
      <c r="AD26" s="54">
        <v>0</v>
      </c>
      <c r="AF26" s="12">
        <f t="shared" si="3"/>
        <v>138310.92000000001</v>
      </c>
      <c r="AG26" s="9" t="s">
        <v>265</v>
      </c>
      <c r="AH26" s="122">
        <f t="shared" si="4"/>
        <v>134112.59</v>
      </c>
      <c r="AI26" s="12"/>
      <c r="AJ26" s="12">
        <f t="shared" si="5"/>
        <v>138310.92000000001</v>
      </c>
      <c r="AK26" s="12"/>
      <c r="AL26" s="12">
        <f t="shared" si="7"/>
        <v>-4198.3300000000163</v>
      </c>
      <c r="AM26" s="12"/>
      <c r="AN26" s="13">
        <v>0</v>
      </c>
      <c r="AO26" s="13"/>
      <c r="AP26" s="14">
        <f t="shared" si="9"/>
        <v>-1</v>
      </c>
    </row>
    <row r="27" spans="1:42" s="9" customFormat="1" ht="24.95" customHeight="1" x14ac:dyDescent="0.2">
      <c r="A27" s="9" t="s">
        <v>625</v>
      </c>
      <c r="B27" s="12">
        <f>CNT!S54</f>
        <v>2618.34</v>
      </c>
      <c r="C27" s="12"/>
      <c r="D27" s="12">
        <v>0</v>
      </c>
      <c r="E27" s="12"/>
      <c r="F27" s="12">
        <v>0</v>
      </c>
      <c r="G27" s="12"/>
      <c r="H27" s="12">
        <v>0</v>
      </c>
      <c r="J27" s="12">
        <v>0</v>
      </c>
      <c r="L27" s="12">
        <v>0</v>
      </c>
      <c r="N27" s="12">
        <v>0</v>
      </c>
      <c r="P27" s="12">
        <f t="shared" si="2"/>
        <v>2618.34</v>
      </c>
      <c r="Q27" s="9" t="s">
        <v>625</v>
      </c>
      <c r="R27" s="54">
        <v>1885.63</v>
      </c>
      <c r="S27" s="12"/>
      <c r="T27" s="54">
        <v>0</v>
      </c>
      <c r="U27" s="12"/>
      <c r="V27" s="54">
        <v>0</v>
      </c>
      <c r="W27" s="12"/>
      <c r="X27" s="54">
        <v>0</v>
      </c>
      <c r="Z27" s="54">
        <v>0</v>
      </c>
      <c r="AB27" s="54">
        <v>0</v>
      </c>
      <c r="AD27" s="54">
        <v>0</v>
      </c>
      <c r="AF27" s="12">
        <f t="shared" si="3"/>
        <v>1885.63</v>
      </c>
      <c r="AG27" s="9" t="s">
        <v>625</v>
      </c>
      <c r="AH27" s="122">
        <f t="shared" si="4"/>
        <v>2618.34</v>
      </c>
      <c r="AI27" s="12"/>
      <c r="AJ27" s="12">
        <f t="shared" si="5"/>
        <v>1885.63</v>
      </c>
      <c r="AK27" s="12"/>
      <c r="AL27" s="12">
        <f t="shared" si="7"/>
        <v>732.71</v>
      </c>
      <c r="AM27" s="12"/>
      <c r="AN27" s="13">
        <v>0</v>
      </c>
      <c r="AO27" s="13"/>
      <c r="AP27" s="14">
        <f t="shared" si="9"/>
        <v>-1</v>
      </c>
    </row>
    <row r="28" spans="1:42" s="9" customFormat="1" ht="24.95" customHeight="1" x14ac:dyDescent="0.2">
      <c r="A28" s="9" t="s">
        <v>718</v>
      </c>
      <c r="B28" s="12">
        <f>CNT!S52+CNT!S53</f>
        <v>0</v>
      </c>
      <c r="C28" s="12"/>
      <c r="D28" s="12">
        <v>0</v>
      </c>
      <c r="E28" s="12"/>
      <c r="F28" s="12">
        <v>0</v>
      </c>
      <c r="G28" s="12"/>
      <c r="H28" s="12">
        <v>0</v>
      </c>
      <c r="J28" s="12">
        <v>0</v>
      </c>
      <c r="L28" s="12">
        <v>0</v>
      </c>
      <c r="N28" s="12">
        <v>0</v>
      </c>
      <c r="P28" s="12">
        <f t="shared" si="2"/>
        <v>0</v>
      </c>
      <c r="Q28" s="9" t="s">
        <v>626</v>
      </c>
      <c r="R28" s="54">
        <v>0</v>
      </c>
      <c r="S28" s="12"/>
      <c r="T28" s="54">
        <v>0</v>
      </c>
      <c r="U28" s="12"/>
      <c r="V28" s="54">
        <v>0</v>
      </c>
      <c r="W28" s="12"/>
      <c r="X28" s="54">
        <v>0</v>
      </c>
      <c r="Z28" s="54">
        <v>0</v>
      </c>
      <c r="AB28" s="54">
        <v>0</v>
      </c>
      <c r="AD28" s="54">
        <v>0</v>
      </c>
      <c r="AF28" s="12">
        <f t="shared" si="3"/>
        <v>0</v>
      </c>
      <c r="AG28" s="9" t="s">
        <v>626</v>
      </c>
      <c r="AH28" s="122">
        <f t="shared" si="4"/>
        <v>0</v>
      </c>
      <c r="AI28" s="12"/>
      <c r="AJ28" s="12">
        <f t="shared" si="5"/>
        <v>0</v>
      </c>
      <c r="AK28" s="12"/>
      <c r="AL28" s="12">
        <f t="shared" si="7"/>
        <v>0</v>
      </c>
      <c r="AM28" s="12"/>
      <c r="AN28" s="13">
        <v>0</v>
      </c>
      <c r="AO28" s="13"/>
      <c r="AP28" s="14">
        <f t="shared" si="9"/>
        <v>-1</v>
      </c>
    </row>
    <row r="29" spans="1:42" s="9" customFormat="1" ht="24.95" customHeight="1" x14ac:dyDescent="0.2">
      <c r="A29" s="9" t="s">
        <v>266</v>
      </c>
      <c r="B29" s="12">
        <f>CNT!S51+CNT!S55+CNT!S57+CNT!S56</f>
        <v>137610.21999999997</v>
      </c>
      <c r="C29" s="12"/>
      <c r="D29" s="12">
        <v>0</v>
      </c>
      <c r="E29" s="12"/>
      <c r="F29" s="12">
        <v>0</v>
      </c>
      <c r="G29" s="12"/>
      <c r="H29" s="12">
        <v>0</v>
      </c>
      <c r="J29" s="12">
        <v>0</v>
      </c>
      <c r="L29" s="12">
        <v>0</v>
      </c>
      <c r="N29" s="12">
        <v>0</v>
      </c>
      <c r="P29" s="12">
        <f t="shared" si="2"/>
        <v>137610.21999999997</v>
      </c>
      <c r="Q29" s="9" t="s">
        <v>266</v>
      </c>
      <c r="R29" s="54">
        <v>141344.67000000001</v>
      </c>
      <c r="S29" s="12"/>
      <c r="T29" s="54">
        <v>0</v>
      </c>
      <c r="U29" s="12"/>
      <c r="V29" s="54">
        <v>0</v>
      </c>
      <c r="W29" s="12"/>
      <c r="X29" s="54">
        <v>0</v>
      </c>
      <c r="Z29" s="54">
        <v>0</v>
      </c>
      <c r="AB29" s="54">
        <v>0</v>
      </c>
      <c r="AD29" s="54">
        <v>0</v>
      </c>
      <c r="AF29" s="12">
        <f t="shared" si="3"/>
        <v>141344.67000000001</v>
      </c>
      <c r="AG29" s="9" t="s">
        <v>266</v>
      </c>
      <c r="AH29" s="122">
        <f t="shared" si="4"/>
        <v>137610.21999999997</v>
      </c>
      <c r="AI29" s="12"/>
      <c r="AJ29" s="12">
        <f t="shared" si="5"/>
        <v>141344.67000000001</v>
      </c>
      <c r="AK29" s="12"/>
      <c r="AL29" s="12">
        <f t="shared" si="7"/>
        <v>-3734.4500000000407</v>
      </c>
      <c r="AM29" s="12"/>
      <c r="AN29" s="13">
        <v>0</v>
      </c>
      <c r="AO29" s="13"/>
      <c r="AP29" s="14">
        <f t="shared" si="9"/>
        <v>-1</v>
      </c>
    </row>
    <row r="30" spans="1:42" s="9" customFormat="1" ht="24.95" customHeight="1" x14ac:dyDescent="0.2">
      <c r="A30" s="9" t="s">
        <v>557</v>
      </c>
      <c r="B30" s="16">
        <v>0</v>
      </c>
      <c r="C30" s="16"/>
      <c r="D30" s="16">
        <v>0</v>
      </c>
      <c r="E30" s="16"/>
      <c r="F30" s="16">
        <v>0</v>
      </c>
      <c r="G30" s="16"/>
      <c r="H30" s="16">
        <v>0</v>
      </c>
      <c r="I30" s="17"/>
      <c r="J30" s="16">
        <v>0</v>
      </c>
      <c r="K30" s="17"/>
      <c r="L30" s="16">
        <v>0</v>
      </c>
      <c r="M30" s="17"/>
      <c r="N30" s="16">
        <v>0</v>
      </c>
      <c r="O30" s="17"/>
      <c r="P30" s="16">
        <f t="shared" si="2"/>
        <v>0</v>
      </c>
      <c r="Q30" s="9" t="s">
        <v>557</v>
      </c>
      <c r="R30" s="55">
        <v>0</v>
      </c>
      <c r="S30" s="16"/>
      <c r="T30" s="55">
        <v>0</v>
      </c>
      <c r="U30" s="16"/>
      <c r="V30" s="55">
        <v>0</v>
      </c>
      <c r="W30" s="16"/>
      <c r="X30" s="55">
        <v>0</v>
      </c>
      <c r="Y30" s="17"/>
      <c r="Z30" s="55">
        <v>0</v>
      </c>
      <c r="AA30" s="17"/>
      <c r="AB30" s="55">
        <v>0</v>
      </c>
      <c r="AC30" s="17"/>
      <c r="AD30" s="55">
        <v>0</v>
      </c>
      <c r="AE30" s="17"/>
      <c r="AF30" s="16">
        <f t="shared" si="3"/>
        <v>0</v>
      </c>
      <c r="AG30" s="9" t="s">
        <v>557</v>
      </c>
      <c r="AH30" s="16">
        <f t="shared" si="4"/>
        <v>0</v>
      </c>
      <c r="AI30" s="16"/>
      <c r="AJ30" s="16">
        <f t="shared" si="5"/>
        <v>0</v>
      </c>
      <c r="AK30" s="16"/>
      <c r="AL30" s="16">
        <f t="shared" si="7"/>
        <v>0</v>
      </c>
      <c r="AM30" s="12"/>
      <c r="AN30" s="13">
        <v>0</v>
      </c>
      <c r="AO30" s="13"/>
      <c r="AP30" s="14">
        <f t="shared" si="9"/>
        <v>-1</v>
      </c>
    </row>
    <row r="31" spans="1:42" s="9" customFormat="1" ht="24.95" customHeight="1" x14ac:dyDescent="0.2">
      <c r="A31" s="18" t="s">
        <v>267</v>
      </c>
      <c r="B31" s="12">
        <f>SUM(B14:B30)</f>
        <v>-94453975.569999993</v>
      </c>
      <c r="C31" s="12"/>
      <c r="D31" s="12">
        <f>SUM(D14:D29)</f>
        <v>0</v>
      </c>
      <c r="E31" s="12"/>
      <c r="F31" s="12">
        <f>SUM(F14:F29)</f>
        <v>0</v>
      </c>
      <c r="G31" s="12"/>
      <c r="H31" s="12">
        <f>SUM(H14:H29)</f>
        <v>0</v>
      </c>
      <c r="I31" s="12"/>
      <c r="J31" s="12">
        <f>SUM(J14:J29)</f>
        <v>0</v>
      </c>
      <c r="K31" s="12"/>
      <c r="L31" s="12">
        <f>SUM(L14:L29)</f>
        <v>0</v>
      </c>
      <c r="M31" s="12"/>
      <c r="N31" s="12">
        <f>SUM(N14:N29)</f>
        <v>0</v>
      </c>
      <c r="O31" s="12"/>
      <c r="P31" s="12">
        <f>SUM(P14:P30)</f>
        <v>-94453975.569999993</v>
      </c>
      <c r="Q31" s="18" t="s">
        <v>267</v>
      </c>
      <c r="R31" s="54">
        <f>SUM(R14:R30)</f>
        <v>-9630510.1100000087</v>
      </c>
      <c r="S31" s="12"/>
      <c r="T31" s="54">
        <f>SUM(T14:T29)</f>
        <v>57762.759999999995</v>
      </c>
      <c r="U31" s="12"/>
      <c r="V31" s="54">
        <f>SUM(V14:V30)</f>
        <v>0</v>
      </c>
      <c r="W31" s="12"/>
      <c r="X31" s="54">
        <f>SUM(X14:X29)</f>
        <v>0</v>
      </c>
      <c r="Y31" s="12"/>
      <c r="Z31" s="54">
        <f>SUM(Z14:Z29)</f>
        <v>0</v>
      </c>
      <c r="AA31" s="12"/>
      <c r="AB31" s="54">
        <f>SUM(AB14:AB29)</f>
        <v>0</v>
      </c>
      <c r="AC31" s="12"/>
      <c r="AD31" s="54">
        <f>SUM(AD14:AD29)</f>
        <v>0</v>
      </c>
      <c r="AE31" s="12"/>
      <c r="AF31" s="12">
        <f>SUM(AF14:AF30)</f>
        <v>-9572747.3500000183</v>
      </c>
      <c r="AG31" s="18" t="s">
        <v>267</v>
      </c>
      <c r="AH31" s="12">
        <f>SUM(AH14:AH30)</f>
        <v>-94453975.569999993</v>
      </c>
      <c r="AI31" s="12"/>
      <c r="AJ31" s="12">
        <f>SUM(AJ14:AJ30)</f>
        <v>-9572747.3500000183</v>
      </c>
      <c r="AK31" s="12"/>
      <c r="AL31" s="12">
        <f>SUM(AL14:AL30)</f>
        <v>-84881228.220000014</v>
      </c>
      <c r="AM31" s="12"/>
      <c r="AN31" s="13">
        <f>AH31/AJ31</f>
        <v>9.8669663072221176</v>
      </c>
      <c r="AO31" s="13"/>
      <c r="AP31" s="14">
        <f t="shared" si="9"/>
        <v>8.8669663072221176</v>
      </c>
    </row>
    <row r="32" spans="1:42" s="9" customFormat="1" ht="24.95" customHeight="1" x14ac:dyDescent="0.2">
      <c r="B32" s="12"/>
      <c r="C32" s="12"/>
      <c r="D32" s="12"/>
      <c r="E32" s="12"/>
      <c r="F32" s="12"/>
      <c r="G32" s="12"/>
      <c r="P32" s="10"/>
      <c r="R32" s="54"/>
      <c r="S32" s="12"/>
      <c r="T32" s="65"/>
      <c r="V32" s="65"/>
      <c r="X32" s="65"/>
      <c r="Z32" s="65"/>
      <c r="AB32" s="65"/>
      <c r="AD32" s="65"/>
      <c r="AF32" s="10"/>
      <c r="AN32" s="10"/>
      <c r="AO32" s="10"/>
      <c r="AP32" s="19"/>
    </row>
    <row r="33" spans="1:43" s="9" customFormat="1" ht="24.95" customHeight="1" x14ac:dyDescent="0.2">
      <c r="A33" s="9" t="s">
        <v>268</v>
      </c>
      <c r="B33" s="12">
        <f>CNT!S33</f>
        <v>0</v>
      </c>
      <c r="C33" s="12"/>
      <c r="D33" s="12">
        <v>0</v>
      </c>
      <c r="E33" s="12"/>
      <c r="F33" s="12">
        <v>0</v>
      </c>
      <c r="G33" s="12"/>
      <c r="H33" s="12">
        <v>0</v>
      </c>
      <c r="I33" s="12"/>
      <c r="J33" s="12">
        <v>0</v>
      </c>
      <c r="K33" s="12"/>
      <c r="L33" s="12">
        <v>0</v>
      </c>
      <c r="M33" s="12"/>
      <c r="N33" s="12">
        <v>0</v>
      </c>
      <c r="O33" s="12"/>
      <c r="P33" s="12">
        <f>SUM(B33:N33)</f>
        <v>0</v>
      </c>
      <c r="Q33" s="9" t="s">
        <v>268</v>
      </c>
      <c r="R33" s="54">
        <v>0</v>
      </c>
      <c r="S33" s="12"/>
      <c r="T33" s="54">
        <v>0</v>
      </c>
      <c r="U33" s="12"/>
      <c r="V33" s="54">
        <v>0</v>
      </c>
      <c r="W33" s="12"/>
      <c r="X33" s="54">
        <v>0</v>
      </c>
      <c r="Y33" s="12"/>
      <c r="Z33" s="54">
        <v>0</v>
      </c>
      <c r="AA33" s="12"/>
      <c r="AB33" s="54">
        <v>0</v>
      </c>
      <c r="AC33" s="12"/>
      <c r="AD33" s="54">
        <v>0</v>
      </c>
      <c r="AE33" s="12"/>
      <c r="AF33" s="12">
        <f>SUM(R33:AD33)</f>
        <v>0</v>
      </c>
      <c r="AG33" s="9" t="s">
        <v>268</v>
      </c>
      <c r="AH33" s="122">
        <f t="shared" ref="AH33:AH40" si="10">P33</f>
        <v>0</v>
      </c>
      <c r="AI33" s="12"/>
      <c r="AJ33" s="12">
        <f>AF33</f>
        <v>0</v>
      </c>
      <c r="AK33" s="12"/>
      <c r="AL33" s="12">
        <f t="shared" ref="AL33:AL40" si="11">AH33-AJ33</f>
        <v>0</v>
      </c>
      <c r="AM33" s="12"/>
      <c r="AN33" s="13">
        <v>0</v>
      </c>
      <c r="AO33" s="13"/>
      <c r="AP33" s="14">
        <v>0</v>
      </c>
    </row>
    <row r="34" spans="1:43" s="9" customFormat="1" ht="24.95" customHeight="1" x14ac:dyDescent="0.2">
      <c r="A34" s="9" t="s">
        <v>269</v>
      </c>
      <c r="B34" s="12">
        <f>CNT!S34</f>
        <v>133059.82</v>
      </c>
      <c r="C34" s="12"/>
      <c r="D34" s="12">
        <v>0</v>
      </c>
      <c r="E34" s="12"/>
      <c r="F34" s="12">
        <f>DEP!S13</f>
        <v>24941.52</v>
      </c>
      <c r="G34" s="12"/>
      <c r="H34" s="12">
        <v>0</v>
      </c>
      <c r="I34" s="12"/>
      <c r="J34" s="12">
        <f>BSC!F46</f>
        <v>18779.09</v>
      </c>
      <c r="K34" s="12"/>
      <c r="L34" s="12">
        <v>0</v>
      </c>
      <c r="M34" s="12"/>
      <c r="N34" s="12">
        <v>0</v>
      </c>
      <c r="O34" s="12"/>
      <c r="P34" s="12">
        <f t="shared" ref="P34:P40" si="12">SUM(B34:N34)</f>
        <v>176780.43</v>
      </c>
      <c r="Q34" s="9" t="s">
        <v>269</v>
      </c>
      <c r="R34" s="54">
        <v>123556.5</v>
      </c>
      <c r="S34" s="12"/>
      <c r="T34" s="54">
        <v>0</v>
      </c>
      <c r="U34" s="12"/>
      <c r="V34" s="54">
        <v>26955.53</v>
      </c>
      <c r="W34" s="12"/>
      <c r="X34" s="54">
        <v>0</v>
      </c>
      <c r="Y34" s="12"/>
      <c r="Z34" s="54">
        <v>17588.66</v>
      </c>
      <c r="AA34" s="12"/>
      <c r="AB34" s="54">
        <v>0</v>
      </c>
      <c r="AC34" s="12"/>
      <c r="AD34" s="54">
        <v>0</v>
      </c>
      <c r="AE34" s="12"/>
      <c r="AF34" s="12">
        <f t="shared" ref="AF34:AF40" si="13">SUM(R34:AD34)</f>
        <v>168100.69</v>
      </c>
      <c r="AG34" s="9" t="s">
        <v>269</v>
      </c>
      <c r="AH34" s="122">
        <f t="shared" si="10"/>
        <v>176780.43</v>
      </c>
      <c r="AI34" s="12"/>
      <c r="AJ34" s="12">
        <f t="shared" ref="AJ34:AJ40" si="14">AF34</f>
        <v>168100.69</v>
      </c>
      <c r="AK34" s="12"/>
      <c r="AL34" s="12">
        <f t="shared" si="11"/>
        <v>8679.7399999999907</v>
      </c>
      <c r="AM34" s="12"/>
      <c r="AN34" s="13">
        <f t="shared" ref="AN34:AN41" si="15">AH34/AJ34</f>
        <v>1.0516341723522966</v>
      </c>
      <c r="AO34" s="13"/>
      <c r="AP34" s="14">
        <f t="shared" ref="AP34:AP41" si="16">AN34-1</f>
        <v>5.1634172352296615E-2</v>
      </c>
    </row>
    <row r="35" spans="1:43" s="9" customFormat="1" ht="24.95" customHeight="1" x14ac:dyDescent="0.2">
      <c r="A35" s="9" t="s">
        <v>270</v>
      </c>
      <c r="B35" s="12">
        <f>CNT!S35</f>
        <v>71973078.620000005</v>
      </c>
      <c r="C35" s="12"/>
      <c r="D35" s="12">
        <v>0</v>
      </c>
      <c r="E35" s="12"/>
      <c r="F35" s="12">
        <v>0</v>
      </c>
      <c r="G35" s="12"/>
      <c r="H35" s="12">
        <v>0</v>
      </c>
      <c r="I35" s="12"/>
      <c r="J35" s="12">
        <v>0</v>
      </c>
      <c r="K35" s="12"/>
      <c r="L35" s="12">
        <v>0</v>
      </c>
      <c r="M35" s="12"/>
      <c r="N35" s="12">
        <v>0</v>
      </c>
      <c r="O35" s="12"/>
      <c r="P35" s="12">
        <f t="shared" si="12"/>
        <v>71973078.620000005</v>
      </c>
      <c r="Q35" s="9" t="s">
        <v>270</v>
      </c>
      <c r="R35" s="54">
        <v>29547670.870000001</v>
      </c>
      <c r="S35" s="12"/>
      <c r="T35" s="54">
        <v>0</v>
      </c>
      <c r="U35" s="12"/>
      <c r="V35" s="54">
        <v>0</v>
      </c>
      <c r="W35" s="12"/>
      <c r="X35" s="54">
        <v>0</v>
      </c>
      <c r="Y35" s="12"/>
      <c r="Z35" s="54">
        <v>0</v>
      </c>
      <c r="AA35" s="12"/>
      <c r="AB35" s="54">
        <v>0</v>
      </c>
      <c r="AC35" s="12"/>
      <c r="AD35" s="54">
        <v>0</v>
      </c>
      <c r="AE35" s="12"/>
      <c r="AF35" s="12">
        <f t="shared" si="13"/>
        <v>29547670.870000001</v>
      </c>
      <c r="AG35" s="9" t="s">
        <v>270</v>
      </c>
      <c r="AH35" s="122">
        <f t="shared" si="10"/>
        <v>71973078.620000005</v>
      </c>
      <c r="AI35" s="12"/>
      <c r="AJ35" s="12">
        <f t="shared" si="14"/>
        <v>29547670.870000001</v>
      </c>
      <c r="AK35" s="12"/>
      <c r="AL35" s="12">
        <f t="shared" si="11"/>
        <v>42425407.75</v>
      </c>
      <c r="AM35" s="12"/>
      <c r="AN35" s="13">
        <f t="shared" si="15"/>
        <v>2.4358291703145669</v>
      </c>
      <c r="AO35" s="13"/>
      <c r="AP35" s="14">
        <f t="shared" si="16"/>
        <v>1.4358291703145669</v>
      </c>
    </row>
    <row r="36" spans="1:43" s="9" customFormat="1" ht="24.95" customHeight="1" x14ac:dyDescent="0.2">
      <c r="A36" s="9" t="s">
        <v>271</v>
      </c>
      <c r="B36" s="12">
        <f>CNT!S36</f>
        <v>485693.7</v>
      </c>
      <c r="C36" s="12"/>
      <c r="D36" s="12">
        <v>0</v>
      </c>
      <c r="E36" s="12"/>
      <c r="F36" s="12">
        <v>0</v>
      </c>
      <c r="G36" s="12"/>
      <c r="H36" s="12">
        <v>0</v>
      </c>
      <c r="J36" s="12">
        <v>0</v>
      </c>
      <c r="L36" s="12">
        <v>0</v>
      </c>
      <c r="N36" s="12">
        <v>0</v>
      </c>
      <c r="P36" s="12">
        <f t="shared" si="12"/>
        <v>485693.7</v>
      </c>
      <c r="Q36" s="9" t="s">
        <v>271</v>
      </c>
      <c r="R36" s="54">
        <v>501145.37</v>
      </c>
      <c r="S36" s="12"/>
      <c r="T36" s="54">
        <v>0</v>
      </c>
      <c r="U36" s="12"/>
      <c r="V36" s="54">
        <v>0</v>
      </c>
      <c r="W36" s="12"/>
      <c r="X36" s="54">
        <v>0</v>
      </c>
      <c r="Y36" s="12"/>
      <c r="Z36" s="54">
        <v>0</v>
      </c>
      <c r="AA36" s="12"/>
      <c r="AB36" s="54">
        <v>0</v>
      </c>
      <c r="AC36" s="12"/>
      <c r="AD36" s="54">
        <v>0</v>
      </c>
      <c r="AE36" s="12"/>
      <c r="AF36" s="12">
        <f t="shared" si="13"/>
        <v>501145.37</v>
      </c>
      <c r="AG36" s="9" t="s">
        <v>271</v>
      </c>
      <c r="AH36" s="122">
        <f t="shared" si="10"/>
        <v>485693.7</v>
      </c>
      <c r="AI36" s="12"/>
      <c r="AJ36" s="12">
        <f t="shared" si="14"/>
        <v>501145.37</v>
      </c>
      <c r="AK36" s="12"/>
      <c r="AL36" s="12">
        <f t="shared" si="11"/>
        <v>-15451.669999999984</v>
      </c>
      <c r="AM36" s="12"/>
      <c r="AN36" s="13">
        <f t="shared" si="15"/>
        <v>0.96916728972274058</v>
      </c>
      <c r="AO36" s="13"/>
      <c r="AP36" s="14">
        <f t="shared" si="16"/>
        <v>-3.0832710277259423E-2</v>
      </c>
    </row>
    <row r="37" spans="1:43" s="9" customFormat="1" ht="24.95" customHeight="1" x14ac:dyDescent="0.2">
      <c r="A37" s="9" t="s">
        <v>272</v>
      </c>
      <c r="B37" s="12">
        <f>CNT!S37</f>
        <v>115000</v>
      </c>
      <c r="C37" s="12"/>
      <c r="D37" s="12">
        <f>BPM!S19</f>
        <v>3669</v>
      </c>
      <c r="E37" s="12"/>
      <c r="F37" s="12">
        <f>DEP!S12</f>
        <v>10509</v>
      </c>
      <c r="G37" s="12"/>
      <c r="H37" s="12">
        <f>Lending!F19</f>
        <v>1228</v>
      </c>
      <c r="J37" s="12">
        <v>0</v>
      </c>
      <c r="L37" s="12">
        <v>0</v>
      </c>
      <c r="N37" s="12">
        <v>0</v>
      </c>
      <c r="P37" s="12">
        <f t="shared" si="12"/>
        <v>130406</v>
      </c>
      <c r="Q37" s="9" t="s">
        <v>272</v>
      </c>
      <c r="R37" s="54">
        <v>60000</v>
      </c>
      <c r="S37" s="12"/>
      <c r="T37" s="54">
        <v>1843</v>
      </c>
      <c r="U37" s="12"/>
      <c r="V37" s="54">
        <v>20000</v>
      </c>
      <c r="W37" s="12"/>
      <c r="X37" s="54">
        <v>1070</v>
      </c>
      <c r="Y37" s="12"/>
      <c r="Z37" s="54">
        <v>0</v>
      </c>
      <c r="AA37" s="12"/>
      <c r="AB37" s="54">
        <v>0</v>
      </c>
      <c r="AC37" s="12"/>
      <c r="AD37" s="54">
        <v>0</v>
      </c>
      <c r="AE37" s="12"/>
      <c r="AF37" s="12">
        <f t="shared" si="13"/>
        <v>82913</v>
      </c>
      <c r="AG37" s="9" t="s">
        <v>272</v>
      </c>
      <c r="AH37" s="122">
        <f t="shared" si="10"/>
        <v>130406</v>
      </c>
      <c r="AI37" s="12"/>
      <c r="AJ37" s="12">
        <f t="shared" si="14"/>
        <v>82913</v>
      </c>
      <c r="AK37" s="12"/>
      <c r="AL37" s="12">
        <f t="shared" si="11"/>
        <v>47493</v>
      </c>
      <c r="AM37" s="12"/>
      <c r="AN37" s="13">
        <f t="shared" si="15"/>
        <v>1.5728052295779913</v>
      </c>
      <c r="AO37" s="13"/>
      <c r="AP37" s="14">
        <f t="shared" si="16"/>
        <v>0.57280522957799129</v>
      </c>
    </row>
    <row r="38" spans="1:43" s="9" customFormat="1" ht="24.95" customHeight="1" x14ac:dyDescent="0.2">
      <c r="A38" s="9" t="s">
        <v>273</v>
      </c>
      <c r="B38" s="12">
        <v>0</v>
      </c>
      <c r="C38" s="12"/>
      <c r="D38" s="12">
        <v>0</v>
      </c>
      <c r="E38" s="12"/>
      <c r="F38" s="12">
        <v>0</v>
      </c>
      <c r="G38" s="12"/>
      <c r="H38" s="12">
        <v>0</v>
      </c>
      <c r="J38" s="12">
        <f>BSC!F45</f>
        <v>0</v>
      </c>
      <c r="L38" s="12">
        <v>0</v>
      </c>
      <c r="N38" s="12">
        <v>0</v>
      </c>
      <c r="P38" s="12">
        <f t="shared" si="12"/>
        <v>0</v>
      </c>
      <c r="Q38" s="9" t="s">
        <v>273</v>
      </c>
      <c r="R38" s="54">
        <v>0</v>
      </c>
      <c r="S38" s="12"/>
      <c r="T38" s="54">
        <v>0</v>
      </c>
      <c r="U38" s="12"/>
      <c r="V38" s="54">
        <v>0</v>
      </c>
      <c r="W38" s="12"/>
      <c r="X38" s="54">
        <v>0</v>
      </c>
      <c r="Y38" s="12"/>
      <c r="Z38" s="54">
        <v>0</v>
      </c>
      <c r="AA38" s="12"/>
      <c r="AB38" s="54">
        <v>0</v>
      </c>
      <c r="AC38" s="12"/>
      <c r="AD38" s="54">
        <v>0</v>
      </c>
      <c r="AE38" s="12"/>
      <c r="AF38" s="12">
        <f t="shared" si="13"/>
        <v>0</v>
      </c>
      <c r="AG38" s="9" t="s">
        <v>273</v>
      </c>
      <c r="AH38" s="122">
        <f t="shared" si="10"/>
        <v>0</v>
      </c>
      <c r="AI38" s="12"/>
      <c r="AJ38" s="12">
        <f t="shared" si="14"/>
        <v>0</v>
      </c>
      <c r="AK38" s="12"/>
      <c r="AL38" s="12">
        <f t="shared" si="11"/>
        <v>0</v>
      </c>
      <c r="AM38" s="12"/>
      <c r="AN38" s="13" t="e">
        <f t="shared" si="15"/>
        <v>#DIV/0!</v>
      </c>
      <c r="AO38" s="13"/>
      <c r="AP38" s="14" t="e">
        <f t="shared" si="16"/>
        <v>#DIV/0!</v>
      </c>
    </row>
    <row r="39" spans="1:43" s="9" customFormat="1" ht="24.95" customHeight="1" x14ac:dyDescent="0.2">
      <c r="A39" s="9" t="s">
        <v>590</v>
      </c>
      <c r="B39" s="12">
        <f>CNT!S41</f>
        <v>3360.93</v>
      </c>
      <c r="C39" s="12"/>
      <c r="D39" s="12">
        <v>0</v>
      </c>
      <c r="E39" s="12"/>
      <c r="F39" s="12">
        <v>0</v>
      </c>
      <c r="G39" s="12"/>
      <c r="H39" s="12">
        <v>0</v>
      </c>
      <c r="J39" s="12">
        <v>0</v>
      </c>
      <c r="L39" s="12">
        <v>0</v>
      </c>
      <c r="N39" s="12">
        <v>0</v>
      </c>
      <c r="P39" s="12">
        <f t="shared" si="12"/>
        <v>3360.93</v>
      </c>
      <c r="Q39" s="9" t="s">
        <v>590</v>
      </c>
      <c r="R39" s="54">
        <v>1687.5</v>
      </c>
      <c r="S39" s="12"/>
      <c r="T39" s="54">
        <v>0</v>
      </c>
      <c r="U39" s="12"/>
      <c r="V39" s="54">
        <v>0</v>
      </c>
      <c r="W39" s="12"/>
      <c r="X39" s="54">
        <v>0</v>
      </c>
      <c r="Y39" s="12"/>
      <c r="Z39" s="54">
        <v>0</v>
      </c>
      <c r="AA39" s="12"/>
      <c r="AB39" s="54">
        <v>0</v>
      </c>
      <c r="AC39" s="12"/>
      <c r="AD39" s="54">
        <v>0</v>
      </c>
      <c r="AE39" s="12"/>
      <c r="AF39" s="12">
        <f t="shared" si="13"/>
        <v>1687.5</v>
      </c>
      <c r="AG39" s="9" t="s">
        <v>590</v>
      </c>
      <c r="AH39" s="122">
        <f t="shared" si="10"/>
        <v>3360.93</v>
      </c>
      <c r="AI39" s="12"/>
      <c r="AJ39" s="12">
        <f t="shared" si="14"/>
        <v>1687.5</v>
      </c>
      <c r="AK39" s="12"/>
      <c r="AL39" s="12">
        <f t="shared" si="11"/>
        <v>1673.4299999999998</v>
      </c>
      <c r="AM39" s="12"/>
      <c r="AN39" s="13">
        <v>0</v>
      </c>
      <c r="AO39" s="13"/>
      <c r="AP39" s="14">
        <f t="shared" si="16"/>
        <v>-1</v>
      </c>
    </row>
    <row r="40" spans="1:43" s="9" customFormat="1" ht="24.95" customHeight="1" x14ac:dyDescent="0.2">
      <c r="A40" s="9" t="s">
        <v>274</v>
      </c>
      <c r="B40" s="16">
        <f>CNT!S39+CNT!S38</f>
        <v>6936.53</v>
      </c>
      <c r="C40" s="16"/>
      <c r="D40" s="16">
        <f>BPM!S20</f>
        <v>3526.09</v>
      </c>
      <c r="E40" s="16"/>
      <c r="F40" s="16">
        <f>DEP!S15+DEP!S14</f>
        <v>5819</v>
      </c>
      <c r="G40" s="16"/>
      <c r="H40" s="16">
        <f>Lending!F21+Lending!F20</f>
        <v>0</v>
      </c>
      <c r="I40" s="17"/>
      <c r="J40" s="16">
        <f>BSC!F12</f>
        <v>0</v>
      </c>
      <c r="K40" s="17"/>
      <c r="L40" s="16">
        <v>0</v>
      </c>
      <c r="M40" s="17"/>
      <c r="N40" s="16">
        <f>'722 Bedford St'!E15</f>
        <v>0</v>
      </c>
      <c r="O40" s="17"/>
      <c r="P40" s="16">
        <f t="shared" si="12"/>
        <v>16281.619999999999</v>
      </c>
      <c r="Q40" s="9" t="s">
        <v>274</v>
      </c>
      <c r="R40" s="55">
        <v>0</v>
      </c>
      <c r="S40" s="12"/>
      <c r="T40" s="55">
        <v>9042.35</v>
      </c>
      <c r="U40" s="16"/>
      <c r="V40" s="55">
        <v>296271.88</v>
      </c>
      <c r="W40" s="16"/>
      <c r="X40" s="55">
        <v>0</v>
      </c>
      <c r="Y40" s="16"/>
      <c r="Z40" s="55">
        <v>0</v>
      </c>
      <c r="AA40" s="16"/>
      <c r="AB40" s="55">
        <v>0</v>
      </c>
      <c r="AC40" s="16"/>
      <c r="AD40" s="55">
        <v>0</v>
      </c>
      <c r="AE40" s="16"/>
      <c r="AF40" s="16">
        <f t="shared" si="13"/>
        <v>305314.23</v>
      </c>
      <c r="AG40" s="9" t="s">
        <v>274</v>
      </c>
      <c r="AH40" s="16">
        <f t="shared" si="10"/>
        <v>16281.619999999999</v>
      </c>
      <c r="AI40" s="16"/>
      <c r="AJ40" s="16">
        <f t="shared" si="14"/>
        <v>305314.23</v>
      </c>
      <c r="AK40" s="16"/>
      <c r="AL40" s="16">
        <f t="shared" si="11"/>
        <v>-289032.61</v>
      </c>
      <c r="AM40" s="12"/>
      <c r="AN40" s="13">
        <f t="shared" si="15"/>
        <v>5.3327419426208861E-2</v>
      </c>
      <c r="AO40" s="13"/>
      <c r="AP40" s="14">
        <f t="shared" si="16"/>
        <v>-0.94667258057379111</v>
      </c>
    </row>
    <row r="41" spans="1:43" s="9" customFormat="1" ht="24.95" customHeight="1" x14ac:dyDescent="0.2">
      <c r="A41" s="18" t="s">
        <v>277</v>
      </c>
      <c r="B41" s="12">
        <f>SUM(B33:B40)</f>
        <v>72717129.600000009</v>
      </c>
      <c r="C41" s="12"/>
      <c r="D41" s="12">
        <f>SUM(D33:D40)</f>
        <v>7195.09</v>
      </c>
      <c r="E41" s="12"/>
      <c r="F41" s="12">
        <f>SUM(F33:F40)</f>
        <v>41269.520000000004</v>
      </c>
      <c r="G41" s="12"/>
      <c r="H41" s="12">
        <f>SUM(H33:H40)</f>
        <v>1228</v>
      </c>
      <c r="I41" s="12"/>
      <c r="J41" s="12">
        <f>SUM(J33:J40)</f>
        <v>18779.09</v>
      </c>
      <c r="K41" s="12"/>
      <c r="L41" s="12">
        <f>SUM(L33:L40)</f>
        <v>0</v>
      </c>
      <c r="M41" s="12"/>
      <c r="N41" s="12">
        <f>SUM(N33:N40)</f>
        <v>0</v>
      </c>
      <c r="O41" s="12"/>
      <c r="P41" s="12">
        <f>SUM(P33:P40)</f>
        <v>72785601.300000027</v>
      </c>
      <c r="Q41" s="18" t="s">
        <v>277</v>
      </c>
      <c r="R41" s="54">
        <f>SUM(R33:R40)</f>
        <v>30234060.240000002</v>
      </c>
      <c r="S41" s="12"/>
      <c r="T41" s="54">
        <f>SUM(T33:T40)</f>
        <v>10885.35</v>
      </c>
      <c r="U41" s="12"/>
      <c r="V41" s="54">
        <f>SUM(V33:V40)</f>
        <v>343227.41000000003</v>
      </c>
      <c r="W41" s="12"/>
      <c r="X41" s="54">
        <f>SUM(X33:X40)</f>
        <v>1070</v>
      </c>
      <c r="Y41" s="12"/>
      <c r="Z41" s="54">
        <f>SUM(Z33:Z40)</f>
        <v>17588.66</v>
      </c>
      <c r="AA41" s="12"/>
      <c r="AB41" s="54">
        <f>SUM(AB33:AB40)</f>
        <v>0</v>
      </c>
      <c r="AC41" s="12"/>
      <c r="AD41" s="54">
        <f>SUM(AD33:AD40)</f>
        <v>0</v>
      </c>
      <c r="AE41" s="12"/>
      <c r="AF41" s="12">
        <f>SUM(AF33:AF40)</f>
        <v>30606831.660000004</v>
      </c>
      <c r="AG41" s="18" t="s">
        <v>277</v>
      </c>
      <c r="AH41" s="12">
        <f>SUM(AH33:AH40)</f>
        <v>72785601.300000027</v>
      </c>
      <c r="AI41" s="12"/>
      <c r="AJ41" s="12">
        <f>SUM(AJ33:AJ40)</f>
        <v>30606831.660000004</v>
      </c>
      <c r="AK41" s="12"/>
      <c r="AL41" s="12">
        <f>SUM(AL33:AL40)</f>
        <v>42178769.640000001</v>
      </c>
      <c r="AM41" s="12"/>
      <c r="AN41" s="13">
        <f t="shared" si="15"/>
        <v>2.3780834981074945</v>
      </c>
      <c r="AO41" s="13"/>
      <c r="AP41" s="14">
        <f t="shared" si="16"/>
        <v>1.3780834981074945</v>
      </c>
    </row>
    <row r="42" spans="1:43" s="9" customFormat="1" ht="24.95" customHeight="1" x14ac:dyDescent="0.2">
      <c r="A42" s="18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0"/>
      <c r="Q42" s="18"/>
      <c r="R42" s="54"/>
      <c r="S42" s="12"/>
      <c r="T42" s="54"/>
      <c r="U42" s="12"/>
      <c r="V42" s="54"/>
      <c r="W42" s="12"/>
      <c r="X42" s="54"/>
      <c r="Y42" s="12"/>
      <c r="Z42" s="54"/>
      <c r="AA42" s="12"/>
      <c r="AB42" s="54"/>
      <c r="AC42" s="12"/>
      <c r="AD42" s="54"/>
      <c r="AE42" s="12"/>
      <c r="AF42" s="10"/>
      <c r="AG42" s="18"/>
      <c r="AN42" s="10"/>
      <c r="AO42" s="10"/>
      <c r="AP42" s="14"/>
    </row>
    <row r="43" spans="1:43" s="9" customFormat="1" ht="24.95" customHeight="1" x14ac:dyDescent="0.2">
      <c r="A43" s="20" t="s">
        <v>275</v>
      </c>
      <c r="B43" s="21">
        <f>SUM(B41,B31,B12,B11,B10,B9,B8,B7,B13)</f>
        <v>56827605.740000024</v>
      </c>
      <c r="C43" s="21"/>
      <c r="D43" s="21">
        <f>SUM(D41,D31,D12,D11,D10,D9,D8,D7,D13)</f>
        <v>479120.88999999996</v>
      </c>
      <c r="E43" s="21"/>
      <c r="F43" s="21">
        <f>SUM(F41,F31,F12,F11,F10,F9,F8,F7,F13)</f>
        <v>7408553.5099999998</v>
      </c>
      <c r="G43" s="21"/>
      <c r="H43" s="21">
        <f>SUM(H41,H31,H12,H11,H10,H9,H8,H7,H13)</f>
        <v>886804.98999999987</v>
      </c>
      <c r="I43" s="21"/>
      <c r="J43" s="21">
        <f>SUM(J41,J31,J12,J11,J10,J9,J8,J7,J13)</f>
        <v>488147.88</v>
      </c>
      <c r="K43" s="21"/>
      <c r="L43" s="21">
        <f>SUM(L41,L31,L12,L11,L10,L9,L8,L7,L13)</f>
        <v>2210248.7000000002</v>
      </c>
      <c r="M43" s="21"/>
      <c r="N43" s="21">
        <f>SUM(N41,N31,N12,N11,N10,N9,N8,N7,N13)</f>
        <v>952973.62</v>
      </c>
      <c r="O43" s="21"/>
      <c r="P43" s="21">
        <f>SUM(P41,P31,P12,P11,P10,P9,P8,P7,P13)</f>
        <v>69253455.330000043</v>
      </c>
      <c r="Q43" s="20" t="s">
        <v>275</v>
      </c>
      <c r="R43" s="56">
        <f>SUM(R41,R31,R12,R11,R10,R9,R8,R7,R13)</f>
        <v>42038518.939999998</v>
      </c>
      <c r="S43" s="12"/>
      <c r="T43" s="56">
        <f>SUM(T41,T31,T12,T11,T10,T9,T8,T7,T13)</f>
        <v>2858124.8000000003</v>
      </c>
      <c r="U43" s="12"/>
      <c r="V43" s="56">
        <f>SUM(V41,V31,V12,V11,V10,V9,V8,V7,V13)</f>
        <v>5400016.0999999996</v>
      </c>
      <c r="W43" s="12"/>
      <c r="X43" s="56">
        <f>SUM(X41,X31,X12,X11,X10,X9,X8,X7,X13)</f>
        <v>699120.71</v>
      </c>
      <c r="Y43" s="12"/>
      <c r="Z43" s="56">
        <f>SUM(Z41,Z31,Z12,Z11,Z10,Z9,Z8,Z7,Z13)</f>
        <v>550971.80000000005</v>
      </c>
      <c r="AA43" s="12"/>
      <c r="AB43" s="56">
        <f>SUM(AB41,AB31,AB12,AB11,AB10,AB9,AB8,AB7,AB13)</f>
        <v>1890278.6900000002</v>
      </c>
      <c r="AC43" s="12"/>
      <c r="AD43" s="56">
        <f>SUM(AD41,AD31,AD12,AD11,AD10,AD9,AD8,AD7,AD13)</f>
        <v>152029.84</v>
      </c>
      <c r="AE43" s="21"/>
      <c r="AF43" s="149">
        <f>SUM(AF41,AF31,AF12,AF11,AF10,AF9,AF8,AF7,AF13)</f>
        <v>53589060.879999988</v>
      </c>
      <c r="AG43" s="20" t="s">
        <v>275</v>
      </c>
      <c r="AH43" s="21">
        <f>AH31+AH41+AH7+AH8+AH9+AH10+AH11+AH12+AH13</f>
        <v>69253455.330000043</v>
      </c>
      <c r="AI43" s="21"/>
      <c r="AJ43" s="21">
        <f>AJ31+AJ41+AJ7+AJ8+AJ9+AJ10+AJ11+AJ12+AJ13</f>
        <v>53589060.879999995</v>
      </c>
      <c r="AK43" s="21"/>
      <c r="AL43" s="21">
        <f>AL31+AL41+AL7+AL8+AL9+AL10+AL11+AL12+AL13</f>
        <v>15664394.449999988</v>
      </c>
      <c r="AM43" s="12"/>
      <c r="AN43" s="13">
        <f>AH43/AJ43</f>
        <v>1.2923058212398375</v>
      </c>
      <c r="AO43" s="13"/>
      <c r="AP43" s="14">
        <f>AN43-1</f>
        <v>0.2923058212398375</v>
      </c>
      <c r="AQ43" s="22">
        <f>AH43-P43</f>
        <v>0</v>
      </c>
    </row>
    <row r="44" spans="1:43" s="9" customFormat="1" ht="24.95" customHeight="1" x14ac:dyDescent="0.2">
      <c r="B44" s="12"/>
      <c r="C44" s="12"/>
      <c r="D44" s="12"/>
      <c r="E44" s="12"/>
      <c r="F44" s="12"/>
      <c r="G44" s="12"/>
      <c r="P44" s="10"/>
      <c r="R44" s="65"/>
      <c r="S44" s="12"/>
      <c r="T44" s="65"/>
      <c r="V44" s="65"/>
      <c r="X44" s="65"/>
      <c r="Z44" s="65"/>
      <c r="AB44" s="65"/>
      <c r="AD44" s="65"/>
      <c r="AF44" s="10"/>
      <c r="AN44" s="10"/>
      <c r="AO44" s="10"/>
      <c r="AP44" s="19"/>
    </row>
    <row r="45" spans="1:43" s="9" customFormat="1" ht="24.95" customHeight="1" x14ac:dyDescent="0.2">
      <c r="A45" s="8" t="s">
        <v>276</v>
      </c>
      <c r="B45" s="12"/>
      <c r="C45" s="12"/>
      <c r="D45" s="12"/>
      <c r="E45" s="12"/>
      <c r="F45" s="12"/>
      <c r="G45" s="12"/>
      <c r="P45" s="10"/>
      <c r="Q45" s="8" t="s">
        <v>276</v>
      </c>
      <c r="R45" s="67"/>
      <c r="S45" s="12"/>
      <c r="T45" s="65"/>
      <c r="V45" s="65"/>
      <c r="X45" s="65"/>
      <c r="Z45" s="65"/>
      <c r="AB45" s="65"/>
      <c r="AD45" s="65"/>
      <c r="AF45" s="10"/>
      <c r="AG45" s="8" t="s">
        <v>276</v>
      </c>
      <c r="AN45" s="10"/>
      <c r="AO45" s="10"/>
      <c r="AP45" s="19"/>
    </row>
    <row r="46" spans="1:43" s="9" customFormat="1" ht="24.95" customHeight="1" x14ac:dyDescent="0.2">
      <c r="A46" s="9" t="s">
        <v>286</v>
      </c>
      <c r="B46" s="12">
        <f>CNT!S63</f>
        <v>1114391.1100000001</v>
      </c>
      <c r="C46" s="12"/>
      <c r="D46" s="12">
        <f>BPM!S27</f>
        <v>8577.17</v>
      </c>
      <c r="E46" s="12"/>
      <c r="F46" s="12">
        <f>DEP!S22</f>
        <v>138413.75</v>
      </c>
      <c r="G46" s="12"/>
      <c r="H46" s="12">
        <v>0</v>
      </c>
      <c r="J46" s="12">
        <v>0</v>
      </c>
      <c r="L46" s="12">
        <v>0</v>
      </c>
      <c r="N46" s="12">
        <f>'722 Bedford St'!E28</f>
        <v>9394.19</v>
      </c>
      <c r="P46" s="12">
        <f>SUM(B46:N46)</f>
        <v>1270776.22</v>
      </c>
      <c r="Q46" s="9" t="s">
        <v>286</v>
      </c>
      <c r="R46" s="54">
        <v>1112375.6499999999</v>
      </c>
      <c r="S46" s="12"/>
      <c r="T46" s="54">
        <v>8577.17</v>
      </c>
      <c r="U46" s="12"/>
      <c r="V46" s="54">
        <v>138413.75</v>
      </c>
      <c r="W46" s="12"/>
      <c r="X46" s="54">
        <v>0</v>
      </c>
      <c r="Y46" s="12"/>
      <c r="Z46" s="54">
        <v>0</v>
      </c>
      <c r="AA46" s="12"/>
      <c r="AB46" s="54">
        <v>0</v>
      </c>
      <c r="AC46" s="12"/>
      <c r="AD46" s="54">
        <v>9394.19</v>
      </c>
      <c r="AE46" s="12"/>
      <c r="AF46" s="122">
        <f>SUM(R46:AD46)</f>
        <v>1268760.7599999998</v>
      </c>
      <c r="AG46" s="9" t="s">
        <v>286</v>
      </c>
      <c r="AH46" s="12">
        <f t="shared" ref="AH46:AH61" si="17">P46</f>
        <v>1270776.22</v>
      </c>
      <c r="AI46" s="12"/>
      <c r="AJ46" s="12">
        <f>AF46</f>
        <v>1268760.7599999998</v>
      </c>
      <c r="AK46" s="12"/>
      <c r="AL46" s="12">
        <f t="shared" ref="AL46:AL61" si="18">AH46-AJ46</f>
        <v>2015.4600000001956</v>
      </c>
      <c r="AM46" s="12"/>
      <c r="AN46" s="13">
        <f t="shared" ref="AN46:AN66" si="19">AH46/AJ46</f>
        <v>1.0015885264295219</v>
      </c>
      <c r="AO46" s="13"/>
      <c r="AP46" s="14">
        <f t="shared" ref="AP46:AP66" si="20">AN46-1</f>
        <v>1.588526429521897E-3</v>
      </c>
    </row>
    <row r="47" spans="1:43" s="9" customFormat="1" ht="24.95" customHeight="1" x14ac:dyDescent="0.2">
      <c r="A47" s="9" t="s">
        <v>278</v>
      </c>
      <c r="B47" s="12">
        <f>CNT!S64</f>
        <v>45071.88</v>
      </c>
      <c r="C47" s="12"/>
      <c r="D47" s="12">
        <v>0</v>
      </c>
      <c r="E47" s="12"/>
      <c r="F47" s="12">
        <v>0</v>
      </c>
      <c r="G47" s="12"/>
      <c r="H47" s="12">
        <v>0</v>
      </c>
      <c r="J47" s="12">
        <v>0</v>
      </c>
      <c r="L47" s="12">
        <v>0</v>
      </c>
      <c r="N47" s="12">
        <v>0</v>
      </c>
      <c r="P47" s="12">
        <f t="shared" ref="P47:P60" si="21">SUM(B47:N47)</f>
        <v>45071.88</v>
      </c>
      <c r="Q47" s="9" t="s">
        <v>278</v>
      </c>
      <c r="R47" s="54">
        <v>45071.88</v>
      </c>
      <c r="S47" s="12"/>
      <c r="T47" s="54">
        <v>0</v>
      </c>
      <c r="U47" s="12"/>
      <c r="V47" s="54">
        <v>0</v>
      </c>
      <c r="W47" s="12"/>
      <c r="X47" s="54">
        <v>0</v>
      </c>
      <c r="Y47" s="12"/>
      <c r="Z47" s="54">
        <v>0</v>
      </c>
      <c r="AA47" s="12"/>
      <c r="AB47" s="54">
        <v>0</v>
      </c>
      <c r="AC47" s="12"/>
      <c r="AD47" s="54">
        <v>0</v>
      </c>
      <c r="AE47" s="12"/>
      <c r="AF47" s="122">
        <f t="shared" ref="AF47:AF61" si="22">SUM(R47:AD47)</f>
        <v>45071.88</v>
      </c>
      <c r="AG47" s="9" t="s">
        <v>278</v>
      </c>
      <c r="AH47" s="12">
        <f t="shared" si="17"/>
        <v>45071.88</v>
      </c>
      <c r="AI47" s="12"/>
      <c r="AJ47" s="12">
        <f t="shared" ref="AJ47:AJ61" si="23">AF47</f>
        <v>45071.88</v>
      </c>
      <c r="AK47" s="12"/>
      <c r="AL47" s="12">
        <f t="shared" si="18"/>
        <v>0</v>
      </c>
      <c r="AM47" s="12"/>
      <c r="AN47" s="13">
        <f t="shared" si="19"/>
        <v>1</v>
      </c>
      <c r="AO47" s="13"/>
      <c r="AP47" s="14">
        <f t="shared" si="20"/>
        <v>0</v>
      </c>
    </row>
    <row r="48" spans="1:43" s="9" customFormat="1" ht="24.95" customHeight="1" x14ac:dyDescent="0.2">
      <c r="A48" s="9" t="s">
        <v>288</v>
      </c>
      <c r="B48" s="12">
        <f>CNT!S65</f>
        <v>715632.48</v>
      </c>
      <c r="C48" s="12"/>
      <c r="D48" s="12">
        <v>0</v>
      </c>
      <c r="E48" s="12"/>
      <c r="F48" s="12">
        <v>0</v>
      </c>
      <c r="G48" s="12"/>
      <c r="H48" s="12">
        <v>0</v>
      </c>
      <c r="J48" s="12">
        <v>0</v>
      </c>
      <c r="L48" s="12">
        <v>0</v>
      </c>
      <c r="N48" s="12">
        <v>0</v>
      </c>
      <c r="P48" s="12">
        <f t="shared" si="21"/>
        <v>715632.48</v>
      </c>
      <c r="Q48" s="9" t="s">
        <v>288</v>
      </c>
      <c r="R48" s="54">
        <v>715632.48</v>
      </c>
      <c r="S48" s="12"/>
      <c r="T48" s="54">
        <v>0</v>
      </c>
      <c r="U48" s="12"/>
      <c r="V48" s="54">
        <v>0</v>
      </c>
      <c r="W48" s="12"/>
      <c r="X48" s="54">
        <v>0</v>
      </c>
      <c r="Y48" s="12"/>
      <c r="Z48" s="54">
        <v>0</v>
      </c>
      <c r="AA48" s="12"/>
      <c r="AB48" s="54">
        <v>0</v>
      </c>
      <c r="AC48" s="12"/>
      <c r="AD48" s="54">
        <v>0</v>
      </c>
      <c r="AE48" s="12"/>
      <c r="AF48" s="122">
        <f t="shared" si="22"/>
        <v>715632.48</v>
      </c>
      <c r="AG48" s="9" t="s">
        <v>288</v>
      </c>
      <c r="AH48" s="12">
        <f t="shared" si="17"/>
        <v>715632.48</v>
      </c>
      <c r="AI48" s="12"/>
      <c r="AJ48" s="12">
        <f t="shared" si="23"/>
        <v>715632.48</v>
      </c>
      <c r="AK48" s="12"/>
      <c r="AL48" s="12">
        <f t="shared" si="18"/>
        <v>0</v>
      </c>
      <c r="AM48" s="12"/>
      <c r="AN48" s="13">
        <f t="shared" si="19"/>
        <v>1</v>
      </c>
      <c r="AO48" s="13"/>
      <c r="AP48" s="14">
        <f t="shared" si="20"/>
        <v>0</v>
      </c>
    </row>
    <row r="49" spans="1:42" s="9" customFormat="1" ht="24.95" customHeight="1" x14ac:dyDescent="0.2">
      <c r="A49" s="9" t="s">
        <v>279</v>
      </c>
      <c r="B49" s="12">
        <f>CNT!S66</f>
        <v>4714695.95</v>
      </c>
      <c r="C49" s="12"/>
      <c r="D49" s="12">
        <v>0</v>
      </c>
      <c r="E49" s="12"/>
      <c r="F49" s="12">
        <f>DEP!S23</f>
        <v>193555.25</v>
      </c>
      <c r="G49" s="12"/>
      <c r="H49" s="12">
        <v>0</v>
      </c>
      <c r="J49" s="12">
        <v>0</v>
      </c>
      <c r="L49" s="12">
        <v>0</v>
      </c>
      <c r="N49" s="12">
        <v>0</v>
      </c>
      <c r="P49" s="12">
        <f t="shared" si="21"/>
        <v>4908251.2</v>
      </c>
      <c r="Q49" s="9" t="s">
        <v>279</v>
      </c>
      <c r="R49" s="54">
        <v>4682170.93</v>
      </c>
      <c r="S49" s="12"/>
      <c r="T49" s="54">
        <v>0</v>
      </c>
      <c r="U49" s="12"/>
      <c r="V49" s="54">
        <v>193555.25</v>
      </c>
      <c r="W49" s="12"/>
      <c r="X49" s="54">
        <v>0</v>
      </c>
      <c r="Y49" s="12"/>
      <c r="Z49" s="54">
        <v>0</v>
      </c>
      <c r="AA49" s="12"/>
      <c r="AB49" s="54">
        <v>0</v>
      </c>
      <c r="AC49" s="12"/>
      <c r="AD49" s="54">
        <v>0</v>
      </c>
      <c r="AE49" s="12"/>
      <c r="AF49" s="122">
        <f t="shared" si="22"/>
        <v>4875726.18</v>
      </c>
      <c r="AG49" s="9" t="s">
        <v>279</v>
      </c>
      <c r="AH49" s="12">
        <f t="shared" si="17"/>
        <v>4908251.2</v>
      </c>
      <c r="AI49" s="12"/>
      <c r="AJ49" s="12">
        <f t="shared" si="23"/>
        <v>4875726.18</v>
      </c>
      <c r="AK49" s="12"/>
      <c r="AL49" s="12">
        <f t="shared" si="18"/>
        <v>32525.020000000484</v>
      </c>
      <c r="AM49" s="12"/>
      <c r="AN49" s="13">
        <f t="shared" si="19"/>
        <v>1.0066708052912028</v>
      </c>
      <c r="AO49" s="13"/>
      <c r="AP49" s="14">
        <f t="shared" si="20"/>
        <v>6.670805291202786E-3</v>
      </c>
    </row>
    <row r="50" spans="1:42" s="9" customFormat="1" ht="24.95" customHeight="1" x14ac:dyDescent="0.2">
      <c r="A50" s="9" t="s">
        <v>280</v>
      </c>
      <c r="B50" s="12">
        <f>CNT!S67</f>
        <v>460539.38</v>
      </c>
      <c r="C50" s="12"/>
      <c r="D50" s="12">
        <v>0</v>
      </c>
      <c r="E50" s="12"/>
      <c r="F50" s="12">
        <v>0</v>
      </c>
      <c r="G50" s="12"/>
      <c r="H50" s="12">
        <v>0</v>
      </c>
      <c r="J50" s="12">
        <v>0</v>
      </c>
      <c r="L50" s="12">
        <v>0</v>
      </c>
      <c r="N50" s="12">
        <v>0</v>
      </c>
      <c r="P50" s="12">
        <f t="shared" si="21"/>
        <v>460539.38</v>
      </c>
      <c r="Q50" s="9" t="s">
        <v>280</v>
      </c>
      <c r="R50" s="54">
        <v>460539.38</v>
      </c>
      <c r="S50" s="12"/>
      <c r="T50" s="54">
        <v>0</v>
      </c>
      <c r="U50" s="12"/>
      <c r="V50" s="54">
        <v>0</v>
      </c>
      <c r="W50" s="12"/>
      <c r="X50" s="54">
        <v>0</v>
      </c>
      <c r="Y50" s="12"/>
      <c r="Z50" s="54">
        <v>0</v>
      </c>
      <c r="AA50" s="12"/>
      <c r="AB50" s="54">
        <v>0</v>
      </c>
      <c r="AC50" s="12"/>
      <c r="AD50" s="54">
        <v>0</v>
      </c>
      <c r="AE50" s="12"/>
      <c r="AF50" s="122">
        <f t="shared" si="22"/>
        <v>460539.38</v>
      </c>
      <c r="AG50" s="9" t="s">
        <v>280</v>
      </c>
      <c r="AH50" s="12">
        <f t="shared" si="17"/>
        <v>460539.38</v>
      </c>
      <c r="AI50" s="12"/>
      <c r="AJ50" s="12">
        <f t="shared" si="23"/>
        <v>460539.38</v>
      </c>
      <c r="AK50" s="12"/>
      <c r="AL50" s="12">
        <f t="shared" si="18"/>
        <v>0</v>
      </c>
      <c r="AM50" s="12"/>
      <c r="AN50" s="13">
        <f t="shared" si="19"/>
        <v>1</v>
      </c>
      <c r="AO50" s="13"/>
      <c r="AP50" s="14">
        <f t="shared" si="20"/>
        <v>0</v>
      </c>
    </row>
    <row r="51" spans="1:42" s="9" customFormat="1" ht="24.95" customHeight="1" x14ac:dyDescent="0.2">
      <c r="A51" s="9" t="s">
        <v>281</v>
      </c>
      <c r="B51" s="12">
        <f>CNT!S69</f>
        <v>3142165.97</v>
      </c>
      <c r="C51" s="12"/>
      <c r="D51" s="12">
        <f>BPM!S28</f>
        <v>20237.79</v>
      </c>
      <c r="E51" s="12"/>
      <c r="F51" s="12">
        <f>DEP!S24</f>
        <v>722636.64</v>
      </c>
      <c r="G51" s="12"/>
      <c r="H51" s="12">
        <v>0</v>
      </c>
      <c r="J51" s="12">
        <v>0</v>
      </c>
      <c r="L51" s="12">
        <v>0</v>
      </c>
      <c r="N51" s="12">
        <v>0</v>
      </c>
      <c r="P51" s="12">
        <f t="shared" si="21"/>
        <v>3885040.4000000004</v>
      </c>
      <c r="Q51" s="9" t="s">
        <v>281</v>
      </c>
      <c r="R51" s="54">
        <v>3119443.63</v>
      </c>
      <c r="S51" s="12"/>
      <c r="T51" s="54">
        <v>20237.79</v>
      </c>
      <c r="U51" s="12"/>
      <c r="V51" s="54">
        <v>716032.14</v>
      </c>
      <c r="W51" s="12"/>
      <c r="X51" s="54">
        <v>0</v>
      </c>
      <c r="Y51" s="12"/>
      <c r="Z51" s="54">
        <v>0</v>
      </c>
      <c r="AA51" s="12"/>
      <c r="AB51" s="54">
        <v>0</v>
      </c>
      <c r="AC51" s="12"/>
      <c r="AD51" s="54">
        <v>0</v>
      </c>
      <c r="AE51" s="12"/>
      <c r="AF51" s="122">
        <f t="shared" si="22"/>
        <v>3855713.56</v>
      </c>
      <c r="AG51" s="9" t="s">
        <v>281</v>
      </c>
      <c r="AH51" s="12">
        <f t="shared" si="17"/>
        <v>3885040.4000000004</v>
      </c>
      <c r="AI51" s="12"/>
      <c r="AJ51" s="12">
        <f t="shared" si="23"/>
        <v>3855713.56</v>
      </c>
      <c r="AK51" s="12"/>
      <c r="AL51" s="12">
        <f t="shared" si="18"/>
        <v>29326.840000000317</v>
      </c>
      <c r="AM51" s="12"/>
      <c r="AN51" s="13">
        <f t="shared" si="19"/>
        <v>1.0076060733100725</v>
      </c>
      <c r="AO51" s="13"/>
      <c r="AP51" s="14">
        <f t="shared" si="20"/>
        <v>7.6060733100724587E-3</v>
      </c>
    </row>
    <row r="52" spans="1:42" s="9" customFormat="1" ht="24.95" customHeight="1" x14ac:dyDescent="0.2">
      <c r="A52" s="9" t="s">
        <v>595</v>
      </c>
      <c r="B52" s="12">
        <f>CNT!S70</f>
        <v>11428.88</v>
      </c>
      <c r="C52" s="12"/>
      <c r="D52" s="12">
        <v>0</v>
      </c>
      <c r="E52" s="12"/>
      <c r="F52" s="12">
        <v>0</v>
      </c>
      <c r="G52" s="12"/>
      <c r="H52" s="12">
        <v>0</v>
      </c>
      <c r="J52" s="12">
        <v>0</v>
      </c>
      <c r="L52" s="12">
        <v>0</v>
      </c>
      <c r="N52" s="12">
        <v>0</v>
      </c>
      <c r="P52" s="12">
        <f t="shared" si="21"/>
        <v>11428.88</v>
      </c>
      <c r="Q52" s="9" t="s">
        <v>595</v>
      </c>
      <c r="R52" s="54">
        <v>11428.88</v>
      </c>
      <c r="S52" s="12"/>
      <c r="T52" s="54">
        <v>0</v>
      </c>
      <c r="U52" s="12"/>
      <c r="V52" s="54">
        <v>0</v>
      </c>
      <c r="W52" s="12"/>
      <c r="X52" s="54">
        <v>0</v>
      </c>
      <c r="Y52" s="12"/>
      <c r="Z52" s="54">
        <v>0</v>
      </c>
      <c r="AA52" s="12"/>
      <c r="AB52" s="54">
        <v>0</v>
      </c>
      <c r="AC52" s="12"/>
      <c r="AD52" s="54">
        <v>0</v>
      </c>
      <c r="AE52" s="12"/>
      <c r="AF52" s="122">
        <f t="shared" si="22"/>
        <v>11428.88</v>
      </c>
      <c r="AG52" s="9" t="s">
        <v>595</v>
      </c>
      <c r="AH52" s="12">
        <f t="shared" si="17"/>
        <v>11428.88</v>
      </c>
      <c r="AI52" s="12"/>
      <c r="AJ52" s="12">
        <f t="shared" si="23"/>
        <v>11428.88</v>
      </c>
      <c r="AK52" s="12"/>
      <c r="AL52" s="12">
        <f t="shared" si="18"/>
        <v>0</v>
      </c>
      <c r="AM52" s="12"/>
      <c r="AN52" s="13">
        <f t="shared" si="19"/>
        <v>1</v>
      </c>
      <c r="AO52" s="13"/>
      <c r="AP52" s="14">
        <f t="shared" si="20"/>
        <v>0</v>
      </c>
    </row>
    <row r="53" spans="1:42" s="9" customFormat="1" ht="24.95" customHeight="1" x14ac:dyDescent="0.2">
      <c r="A53" s="9" t="s">
        <v>282</v>
      </c>
      <c r="B53" s="12">
        <f>CNT!S71</f>
        <v>384818.56</v>
      </c>
      <c r="C53" s="12"/>
      <c r="D53" s="12">
        <v>0</v>
      </c>
      <c r="E53" s="12"/>
      <c r="F53" s="12">
        <v>0</v>
      </c>
      <c r="G53" s="12"/>
      <c r="H53" s="12">
        <v>0</v>
      </c>
      <c r="J53" s="12">
        <v>0</v>
      </c>
      <c r="L53" s="12">
        <v>0</v>
      </c>
      <c r="N53" s="12">
        <v>0</v>
      </c>
      <c r="P53" s="12">
        <f t="shared" si="21"/>
        <v>384818.56</v>
      </c>
      <c r="Q53" s="9" t="s">
        <v>282</v>
      </c>
      <c r="R53" s="54">
        <v>205633.94</v>
      </c>
      <c r="S53" s="12"/>
      <c r="T53" s="54">
        <v>0</v>
      </c>
      <c r="U53" s="12"/>
      <c r="V53" s="54">
        <v>0</v>
      </c>
      <c r="W53" s="12"/>
      <c r="X53" s="54">
        <v>0</v>
      </c>
      <c r="Y53" s="12"/>
      <c r="Z53" s="54">
        <v>0</v>
      </c>
      <c r="AA53" s="12"/>
      <c r="AB53" s="54">
        <v>0</v>
      </c>
      <c r="AC53" s="12"/>
      <c r="AD53" s="54">
        <v>0</v>
      </c>
      <c r="AE53" s="12"/>
      <c r="AF53" s="122">
        <f t="shared" si="22"/>
        <v>205633.94</v>
      </c>
      <c r="AG53" s="9" t="s">
        <v>282</v>
      </c>
      <c r="AH53" s="12">
        <f t="shared" si="17"/>
        <v>384818.56</v>
      </c>
      <c r="AI53" s="12"/>
      <c r="AJ53" s="12">
        <f t="shared" si="23"/>
        <v>205633.94</v>
      </c>
      <c r="AK53" s="12"/>
      <c r="AL53" s="12">
        <f t="shared" si="18"/>
        <v>179184.62</v>
      </c>
      <c r="AM53" s="12"/>
      <c r="AN53" s="13">
        <f t="shared" si="19"/>
        <v>1.8713766803281597</v>
      </c>
      <c r="AO53" s="13"/>
      <c r="AP53" s="14">
        <f t="shared" si="20"/>
        <v>0.87137668032815974</v>
      </c>
    </row>
    <row r="54" spans="1:42" s="9" customFormat="1" ht="24.95" customHeight="1" x14ac:dyDescent="0.2">
      <c r="A54" s="9" t="s">
        <v>283</v>
      </c>
      <c r="B54" s="12">
        <f>CNT!S72</f>
        <v>2027573.66</v>
      </c>
      <c r="C54" s="12"/>
      <c r="D54" s="12">
        <v>0</v>
      </c>
      <c r="E54" s="12"/>
      <c r="F54" s="12">
        <f>DEP!S26</f>
        <v>557749</v>
      </c>
      <c r="G54" s="12"/>
      <c r="H54" s="12">
        <v>0</v>
      </c>
      <c r="J54" s="12">
        <v>0</v>
      </c>
      <c r="L54" s="12">
        <v>0</v>
      </c>
      <c r="N54" s="12">
        <f>'722 Bedford St'!E32</f>
        <v>0</v>
      </c>
      <c r="P54" s="12">
        <f t="shared" si="21"/>
        <v>2585322.66</v>
      </c>
      <c r="Q54" s="9" t="s">
        <v>283</v>
      </c>
      <c r="R54" s="54">
        <v>2023589.41</v>
      </c>
      <c r="S54" s="12"/>
      <c r="T54" s="54">
        <v>0</v>
      </c>
      <c r="U54" s="12"/>
      <c r="V54" s="54">
        <v>0</v>
      </c>
      <c r="W54" s="12"/>
      <c r="X54" s="54">
        <v>0</v>
      </c>
      <c r="Y54" s="12"/>
      <c r="Z54" s="54">
        <v>0</v>
      </c>
      <c r="AA54" s="12"/>
      <c r="AB54" s="54">
        <v>0</v>
      </c>
      <c r="AC54" s="12"/>
      <c r="AD54" s="54">
        <v>557749</v>
      </c>
      <c r="AE54" s="12"/>
      <c r="AF54" s="122">
        <f t="shared" si="22"/>
        <v>2581338.41</v>
      </c>
      <c r="AG54" s="9" t="s">
        <v>283</v>
      </c>
      <c r="AH54" s="12">
        <f t="shared" si="17"/>
        <v>2585322.66</v>
      </c>
      <c r="AI54" s="12"/>
      <c r="AJ54" s="12">
        <f t="shared" si="23"/>
        <v>2581338.41</v>
      </c>
      <c r="AK54" s="12"/>
      <c r="AL54" s="12">
        <f t="shared" si="18"/>
        <v>3984.25</v>
      </c>
      <c r="AM54" s="12"/>
      <c r="AN54" s="13">
        <f t="shared" si="19"/>
        <v>1.001543482243384</v>
      </c>
      <c r="AO54" s="13"/>
      <c r="AP54" s="14">
        <f t="shared" si="20"/>
        <v>1.5434822433839646E-3</v>
      </c>
    </row>
    <row r="55" spans="1:42" s="9" customFormat="1" ht="24.95" customHeight="1" x14ac:dyDescent="0.2">
      <c r="A55" s="9" t="s">
        <v>725</v>
      </c>
      <c r="B55" s="12">
        <f>CNT!S77</f>
        <v>32760.77</v>
      </c>
      <c r="C55" s="12"/>
      <c r="D55" s="12">
        <v>0</v>
      </c>
      <c r="E55" s="12"/>
      <c r="F55" s="12">
        <f>DEP!S25</f>
        <v>22262</v>
      </c>
      <c r="G55" s="12"/>
      <c r="H55" s="12">
        <v>0</v>
      </c>
      <c r="J55" s="12">
        <v>0</v>
      </c>
      <c r="L55" s="12">
        <v>0</v>
      </c>
      <c r="N55" s="12">
        <v>0</v>
      </c>
      <c r="P55" s="12">
        <f t="shared" si="21"/>
        <v>55022.770000000004</v>
      </c>
      <c r="Q55" s="9" t="s">
        <v>725</v>
      </c>
      <c r="R55" s="54">
        <v>0</v>
      </c>
      <c r="S55" s="12"/>
      <c r="T55" s="54">
        <v>0</v>
      </c>
      <c r="U55" s="12"/>
      <c r="V55" s="54">
        <v>0</v>
      </c>
      <c r="W55" s="12"/>
      <c r="X55" s="54">
        <v>0</v>
      </c>
      <c r="Y55" s="12"/>
      <c r="Z55" s="54">
        <v>0</v>
      </c>
      <c r="AA55" s="12"/>
      <c r="AB55" s="54">
        <v>0</v>
      </c>
      <c r="AC55" s="12"/>
      <c r="AD55" s="54">
        <v>0</v>
      </c>
      <c r="AE55" s="12"/>
      <c r="AF55" s="122">
        <f t="shared" si="22"/>
        <v>0</v>
      </c>
      <c r="AG55" s="9" t="s">
        <v>725</v>
      </c>
      <c r="AH55" s="12">
        <f t="shared" si="17"/>
        <v>55022.770000000004</v>
      </c>
      <c r="AI55" s="12"/>
      <c r="AJ55" s="12">
        <f t="shared" si="23"/>
        <v>0</v>
      </c>
      <c r="AK55" s="12"/>
      <c r="AL55" s="12">
        <f t="shared" si="18"/>
        <v>55022.770000000004</v>
      </c>
      <c r="AM55" s="12"/>
      <c r="AN55" s="13" t="e">
        <f t="shared" si="19"/>
        <v>#DIV/0!</v>
      </c>
      <c r="AO55" s="13"/>
      <c r="AP55" s="14" t="e">
        <f t="shared" si="20"/>
        <v>#DIV/0!</v>
      </c>
    </row>
    <row r="56" spans="1:42" s="9" customFormat="1" ht="24.95" customHeight="1" x14ac:dyDescent="0.2">
      <c r="A56" s="9" t="s">
        <v>284</v>
      </c>
      <c r="B56" s="12">
        <f>CNT!S73</f>
        <v>5103382.3600000003</v>
      </c>
      <c r="C56" s="12"/>
      <c r="D56" s="12">
        <v>0</v>
      </c>
      <c r="E56" s="12"/>
      <c r="F56" s="12">
        <v>0</v>
      </c>
      <c r="G56" s="12"/>
      <c r="H56" s="12">
        <v>0</v>
      </c>
      <c r="J56" s="12">
        <v>0</v>
      </c>
      <c r="L56" s="12">
        <v>0</v>
      </c>
      <c r="N56" s="12">
        <v>0</v>
      </c>
      <c r="P56" s="12">
        <f t="shared" si="21"/>
        <v>5103382.3600000003</v>
      </c>
      <c r="Q56" s="9" t="s">
        <v>284</v>
      </c>
      <c r="R56" s="54">
        <v>4989129.7699999996</v>
      </c>
      <c r="S56" s="12"/>
      <c r="T56" s="54">
        <v>0</v>
      </c>
      <c r="U56" s="12"/>
      <c r="V56" s="54">
        <v>0</v>
      </c>
      <c r="W56" s="12"/>
      <c r="X56" s="54">
        <v>0</v>
      </c>
      <c r="Y56" s="12"/>
      <c r="Z56" s="54">
        <v>0</v>
      </c>
      <c r="AA56" s="12"/>
      <c r="AB56" s="54">
        <v>0</v>
      </c>
      <c r="AC56" s="12"/>
      <c r="AD56" s="54">
        <v>0</v>
      </c>
      <c r="AE56" s="12"/>
      <c r="AF56" s="122">
        <f t="shared" si="22"/>
        <v>4989129.7699999996</v>
      </c>
      <c r="AG56" s="9" t="s">
        <v>284</v>
      </c>
      <c r="AH56" s="12">
        <f t="shared" si="17"/>
        <v>5103382.3600000003</v>
      </c>
      <c r="AI56" s="12"/>
      <c r="AJ56" s="12">
        <f t="shared" si="23"/>
        <v>4989129.7699999996</v>
      </c>
      <c r="AK56" s="12"/>
      <c r="AL56" s="12">
        <f t="shared" si="18"/>
        <v>114252.59000000078</v>
      </c>
      <c r="AM56" s="12"/>
      <c r="AN56" s="13">
        <f t="shared" si="19"/>
        <v>1.0229003043149949</v>
      </c>
      <c r="AO56" s="13"/>
      <c r="AP56" s="14">
        <f t="shared" si="20"/>
        <v>2.2900304314994901E-2</v>
      </c>
    </row>
    <row r="57" spans="1:42" s="9" customFormat="1" ht="24.95" customHeight="1" x14ac:dyDescent="0.2">
      <c r="A57" s="9" t="s">
        <v>667</v>
      </c>
      <c r="B57" s="12">
        <f>CNT!S74</f>
        <v>0</v>
      </c>
      <c r="C57" s="12"/>
      <c r="D57" s="12">
        <v>0</v>
      </c>
      <c r="E57" s="12"/>
      <c r="F57" s="12">
        <v>0</v>
      </c>
      <c r="G57" s="12"/>
      <c r="H57" s="12">
        <v>0</v>
      </c>
      <c r="J57" s="12">
        <f>BSC!F37</f>
        <v>25212.82</v>
      </c>
      <c r="L57" s="12">
        <v>0</v>
      </c>
      <c r="N57" s="12">
        <v>0</v>
      </c>
      <c r="P57" s="12">
        <f t="shared" si="21"/>
        <v>25212.82</v>
      </c>
      <c r="Q57" s="9" t="s">
        <v>667</v>
      </c>
      <c r="R57" s="54">
        <v>0</v>
      </c>
      <c r="S57" s="12"/>
      <c r="T57" s="54">
        <v>0</v>
      </c>
      <c r="U57" s="12"/>
      <c r="V57" s="54">
        <v>0</v>
      </c>
      <c r="W57" s="12"/>
      <c r="X57" s="54">
        <v>0</v>
      </c>
      <c r="Y57" s="12"/>
      <c r="Z57" s="54">
        <v>0</v>
      </c>
      <c r="AA57" s="12"/>
      <c r="AB57" s="54">
        <v>0</v>
      </c>
      <c r="AC57" s="12"/>
      <c r="AD57" s="54">
        <v>0</v>
      </c>
      <c r="AE57" s="12"/>
      <c r="AF57" s="122">
        <f t="shared" si="22"/>
        <v>0</v>
      </c>
      <c r="AG57" s="9" t="s">
        <v>667</v>
      </c>
      <c r="AH57" s="12">
        <f t="shared" si="17"/>
        <v>25212.82</v>
      </c>
      <c r="AI57" s="12"/>
      <c r="AJ57" s="12">
        <v>0</v>
      </c>
      <c r="AK57" s="12"/>
      <c r="AL57" s="12">
        <f t="shared" si="18"/>
        <v>25212.82</v>
      </c>
      <c r="AM57" s="12"/>
      <c r="AN57" s="13" t="e">
        <f t="shared" si="19"/>
        <v>#DIV/0!</v>
      </c>
      <c r="AO57" s="13"/>
      <c r="AP57" s="14" t="e">
        <f t="shared" si="20"/>
        <v>#DIV/0!</v>
      </c>
    </row>
    <row r="58" spans="1:42" s="9" customFormat="1" ht="24.95" customHeight="1" x14ac:dyDescent="0.2">
      <c r="A58" s="9" t="s">
        <v>714</v>
      </c>
      <c r="B58" s="12">
        <v>0</v>
      </c>
      <c r="C58" s="12"/>
      <c r="D58" s="12">
        <v>0</v>
      </c>
      <c r="E58" s="12"/>
      <c r="F58" s="12">
        <v>0</v>
      </c>
      <c r="G58" s="12"/>
      <c r="H58" s="12">
        <v>0</v>
      </c>
      <c r="J58" s="12">
        <v>0</v>
      </c>
      <c r="L58" s="12">
        <v>0</v>
      </c>
      <c r="N58" s="12">
        <f>'722 Bedford St'!E27</f>
        <v>13912.32</v>
      </c>
      <c r="P58" s="12">
        <f t="shared" si="21"/>
        <v>13912.32</v>
      </c>
      <c r="Q58" s="9" t="s">
        <v>714</v>
      </c>
      <c r="R58" s="54">
        <v>0</v>
      </c>
      <c r="S58" s="12"/>
      <c r="T58" s="54">
        <v>0</v>
      </c>
      <c r="U58" s="12"/>
      <c r="V58" s="54">
        <v>0</v>
      </c>
      <c r="W58" s="12"/>
      <c r="X58" s="54">
        <v>0</v>
      </c>
      <c r="Y58" s="12"/>
      <c r="Z58" s="54">
        <v>0</v>
      </c>
      <c r="AA58" s="12"/>
      <c r="AB58" s="54">
        <v>0</v>
      </c>
      <c r="AC58" s="12"/>
      <c r="AD58" s="54">
        <v>0</v>
      </c>
      <c r="AE58" s="12"/>
      <c r="AF58" s="122">
        <f t="shared" si="22"/>
        <v>0</v>
      </c>
      <c r="AG58" s="9" t="s">
        <v>714</v>
      </c>
      <c r="AH58" s="12">
        <f t="shared" si="17"/>
        <v>13912.32</v>
      </c>
      <c r="AI58" s="12"/>
      <c r="AJ58" s="12">
        <v>0</v>
      </c>
      <c r="AK58" s="12"/>
      <c r="AL58" s="12">
        <f t="shared" si="18"/>
        <v>13912.32</v>
      </c>
      <c r="AM58" s="12"/>
      <c r="AN58" s="13" t="e">
        <f t="shared" si="19"/>
        <v>#DIV/0!</v>
      </c>
      <c r="AO58" s="13"/>
      <c r="AP58" s="14" t="e">
        <f t="shared" si="20"/>
        <v>#DIV/0!</v>
      </c>
    </row>
    <row r="59" spans="1:42" s="9" customFormat="1" ht="24.95" customHeight="1" x14ac:dyDescent="0.2">
      <c r="A59" s="9" t="s">
        <v>611</v>
      </c>
      <c r="B59" s="12">
        <f>CNT!S76</f>
        <v>0</v>
      </c>
      <c r="C59" s="12"/>
      <c r="D59" s="12">
        <v>0</v>
      </c>
      <c r="E59" s="12"/>
      <c r="F59" s="12">
        <v>0</v>
      </c>
      <c r="G59" s="12"/>
      <c r="H59" s="12">
        <v>0</v>
      </c>
      <c r="J59" s="12">
        <v>0</v>
      </c>
      <c r="L59" s="12">
        <v>0</v>
      </c>
      <c r="N59" s="12">
        <v>0</v>
      </c>
      <c r="P59" s="12">
        <f t="shared" si="21"/>
        <v>0</v>
      </c>
      <c r="Q59" s="9" t="s">
        <v>611</v>
      </c>
      <c r="R59" s="54">
        <v>0</v>
      </c>
      <c r="S59" s="12"/>
      <c r="T59" s="54">
        <v>0</v>
      </c>
      <c r="U59" s="12"/>
      <c r="V59" s="54">
        <v>0</v>
      </c>
      <c r="W59" s="12"/>
      <c r="X59" s="54">
        <v>0</v>
      </c>
      <c r="Y59" s="12"/>
      <c r="Z59" s="54">
        <v>0</v>
      </c>
      <c r="AA59" s="12"/>
      <c r="AB59" s="54">
        <v>0</v>
      </c>
      <c r="AC59" s="12"/>
      <c r="AD59" s="54">
        <v>0</v>
      </c>
      <c r="AE59" s="12"/>
      <c r="AF59" s="122">
        <f t="shared" si="22"/>
        <v>0</v>
      </c>
      <c r="AG59" s="9" t="s">
        <v>611</v>
      </c>
      <c r="AH59" s="12">
        <f t="shared" si="17"/>
        <v>0</v>
      </c>
      <c r="AI59" s="12"/>
      <c r="AJ59" s="12">
        <f t="shared" si="23"/>
        <v>0</v>
      </c>
      <c r="AK59" s="12"/>
      <c r="AL59" s="12">
        <f t="shared" si="18"/>
        <v>0</v>
      </c>
      <c r="AM59" s="12"/>
      <c r="AN59" s="13" t="e">
        <f t="shared" si="19"/>
        <v>#DIV/0!</v>
      </c>
      <c r="AO59" s="13"/>
      <c r="AP59" s="14" t="e">
        <f t="shared" si="20"/>
        <v>#DIV/0!</v>
      </c>
    </row>
    <row r="60" spans="1:42" s="9" customFormat="1" ht="24.95" customHeight="1" x14ac:dyDescent="0.2">
      <c r="A60" s="9" t="s">
        <v>287</v>
      </c>
      <c r="B60" s="12">
        <f>CNT!S75</f>
        <v>76523.81</v>
      </c>
      <c r="C60" s="12"/>
      <c r="D60" s="12">
        <v>0</v>
      </c>
      <c r="E60" s="12"/>
      <c r="F60" s="12">
        <v>0</v>
      </c>
      <c r="G60" s="12"/>
      <c r="H60" s="12">
        <v>0</v>
      </c>
      <c r="J60" s="12">
        <f>BSC!F16+BSC!F17+BSC!F18+BSC!F19+BSC!F20+BSC!F21+BSC!F22+BSC!F23+BSC!F24+BSC!F25+BSC!F26+BSC!F27+BSC!F28+BSC!F29+BSC!F30+BSC!F31+BSC!F32+BSC!F33+BSC!F34+BSC!F35+BSC!F36+BSC!F38+BSC!F41+BSC!F39+BSC!F40</f>
        <v>4172698.5099999993</v>
      </c>
      <c r="L60" s="12">
        <f>'Oliari Co'!F26-'Oliari Co'!F23+'Oliari Co'!F54</f>
        <v>4810642.5599999996</v>
      </c>
      <c r="N60" s="12">
        <f>'722 Bedford St'!E26+'722 Bedford St'!E29+'722 Bedford St'!E30+'722 Bedford St'!E31</f>
        <v>8677537.25</v>
      </c>
      <c r="P60" s="12">
        <f t="shared" si="21"/>
        <v>17737402.129999999</v>
      </c>
      <c r="Q60" s="9" t="s">
        <v>503</v>
      </c>
      <c r="R60" s="54">
        <v>90707.81</v>
      </c>
      <c r="S60" s="12"/>
      <c r="T60" s="54">
        <v>0</v>
      </c>
      <c r="U60" s="12"/>
      <c r="V60" s="54">
        <v>0</v>
      </c>
      <c r="W60" s="12"/>
      <c r="X60" s="54">
        <v>0</v>
      </c>
      <c r="Y60" s="12"/>
      <c r="Z60" s="54">
        <v>4090169.9999999995</v>
      </c>
      <c r="AA60" s="12"/>
      <c r="AB60" s="54">
        <v>4810642.5599999996</v>
      </c>
      <c r="AC60" s="12"/>
      <c r="AD60" s="54">
        <v>8677537.25</v>
      </c>
      <c r="AE60" s="12"/>
      <c r="AF60" s="122">
        <f t="shared" si="22"/>
        <v>17669057.619999997</v>
      </c>
      <c r="AG60" s="9" t="s">
        <v>503</v>
      </c>
      <c r="AH60" s="12">
        <f t="shared" si="17"/>
        <v>17737402.129999999</v>
      </c>
      <c r="AI60" s="12"/>
      <c r="AJ60" s="12">
        <f t="shared" si="23"/>
        <v>17669057.619999997</v>
      </c>
      <c r="AK60" s="12"/>
      <c r="AL60" s="12">
        <f t="shared" si="18"/>
        <v>68344.510000001639</v>
      </c>
      <c r="AM60" s="12"/>
      <c r="AN60" s="13">
        <f t="shared" si="19"/>
        <v>1.00386803368181</v>
      </c>
      <c r="AO60" s="13"/>
      <c r="AP60" s="14">
        <f t="shared" si="20"/>
        <v>3.8680336818099903E-3</v>
      </c>
    </row>
    <row r="61" spans="1:42" s="9" customFormat="1" ht="24.95" customHeight="1" x14ac:dyDescent="0.2">
      <c r="A61" s="9" t="s">
        <v>285</v>
      </c>
      <c r="B61" s="16">
        <f>CNT!S78</f>
        <v>-9364691.1799999997</v>
      </c>
      <c r="C61" s="16"/>
      <c r="D61" s="16">
        <f>BPM!S29</f>
        <v>-19017.96</v>
      </c>
      <c r="E61" s="16"/>
      <c r="F61" s="16">
        <f>DEP!S27</f>
        <v>-837890.12</v>
      </c>
      <c r="G61" s="16"/>
      <c r="H61" s="16">
        <v>0</v>
      </c>
      <c r="I61" s="17"/>
      <c r="J61" s="16">
        <f>BSC!F42</f>
        <v>-2571177.9500000002</v>
      </c>
      <c r="K61" s="17"/>
      <c r="L61" s="16">
        <f>'Oliari Co'!F23</f>
        <v>-1584754.88</v>
      </c>
      <c r="M61" s="17"/>
      <c r="N61" s="16">
        <f>'722 Bedford St'!E21+'722 Bedford St'!E22+'722 Bedford St'!E23+'722 Bedford St'!E24+'722 Bedford St'!E25</f>
        <v>-1309560.6599999999</v>
      </c>
      <c r="O61" s="17"/>
      <c r="P61" s="16">
        <f>SUM(B61:N61)</f>
        <v>-15687092.75</v>
      </c>
      <c r="Q61" s="9" t="s">
        <v>522</v>
      </c>
      <c r="R61" s="55">
        <v>-8093275.6500000004</v>
      </c>
      <c r="S61" s="16"/>
      <c r="T61" s="55">
        <v>-13998.48</v>
      </c>
      <c r="U61" s="16"/>
      <c r="V61" s="55">
        <v>-635835.29</v>
      </c>
      <c r="W61" s="16"/>
      <c r="X61" s="55">
        <v>0</v>
      </c>
      <c r="Y61" s="16"/>
      <c r="Z61" s="55">
        <v>-2466270.13</v>
      </c>
      <c r="AA61" s="16"/>
      <c r="AB61" s="55">
        <v>-1473860.17</v>
      </c>
      <c r="AC61" s="16"/>
      <c r="AD61" s="55">
        <v>-1140995.7400000002</v>
      </c>
      <c r="AE61" s="16"/>
      <c r="AF61" s="16">
        <f t="shared" si="22"/>
        <v>-13824235.460000001</v>
      </c>
      <c r="AG61" s="9" t="s">
        <v>522</v>
      </c>
      <c r="AH61" s="16">
        <f t="shared" si="17"/>
        <v>-15687092.75</v>
      </c>
      <c r="AI61" s="16"/>
      <c r="AJ61" s="16">
        <f t="shared" si="23"/>
        <v>-13824235.460000001</v>
      </c>
      <c r="AK61" s="16"/>
      <c r="AL61" s="16">
        <f t="shared" si="18"/>
        <v>-1862857.2899999991</v>
      </c>
      <c r="AM61" s="12"/>
      <c r="AN61" s="13">
        <f t="shared" si="19"/>
        <v>1.1347530064422093</v>
      </c>
      <c r="AO61" s="13"/>
      <c r="AP61" s="14">
        <f t="shared" si="20"/>
        <v>0.13475300644220933</v>
      </c>
    </row>
    <row r="62" spans="1:42" s="9" customFormat="1" ht="24.95" customHeight="1" x14ac:dyDescent="0.2">
      <c r="A62" s="20" t="s">
        <v>334</v>
      </c>
      <c r="B62" s="12">
        <f>SUM(B46:B61)</f>
        <v>8464293.629999999</v>
      </c>
      <c r="C62" s="12"/>
      <c r="D62" s="12">
        <f>SUM(D46:D61)</f>
        <v>9797</v>
      </c>
      <c r="E62" s="12"/>
      <c r="F62" s="12">
        <f>SUM(F46:F61)</f>
        <v>796726.52000000014</v>
      </c>
      <c r="G62" s="12"/>
      <c r="H62" s="12">
        <f>SUM(H46:H61)</f>
        <v>0</v>
      </c>
      <c r="I62" s="12"/>
      <c r="J62" s="12">
        <f>SUM(J46:J61)</f>
        <v>1626733.379999999</v>
      </c>
      <c r="K62" s="12"/>
      <c r="L62" s="12">
        <f>SUM(L46:L61)</f>
        <v>3225887.6799999997</v>
      </c>
      <c r="M62" s="12"/>
      <c r="N62" s="12">
        <f>SUM(N46:N61)</f>
        <v>7391283.0999999996</v>
      </c>
      <c r="O62" s="12"/>
      <c r="P62" s="12">
        <f>SUM(P46:P61)</f>
        <v>21514721.310000002</v>
      </c>
      <c r="Q62" s="20" t="s">
        <v>334</v>
      </c>
      <c r="R62" s="54">
        <f>SUM(R46:R61)</f>
        <v>9362448.1099999975</v>
      </c>
      <c r="S62" s="12"/>
      <c r="T62" s="54">
        <f>SUM(T46:T61)</f>
        <v>14816.48</v>
      </c>
      <c r="U62" s="12"/>
      <c r="V62" s="54">
        <f>SUM(V46:V61)</f>
        <v>412165.85</v>
      </c>
      <c r="W62" s="12"/>
      <c r="X62" s="54">
        <f>SUM(X46:X61)</f>
        <v>0</v>
      </c>
      <c r="Y62" s="12"/>
      <c r="Z62" s="54">
        <f>SUM(Z46:Z61)</f>
        <v>1623899.8699999996</v>
      </c>
      <c r="AA62" s="12"/>
      <c r="AB62" s="54">
        <f>SUM(AB46:AB61)</f>
        <v>3336782.3899999997</v>
      </c>
      <c r="AC62" s="12"/>
      <c r="AD62" s="54">
        <f>SUM(AD46:AD61)</f>
        <v>8103684.6999999993</v>
      </c>
      <c r="AE62" s="12"/>
      <c r="AF62" s="12">
        <f>SUM(AF46:AF61)</f>
        <v>22853797.399999999</v>
      </c>
      <c r="AG62" s="20" t="s">
        <v>334</v>
      </c>
      <c r="AH62" s="22">
        <f>SUM(AH46:AH61)</f>
        <v>21514721.310000002</v>
      </c>
      <c r="AI62" s="22"/>
      <c r="AJ62" s="22">
        <f>SUM(AJ46:AJ61)</f>
        <v>22853797.399999999</v>
      </c>
      <c r="AK62" s="22"/>
      <c r="AL62" s="22">
        <f>SUM(AL46:AL61)</f>
        <v>-1339076.0899999957</v>
      </c>
      <c r="AM62" s="22"/>
      <c r="AN62" s="13">
        <f t="shared" si="19"/>
        <v>0.94140684514863182</v>
      </c>
      <c r="AO62" s="13"/>
      <c r="AP62" s="14">
        <f t="shared" si="20"/>
        <v>-5.8593154851368179E-2</v>
      </c>
    </row>
    <row r="63" spans="1:42" s="9" customFormat="1" ht="24.95" customHeight="1" x14ac:dyDescent="0.2">
      <c r="A63" s="20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20"/>
      <c r="R63" s="54"/>
      <c r="S63" s="12"/>
      <c r="T63" s="54"/>
      <c r="U63" s="12"/>
      <c r="V63" s="54"/>
      <c r="W63" s="12"/>
      <c r="X63" s="54"/>
      <c r="Y63" s="12"/>
      <c r="Z63" s="54"/>
      <c r="AA63" s="12"/>
      <c r="AB63" s="54"/>
      <c r="AC63" s="12"/>
      <c r="AD63" s="54"/>
      <c r="AE63" s="12"/>
      <c r="AF63" s="10"/>
      <c r="AG63" s="20"/>
      <c r="AH63" s="22"/>
      <c r="AI63" s="22"/>
      <c r="AJ63" s="22"/>
      <c r="AK63" s="22"/>
      <c r="AL63" s="22"/>
      <c r="AM63" s="22"/>
      <c r="AN63" s="13"/>
      <c r="AO63" s="10"/>
      <c r="AP63" s="14"/>
    </row>
    <row r="64" spans="1:42" s="9" customFormat="1" ht="24.95" customHeight="1" x14ac:dyDescent="0.2">
      <c r="A64" s="9" t="s">
        <v>406</v>
      </c>
      <c r="B64" s="12">
        <f>CNT!S68+CNT!S79</f>
        <v>0</v>
      </c>
      <c r="C64" s="12"/>
      <c r="D64" s="12">
        <v>0</v>
      </c>
      <c r="E64" s="12"/>
      <c r="F64" s="12">
        <v>0</v>
      </c>
      <c r="G64" s="12"/>
      <c r="H64" s="12">
        <v>0</v>
      </c>
      <c r="I64" s="12"/>
      <c r="J64" s="12">
        <v>0</v>
      </c>
      <c r="K64" s="12"/>
      <c r="L64" s="12">
        <v>0</v>
      </c>
      <c r="M64" s="12"/>
      <c r="N64" s="12">
        <v>0</v>
      </c>
      <c r="O64" s="12"/>
      <c r="P64" s="12">
        <f>SUM(B64:N64)</f>
        <v>0</v>
      </c>
      <c r="Q64" s="9" t="s">
        <v>406</v>
      </c>
      <c r="R64" s="54">
        <v>999.91000000000349</v>
      </c>
      <c r="S64" s="12"/>
      <c r="T64" s="54">
        <v>0</v>
      </c>
      <c r="U64" s="12"/>
      <c r="V64" s="54">
        <v>0</v>
      </c>
      <c r="W64" s="12"/>
      <c r="X64" s="54">
        <v>0</v>
      </c>
      <c r="Y64" s="12"/>
      <c r="Z64" s="54">
        <v>0</v>
      </c>
      <c r="AA64" s="12"/>
      <c r="AB64" s="54">
        <v>0</v>
      </c>
      <c r="AC64" s="12"/>
      <c r="AD64" s="54">
        <v>0</v>
      </c>
      <c r="AE64" s="12"/>
      <c r="AF64" s="12">
        <f>SUM(R64:AD64)</f>
        <v>999.91000000000349</v>
      </c>
      <c r="AG64" s="9" t="s">
        <v>406</v>
      </c>
      <c r="AH64" s="22">
        <f>P64</f>
        <v>0</v>
      </c>
      <c r="AI64" s="12"/>
      <c r="AJ64" s="12">
        <f>AF64</f>
        <v>999.91000000000349</v>
      </c>
      <c r="AK64" s="12"/>
      <c r="AL64" s="22">
        <f>AH64-AJ64</f>
        <v>-999.91000000000349</v>
      </c>
      <c r="AM64" s="12"/>
      <c r="AN64" s="13">
        <f t="shared" si="19"/>
        <v>0</v>
      </c>
      <c r="AO64" s="13"/>
      <c r="AP64" s="14">
        <f t="shared" si="20"/>
        <v>-1</v>
      </c>
    </row>
    <row r="65" spans="1:43" s="9" customFormat="1" ht="24.95" customHeight="1" x14ac:dyDescent="0.2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R65" s="54"/>
      <c r="S65" s="12"/>
      <c r="T65" s="54"/>
      <c r="U65" s="12"/>
      <c r="V65" s="54"/>
      <c r="W65" s="12"/>
      <c r="X65" s="54"/>
      <c r="Y65" s="12"/>
      <c r="Z65" s="54"/>
      <c r="AA65" s="12"/>
      <c r="AB65" s="54"/>
      <c r="AC65" s="12"/>
      <c r="AD65" s="54"/>
      <c r="AE65" s="12"/>
      <c r="AF65" s="12"/>
      <c r="AH65" s="22"/>
      <c r="AI65" s="12"/>
      <c r="AJ65" s="12"/>
      <c r="AK65" s="12"/>
      <c r="AL65" s="12"/>
      <c r="AM65" s="12"/>
      <c r="AN65" s="13"/>
      <c r="AO65" s="13"/>
      <c r="AP65" s="14"/>
    </row>
    <row r="66" spans="1:43" s="9" customFormat="1" ht="24.95" customHeight="1" thickBot="1" x14ac:dyDescent="0.25">
      <c r="A66" s="8" t="s">
        <v>289</v>
      </c>
      <c r="B66" s="23">
        <f>B64+B62+B43</f>
        <v>65291899.37000002</v>
      </c>
      <c r="C66" s="23"/>
      <c r="D66" s="23">
        <f>SUM(D62,D43,D64)</f>
        <v>488917.88999999996</v>
      </c>
      <c r="E66" s="23"/>
      <c r="F66" s="23">
        <f>SUM(F62,F43,F64)</f>
        <v>8205280.0300000003</v>
      </c>
      <c r="G66" s="23"/>
      <c r="H66" s="23">
        <f>SUM(H62,H43,H64)</f>
        <v>886804.98999999987</v>
      </c>
      <c r="I66" s="23"/>
      <c r="J66" s="23">
        <f>SUM(J62,J43,J64)</f>
        <v>2114881.2599999988</v>
      </c>
      <c r="K66" s="23"/>
      <c r="L66" s="23">
        <f>SUM(L62,L43,L64)</f>
        <v>5436136.3799999999</v>
      </c>
      <c r="M66" s="23"/>
      <c r="N66" s="23">
        <f>SUM(N62,N43,N64)</f>
        <v>8344256.7199999997</v>
      </c>
      <c r="O66" s="23"/>
      <c r="P66" s="23">
        <f>SUM(P62,P43,P64)</f>
        <v>90768176.640000045</v>
      </c>
      <c r="Q66" s="8" t="s">
        <v>289</v>
      </c>
      <c r="R66" s="57">
        <f>SUM(R62,R43,R64)</f>
        <v>51401966.959999993</v>
      </c>
      <c r="S66" s="23"/>
      <c r="T66" s="57">
        <f>SUM(T62,T43,T64)</f>
        <v>2872941.2800000003</v>
      </c>
      <c r="U66" s="23"/>
      <c r="V66" s="57">
        <f>SUM(V62,V43,V64)</f>
        <v>5812181.9499999993</v>
      </c>
      <c r="W66" s="23"/>
      <c r="X66" s="57">
        <f>SUM(X62,X43,X64)</f>
        <v>699120.71</v>
      </c>
      <c r="Y66" s="23"/>
      <c r="Z66" s="57">
        <f>SUM(Z62,Z43,Z64)</f>
        <v>2174871.67</v>
      </c>
      <c r="AA66" s="23"/>
      <c r="AB66" s="57">
        <f>SUM(AB62,AB43,AB64)</f>
        <v>5227061.08</v>
      </c>
      <c r="AC66" s="23"/>
      <c r="AD66" s="57">
        <f>SUM(AD62,AD43,AD64)</f>
        <v>8255714.5399999991</v>
      </c>
      <c r="AE66" s="23"/>
      <c r="AF66" s="23">
        <f>SUM(AF62,AF43,AF64)</f>
        <v>76443858.189999983</v>
      </c>
      <c r="AG66" s="8" t="s">
        <v>289</v>
      </c>
      <c r="AH66" s="23">
        <f>SUM(AH62,AH43,AH64)</f>
        <v>90768176.640000045</v>
      </c>
      <c r="AI66" s="23"/>
      <c r="AJ66" s="23">
        <f>SUM(AJ62,AJ43,AJ64)</f>
        <v>76443858.189999998</v>
      </c>
      <c r="AK66" s="23"/>
      <c r="AL66" s="23">
        <f>SUM(AL62,AL43,AL64)</f>
        <v>14324318.449999992</v>
      </c>
      <c r="AM66" s="25"/>
      <c r="AN66" s="13">
        <f t="shared" si="19"/>
        <v>1.1873835097961327</v>
      </c>
      <c r="AO66" s="13"/>
      <c r="AP66" s="14">
        <f t="shared" si="20"/>
        <v>0.18738350979613272</v>
      </c>
      <c r="AQ66" s="22"/>
    </row>
    <row r="67" spans="1:43" s="9" customFormat="1" ht="24.95" customHeight="1" thickTop="1" x14ac:dyDescent="0.2">
      <c r="B67" s="12"/>
      <c r="C67" s="12"/>
      <c r="D67" s="12"/>
      <c r="E67" s="12"/>
      <c r="F67" s="12"/>
      <c r="G67" s="12"/>
      <c r="P67" s="10"/>
      <c r="R67" s="65"/>
      <c r="T67" s="65"/>
      <c r="V67" s="65"/>
      <c r="X67" s="65"/>
      <c r="Z67" s="65"/>
      <c r="AB67" s="65"/>
      <c r="AD67" s="65"/>
      <c r="AP67" s="26"/>
    </row>
    <row r="68" spans="1:43" s="9" customFormat="1" ht="24.95" customHeight="1" x14ac:dyDescent="0.2">
      <c r="A68" s="8" t="s">
        <v>105</v>
      </c>
      <c r="B68" s="12"/>
      <c r="C68" s="12"/>
      <c r="D68" s="12"/>
      <c r="E68" s="12"/>
      <c r="F68" s="12"/>
      <c r="G68" s="12"/>
      <c r="P68" s="10"/>
      <c r="Q68" s="8" t="s">
        <v>105</v>
      </c>
      <c r="R68" s="65"/>
      <c r="T68" s="65"/>
      <c r="V68" s="65"/>
      <c r="X68" s="65"/>
      <c r="Z68" s="65"/>
      <c r="AB68" s="65"/>
      <c r="AD68" s="65"/>
      <c r="AG68" s="8" t="s">
        <v>105</v>
      </c>
      <c r="AP68" s="19"/>
    </row>
    <row r="69" spans="1:43" s="9" customFormat="1" ht="24.95" customHeight="1" x14ac:dyDescent="0.2">
      <c r="A69" s="8" t="s">
        <v>290</v>
      </c>
      <c r="B69" s="12"/>
      <c r="C69" s="12"/>
      <c r="D69" s="12"/>
      <c r="E69" s="12"/>
      <c r="F69" s="12"/>
      <c r="G69" s="12"/>
      <c r="P69" s="10"/>
      <c r="Q69" s="8" t="s">
        <v>290</v>
      </c>
      <c r="R69" s="65"/>
      <c r="T69" s="65"/>
      <c r="V69" s="65"/>
      <c r="X69" s="65"/>
      <c r="Z69" s="65"/>
      <c r="AB69" s="65"/>
      <c r="AD69" s="65"/>
      <c r="AG69" s="8" t="s">
        <v>290</v>
      </c>
      <c r="AP69" s="19"/>
    </row>
    <row r="70" spans="1:43" s="9" customFormat="1" ht="24.95" customHeight="1" x14ac:dyDescent="0.2">
      <c r="A70" s="9" t="s">
        <v>701</v>
      </c>
      <c r="B70" s="12">
        <v>0</v>
      </c>
      <c r="C70" s="12"/>
      <c r="D70" s="12">
        <v>0</v>
      </c>
      <c r="E70" s="12"/>
      <c r="F70" s="12">
        <v>0</v>
      </c>
      <c r="G70" s="12"/>
      <c r="H70" s="12">
        <v>0</v>
      </c>
      <c r="J70" s="12">
        <v>0</v>
      </c>
      <c r="L70" s="12">
        <v>0</v>
      </c>
      <c r="N70" s="12">
        <v>0</v>
      </c>
      <c r="P70" s="12">
        <f>SUM(B70:N70)</f>
        <v>0</v>
      </c>
      <c r="Q70" s="9" t="s">
        <v>701</v>
      </c>
      <c r="R70" s="54">
        <v>0</v>
      </c>
      <c r="T70" s="54">
        <v>0</v>
      </c>
      <c r="U70" s="12"/>
      <c r="V70" s="54">
        <v>0</v>
      </c>
      <c r="W70" s="12"/>
      <c r="X70" s="54">
        <v>0</v>
      </c>
      <c r="Y70" s="12"/>
      <c r="Z70" s="54">
        <v>0</v>
      </c>
      <c r="AA70" s="12"/>
      <c r="AB70" s="54">
        <v>0</v>
      </c>
      <c r="AC70" s="12"/>
      <c r="AD70" s="54">
        <v>0</v>
      </c>
      <c r="AF70" s="122">
        <f>SUM(R70:AD70)</f>
        <v>0</v>
      </c>
      <c r="AG70" s="9" t="s">
        <v>701</v>
      </c>
      <c r="AH70" s="12">
        <f t="shared" ref="AH70:AH107" si="24">P70</f>
        <v>0</v>
      </c>
      <c r="AJ70" s="12">
        <f>AF70</f>
        <v>0</v>
      </c>
      <c r="AL70" s="12">
        <f t="shared" ref="AL70:AL107" si="25">AH70-AJ70</f>
        <v>0</v>
      </c>
      <c r="AN70" s="13">
        <v>0</v>
      </c>
      <c r="AP70" s="14">
        <v>0</v>
      </c>
    </row>
    <row r="71" spans="1:43" s="9" customFormat="1" ht="24.95" customHeight="1" x14ac:dyDescent="0.2">
      <c r="A71" s="9" t="s">
        <v>291</v>
      </c>
      <c r="B71" s="12">
        <f>CNT!S88</f>
        <v>0</v>
      </c>
      <c r="C71" s="12"/>
      <c r="D71" s="12">
        <v>0</v>
      </c>
      <c r="E71" s="12"/>
      <c r="F71" s="12">
        <v>0</v>
      </c>
      <c r="G71" s="12"/>
      <c r="H71" s="12">
        <v>0</v>
      </c>
      <c r="I71" s="12"/>
      <c r="J71" s="12">
        <v>0</v>
      </c>
      <c r="K71" s="12"/>
      <c r="L71" s="12">
        <v>0</v>
      </c>
      <c r="M71" s="12"/>
      <c r="N71" s="12">
        <v>0</v>
      </c>
      <c r="O71" s="12"/>
      <c r="P71" s="12">
        <f>SUM(B71:N71)</f>
        <v>0</v>
      </c>
      <c r="Q71" s="9" t="s">
        <v>291</v>
      </c>
      <c r="R71" s="54">
        <v>0</v>
      </c>
      <c r="S71" s="12"/>
      <c r="T71" s="54">
        <v>0</v>
      </c>
      <c r="U71" s="12"/>
      <c r="V71" s="54">
        <v>0</v>
      </c>
      <c r="W71" s="12"/>
      <c r="X71" s="54">
        <v>0</v>
      </c>
      <c r="Y71" s="12"/>
      <c r="Z71" s="54">
        <v>0</v>
      </c>
      <c r="AA71" s="12"/>
      <c r="AB71" s="54">
        <v>0</v>
      </c>
      <c r="AC71" s="12"/>
      <c r="AD71" s="54">
        <v>0</v>
      </c>
      <c r="AE71" s="12"/>
      <c r="AF71" s="122">
        <f>SUM(R71:AD71)</f>
        <v>0</v>
      </c>
      <c r="AG71" s="9" t="s">
        <v>291</v>
      </c>
      <c r="AH71" s="12">
        <f t="shared" si="24"/>
        <v>0</v>
      </c>
      <c r="AI71" s="12"/>
      <c r="AJ71" s="12">
        <f>AF71</f>
        <v>0</v>
      </c>
      <c r="AK71" s="12"/>
      <c r="AL71" s="12">
        <f t="shared" si="25"/>
        <v>0</v>
      </c>
      <c r="AM71" s="12"/>
      <c r="AN71" s="13">
        <v>0</v>
      </c>
      <c r="AO71" s="13"/>
      <c r="AP71" s="14">
        <v>0</v>
      </c>
    </row>
    <row r="72" spans="1:43" s="9" customFormat="1" ht="24.95" customHeight="1" x14ac:dyDescent="0.2">
      <c r="A72" s="9" t="s">
        <v>292</v>
      </c>
      <c r="B72" s="12">
        <f>CNT!S89</f>
        <v>11166404.140000001</v>
      </c>
      <c r="C72" s="12"/>
      <c r="D72" s="12">
        <f>BPM!S39</f>
        <v>34631.919999999998</v>
      </c>
      <c r="E72" s="12"/>
      <c r="F72" s="12">
        <f>DEP!S37</f>
        <v>22425.68</v>
      </c>
      <c r="G72" s="12"/>
      <c r="H72" s="12">
        <f>Lending!F29</f>
        <v>0</v>
      </c>
      <c r="J72" s="12">
        <f>BSC!F53</f>
        <v>0</v>
      </c>
      <c r="L72" s="12">
        <v>0</v>
      </c>
      <c r="N72" s="12">
        <v>0</v>
      </c>
      <c r="P72" s="12">
        <f t="shared" ref="P72:P107" si="26">SUM(B72:N72)</f>
        <v>11223461.74</v>
      </c>
      <c r="Q72" s="9" t="s">
        <v>292</v>
      </c>
      <c r="R72" s="54">
        <v>28029070.219999999</v>
      </c>
      <c r="S72" s="12"/>
      <c r="T72" s="54">
        <v>519558.17</v>
      </c>
      <c r="U72" s="12"/>
      <c r="V72" s="54">
        <v>18999.77</v>
      </c>
      <c r="W72" s="12"/>
      <c r="X72" s="54">
        <v>0</v>
      </c>
      <c r="Y72" s="12"/>
      <c r="Z72" s="54">
        <v>0</v>
      </c>
      <c r="AA72" s="12"/>
      <c r="AB72" s="54">
        <v>0</v>
      </c>
      <c r="AC72" s="12"/>
      <c r="AD72" s="54">
        <v>0</v>
      </c>
      <c r="AE72" s="12"/>
      <c r="AF72" s="122">
        <f t="shared" ref="AF72:AF107" si="27">SUM(R72:AD72)</f>
        <v>28567628.16</v>
      </c>
      <c r="AG72" s="9" t="s">
        <v>292</v>
      </c>
      <c r="AH72" s="12">
        <f t="shared" si="24"/>
        <v>11223461.74</v>
      </c>
      <c r="AI72" s="12"/>
      <c r="AJ72" s="12">
        <f t="shared" ref="AJ72:AJ107" si="28">AF72</f>
        <v>28567628.16</v>
      </c>
      <c r="AK72" s="12"/>
      <c r="AL72" s="12">
        <f t="shared" si="25"/>
        <v>-17344166.420000002</v>
      </c>
      <c r="AM72" s="12"/>
      <c r="AN72" s="13">
        <f t="shared" ref="AN72:AN79" si="29">AH72/AJ72</f>
        <v>0.39287341872206727</v>
      </c>
      <c r="AO72" s="13"/>
      <c r="AP72" s="14">
        <f t="shared" ref="AP72:AP108" si="30">AN72-1</f>
        <v>-0.60712658127793273</v>
      </c>
    </row>
    <row r="73" spans="1:43" s="9" customFormat="1" ht="24.95" customHeight="1" x14ac:dyDescent="0.2">
      <c r="A73" s="9" t="s">
        <v>293</v>
      </c>
      <c r="B73" s="12">
        <f>CNT!S91</f>
        <v>123.41</v>
      </c>
      <c r="C73" s="12"/>
      <c r="D73" s="12">
        <v>0</v>
      </c>
      <c r="E73" s="12"/>
      <c r="F73" s="12">
        <f>DEP!S39</f>
        <v>0</v>
      </c>
      <c r="G73" s="12"/>
      <c r="H73" s="12">
        <v>0</v>
      </c>
      <c r="I73" s="12"/>
      <c r="J73" s="12">
        <f>BSC!F55+BSC!F56</f>
        <v>1500</v>
      </c>
      <c r="K73" s="12"/>
      <c r="L73" s="12">
        <v>0</v>
      </c>
      <c r="M73" s="12"/>
      <c r="N73" s="12">
        <v>0</v>
      </c>
      <c r="O73" s="12"/>
      <c r="P73" s="12">
        <f t="shared" si="26"/>
        <v>1623.41</v>
      </c>
      <c r="Q73" s="9" t="s">
        <v>293</v>
      </c>
      <c r="R73" s="54">
        <v>0</v>
      </c>
      <c r="S73" s="12"/>
      <c r="T73" s="54">
        <v>0</v>
      </c>
      <c r="U73" s="12"/>
      <c r="V73" s="54">
        <v>0</v>
      </c>
      <c r="W73" s="12"/>
      <c r="X73" s="54">
        <v>0</v>
      </c>
      <c r="Y73" s="12"/>
      <c r="Z73" s="54">
        <v>1500</v>
      </c>
      <c r="AA73" s="12"/>
      <c r="AB73" s="54">
        <v>0</v>
      </c>
      <c r="AC73" s="12"/>
      <c r="AD73" s="54">
        <v>0</v>
      </c>
      <c r="AE73" s="12"/>
      <c r="AF73" s="122">
        <f t="shared" si="27"/>
        <v>1500</v>
      </c>
      <c r="AG73" s="9" t="s">
        <v>293</v>
      </c>
      <c r="AH73" s="12">
        <f t="shared" si="24"/>
        <v>1623.41</v>
      </c>
      <c r="AI73" s="12"/>
      <c r="AJ73" s="12">
        <f t="shared" si="28"/>
        <v>1500</v>
      </c>
      <c r="AK73" s="12"/>
      <c r="AL73" s="12">
        <f t="shared" si="25"/>
        <v>123.41000000000008</v>
      </c>
      <c r="AM73" s="12"/>
      <c r="AN73" s="13">
        <f t="shared" si="29"/>
        <v>1.0822733333333334</v>
      </c>
      <c r="AO73" s="13"/>
      <c r="AP73" s="14">
        <f t="shared" si="30"/>
        <v>8.227333333333342E-2</v>
      </c>
    </row>
    <row r="74" spans="1:43" s="9" customFormat="1" ht="24.95" customHeight="1" x14ac:dyDescent="0.2">
      <c r="A74" s="9" t="s">
        <v>294</v>
      </c>
      <c r="B74" s="12">
        <f>CNT!S94</f>
        <v>1613.78</v>
      </c>
      <c r="C74" s="12"/>
      <c r="D74" s="12">
        <f>BPM!S40</f>
        <v>0</v>
      </c>
      <c r="E74" s="12"/>
      <c r="F74" s="12">
        <v>0</v>
      </c>
      <c r="G74" s="12"/>
      <c r="H74" s="12">
        <v>0</v>
      </c>
      <c r="I74" s="12"/>
      <c r="J74" s="12">
        <v>0</v>
      </c>
      <c r="K74" s="12"/>
      <c r="L74" s="12">
        <v>0</v>
      </c>
      <c r="M74" s="12"/>
      <c r="N74" s="12">
        <v>0</v>
      </c>
      <c r="O74" s="12"/>
      <c r="P74" s="12">
        <f t="shared" si="26"/>
        <v>1613.78</v>
      </c>
      <c r="Q74" s="9" t="s">
        <v>294</v>
      </c>
      <c r="R74" s="54">
        <v>163</v>
      </c>
      <c r="S74" s="12"/>
      <c r="T74" s="54">
        <v>110.25</v>
      </c>
      <c r="U74" s="12"/>
      <c r="V74" s="54">
        <v>0</v>
      </c>
      <c r="W74" s="12"/>
      <c r="X74" s="54">
        <v>0</v>
      </c>
      <c r="Y74" s="12"/>
      <c r="Z74" s="54">
        <v>0</v>
      </c>
      <c r="AA74" s="12"/>
      <c r="AB74" s="54">
        <v>0</v>
      </c>
      <c r="AC74" s="12"/>
      <c r="AD74" s="54">
        <v>0</v>
      </c>
      <c r="AE74" s="12"/>
      <c r="AF74" s="122">
        <f t="shared" si="27"/>
        <v>273.25</v>
      </c>
      <c r="AG74" s="9" t="s">
        <v>294</v>
      </c>
      <c r="AH74" s="12">
        <f t="shared" si="24"/>
        <v>1613.78</v>
      </c>
      <c r="AI74" s="12"/>
      <c r="AJ74" s="12">
        <f t="shared" si="28"/>
        <v>273.25</v>
      </c>
      <c r="AK74" s="12"/>
      <c r="AL74" s="12">
        <f t="shared" si="25"/>
        <v>1340.53</v>
      </c>
      <c r="AM74" s="12"/>
      <c r="AN74" s="13">
        <f t="shared" si="29"/>
        <v>5.90587374199451</v>
      </c>
      <c r="AO74" s="13"/>
      <c r="AP74" s="14">
        <f t="shared" si="30"/>
        <v>4.90587374199451</v>
      </c>
    </row>
    <row r="75" spans="1:43" s="9" customFormat="1" ht="24.95" customHeight="1" x14ac:dyDescent="0.2">
      <c r="A75" s="9" t="s">
        <v>295</v>
      </c>
      <c r="B75" s="12">
        <f>CNT!S90</f>
        <v>95.64</v>
      </c>
      <c r="C75" s="12"/>
      <c r="D75" s="12">
        <v>0</v>
      </c>
      <c r="E75" s="12"/>
      <c r="F75" s="12">
        <f>DEP!S38</f>
        <v>3.15</v>
      </c>
      <c r="G75" s="12"/>
      <c r="H75" s="12">
        <v>0</v>
      </c>
      <c r="J75" s="12">
        <v>0</v>
      </c>
      <c r="L75" s="12">
        <v>0</v>
      </c>
      <c r="N75" s="12">
        <v>0</v>
      </c>
      <c r="P75" s="12">
        <f t="shared" si="26"/>
        <v>98.79</v>
      </c>
      <c r="Q75" s="9" t="s">
        <v>295</v>
      </c>
      <c r="R75" s="54">
        <v>460.85</v>
      </c>
      <c r="S75" s="12"/>
      <c r="T75" s="54">
        <v>0</v>
      </c>
      <c r="U75" s="12"/>
      <c r="V75" s="54">
        <v>3.15</v>
      </c>
      <c r="W75" s="12"/>
      <c r="X75" s="54">
        <v>0</v>
      </c>
      <c r="Y75" s="12"/>
      <c r="Z75" s="54">
        <v>0</v>
      </c>
      <c r="AA75" s="12"/>
      <c r="AB75" s="54">
        <v>0</v>
      </c>
      <c r="AC75" s="12"/>
      <c r="AD75" s="54">
        <v>0</v>
      </c>
      <c r="AE75" s="12"/>
      <c r="AF75" s="122">
        <f t="shared" si="27"/>
        <v>464</v>
      </c>
      <c r="AG75" s="9" t="s">
        <v>295</v>
      </c>
      <c r="AH75" s="12">
        <f t="shared" si="24"/>
        <v>98.79</v>
      </c>
      <c r="AI75" s="12"/>
      <c r="AJ75" s="12">
        <f t="shared" si="28"/>
        <v>464</v>
      </c>
      <c r="AK75" s="12"/>
      <c r="AL75" s="12">
        <f t="shared" si="25"/>
        <v>-365.21</v>
      </c>
      <c r="AM75" s="12"/>
      <c r="AN75" s="13">
        <f t="shared" si="29"/>
        <v>0.21290948275862071</v>
      </c>
      <c r="AO75" s="13"/>
      <c r="AP75" s="14">
        <f t="shared" si="30"/>
        <v>-0.78709051724137935</v>
      </c>
    </row>
    <row r="76" spans="1:43" s="9" customFormat="1" ht="24.95" customHeight="1" x14ac:dyDescent="0.2">
      <c r="A76" s="9" t="s">
        <v>296</v>
      </c>
      <c r="B76" s="12">
        <f>CNT!S92</f>
        <v>9024.09</v>
      </c>
      <c r="C76" s="12"/>
      <c r="D76" s="12">
        <v>0</v>
      </c>
      <c r="E76" s="12"/>
      <c r="F76" s="12">
        <v>0</v>
      </c>
      <c r="G76" s="12"/>
      <c r="H76" s="12">
        <v>0</v>
      </c>
      <c r="J76" s="12">
        <f>BSC!F58</f>
        <v>134.61000000000001</v>
      </c>
      <c r="L76" s="12">
        <v>0</v>
      </c>
      <c r="N76" s="12">
        <v>0</v>
      </c>
      <c r="P76" s="12">
        <f t="shared" si="26"/>
        <v>9158.7000000000007</v>
      </c>
      <c r="Q76" s="9" t="s">
        <v>296</v>
      </c>
      <c r="R76" s="54">
        <v>5247.01</v>
      </c>
      <c r="S76" s="12"/>
      <c r="T76" s="54">
        <v>0</v>
      </c>
      <c r="U76" s="12"/>
      <c r="V76" s="54">
        <v>0</v>
      </c>
      <c r="W76" s="12"/>
      <c r="X76" s="54">
        <v>0</v>
      </c>
      <c r="Y76" s="12"/>
      <c r="Z76" s="54">
        <v>38.46</v>
      </c>
      <c r="AA76" s="12"/>
      <c r="AB76" s="54">
        <v>0</v>
      </c>
      <c r="AC76" s="12"/>
      <c r="AD76" s="54">
        <v>0</v>
      </c>
      <c r="AE76" s="12"/>
      <c r="AF76" s="122">
        <f t="shared" si="27"/>
        <v>5285.47</v>
      </c>
      <c r="AG76" s="9" t="s">
        <v>296</v>
      </c>
      <c r="AH76" s="12">
        <f t="shared" si="24"/>
        <v>9158.7000000000007</v>
      </c>
      <c r="AI76" s="12"/>
      <c r="AJ76" s="12">
        <f t="shared" si="28"/>
        <v>5285.47</v>
      </c>
      <c r="AK76" s="12"/>
      <c r="AL76" s="12">
        <f t="shared" si="25"/>
        <v>3873.2300000000005</v>
      </c>
      <c r="AM76" s="12"/>
      <c r="AN76" s="13">
        <f t="shared" si="29"/>
        <v>1.7328071108151215</v>
      </c>
      <c r="AO76" s="13"/>
      <c r="AP76" s="14">
        <f t="shared" si="30"/>
        <v>0.73280711081512151</v>
      </c>
    </row>
    <row r="77" spans="1:43" s="9" customFormat="1" ht="24.95" customHeight="1" x14ac:dyDescent="0.2">
      <c r="A77" s="9" t="s">
        <v>713</v>
      </c>
      <c r="B77" s="12">
        <f>CNT!S93</f>
        <v>-118.1</v>
      </c>
      <c r="C77" s="12"/>
      <c r="D77" s="12">
        <v>0</v>
      </c>
      <c r="E77" s="12"/>
      <c r="F77" s="12">
        <v>0</v>
      </c>
      <c r="G77" s="12"/>
      <c r="H77" s="12">
        <v>0</v>
      </c>
      <c r="J77" s="12">
        <v>0</v>
      </c>
      <c r="L77" s="12">
        <v>0</v>
      </c>
      <c r="N77" s="12">
        <v>0</v>
      </c>
      <c r="P77" s="12">
        <f t="shared" si="26"/>
        <v>-118.1</v>
      </c>
      <c r="Q77" s="9" t="s">
        <v>713</v>
      </c>
      <c r="R77" s="54">
        <v>0</v>
      </c>
      <c r="S77" s="12"/>
      <c r="T77" s="54">
        <v>0</v>
      </c>
      <c r="U77" s="12"/>
      <c r="V77" s="54">
        <v>0</v>
      </c>
      <c r="W77" s="12"/>
      <c r="X77" s="54">
        <v>0</v>
      </c>
      <c r="Y77" s="12"/>
      <c r="Z77" s="54">
        <v>0</v>
      </c>
      <c r="AA77" s="12"/>
      <c r="AB77" s="54">
        <v>0</v>
      </c>
      <c r="AC77" s="12"/>
      <c r="AD77" s="54">
        <v>0</v>
      </c>
      <c r="AE77" s="12"/>
      <c r="AF77" s="122">
        <f t="shared" si="27"/>
        <v>0</v>
      </c>
      <c r="AG77" s="9" t="s">
        <v>713</v>
      </c>
      <c r="AH77" s="12">
        <f t="shared" si="24"/>
        <v>-118.1</v>
      </c>
      <c r="AI77" s="12"/>
      <c r="AJ77" s="12">
        <f t="shared" si="28"/>
        <v>0</v>
      </c>
      <c r="AK77" s="12"/>
      <c r="AL77" s="12">
        <f t="shared" si="25"/>
        <v>-118.1</v>
      </c>
      <c r="AM77" s="12"/>
      <c r="AN77" s="13" t="e">
        <f t="shared" si="29"/>
        <v>#DIV/0!</v>
      </c>
      <c r="AO77" s="13"/>
      <c r="AP77" s="14" t="e">
        <f t="shared" si="30"/>
        <v>#DIV/0!</v>
      </c>
    </row>
    <row r="78" spans="1:43" s="9" customFormat="1" ht="24.95" customHeight="1" x14ac:dyDescent="0.2">
      <c r="A78" s="9" t="s">
        <v>390</v>
      </c>
      <c r="B78" s="12">
        <f>CNT!S119+CNT!S120+CNT!S121+CNT!S96</f>
        <v>0</v>
      </c>
      <c r="C78" s="12"/>
      <c r="D78" s="12">
        <v>0</v>
      </c>
      <c r="E78" s="12"/>
      <c r="F78" s="12">
        <v>0</v>
      </c>
      <c r="G78" s="12"/>
      <c r="H78" s="12">
        <v>0</v>
      </c>
      <c r="J78" s="12">
        <f>BSC!F63</f>
        <v>62294.02</v>
      </c>
      <c r="L78" s="12">
        <v>0</v>
      </c>
      <c r="N78" s="12">
        <v>0</v>
      </c>
      <c r="P78" s="12">
        <f t="shared" si="26"/>
        <v>62294.02</v>
      </c>
      <c r="Q78" s="9" t="s">
        <v>390</v>
      </c>
      <c r="R78" s="54">
        <v>0</v>
      </c>
      <c r="S78" s="12"/>
      <c r="T78" s="54">
        <v>0</v>
      </c>
      <c r="U78" s="12"/>
      <c r="V78" s="54">
        <v>0</v>
      </c>
      <c r="W78" s="12"/>
      <c r="X78" s="54">
        <v>0</v>
      </c>
      <c r="Y78" s="12"/>
      <c r="Z78" s="54">
        <v>70291.570000000007</v>
      </c>
      <c r="AA78" s="12"/>
      <c r="AB78" s="54">
        <v>0</v>
      </c>
      <c r="AC78" s="12"/>
      <c r="AD78" s="54">
        <v>0</v>
      </c>
      <c r="AE78" s="12"/>
      <c r="AF78" s="122">
        <f t="shared" si="27"/>
        <v>70291.570000000007</v>
      </c>
      <c r="AG78" s="9" t="s">
        <v>390</v>
      </c>
      <c r="AH78" s="12">
        <f t="shared" si="24"/>
        <v>62294.02</v>
      </c>
      <c r="AI78" s="12"/>
      <c r="AJ78" s="12">
        <f t="shared" si="28"/>
        <v>70291.570000000007</v>
      </c>
      <c r="AK78" s="12"/>
      <c r="AL78" s="12">
        <f t="shared" si="25"/>
        <v>-7997.5500000000102</v>
      </c>
      <c r="AM78" s="12"/>
      <c r="AN78" s="13">
        <f t="shared" si="29"/>
        <v>0.88622319859977505</v>
      </c>
      <c r="AO78" s="13"/>
      <c r="AP78" s="14">
        <f t="shared" si="30"/>
        <v>-0.11377680140022495</v>
      </c>
    </row>
    <row r="79" spans="1:43" s="9" customFormat="1" ht="24.95" customHeight="1" x14ac:dyDescent="0.2">
      <c r="A79" s="9" t="s">
        <v>602</v>
      </c>
      <c r="B79" s="12">
        <f>CNT!S97</f>
        <v>0</v>
      </c>
      <c r="C79" s="12"/>
      <c r="D79" s="12">
        <v>0</v>
      </c>
      <c r="E79" s="12"/>
      <c r="F79" s="12">
        <v>0</v>
      </c>
      <c r="G79" s="12"/>
      <c r="H79" s="12">
        <v>0</v>
      </c>
      <c r="J79" s="12">
        <v>0</v>
      </c>
      <c r="L79" s="12">
        <v>0</v>
      </c>
      <c r="N79" s="12">
        <v>0</v>
      </c>
      <c r="P79" s="12">
        <f t="shared" si="26"/>
        <v>0</v>
      </c>
      <c r="Q79" s="9" t="s">
        <v>602</v>
      </c>
      <c r="R79" s="54">
        <v>0</v>
      </c>
      <c r="S79" s="12"/>
      <c r="T79" s="54">
        <v>0</v>
      </c>
      <c r="U79" s="12"/>
      <c r="V79" s="54">
        <v>0</v>
      </c>
      <c r="W79" s="12"/>
      <c r="X79" s="54">
        <v>0</v>
      </c>
      <c r="Y79" s="12"/>
      <c r="Z79" s="54">
        <v>0</v>
      </c>
      <c r="AA79" s="12"/>
      <c r="AB79" s="54">
        <v>0</v>
      </c>
      <c r="AC79" s="12"/>
      <c r="AD79" s="54">
        <v>0</v>
      </c>
      <c r="AE79" s="12"/>
      <c r="AF79" s="122">
        <f t="shared" si="27"/>
        <v>0</v>
      </c>
      <c r="AG79" s="9" t="s">
        <v>602</v>
      </c>
      <c r="AH79" s="12">
        <f t="shared" si="24"/>
        <v>0</v>
      </c>
      <c r="AI79" s="12"/>
      <c r="AJ79" s="12">
        <f t="shared" si="28"/>
        <v>0</v>
      </c>
      <c r="AK79" s="12"/>
      <c r="AL79" s="12">
        <f t="shared" si="25"/>
        <v>0</v>
      </c>
      <c r="AM79" s="12"/>
      <c r="AN79" s="13" t="e">
        <f t="shared" si="29"/>
        <v>#DIV/0!</v>
      </c>
      <c r="AO79" s="13"/>
      <c r="AP79" s="14" t="e">
        <f t="shared" si="30"/>
        <v>#DIV/0!</v>
      </c>
    </row>
    <row r="80" spans="1:43" s="9" customFormat="1" ht="24.95" customHeight="1" x14ac:dyDescent="0.2">
      <c r="A80" s="9" t="s">
        <v>297</v>
      </c>
      <c r="B80" s="12">
        <f>CNT!S98</f>
        <v>33895559.789999999</v>
      </c>
      <c r="C80" s="12"/>
      <c r="D80" s="12">
        <f>BPM!S41</f>
        <v>0</v>
      </c>
      <c r="E80" s="12"/>
      <c r="F80" s="12">
        <f>DEP!S40</f>
        <v>345796.99</v>
      </c>
      <c r="G80" s="12"/>
      <c r="H80" s="12">
        <f>Lending!F36</f>
        <v>10866.56</v>
      </c>
      <c r="J80" s="12">
        <f>BSC!F54</f>
        <v>0</v>
      </c>
      <c r="L80" s="12">
        <v>0</v>
      </c>
      <c r="N80" s="12">
        <v>0</v>
      </c>
      <c r="P80" s="12">
        <f t="shared" si="26"/>
        <v>34252223.340000004</v>
      </c>
      <c r="Q80" s="9" t="s">
        <v>297</v>
      </c>
      <c r="R80" s="54">
        <v>4212486.72</v>
      </c>
      <c r="S80" s="12"/>
      <c r="T80" s="54">
        <v>0</v>
      </c>
      <c r="U80" s="12"/>
      <c r="V80" s="54">
        <v>218932.95</v>
      </c>
      <c r="W80" s="12"/>
      <c r="X80" s="54">
        <v>7284.4</v>
      </c>
      <c r="Y80" s="12"/>
      <c r="Z80" s="54">
        <v>0</v>
      </c>
      <c r="AA80" s="12"/>
      <c r="AB80" s="54">
        <v>0</v>
      </c>
      <c r="AC80" s="12"/>
      <c r="AD80" s="54">
        <v>0</v>
      </c>
      <c r="AE80" s="12"/>
      <c r="AF80" s="122">
        <f t="shared" si="27"/>
        <v>4438704.07</v>
      </c>
      <c r="AG80" s="9" t="s">
        <v>297</v>
      </c>
      <c r="AH80" s="12">
        <f t="shared" si="24"/>
        <v>34252223.340000004</v>
      </c>
      <c r="AI80" s="12"/>
      <c r="AJ80" s="12">
        <f t="shared" si="28"/>
        <v>4438704.07</v>
      </c>
      <c r="AK80" s="12"/>
      <c r="AL80" s="12">
        <f t="shared" si="25"/>
        <v>29813519.270000003</v>
      </c>
      <c r="AM80" s="12"/>
      <c r="AN80" s="13">
        <f t="shared" ref="AN80:AN88" si="31">AH80/AJ80</f>
        <v>7.7167170416927569</v>
      </c>
      <c r="AO80" s="13"/>
      <c r="AP80" s="14">
        <f t="shared" si="30"/>
        <v>6.7167170416927569</v>
      </c>
    </row>
    <row r="81" spans="1:42" s="9" customFormat="1" ht="24.95" customHeight="1" x14ac:dyDescent="0.2">
      <c r="A81" s="9" t="s">
        <v>561</v>
      </c>
      <c r="B81" s="12">
        <f>CNT!S99</f>
        <v>18795.12</v>
      </c>
      <c r="C81" s="12"/>
      <c r="D81" s="12">
        <v>0</v>
      </c>
      <c r="E81" s="12"/>
      <c r="F81" s="12">
        <v>0</v>
      </c>
      <c r="G81" s="12"/>
      <c r="H81" s="12">
        <v>0</v>
      </c>
      <c r="J81" s="12">
        <v>0</v>
      </c>
      <c r="L81" s="12">
        <v>0</v>
      </c>
      <c r="N81" s="12">
        <v>0</v>
      </c>
      <c r="P81" s="12">
        <f t="shared" si="26"/>
        <v>18795.12</v>
      </c>
      <c r="Q81" s="9" t="s">
        <v>561</v>
      </c>
      <c r="R81" s="54">
        <v>20378.79</v>
      </c>
      <c r="S81" s="12"/>
      <c r="T81" s="54">
        <v>0</v>
      </c>
      <c r="U81" s="12"/>
      <c r="V81" s="54">
        <v>0</v>
      </c>
      <c r="W81" s="12"/>
      <c r="X81" s="54">
        <v>0</v>
      </c>
      <c r="Y81" s="12"/>
      <c r="Z81" s="54">
        <v>0</v>
      </c>
      <c r="AA81" s="12"/>
      <c r="AB81" s="54">
        <v>0</v>
      </c>
      <c r="AC81" s="12"/>
      <c r="AD81" s="54">
        <v>0</v>
      </c>
      <c r="AE81" s="12"/>
      <c r="AF81" s="122">
        <f t="shared" si="27"/>
        <v>20378.79</v>
      </c>
      <c r="AG81" s="9" t="s">
        <v>561</v>
      </c>
      <c r="AH81" s="12">
        <f t="shared" si="24"/>
        <v>18795.12</v>
      </c>
      <c r="AI81" s="12"/>
      <c r="AJ81" s="12">
        <f t="shared" si="28"/>
        <v>20378.79</v>
      </c>
      <c r="AK81" s="12"/>
      <c r="AL81" s="12">
        <f t="shared" si="25"/>
        <v>-1583.6700000000019</v>
      </c>
      <c r="AM81" s="12"/>
      <c r="AN81" s="13">
        <f t="shared" si="31"/>
        <v>0.92228832035660602</v>
      </c>
      <c r="AO81" s="13"/>
      <c r="AP81" s="14">
        <f t="shared" si="30"/>
        <v>-7.7711679643393983E-2</v>
      </c>
    </row>
    <row r="82" spans="1:42" s="9" customFormat="1" ht="24.95" customHeight="1" x14ac:dyDescent="0.2">
      <c r="A82" s="9" t="s">
        <v>562</v>
      </c>
      <c r="B82" s="12">
        <f>CNT!S100</f>
        <v>301866.07</v>
      </c>
      <c r="C82" s="12"/>
      <c r="D82" s="12">
        <f>BPM!S42</f>
        <v>-6206.92</v>
      </c>
      <c r="E82" s="12"/>
      <c r="F82" s="12">
        <v>0</v>
      </c>
      <c r="G82" s="12"/>
      <c r="H82" s="12">
        <f>Lending!F32</f>
        <v>750</v>
      </c>
      <c r="J82" s="12">
        <v>0</v>
      </c>
      <c r="L82" s="12">
        <f>'Oliari Co'!F62</f>
        <v>3225</v>
      </c>
      <c r="N82" s="12">
        <v>0</v>
      </c>
      <c r="P82" s="12">
        <f t="shared" si="26"/>
        <v>299634.15000000002</v>
      </c>
      <c r="Q82" s="9" t="s">
        <v>562</v>
      </c>
      <c r="R82" s="54">
        <v>211388.42</v>
      </c>
      <c r="S82" s="12"/>
      <c r="T82" s="54">
        <v>4955.84</v>
      </c>
      <c r="U82" s="12"/>
      <c r="V82" s="54">
        <v>0</v>
      </c>
      <c r="W82" s="12"/>
      <c r="X82" s="54">
        <v>580.5</v>
      </c>
      <c r="Y82" s="12"/>
      <c r="Z82" s="54">
        <v>0</v>
      </c>
      <c r="AA82" s="12"/>
      <c r="AB82" s="54">
        <v>2440</v>
      </c>
      <c r="AC82" s="12"/>
      <c r="AD82" s="54">
        <v>0</v>
      </c>
      <c r="AE82" s="12"/>
      <c r="AF82" s="122">
        <f t="shared" si="27"/>
        <v>219364.76</v>
      </c>
      <c r="AG82" s="9" t="s">
        <v>562</v>
      </c>
      <c r="AH82" s="12">
        <f t="shared" si="24"/>
        <v>299634.15000000002</v>
      </c>
      <c r="AI82" s="12"/>
      <c r="AJ82" s="12">
        <f t="shared" si="28"/>
        <v>219364.76</v>
      </c>
      <c r="AK82" s="12"/>
      <c r="AL82" s="12">
        <f t="shared" si="25"/>
        <v>80269.390000000014</v>
      </c>
      <c r="AM82" s="12"/>
      <c r="AN82" s="13">
        <f t="shared" si="31"/>
        <v>1.3659174335932536</v>
      </c>
      <c r="AO82" s="13"/>
      <c r="AP82" s="14">
        <f t="shared" si="30"/>
        <v>0.36591743359325357</v>
      </c>
    </row>
    <row r="83" spans="1:42" s="9" customFormat="1" ht="24.95" customHeight="1" x14ac:dyDescent="0.2">
      <c r="A83" s="9" t="s">
        <v>563</v>
      </c>
      <c r="B83" s="12">
        <f>CNT!S101</f>
        <v>7999.75</v>
      </c>
      <c r="C83" s="12"/>
      <c r="D83" s="12">
        <v>0</v>
      </c>
      <c r="E83" s="12"/>
      <c r="F83" s="12">
        <v>0</v>
      </c>
      <c r="G83" s="12"/>
      <c r="H83" s="12">
        <v>0</v>
      </c>
      <c r="J83" s="12">
        <v>0</v>
      </c>
      <c r="L83" s="12">
        <v>0</v>
      </c>
      <c r="N83" s="12">
        <v>0</v>
      </c>
      <c r="P83" s="12">
        <f t="shared" si="26"/>
        <v>7999.75</v>
      </c>
      <c r="Q83" s="9" t="s">
        <v>563</v>
      </c>
      <c r="R83" s="54">
        <v>6098.15</v>
      </c>
      <c r="S83" s="12"/>
      <c r="T83" s="54">
        <v>0</v>
      </c>
      <c r="U83" s="12"/>
      <c r="V83" s="54">
        <v>0</v>
      </c>
      <c r="W83" s="12"/>
      <c r="X83" s="54">
        <v>0</v>
      </c>
      <c r="Y83" s="12"/>
      <c r="Z83" s="54">
        <v>0</v>
      </c>
      <c r="AA83" s="12"/>
      <c r="AB83" s="54">
        <v>0</v>
      </c>
      <c r="AC83" s="12"/>
      <c r="AD83" s="54">
        <v>0</v>
      </c>
      <c r="AE83" s="12"/>
      <c r="AF83" s="122">
        <f t="shared" si="27"/>
        <v>6098.15</v>
      </c>
      <c r="AG83" s="9" t="s">
        <v>563</v>
      </c>
      <c r="AH83" s="12">
        <f t="shared" si="24"/>
        <v>7999.75</v>
      </c>
      <c r="AI83" s="12"/>
      <c r="AJ83" s="12">
        <f t="shared" si="28"/>
        <v>6098.15</v>
      </c>
      <c r="AK83" s="12"/>
      <c r="AL83" s="12">
        <f t="shared" si="25"/>
        <v>1901.6000000000004</v>
      </c>
      <c r="AM83" s="12"/>
      <c r="AN83" s="13">
        <f t="shared" si="31"/>
        <v>1.3118322770020416</v>
      </c>
      <c r="AO83" s="13"/>
      <c r="AP83" s="14">
        <f t="shared" si="30"/>
        <v>0.31183227700204164</v>
      </c>
    </row>
    <row r="84" spans="1:42" s="9" customFormat="1" ht="24.95" customHeight="1" x14ac:dyDescent="0.2">
      <c r="A84" s="9" t="s">
        <v>298</v>
      </c>
      <c r="B84" s="12">
        <f>CNT!S102</f>
        <v>25310.84</v>
      </c>
      <c r="C84" s="12"/>
      <c r="D84" s="12">
        <v>0</v>
      </c>
      <c r="E84" s="12"/>
      <c r="F84" s="12">
        <f>DEP!S43</f>
        <v>1073.3800000000001</v>
      </c>
      <c r="G84" s="12"/>
      <c r="H84" s="12">
        <v>0</v>
      </c>
      <c r="J84" s="12">
        <v>0</v>
      </c>
      <c r="L84" s="12">
        <v>0</v>
      </c>
      <c r="N84" s="12">
        <v>0</v>
      </c>
      <c r="P84" s="12">
        <f t="shared" si="26"/>
        <v>26384.22</v>
      </c>
      <c r="Q84" s="9" t="s">
        <v>298</v>
      </c>
      <c r="R84" s="54">
        <v>35104.019999999997</v>
      </c>
      <c r="S84" s="12"/>
      <c r="T84" s="54">
        <v>0</v>
      </c>
      <c r="U84" s="12"/>
      <c r="V84" s="54">
        <v>815.58</v>
      </c>
      <c r="W84" s="12"/>
      <c r="X84" s="54">
        <v>0</v>
      </c>
      <c r="Y84" s="12"/>
      <c r="Z84" s="54">
        <v>0</v>
      </c>
      <c r="AA84" s="12"/>
      <c r="AB84" s="54">
        <v>0</v>
      </c>
      <c r="AC84" s="12"/>
      <c r="AD84" s="54">
        <v>0</v>
      </c>
      <c r="AE84" s="12"/>
      <c r="AF84" s="122">
        <f t="shared" si="27"/>
        <v>35919.599999999999</v>
      </c>
      <c r="AG84" s="9" t="s">
        <v>298</v>
      </c>
      <c r="AH84" s="12">
        <f t="shared" si="24"/>
        <v>26384.22</v>
      </c>
      <c r="AI84" s="12"/>
      <c r="AJ84" s="12">
        <f t="shared" si="28"/>
        <v>35919.599999999999</v>
      </c>
      <c r="AK84" s="12"/>
      <c r="AL84" s="12">
        <f t="shared" si="25"/>
        <v>-9535.3799999999974</v>
      </c>
      <c r="AM84" s="12"/>
      <c r="AN84" s="13">
        <f t="shared" si="31"/>
        <v>0.7345354625329904</v>
      </c>
      <c r="AO84" s="13"/>
      <c r="AP84" s="14">
        <f t="shared" si="30"/>
        <v>-0.2654645374670096</v>
      </c>
    </row>
    <row r="85" spans="1:42" s="9" customFormat="1" ht="24.95" customHeight="1" x14ac:dyDescent="0.2">
      <c r="A85" s="9" t="s">
        <v>617</v>
      </c>
      <c r="B85" s="12">
        <f>CNT!S104</f>
        <v>3082168.76</v>
      </c>
      <c r="C85" s="12"/>
      <c r="D85" s="12">
        <v>0</v>
      </c>
      <c r="E85" s="12"/>
      <c r="F85" s="12">
        <v>0</v>
      </c>
      <c r="G85" s="12"/>
      <c r="H85" s="12">
        <v>0</v>
      </c>
      <c r="J85" s="12">
        <f>BSC!F57</f>
        <v>2250</v>
      </c>
      <c r="L85" s="12">
        <v>0</v>
      </c>
      <c r="N85" s="12">
        <v>0</v>
      </c>
      <c r="P85" s="12">
        <f t="shared" si="26"/>
        <v>3084418.76</v>
      </c>
      <c r="Q85" s="9" t="s">
        <v>617</v>
      </c>
      <c r="R85" s="54">
        <v>0</v>
      </c>
      <c r="S85" s="12"/>
      <c r="T85" s="54">
        <v>0</v>
      </c>
      <c r="U85" s="12"/>
      <c r="V85" s="54">
        <v>0</v>
      </c>
      <c r="W85" s="12"/>
      <c r="X85" s="54">
        <v>0</v>
      </c>
      <c r="Y85" s="12"/>
      <c r="Z85" s="54">
        <v>2250</v>
      </c>
      <c r="AA85" s="12"/>
      <c r="AB85" s="54">
        <v>0</v>
      </c>
      <c r="AC85" s="12"/>
      <c r="AD85" s="54">
        <v>0</v>
      </c>
      <c r="AE85" s="12"/>
      <c r="AF85" s="122">
        <f t="shared" si="27"/>
        <v>2250</v>
      </c>
      <c r="AG85" s="9" t="s">
        <v>617</v>
      </c>
      <c r="AH85" s="12">
        <f t="shared" si="24"/>
        <v>3084418.76</v>
      </c>
      <c r="AI85" s="12"/>
      <c r="AJ85" s="12">
        <f t="shared" si="28"/>
        <v>2250</v>
      </c>
      <c r="AK85" s="12"/>
      <c r="AL85" s="12">
        <f t="shared" si="25"/>
        <v>3082168.76</v>
      </c>
      <c r="AM85" s="12"/>
      <c r="AN85" s="13">
        <f t="shared" si="31"/>
        <v>1370.8527822222222</v>
      </c>
      <c r="AO85" s="13"/>
      <c r="AP85" s="14">
        <f t="shared" si="30"/>
        <v>1369.8527822222222</v>
      </c>
    </row>
    <row r="86" spans="1:42" s="9" customFormat="1" ht="24.95" customHeight="1" x14ac:dyDescent="0.2">
      <c r="A86" s="9" t="s">
        <v>299</v>
      </c>
      <c r="B86" s="12">
        <f>CNT!S103+CNT!S95</f>
        <v>96001.38</v>
      </c>
      <c r="C86" s="12"/>
      <c r="D86" s="12">
        <f>BPM!S43</f>
        <v>9491.4</v>
      </c>
      <c r="E86" s="12"/>
      <c r="F86" s="12">
        <f>DEP!S44</f>
        <v>35525.97</v>
      </c>
      <c r="G86" s="12"/>
      <c r="H86" s="12">
        <v>0</v>
      </c>
      <c r="J86" s="12">
        <f>BSC!F60</f>
        <v>5076.54</v>
      </c>
      <c r="L86" s="12">
        <v>0</v>
      </c>
      <c r="N86" s="12">
        <v>0</v>
      </c>
      <c r="P86" s="12">
        <f t="shared" si="26"/>
        <v>146095.29</v>
      </c>
      <c r="Q86" s="9" t="s">
        <v>299</v>
      </c>
      <c r="R86" s="54">
        <v>123328.86</v>
      </c>
      <c r="S86" s="12"/>
      <c r="T86" s="54">
        <v>13057.3</v>
      </c>
      <c r="U86" s="12"/>
      <c r="V86" s="54">
        <v>19308.09</v>
      </c>
      <c r="W86" s="12"/>
      <c r="X86" s="54">
        <v>0</v>
      </c>
      <c r="Y86" s="12"/>
      <c r="Z86" s="54">
        <v>8047.68</v>
      </c>
      <c r="AA86" s="12"/>
      <c r="AB86" s="54">
        <v>0</v>
      </c>
      <c r="AC86" s="12"/>
      <c r="AD86" s="54">
        <v>0</v>
      </c>
      <c r="AE86" s="12"/>
      <c r="AF86" s="122">
        <f t="shared" si="27"/>
        <v>163741.93</v>
      </c>
      <c r="AG86" s="9" t="s">
        <v>299</v>
      </c>
      <c r="AH86" s="12">
        <f t="shared" si="24"/>
        <v>146095.29</v>
      </c>
      <c r="AI86" s="12"/>
      <c r="AJ86" s="12">
        <f t="shared" si="28"/>
        <v>163741.93</v>
      </c>
      <c r="AK86" s="12"/>
      <c r="AL86" s="12">
        <f t="shared" si="25"/>
        <v>-17646.639999999985</v>
      </c>
      <c r="AM86" s="12"/>
      <c r="AN86" s="13">
        <f>AH86/AJ86</f>
        <v>0.89222894832130062</v>
      </c>
      <c r="AO86" s="13"/>
      <c r="AP86" s="14">
        <f t="shared" si="30"/>
        <v>-0.10777105167869938</v>
      </c>
    </row>
    <row r="87" spans="1:42" s="9" customFormat="1" ht="24.95" customHeight="1" x14ac:dyDescent="0.2">
      <c r="A87" s="9" t="s">
        <v>564</v>
      </c>
      <c r="B87" s="12">
        <f>CNT!S109</f>
        <v>50000</v>
      </c>
      <c r="C87" s="12"/>
      <c r="D87" s="12">
        <v>0</v>
      </c>
      <c r="E87" s="12"/>
      <c r="F87" s="12">
        <f>DEP!S42</f>
        <v>0</v>
      </c>
      <c r="G87" s="12"/>
      <c r="H87" s="12">
        <v>0</v>
      </c>
      <c r="I87" s="12"/>
      <c r="J87" s="12">
        <v>0</v>
      </c>
      <c r="K87" s="12"/>
      <c r="L87" s="12">
        <v>0</v>
      </c>
      <c r="M87" s="12"/>
      <c r="N87" s="12">
        <v>0</v>
      </c>
      <c r="O87" s="12"/>
      <c r="P87" s="12">
        <f t="shared" si="26"/>
        <v>50000</v>
      </c>
      <c r="Q87" s="9" t="s">
        <v>564</v>
      </c>
      <c r="R87" s="54">
        <v>22639</v>
      </c>
      <c r="S87" s="12"/>
      <c r="T87" s="54">
        <v>0</v>
      </c>
      <c r="U87" s="12"/>
      <c r="V87" s="54">
        <v>13898</v>
      </c>
      <c r="W87" s="12"/>
      <c r="X87" s="54">
        <v>0</v>
      </c>
      <c r="Y87" s="12"/>
      <c r="Z87" s="54">
        <v>0</v>
      </c>
      <c r="AA87" s="12"/>
      <c r="AB87" s="54">
        <v>0</v>
      </c>
      <c r="AC87" s="12"/>
      <c r="AD87" s="54">
        <v>0</v>
      </c>
      <c r="AE87" s="12"/>
      <c r="AF87" s="122">
        <f t="shared" si="27"/>
        <v>36537</v>
      </c>
      <c r="AG87" s="9" t="s">
        <v>564</v>
      </c>
      <c r="AH87" s="12">
        <f t="shared" si="24"/>
        <v>50000</v>
      </c>
      <c r="AI87" s="12"/>
      <c r="AJ87" s="12">
        <f t="shared" si="28"/>
        <v>36537</v>
      </c>
      <c r="AK87" s="12"/>
      <c r="AL87" s="12">
        <f t="shared" si="25"/>
        <v>13463</v>
      </c>
      <c r="AM87" s="12"/>
      <c r="AN87" s="13">
        <f>AH87/AJ87</f>
        <v>1.3684757916632455</v>
      </c>
      <c r="AO87" s="13"/>
      <c r="AP87" s="14">
        <f t="shared" si="30"/>
        <v>0.36847579166324551</v>
      </c>
    </row>
    <row r="88" spans="1:42" s="9" customFormat="1" ht="24.95" customHeight="1" x14ac:dyDescent="0.2">
      <c r="A88" s="9" t="s">
        <v>300</v>
      </c>
      <c r="B88" s="12">
        <f>CNT!S105</f>
        <v>159834.29999999999</v>
      </c>
      <c r="C88" s="12"/>
      <c r="D88" s="12">
        <f>BPM!S44+BPM!S45</f>
        <v>7170.24</v>
      </c>
      <c r="E88" s="12"/>
      <c r="F88" s="12">
        <f>DEP!S45</f>
        <v>2851.07</v>
      </c>
      <c r="G88" s="12"/>
      <c r="H88" s="12">
        <v>0</v>
      </c>
      <c r="J88" s="12">
        <f>BSC!F61</f>
        <v>0</v>
      </c>
      <c r="L88" s="12">
        <v>0</v>
      </c>
      <c r="N88" s="12">
        <v>0</v>
      </c>
      <c r="P88" s="12">
        <f t="shared" si="26"/>
        <v>169855.61</v>
      </c>
      <c r="Q88" s="9" t="s">
        <v>300</v>
      </c>
      <c r="R88" s="54">
        <v>105560.14</v>
      </c>
      <c r="S88" s="12"/>
      <c r="T88" s="54">
        <v>19808.39</v>
      </c>
      <c r="U88" s="12"/>
      <c r="V88" s="54">
        <v>19642.759999999998</v>
      </c>
      <c r="W88" s="12"/>
      <c r="X88" s="54">
        <v>0</v>
      </c>
      <c r="Y88" s="12"/>
      <c r="Z88" s="54">
        <v>0</v>
      </c>
      <c r="AA88" s="12"/>
      <c r="AB88" s="54">
        <v>0</v>
      </c>
      <c r="AC88" s="12"/>
      <c r="AD88" s="54">
        <v>0</v>
      </c>
      <c r="AE88" s="12"/>
      <c r="AF88" s="122">
        <f t="shared" si="27"/>
        <v>145011.29</v>
      </c>
      <c r="AG88" s="9" t="s">
        <v>300</v>
      </c>
      <c r="AH88" s="12">
        <f t="shared" si="24"/>
        <v>169855.61</v>
      </c>
      <c r="AI88" s="12"/>
      <c r="AJ88" s="12">
        <f t="shared" si="28"/>
        <v>145011.29</v>
      </c>
      <c r="AK88" s="12"/>
      <c r="AL88" s="12">
        <f t="shared" si="25"/>
        <v>24844.319999999978</v>
      </c>
      <c r="AM88" s="12"/>
      <c r="AN88" s="13">
        <f t="shared" si="31"/>
        <v>1.1713267980720672</v>
      </c>
      <c r="AO88" s="13"/>
      <c r="AP88" s="14">
        <f t="shared" si="30"/>
        <v>0.17132679807206719</v>
      </c>
    </row>
    <row r="89" spans="1:42" s="9" customFormat="1" ht="24.95" customHeight="1" x14ac:dyDescent="0.2">
      <c r="A89" s="9" t="s">
        <v>720</v>
      </c>
      <c r="B89" s="12">
        <f>CNT!S107</f>
        <v>30000</v>
      </c>
      <c r="C89" s="12"/>
      <c r="D89" s="12">
        <v>0</v>
      </c>
      <c r="E89" s="12"/>
      <c r="F89" s="12">
        <v>0</v>
      </c>
      <c r="G89" s="12"/>
      <c r="H89" s="12">
        <v>0</v>
      </c>
      <c r="J89" s="12">
        <v>0</v>
      </c>
      <c r="L89" s="12">
        <v>0</v>
      </c>
      <c r="N89" s="12">
        <v>0</v>
      </c>
      <c r="P89" s="12">
        <f t="shared" si="26"/>
        <v>30000</v>
      </c>
      <c r="Q89" s="9" t="s">
        <v>301</v>
      </c>
      <c r="R89" s="54">
        <v>0</v>
      </c>
      <c r="S89" s="12"/>
      <c r="T89" s="54">
        <v>0</v>
      </c>
      <c r="U89" s="12"/>
      <c r="V89" s="54">
        <v>0</v>
      </c>
      <c r="W89" s="12"/>
      <c r="X89" s="54">
        <v>0</v>
      </c>
      <c r="Y89" s="12"/>
      <c r="Z89" s="54">
        <v>0</v>
      </c>
      <c r="AA89" s="12"/>
      <c r="AB89" s="54">
        <v>0</v>
      </c>
      <c r="AC89" s="12"/>
      <c r="AD89" s="54">
        <v>0</v>
      </c>
      <c r="AE89" s="12"/>
      <c r="AF89" s="122">
        <f t="shared" si="27"/>
        <v>0</v>
      </c>
      <c r="AG89" s="9" t="s">
        <v>301</v>
      </c>
      <c r="AH89" s="12">
        <f t="shared" si="24"/>
        <v>30000</v>
      </c>
      <c r="AI89" s="12"/>
      <c r="AJ89" s="12">
        <f t="shared" si="28"/>
        <v>0</v>
      </c>
      <c r="AK89" s="12"/>
      <c r="AL89" s="12">
        <f t="shared" si="25"/>
        <v>30000</v>
      </c>
      <c r="AM89" s="12"/>
      <c r="AN89" s="13" t="e">
        <f>AH89/AJ89</f>
        <v>#DIV/0!</v>
      </c>
      <c r="AO89" s="13"/>
      <c r="AP89" s="14" t="e">
        <f t="shared" si="30"/>
        <v>#DIV/0!</v>
      </c>
    </row>
    <row r="90" spans="1:42" s="9" customFormat="1" ht="24.95" customHeight="1" x14ac:dyDescent="0.2">
      <c r="A90" s="9" t="s">
        <v>302</v>
      </c>
      <c r="B90" s="12">
        <f>CNT!S108</f>
        <v>3426.76</v>
      </c>
      <c r="C90" s="12"/>
      <c r="D90" s="12">
        <v>0</v>
      </c>
      <c r="E90" s="12"/>
      <c r="F90" s="12">
        <v>0</v>
      </c>
      <c r="G90" s="12"/>
      <c r="H90" s="12">
        <v>0</v>
      </c>
      <c r="J90" s="12">
        <v>0</v>
      </c>
      <c r="L90" s="12">
        <v>0</v>
      </c>
      <c r="N90" s="12">
        <v>0</v>
      </c>
      <c r="P90" s="12">
        <f t="shared" si="26"/>
        <v>3426.76</v>
      </c>
      <c r="Q90" s="9" t="s">
        <v>302</v>
      </c>
      <c r="R90" s="54">
        <v>2015.35</v>
      </c>
      <c r="S90" s="12"/>
      <c r="T90" s="54">
        <v>0</v>
      </c>
      <c r="U90" s="12"/>
      <c r="V90" s="54">
        <v>0</v>
      </c>
      <c r="W90" s="12"/>
      <c r="X90" s="54">
        <v>0</v>
      </c>
      <c r="Y90" s="12"/>
      <c r="Z90" s="54">
        <v>0</v>
      </c>
      <c r="AA90" s="12"/>
      <c r="AB90" s="54">
        <v>0</v>
      </c>
      <c r="AC90" s="12"/>
      <c r="AD90" s="54">
        <v>0</v>
      </c>
      <c r="AE90" s="12"/>
      <c r="AF90" s="122">
        <f t="shared" si="27"/>
        <v>2015.35</v>
      </c>
      <c r="AG90" s="9" t="s">
        <v>302</v>
      </c>
      <c r="AH90" s="12">
        <f t="shared" si="24"/>
        <v>3426.76</v>
      </c>
      <c r="AI90" s="12"/>
      <c r="AJ90" s="12">
        <f t="shared" si="28"/>
        <v>2015.35</v>
      </c>
      <c r="AK90" s="12"/>
      <c r="AL90" s="12">
        <f t="shared" si="25"/>
        <v>1411.4100000000003</v>
      </c>
      <c r="AM90" s="12"/>
      <c r="AN90" s="13">
        <v>0</v>
      </c>
      <c r="AO90" s="13"/>
      <c r="AP90" s="14">
        <f t="shared" si="30"/>
        <v>-1</v>
      </c>
    </row>
    <row r="91" spans="1:42" s="9" customFormat="1" ht="24.95" customHeight="1" x14ac:dyDescent="0.2">
      <c r="A91" s="9" t="s">
        <v>303</v>
      </c>
      <c r="B91" s="12">
        <f>CNT!S110</f>
        <v>4361.08</v>
      </c>
      <c r="C91" s="12"/>
      <c r="D91" s="12">
        <v>0</v>
      </c>
      <c r="E91" s="12"/>
      <c r="F91" s="12">
        <v>0</v>
      </c>
      <c r="G91" s="12"/>
      <c r="H91" s="12">
        <v>0</v>
      </c>
      <c r="J91" s="12">
        <v>0</v>
      </c>
      <c r="L91" s="12">
        <v>0</v>
      </c>
      <c r="N91" s="12">
        <v>0</v>
      </c>
      <c r="P91" s="12">
        <f t="shared" si="26"/>
        <v>4361.08</v>
      </c>
      <c r="Q91" s="9" t="s">
        <v>303</v>
      </c>
      <c r="R91" s="54">
        <v>1260.8</v>
      </c>
      <c r="S91" s="12"/>
      <c r="T91" s="54">
        <v>0</v>
      </c>
      <c r="U91" s="12"/>
      <c r="V91" s="54">
        <v>0</v>
      </c>
      <c r="W91" s="12"/>
      <c r="X91" s="54">
        <v>0</v>
      </c>
      <c r="Y91" s="12"/>
      <c r="Z91" s="54">
        <v>0</v>
      </c>
      <c r="AA91" s="12"/>
      <c r="AB91" s="54">
        <v>0</v>
      </c>
      <c r="AC91" s="12"/>
      <c r="AD91" s="54">
        <v>0</v>
      </c>
      <c r="AE91" s="12"/>
      <c r="AF91" s="122">
        <f t="shared" si="27"/>
        <v>1260.8</v>
      </c>
      <c r="AG91" s="9" t="s">
        <v>303</v>
      </c>
      <c r="AH91" s="12">
        <f t="shared" si="24"/>
        <v>4361.08</v>
      </c>
      <c r="AI91" s="12"/>
      <c r="AJ91" s="12">
        <f t="shared" si="28"/>
        <v>1260.8</v>
      </c>
      <c r="AK91" s="12"/>
      <c r="AL91" s="12">
        <f t="shared" si="25"/>
        <v>3100.2799999999997</v>
      </c>
      <c r="AM91" s="12"/>
      <c r="AN91" s="13">
        <v>0</v>
      </c>
      <c r="AO91" s="13"/>
      <c r="AP91" s="14">
        <f t="shared" si="30"/>
        <v>-1</v>
      </c>
    </row>
    <row r="92" spans="1:42" s="9" customFormat="1" ht="24.95" customHeight="1" x14ac:dyDescent="0.2">
      <c r="A92" s="9" t="s">
        <v>565</v>
      </c>
      <c r="B92" s="12">
        <v>0</v>
      </c>
      <c r="C92" s="12"/>
      <c r="D92" s="12">
        <v>0</v>
      </c>
      <c r="E92" s="12"/>
      <c r="F92" s="12">
        <f>DEP!S41</f>
        <v>31801.18</v>
      </c>
      <c r="G92" s="12"/>
      <c r="H92" s="12">
        <v>0</v>
      </c>
      <c r="J92" s="12">
        <f>BSC!F59</f>
        <v>3750</v>
      </c>
      <c r="L92" s="12">
        <v>0</v>
      </c>
      <c r="N92" s="12">
        <f>'722 Bedford St'!E43</f>
        <v>999.99</v>
      </c>
      <c r="P92" s="12">
        <f t="shared" si="26"/>
        <v>36551.17</v>
      </c>
      <c r="Q92" s="9" t="s">
        <v>565</v>
      </c>
      <c r="R92" s="54">
        <v>0</v>
      </c>
      <c r="S92" s="12"/>
      <c r="T92" s="54">
        <v>0</v>
      </c>
      <c r="U92" s="12"/>
      <c r="V92" s="54">
        <v>32961.54</v>
      </c>
      <c r="W92" s="12"/>
      <c r="X92" s="54">
        <v>0</v>
      </c>
      <c r="Y92" s="12"/>
      <c r="Z92" s="54">
        <v>2867.5</v>
      </c>
      <c r="AA92" s="12"/>
      <c r="AB92" s="54">
        <v>0</v>
      </c>
      <c r="AC92" s="12"/>
      <c r="AD92" s="54">
        <v>675</v>
      </c>
      <c r="AE92" s="12"/>
      <c r="AF92" s="122">
        <f t="shared" si="27"/>
        <v>36504.04</v>
      </c>
      <c r="AG92" s="9" t="s">
        <v>565</v>
      </c>
      <c r="AH92" s="12">
        <f t="shared" si="24"/>
        <v>36551.17</v>
      </c>
      <c r="AI92" s="12"/>
      <c r="AJ92" s="12">
        <f t="shared" si="28"/>
        <v>36504.04</v>
      </c>
      <c r="AK92" s="12"/>
      <c r="AL92" s="12">
        <f t="shared" si="25"/>
        <v>47.129999999997381</v>
      </c>
      <c r="AM92" s="12"/>
      <c r="AN92" s="13">
        <f>AH92/AJ92</f>
        <v>1.0012910899725072</v>
      </c>
      <c r="AO92" s="13"/>
      <c r="AP92" s="14">
        <f t="shared" si="30"/>
        <v>1.2910899725071534E-3</v>
      </c>
    </row>
    <row r="93" spans="1:42" s="9" customFormat="1" ht="24.95" customHeight="1" x14ac:dyDescent="0.2">
      <c r="A93" s="9" t="s">
        <v>612</v>
      </c>
      <c r="B93" s="12">
        <v>0</v>
      </c>
      <c r="C93" s="12"/>
      <c r="D93" s="12">
        <v>0</v>
      </c>
      <c r="E93" s="12"/>
      <c r="F93" s="12">
        <v>0</v>
      </c>
      <c r="G93" s="12"/>
      <c r="H93" s="12">
        <v>0</v>
      </c>
      <c r="J93" s="12">
        <v>0</v>
      </c>
      <c r="L93" s="12">
        <v>0</v>
      </c>
      <c r="N93" s="12">
        <f>'722 Bedford St'!E39+'722 Bedford St'!E40+'722 Bedford St'!E41+'722 Bedford St'!E42</f>
        <v>0</v>
      </c>
      <c r="P93" s="12">
        <f t="shared" si="26"/>
        <v>0</v>
      </c>
      <c r="Q93" s="9" t="s">
        <v>612</v>
      </c>
      <c r="R93" s="54">
        <v>0</v>
      </c>
      <c r="S93" s="12"/>
      <c r="T93" s="54">
        <v>0</v>
      </c>
      <c r="U93" s="12"/>
      <c r="V93" s="54">
        <v>0</v>
      </c>
      <c r="W93" s="12"/>
      <c r="X93" s="54">
        <v>0</v>
      </c>
      <c r="Y93" s="12"/>
      <c r="Z93" s="54">
        <v>0</v>
      </c>
      <c r="AA93" s="12"/>
      <c r="AB93" s="54">
        <v>0</v>
      </c>
      <c r="AC93" s="12"/>
      <c r="AD93" s="54">
        <v>741607.26</v>
      </c>
      <c r="AE93" s="12"/>
      <c r="AF93" s="122">
        <f t="shared" si="27"/>
        <v>741607.26</v>
      </c>
      <c r="AG93" s="9" t="s">
        <v>612</v>
      </c>
      <c r="AH93" s="12">
        <f t="shared" si="24"/>
        <v>0</v>
      </c>
      <c r="AI93" s="12"/>
      <c r="AJ93" s="12">
        <f t="shared" si="28"/>
        <v>741607.26</v>
      </c>
      <c r="AK93" s="12"/>
      <c r="AL93" s="12">
        <f t="shared" si="25"/>
        <v>-741607.26</v>
      </c>
      <c r="AM93" s="12"/>
      <c r="AN93" s="13">
        <f>AH93/AJ93</f>
        <v>0</v>
      </c>
      <c r="AO93" s="13"/>
      <c r="AP93" s="14">
        <f t="shared" si="30"/>
        <v>-1</v>
      </c>
    </row>
    <row r="94" spans="1:42" s="9" customFormat="1" ht="24.95" customHeight="1" x14ac:dyDescent="0.2">
      <c r="A94" s="9" t="s">
        <v>686</v>
      </c>
      <c r="B94" s="12">
        <f>CNT!S106</f>
        <v>-4369.75</v>
      </c>
      <c r="C94" s="12"/>
      <c r="D94" s="12">
        <v>0</v>
      </c>
      <c r="E94" s="12"/>
      <c r="F94" s="12">
        <f>DEP!S46</f>
        <v>-422</v>
      </c>
      <c r="G94" s="12"/>
      <c r="H94" s="12">
        <v>0</v>
      </c>
      <c r="J94" s="12">
        <v>0</v>
      </c>
      <c r="L94" s="12">
        <v>0</v>
      </c>
      <c r="N94" s="12">
        <v>0</v>
      </c>
      <c r="P94" s="12">
        <f t="shared" si="26"/>
        <v>-4791.75</v>
      </c>
      <c r="Q94" s="9" t="s">
        <v>686</v>
      </c>
      <c r="R94" s="54">
        <v>0</v>
      </c>
      <c r="S94" s="12"/>
      <c r="T94" s="54">
        <v>0</v>
      </c>
      <c r="U94" s="12"/>
      <c r="V94" s="54">
        <v>0</v>
      </c>
      <c r="W94" s="12"/>
      <c r="X94" s="54">
        <v>0</v>
      </c>
      <c r="Y94" s="12"/>
      <c r="Z94" s="54">
        <v>0</v>
      </c>
      <c r="AA94" s="12"/>
      <c r="AB94" s="54">
        <v>0</v>
      </c>
      <c r="AC94" s="12"/>
      <c r="AD94" s="54">
        <v>0</v>
      </c>
      <c r="AE94" s="12"/>
      <c r="AF94" s="122">
        <f t="shared" si="27"/>
        <v>0</v>
      </c>
      <c r="AG94" s="9" t="s">
        <v>686</v>
      </c>
      <c r="AH94" s="12">
        <f t="shared" si="24"/>
        <v>-4791.75</v>
      </c>
      <c r="AI94" s="12"/>
      <c r="AJ94" s="12">
        <f t="shared" si="28"/>
        <v>0</v>
      </c>
      <c r="AK94" s="12"/>
      <c r="AL94" s="12">
        <f t="shared" si="25"/>
        <v>-4791.75</v>
      </c>
      <c r="AM94" s="12"/>
      <c r="AN94" s="13" t="e">
        <f>AH94/AJ94</f>
        <v>#DIV/0!</v>
      </c>
      <c r="AO94" s="13"/>
      <c r="AP94" s="14" t="e">
        <f t="shared" si="30"/>
        <v>#DIV/0!</v>
      </c>
    </row>
    <row r="95" spans="1:42" s="9" customFormat="1" ht="24.95" customHeight="1" x14ac:dyDescent="0.2">
      <c r="A95" s="9" t="s">
        <v>304</v>
      </c>
      <c r="B95" s="12">
        <f>CNT!S111</f>
        <v>-1902.97</v>
      </c>
      <c r="C95" s="12"/>
      <c r="D95" s="12">
        <v>0</v>
      </c>
      <c r="E95" s="12"/>
      <c r="F95" s="12">
        <v>0</v>
      </c>
      <c r="G95" s="12"/>
      <c r="H95" s="12">
        <v>0</v>
      </c>
      <c r="J95" s="12">
        <v>0</v>
      </c>
      <c r="L95" s="12">
        <v>0</v>
      </c>
      <c r="N95" s="12">
        <v>0</v>
      </c>
      <c r="P95" s="12">
        <f t="shared" si="26"/>
        <v>-1902.97</v>
      </c>
      <c r="Q95" s="9" t="s">
        <v>304</v>
      </c>
      <c r="R95" s="54">
        <v>-4002.22</v>
      </c>
      <c r="S95" s="12"/>
      <c r="T95" s="54">
        <v>0</v>
      </c>
      <c r="U95" s="12"/>
      <c r="V95" s="54">
        <v>0</v>
      </c>
      <c r="W95" s="12"/>
      <c r="X95" s="54">
        <v>0</v>
      </c>
      <c r="Y95" s="12"/>
      <c r="Z95" s="54">
        <v>0</v>
      </c>
      <c r="AA95" s="12"/>
      <c r="AB95" s="54">
        <v>0</v>
      </c>
      <c r="AC95" s="12"/>
      <c r="AD95" s="54">
        <v>0</v>
      </c>
      <c r="AE95" s="12"/>
      <c r="AF95" s="122">
        <f t="shared" si="27"/>
        <v>-4002.22</v>
      </c>
      <c r="AG95" s="9" t="s">
        <v>304</v>
      </c>
      <c r="AH95" s="12">
        <f t="shared" si="24"/>
        <v>-1902.97</v>
      </c>
      <c r="AI95" s="12"/>
      <c r="AJ95" s="12">
        <f t="shared" si="28"/>
        <v>-4002.22</v>
      </c>
      <c r="AK95" s="12"/>
      <c r="AL95" s="12">
        <f t="shared" si="25"/>
        <v>2099.25</v>
      </c>
      <c r="AM95" s="12"/>
      <c r="AN95" s="13">
        <v>0</v>
      </c>
      <c r="AO95" s="13"/>
      <c r="AP95" s="14">
        <f t="shared" si="30"/>
        <v>-1</v>
      </c>
    </row>
    <row r="96" spans="1:42" s="9" customFormat="1" ht="24.95" customHeight="1" x14ac:dyDescent="0.2">
      <c r="A96" s="9" t="s">
        <v>305</v>
      </c>
      <c r="B96" s="12">
        <f>CNT!S112</f>
        <v>0</v>
      </c>
      <c r="C96" s="12"/>
      <c r="D96" s="12">
        <v>0</v>
      </c>
      <c r="E96" s="12"/>
      <c r="F96" s="12">
        <v>0</v>
      </c>
      <c r="G96" s="12"/>
      <c r="H96" s="12">
        <v>0</v>
      </c>
      <c r="J96" s="12">
        <v>0</v>
      </c>
      <c r="L96" s="12">
        <v>0</v>
      </c>
      <c r="N96" s="12">
        <v>0</v>
      </c>
      <c r="P96" s="12">
        <f t="shared" si="26"/>
        <v>0</v>
      </c>
      <c r="Q96" s="9" t="s">
        <v>305</v>
      </c>
      <c r="R96" s="54">
        <v>0</v>
      </c>
      <c r="S96" s="12"/>
      <c r="T96" s="54">
        <v>0</v>
      </c>
      <c r="U96" s="12"/>
      <c r="V96" s="54">
        <v>0</v>
      </c>
      <c r="W96" s="12"/>
      <c r="X96" s="54">
        <v>0</v>
      </c>
      <c r="Y96" s="12"/>
      <c r="Z96" s="54">
        <v>0</v>
      </c>
      <c r="AA96" s="12"/>
      <c r="AB96" s="54">
        <v>0</v>
      </c>
      <c r="AC96" s="12"/>
      <c r="AD96" s="54">
        <v>0</v>
      </c>
      <c r="AE96" s="12"/>
      <c r="AF96" s="122">
        <f t="shared" si="27"/>
        <v>0</v>
      </c>
      <c r="AG96" s="9" t="s">
        <v>305</v>
      </c>
      <c r="AH96" s="12">
        <f t="shared" si="24"/>
        <v>0</v>
      </c>
      <c r="AI96" s="12"/>
      <c r="AJ96" s="12">
        <f t="shared" si="28"/>
        <v>0</v>
      </c>
      <c r="AK96" s="12"/>
      <c r="AL96" s="12">
        <f t="shared" si="25"/>
        <v>0</v>
      </c>
      <c r="AM96" s="12"/>
      <c r="AN96" s="13">
        <v>0</v>
      </c>
      <c r="AO96" s="13"/>
      <c r="AP96" s="14">
        <f t="shared" si="30"/>
        <v>-1</v>
      </c>
    </row>
    <row r="97" spans="1:42" s="9" customFormat="1" ht="24.95" customHeight="1" x14ac:dyDescent="0.2">
      <c r="A97" s="9" t="s">
        <v>306</v>
      </c>
      <c r="B97" s="12">
        <f>CNT!S113</f>
        <v>0</v>
      </c>
      <c r="C97" s="12"/>
      <c r="D97" s="12">
        <v>0</v>
      </c>
      <c r="E97" s="12"/>
      <c r="F97" s="12">
        <v>0</v>
      </c>
      <c r="G97" s="12"/>
      <c r="H97" s="12">
        <v>0</v>
      </c>
      <c r="J97" s="12">
        <v>0</v>
      </c>
      <c r="L97" s="12">
        <v>0</v>
      </c>
      <c r="N97" s="12">
        <v>0</v>
      </c>
      <c r="P97" s="12">
        <f t="shared" si="26"/>
        <v>0</v>
      </c>
      <c r="Q97" s="9" t="s">
        <v>306</v>
      </c>
      <c r="R97" s="54">
        <v>0</v>
      </c>
      <c r="S97" s="12"/>
      <c r="T97" s="54">
        <v>0</v>
      </c>
      <c r="U97" s="12"/>
      <c r="V97" s="54">
        <v>0</v>
      </c>
      <c r="W97" s="12"/>
      <c r="X97" s="54">
        <v>0</v>
      </c>
      <c r="Y97" s="12"/>
      <c r="Z97" s="54">
        <v>0</v>
      </c>
      <c r="AA97" s="12"/>
      <c r="AB97" s="54">
        <v>0</v>
      </c>
      <c r="AC97" s="12"/>
      <c r="AD97" s="54">
        <v>0</v>
      </c>
      <c r="AE97" s="12"/>
      <c r="AF97" s="122">
        <f t="shared" si="27"/>
        <v>0</v>
      </c>
      <c r="AG97" s="9" t="s">
        <v>306</v>
      </c>
      <c r="AH97" s="12">
        <f t="shared" si="24"/>
        <v>0</v>
      </c>
      <c r="AI97" s="12"/>
      <c r="AJ97" s="12">
        <f t="shared" si="28"/>
        <v>0</v>
      </c>
      <c r="AK97" s="12"/>
      <c r="AL97" s="12">
        <f t="shared" si="25"/>
        <v>0</v>
      </c>
      <c r="AM97" s="12"/>
      <c r="AN97" s="13">
        <v>0</v>
      </c>
      <c r="AO97" s="13"/>
      <c r="AP97" s="14">
        <f t="shared" si="30"/>
        <v>-1</v>
      </c>
    </row>
    <row r="98" spans="1:42" s="9" customFormat="1" ht="24.95" customHeight="1" x14ac:dyDescent="0.2">
      <c r="A98" s="9" t="s">
        <v>307</v>
      </c>
      <c r="B98" s="12">
        <v>0</v>
      </c>
      <c r="C98" s="12"/>
      <c r="D98" s="12">
        <f>BPM!S47</f>
        <v>1542.5</v>
      </c>
      <c r="E98" s="12"/>
      <c r="F98" s="12">
        <v>0</v>
      </c>
      <c r="G98" s="12"/>
      <c r="H98" s="12">
        <v>0</v>
      </c>
      <c r="J98" s="12">
        <v>0</v>
      </c>
      <c r="L98" s="12">
        <v>0</v>
      </c>
      <c r="N98" s="12">
        <v>0</v>
      </c>
      <c r="P98" s="12">
        <f t="shared" si="26"/>
        <v>1542.5</v>
      </c>
      <c r="Q98" s="9" t="s">
        <v>307</v>
      </c>
      <c r="R98" s="54">
        <v>0</v>
      </c>
      <c r="S98" s="12"/>
      <c r="T98" s="54">
        <v>3440.5</v>
      </c>
      <c r="U98" s="12"/>
      <c r="V98" s="54">
        <v>0</v>
      </c>
      <c r="W98" s="12"/>
      <c r="X98" s="54">
        <v>0</v>
      </c>
      <c r="Y98" s="12"/>
      <c r="Z98" s="54">
        <v>0</v>
      </c>
      <c r="AA98" s="12"/>
      <c r="AB98" s="54">
        <v>0</v>
      </c>
      <c r="AC98" s="12"/>
      <c r="AD98" s="54">
        <v>0</v>
      </c>
      <c r="AE98" s="12"/>
      <c r="AF98" s="122">
        <f t="shared" si="27"/>
        <v>3440.5</v>
      </c>
      <c r="AG98" s="9" t="s">
        <v>307</v>
      </c>
      <c r="AH98" s="12">
        <f t="shared" si="24"/>
        <v>1542.5</v>
      </c>
      <c r="AI98" s="12"/>
      <c r="AJ98" s="12">
        <f t="shared" si="28"/>
        <v>3440.5</v>
      </c>
      <c r="AK98" s="12"/>
      <c r="AL98" s="12">
        <f t="shared" si="25"/>
        <v>-1898</v>
      </c>
      <c r="AM98" s="12"/>
      <c r="AN98" s="13">
        <f>AH98/AJ98</f>
        <v>0.44833599767475657</v>
      </c>
      <c r="AO98" s="13"/>
      <c r="AP98" s="14">
        <f t="shared" si="30"/>
        <v>-0.55166400232524349</v>
      </c>
    </row>
    <row r="99" spans="1:42" s="9" customFormat="1" ht="24.95" customHeight="1" x14ac:dyDescent="0.2">
      <c r="A99" s="9" t="s">
        <v>308</v>
      </c>
      <c r="B99" s="12">
        <f>CNT!S114</f>
        <v>132276.25</v>
      </c>
      <c r="C99" s="12"/>
      <c r="D99" s="12">
        <v>0</v>
      </c>
      <c r="E99" s="12"/>
      <c r="F99" s="12">
        <v>0</v>
      </c>
      <c r="G99" s="12"/>
      <c r="H99" s="12">
        <v>0</v>
      </c>
      <c r="J99" s="12">
        <v>0</v>
      </c>
      <c r="L99" s="12">
        <v>0</v>
      </c>
      <c r="N99" s="12">
        <v>0</v>
      </c>
      <c r="P99" s="12">
        <f t="shared" si="26"/>
        <v>132276.25</v>
      </c>
      <c r="Q99" s="9" t="s">
        <v>308</v>
      </c>
      <c r="R99" s="54">
        <v>620977.18999999994</v>
      </c>
      <c r="S99" s="12"/>
      <c r="T99" s="54">
        <v>0</v>
      </c>
      <c r="U99" s="12"/>
      <c r="V99" s="54">
        <v>0</v>
      </c>
      <c r="W99" s="12"/>
      <c r="X99" s="54">
        <v>0</v>
      </c>
      <c r="Y99" s="12"/>
      <c r="Z99" s="54">
        <v>0</v>
      </c>
      <c r="AA99" s="12"/>
      <c r="AB99" s="54">
        <v>0</v>
      </c>
      <c r="AC99" s="12"/>
      <c r="AD99" s="54">
        <v>0</v>
      </c>
      <c r="AE99" s="12"/>
      <c r="AF99" s="122">
        <f t="shared" si="27"/>
        <v>620977.18999999994</v>
      </c>
      <c r="AG99" s="9" t="s">
        <v>308</v>
      </c>
      <c r="AH99" s="12">
        <f t="shared" si="24"/>
        <v>132276.25</v>
      </c>
      <c r="AI99" s="12"/>
      <c r="AJ99" s="12">
        <f t="shared" si="28"/>
        <v>620977.18999999994</v>
      </c>
      <c r="AK99" s="12"/>
      <c r="AL99" s="12">
        <f t="shared" si="25"/>
        <v>-488700.93999999994</v>
      </c>
      <c r="AM99" s="12"/>
      <c r="AN99" s="13">
        <f>AH99/AJ99</f>
        <v>0.21301305769379389</v>
      </c>
      <c r="AO99" s="13"/>
      <c r="AP99" s="14">
        <f t="shared" si="30"/>
        <v>-0.78698694230620614</v>
      </c>
    </row>
    <row r="100" spans="1:42" s="9" customFormat="1" ht="24.95" customHeight="1" x14ac:dyDescent="0.2">
      <c r="A100" s="9" t="s">
        <v>389</v>
      </c>
      <c r="B100" s="12">
        <v>0</v>
      </c>
      <c r="C100" s="12"/>
      <c r="D100" s="12">
        <v>0</v>
      </c>
      <c r="E100" s="12"/>
      <c r="F100" s="12">
        <v>0</v>
      </c>
      <c r="G100" s="12"/>
      <c r="H100" s="12">
        <v>0</v>
      </c>
      <c r="J100" s="12">
        <f>BSC!F62</f>
        <v>1017646.13</v>
      </c>
      <c r="L100" s="12">
        <f>'Oliari Co'!F63</f>
        <v>105033.46</v>
      </c>
      <c r="N100" s="12">
        <v>0</v>
      </c>
      <c r="P100" s="12">
        <f t="shared" si="26"/>
        <v>1122679.5900000001</v>
      </c>
      <c r="Q100" s="9" t="s">
        <v>389</v>
      </c>
      <c r="R100" s="54">
        <v>0</v>
      </c>
      <c r="S100" s="12"/>
      <c r="T100" s="54">
        <v>0</v>
      </c>
      <c r="U100" s="12"/>
      <c r="V100" s="54">
        <v>0</v>
      </c>
      <c r="W100" s="12"/>
      <c r="X100" s="54">
        <v>0</v>
      </c>
      <c r="Y100" s="12"/>
      <c r="Z100" s="54">
        <v>944941.61</v>
      </c>
      <c r="AA100" s="12"/>
      <c r="AB100" s="54">
        <v>94702.3</v>
      </c>
      <c r="AC100" s="12"/>
      <c r="AD100" s="54">
        <v>0</v>
      </c>
      <c r="AE100" s="12"/>
      <c r="AF100" s="122">
        <f t="shared" si="27"/>
        <v>1039643.91</v>
      </c>
      <c r="AG100" s="9" t="s">
        <v>389</v>
      </c>
      <c r="AH100" s="12">
        <f t="shared" si="24"/>
        <v>1122679.5900000001</v>
      </c>
      <c r="AI100" s="12"/>
      <c r="AJ100" s="12">
        <f t="shared" si="28"/>
        <v>1039643.91</v>
      </c>
      <c r="AK100" s="12"/>
      <c r="AL100" s="12">
        <f t="shared" si="25"/>
        <v>83035.680000000051</v>
      </c>
      <c r="AM100" s="12"/>
      <c r="AN100" s="13">
        <f>AH100/AJ100</f>
        <v>1.0798693468035609</v>
      </c>
      <c r="AO100" s="13"/>
      <c r="AP100" s="14">
        <f t="shared" si="30"/>
        <v>7.9869346803560948E-2</v>
      </c>
    </row>
    <row r="101" spans="1:42" s="9" customFormat="1" ht="24.95" customHeight="1" x14ac:dyDescent="0.2">
      <c r="A101" s="9" t="s">
        <v>309</v>
      </c>
      <c r="B101" s="12">
        <f>CNT!S115+CNT!S116</f>
        <v>5700000</v>
      </c>
      <c r="C101" s="12"/>
      <c r="D101" s="12">
        <v>0</v>
      </c>
      <c r="E101" s="12"/>
      <c r="F101" s="12">
        <v>0</v>
      </c>
      <c r="G101" s="12"/>
      <c r="H101" s="12">
        <v>0</v>
      </c>
      <c r="J101" s="12">
        <v>0</v>
      </c>
      <c r="L101" s="12">
        <v>0</v>
      </c>
      <c r="N101" s="12">
        <v>250000</v>
      </c>
      <c r="P101" s="12">
        <f t="shared" si="26"/>
        <v>5950000</v>
      </c>
      <c r="Q101" s="9" t="s">
        <v>309</v>
      </c>
      <c r="R101" s="54">
        <v>6380000</v>
      </c>
      <c r="S101" s="12"/>
      <c r="T101" s="54">
        <v>0</v>
      </c>
      <c r="U101" s="12"/>
      <c r="V101" s="54">
        <v>0</v>
      </c>
      <c r="W101" s="12"/>
      <c r="X101" s="54">
        <v>0</v>
      </c>
      <c r="Y101" s="12"/>
      <c r="Z101" s="54">
        <v>0</v>
      </c>
      <c r="AA101" s="12"/>
      <c r="AB101" s="54">
        <v>0</v>
      </c>
      <c r="AC101" s="12"/>
      <c r="AD101" s="54">
        <v>250000</v>
      </c>
      <c r="AE101" s="12"/>
      <c r="AF101" s="122">
        <f t="shared" si="27"/>
        <v>6630000</v>
      </c>
      <c r="AG101" s="9" t="s">
        <v>309</v>
      </c>
      <c r="AH101" s="12">
        <f t="shared" si="24"/>
        <v>5950000</v>
      </c>
      <c r="AI101" s="12"/>
      <c r="AJ101" s="12">
        <f t="shared" si="28"/>
        <v>6630000</v>
      </c>
      <c r="AK101" s="12"/>
      <c r="AL101" s="12">
        <f t="shared" si="25"/>
        <v>-680000</v>
      </c>
      <c r="AM101" s="12"/>
      <c r="AN101" s="13">
        <f>AH101/AJ101</f>
        <v>0.89743589743589747</v>
      </c>
      <c r="AO101" s="13"/>
      <c r="AP101" s="14">
        <f t="shared" si="30"/>
        <v>-0.10256410256410253</v>
      </c>
    </row>
    <row r="102" spans="1:42" s="9" customFormat="1" ht="24.95" customHeight="1" x14ac:dyDescent="0.2">
      <c r="A102" s="9" t="s">
        <v>310</v>
      </c>
      <c r="B102" s="12">
        <f>CNT!S118+CNT!S117+CNT!S130+CNT!S131</f>
        <v>1554650</v>
      </c>
      <c r="C102" s="12"/>
      <c r="D102" s="12">
        <f>BPM!S48+BPM!S49</f>
        <v>48330.51</v>
      </c>
      <c r="E102" s="12"/>
      <c r="F102" s="12">
        <f>DEP!S47+DEP!S53</f>
        <v>285273.09999999998</v>
      </c>
      <c r="G102" s="12"/>
      <c r="H102" s="12">
        <f>Lending!F34+Lending!F35+Lending!F33</f>
        <v>437834.14</v>
      </c>
      <c r="J102" s="12">
        <f>BSC!F64+BSC!F70+BSC!F65</f>
        <v>1100262.74</v>
      </c>
      <c r="L102" s="12">
        <f>'Oliari Co'!F61</f>
        <v>0</v>
      </c>
      <c r="N102" s="12">
        <f>'722 Bedford St'!E44+'722 Bedford St'!E45+'722 Bedford St'!E46-250000</f>
        <v>-243677.68</v>
      </c>
      <c r="P102" s="12">
        <f t="shared" si="26"/>
        <v>3182672.81</v>
      </c>
      <c r="Q102" s="9" t="s">
        <v>310</v>
      </c>
      <c r="R102" s="54">
        <v>132150.5</v>
      </c>
      <c r="S102" s="12"/>
      <c r="T102" s="54">
        <v>73655.899999999994</v>
      </c>
      <c r="U102" s="12"/>
      <c r="V102" s="54">
        <v>170182.54</v>
      </c>
      <c r="W102" s="12"/>
      <c r="X102" s="54">
        <v>292197.75</v>
      </c>
      <c r="Y102" s="12"/>
      <c r="Z102" s="54">
        <v>1175214.06</v>
      </c>
      <c r="AA102" s="12"/>
      <c r="AB102" s="54">
        <v>0</v>
      </c>
      <c r="AC102" s="12"/>
      <c r="AD102" s="54">
        <v>-49064.78</v>
      </c>
      <c r="AE102" s="12"/>
      <c r="AF102" s="122">
        <f t="shared" si="27"/>
        <v>1794335.97</v>
      </c>
      <c r="AG102" s="9" t="s">
        <v>310</v>
      </c>
      <c r="AH102" s="12">
        <f t="shared" si="24"/>
        <v>3182672.81</v>
      </c>
      <c r="AI102" s="12"/>
      <c r="AJ102" s="12">
        <f t="shared" si="28"/>
        <v>1794335.97</v>
      </c>
      <c r="AK102" s="12"/>
      <c r="AL102" s="12">
        <f t="shared" si="25"/>
        <v>1388336.84</v>
      </c>
      <c r="AM102" s="12"/>
      <c r="AN102" s="13">
        <f>AH102/AJ102</f>
        <v>1.7737329369816959</v>
      </c>
      <c r="AO102" s="13"/>
      <c r="AP102" s="14">
        <f t="shared" si="30"/>
        <v>0.77373293698169587</v>
      </c>
    </row>
    <row r="103" spans="1:42" s="9" customFormat="1" ht="24.95" customHeight="1" x14ac:dyDescent="0.2">
      <c r="A103" s="9" t="s">
        <v>311</v>
      </c>
      <c r="B103" s="12">
        <f>CNT!S122</f>
        <v>2443262.34</v>
      </c>
      <c r="C103" s="12"/>
      <c r="D103" s="12">
        <v>0</v>
      </c>
      <c r="E103" s="12"/>
      <c r="F103" s="12">
        <v>0</v>
      </c>
      <c r="G103" s="12"/>
      <c r="H103" s="12">
        <v>0</v>
      </c>
      <c r="J103" s="12">
        <v>0</v>
      </c>
      <c r="L103" s="12">
        <v>0</v>
      </c>
      <c r="N103" s="12">
        <v>0</v>
      </c>
      <c r="P103" s="12">
        <f t="shared" si="26"/>
        <v>2443262.34</v>
      </c>
      <c r="Q103" s="9" t="s">
        <v>311</v>
      </c>
      <c r="R103" s="54">
        <v>0</v>
      </c>
      <c r="S103" s="12"/>
      <c r="T103" s="54">
        <v>0</v>
      </c>
      <c r="U103" s="12"/>
      <c r="V103" s="54">
        <v>0</v>
      </c>
      <c r="W103" s="12"/>
      <c r="X103" s="54">
        <v>0</v>
      </c>
      <c r="Y103" s="12"/>
      <c r="Z103" s="54">
        <v>0</v>
      </c>
      <c r="AA103" s="12"/>
      <c r="AB103" s="54">
        <v>0</v>
      </c>
      <c r="AC103" s="12"/>
      <c r="AD103" s="54">
        <v>0</v>
      </c>
      <c r="AE103" s="12"/>
      <c r="AF103" s="122">
        <f t="shared" si="27"/>
        <v>0</v>
      </c>
      <c r="AG103" s="9" t="s">
        <v>311</v>
      </c>
      <c r="AH103" s="12">
        <f t="shared" si="24"/>
        <v>2443262.34</v>
      </c>
      <c r="AI103" s="12"/>
      <c r="AJ103" s="12">
        <f t="shared" si="28"/>
        <v>0</v>
      </c>
      <c r="AK103" s="12"/>
      <c r="AL103" s="12">
        <f t="shared" si="25"/>
        <v>2443262.34</v>
      </c>
      <c r="AM103" s="12"/>
      <c r="AN103" s="13">
        <v>0</v>
      </c>
      <c r="AO103" s="13"/>
      <c r="AP103" s="14">
        <f t="shared" si="30"/>
        <v>-1</v>
      </c>
    </row>
    <row r="104" spans="1:42" s="9" customFormat="1" ht="24.95" customHeight="1" x14ac:dyDescent="0.2">
      <c r="A104" s="9" t="s">
        <v>591</v>
      </c>
      <c r="B104" s="12">
        <f>CNT!S124</f>
        <v>25081.84</v>
      </c>
      <c r="C104" s="12"/>
      <c r="D104" s="12">
        <v>0</v>
      </c>
      <c r="E104" s="12"/>
      <c r="F104" s="12">
        <v>0</v>
      </c>
      <c r="G104" s="12"/>
      <c r="H104" s="12">
        <v>0</v>
      </c>
      <c r="J104" s="12">
        <v>0</v>
      </c>
      <c r="L104" s="12">
        <v>0</v>
      </c>
      <c r="N104" s="12">
        <v>0</v>
      </c>
      <c r="P104" s="12">
        <f t="shared" si="26"/>
        <v>25081.84</v>
      </c>
      <c r="Q104" s="9" t="s">
        <v>591</v>
      </c>
      <c r="R104" s="54">
        <v>15647.9</v>
      </c>
      <c r="S104" s="12"/>
      <c r="T104" s="54">
        <v>0</v>
      </c>
      <c r="U104" s="12"/>
      <c r="V104" s="54">
        <v>0</v>
      </c>
      <c r="W104" s="12"/>
      <c r="X104" s="54">
        <v>0</v>
      </c>
      <c r="Y104" s="12"/>
      <c r="Z104" s="54">
        <v>0</v>
      </c>
      <c r="AA104" s="12"/>
      <c r="AB104" s="54">
        <v>0</v>
      </c>
      <c r="AC104" s="12"/>
      <c r="AD104" s="54">
        <v>0</v>
      </c>
      <c r="AE104" s="12"/>
      <c r="AF104" s="122">
        <f t="shared" si="27"/>
        <v>15647.9</v>
      </c>
      <c r="AG104" s="9" t="s">
        <v>591</v>
      </c>
      <c r="AH104" s="12">
        <f t="shared" si="24"/>
        <v>25081.84</v>
      </c>
      <c r="AI104" s="12"/>
      <c r="AJ104" s="12">
        <f t="shared" si="28"/>
        <v>15647.9</v>
      </c>
      <c r="AK104" s="12"/>
      <c r="AL104" s="12">
        <f t="shared" si="25"/>
        <v>9433.94</v>
      </c>
      <c r="AM104" s="12"/>
      <c r="AN104" s="13">
        <v>0</v>
      </c>
      <c r="AO104" s="13"/>
      <c r="AP104" s="14">
        <f t="shared" si="30"/>
        <v>-1</v>
      </c>
    </row>
    <row r="105" spans="1:42" s="9" customFormat="1" ht="24.95" customHeight="1" x14ac:dyDescent="0.2">
      <c r="A105" s="9" t="s">
        <v>637</v>
      </c>
      <c r="B105" s="12">
        <f>CNT!S125</f>
        <v>2981.92</v>
      </c>
      <c r="C105" s="12"/>
      <c r="D105" s="12">
        <v>0</v>
      </c>
      <c r="E105" s="12"/>
      <c r="F105" s="12">
        <v>0</v>
      </c>
      <c r="G105" s="12"/>
      <c r="H105" s="12">
        <v>0</v>
      </c>
      <c r="J105" s="12">
        <v>0</v>
      </c>
      <c r="L105" s="12">
        <v>0</v>
      </c>
      <c r="N105" s="12">
        <v>0</v>
      </c>
      <c r="P105" s="12">
        <f t="shared" si="26"/>
        <v>2981.92</v>
      </c>
      <c r="Q105" s="9" t="s">
        <v>637</v>
      </c>
      <c r="R105" s="54">
        <v>7301.27</v>
      </c>
      <c r="S105" s="12"/>
      <c r="T105" s="54">
        <v>0</v>
      </c>
      <c r="U105" s="12"/>
      <c r="V105" s="54">
        <v>0</v>
      </c>
      <c r="W105" s="12"/>
      <c r="X105" s="54">
        <v>0</v>
      </c>
      <c r="Y105" s="12"/>
      <c r="Z105" s="54">
        <v>0</v>
      </c>
      <c r="AA105" s="12"/>
      <c r="AB105" s="54">
        <v>0</v>
      </c>
      <c r="AC105" s="12"/>
      <c r="AD105" s="54">
        <v>0</v>
      </c>
      <c r="AE105" s="12"/>
      <c r="AF105" s="122">
        <f t="shared" si="27"/>
        <v>7301.27</v>
      </c>
      <c r="AG105" s="9" t="s">
        <v>637</v>
      </c>
      <c r="AH105" s="12">
        <f t="shared" si="24"/>
        <v>2981.92</v>
      </c>
      <c r="AI105" s="12"/>
      <c r="AJ105" s="12">
        <f t="shared" si="28"/>
        <v>7301.27</v>
      </c>
      <c r="AK105" s="12"/>
      <c r="AL105" s="12">
        <f t="shared" si="25"/>
        <v>-4319.3500000000004</v>
      </c>
      <c r="AM105" s="12"/>
      <c r="AN105" s="13">
        <v>0</v>
      </c>
      <c r="AO105" s="13"/>
      <c r="AP105" s="14">
        <f t="shared" si="30"/>
        <v>-1</v>
      </c>
    </row>
    <row r="106" spans="1:42" s="9" customFormat="1" ht="24.95" customHeight="1" x14ac:dyDescent="0.2">
      <c r="A106" s="9" t="s">
        <v>624</v>
      </c>
      <c r="B106" s="12">
        <f>CNT!S126</f>
        <v>125.06</v>
      </c>
      <c r="C106" s="12"/>
      <c r="D106" s="12">
        <v>0</v>
      </c>
      <c r="E106" s="12"/>
      <c r="F106" s="12">
        <v>0</v>
      </c>
      <c r="G106" s="12"/>
      <c r="H106" s="12">
        <v>0</v>
      </c>
      <c r="J106" s="12">
        <v>0</v>
      </c>
      <c r="L106" s="12">
        <v>0</v>
      </c>
      <c r="N106" s="12">
        <v>0</v>
      </c>
      <c r="P106" s="12">
        <f t="shared" si="26"/>
        <v>125.06</v>
      </c>
      <c r="Q106" s="9" t="s">
        <v>624</v>
      </c>
      <c r="R106" s="54">
        <v>252</v>
      </c>
      <c r="S106" s="12"/>
      <c r="T106" s="54">
        <v>0</v>
      </c>
      <c r="U106" s="12"/>
      <c r="V106" s="54">
        <v>0</v>
      </c>
      <c r="W106" s="12"/>
      <c r="X106" s="54">
        <v>0</v>
      </c>
      <c r="Y106" s="12"/>
      <c r="Z106" s="54">
        <v>0</v>
      </c>
      <c r="AA106" s="12"/>
      <c r="AB106" s="54">
        <v>0</v>
      </c>
      <c r="AC106" s="12"/>
      <c r="AD106" s="54">
        <v>0</v>
      </c>
      <c r="AE106" s="12"/>
      <c r="AF106" s="122">
        <f t="shared" si="27"/>
        <v>252</v>
      </c>
      <c r="AG106" s="9" t="s">
        <v>624</v>
      </c>
      <c r="AH106" s="12">
        <f t="shared" si="24"/>
        <v>125.06</v>
      </c>
      <c r="AI106" s="12"/>
      <c r="AJ106" s="12">
        <f t="shared" si="28"/>
        <v>252</v>
      </c>
      <c r="AK106" s="12"/>
      <c r="AL106" s="12">
        <f t="shared" si="25"/>
        <v>-126.94</v>
      </c>
      <c r="AM106" s="12"/>
      <c r="AN106" s="13">
        <v>0</v>
      </c>
      <c r="AO106" s="13"/>
      <c r="AP106" s="14">
        <f t="shared" si="30"/>
        <v>-1</v>
      </c>
    </row>
    <row r="107" spans="1:42" s="9" customFormat="1" ht="24.95" customHeight="1" x14ac:dyDescent="0.2">
      <c r="A107" s="9" t="s">
        <v>312</v>
      </c>
      <c r="B107" s="16">
        <f>CNT!S123</f>
        <v>16063.87</v>
      </c>
      <c r="C107" s="16"/>
      <c r="D107" s="16">
        <v>0</v>
      </c>
      <c r="E107" s="16"/>
      <c r="F107" s="16">
        <v>0</v>
      </c>
      <c r="G107" s="16"/>
      <c r="H107" s="16">
        <v>0</v>
      </c>
      <c r="I107" s="17"/>
      <c r="J107" s="16">
        <v>0</v>
      </c>
      <c r="K107" s="17"/>
      <c r="L107" s="16">
        <v>0</v>
      </c>
      <c r="M107" s="17"/>
      <c r="N107" s="16">
        <v>0</v>
      </c>
      <c r="O107" s="17"/>
      <c r="P107" s="16">
        <f t="shared" si="26"/>
        <v>16063.87</v>
      </c>
      <c r="Q107" s="9" t="s">
        <v>312</v>
      </c>
      <c r="R107" s="55">
        <v>7401.35</v>
      </c>
      <c r="S107" s="16"/>
      <c r="T107" s="55">
        <v>0</v>
      </c>
      <c r="U107" s="16"/>
      <c r="V107" s="55">
        <v>0</v>
      </c>
      <c r="W107" s="16"/>
      <c r="X107" s="55">
        <v>0</v>
      </c>
      <c r="Y107" s="16"/>
      <c r="Z107" s="55">
        <v>0</v>
      </c>
      <c r="AA107" s="16"/>
      <c r="AB107" s="55">
        <v>0</v>
      </c>
      <c r="AC107" s="16"/>
      <c r="AD107" s="55">
        <v>0</v>
      </c>
      <c r="AE107" s="16"/>
      <c r="AF107" s="16">
        <f t="shared" si="27"/>
        <v>7401.35</v>
      </c>
      <c r="AG107" s="9" t="s">
        <v>312</v>
      </c>
      <c r="AH107" s="16">
        <f t="shared" si="24"/>
        <v>16063.87</v>
      </c>
      <c r="AI107" s="16"/>
      <c r="AJ107" s="16">
        <f t="shared" si="28"/>
        <v>7401.35</v>
      </c>
      <c r="AK107" s="16"/>
      <c r="AL107" s="16">
        <f t="shared" si="25"/>
        <v>8662.52</v>
      </c>
      <c r="AM107" s="12"/>
      <c r="AN107" s="13">
        <v>0</v>
      </c>
      <c r="AO107" s="13"/>
      <c r="AP107" s="14">
        <f t="shared" si="30"/>
        <v>-1</v>
      </c>
    </row>
    <row r="108" spans="1:42" s="9" customFormat="1" ht="24.95" customHeight="1" x14ac:dyDescent="0.2">
      <c r="A108" s="20" t="s">
        <v>382</v>
      </c>
      <c r="B108" s="12">
        <f>SUM(B71:B107)</f>
        <v>58720635.369999997</v>
      </c>
      <c r="C108" s="12"/>
      <c r="D108" s="12">
        <f>SUM(D71:D107)</f>
        <v>94959.65</v>
      </c>
      <c r="E108" s="12"/>
      <c r="F108" s="12">
        <f>SUM(F71:F107)</f>
        <v>724328.52</v>
      </c>
      <c r="G108" s="12"/>
      <c r="H108" s="12">
        <f>SUM(H71:H107)</f>
        <v>449450.7</v>
      </c>
      <c r="I108" s="12"/>
      <c r="J108" s="12">
        <f>SUM(J71:J107)</f>
        <v>2192914.04</v>
      </c>
      <c r="K108" s="12"/>
      <c r="L108" s="12">
        <f>SUM(L71:L107)</f>
        <v>108258.46</v>
      </c>
      <c r="M108" s="12"/>
      <c r="N108" s="12">
        <f>SUM(N71:N107)</f>
        <v>7322.3099999999977</v>
      </c>
      <c r="O108" s="12"/>
      <c r="P108" s="12">
        <f>SUM(P71:P107)</f>
        <v>62297869.050000004</v>
      </c>
      <c r="Q108" s="20" t="s">
        <v>382</v>
      </c>
      <c r="R108" s="54">
        <f>SUM(R70:R107)</f>
        <v>39934929.320000008</v>
      </c>
      <c r="S108" s="12"/>
      <c r="T108" s="54">
        <f>SUM(T70:T107)</f>
        <v>634586.35000000009</v>
      </c>
      <c r="U108" s="12"/>
      <c r="V108" s="54">
        <f>SUM(V70:V107)</f>
        <v>494744.38</v>
      </c>
      <c r="W108" s="12"/>
      <c r="X108" s="54">
        <f>SUM(X70:X107)</f>
        <v>300062.65000000002</v>
      </c>
      <c r="Y108" s="12"/>
      <c r="Z108" s="54">
        <f>SUM(Z70:Z107)</f>
        <v>2205150.88</v>
      </c>
      <c r="AA108" s="12"/>
      <c r="AB108" s="54">
        <f>SUM(AB70:AB107)</f>
        <v>97142.3</v>
      </c>
      <c r="AC108" s="12"/>
      <c r="AD108" s="54">
        <f>SUM(AD70:AD107)</f>
        <v>943217.48</v>
      </c>
      <c r="AE108" s="12"/>
      <c r="AF108" s="12">
        <f>SUM(AF70:AF107)</f>
        <v>44609833.359999992</v>
      </c>
      <c r="AG108" s="20" t="s">
        <v>382</v>
      </c>
      <c r="AH108" s="22">
        <f>SUM(AH70:AH107)</f>
        <v>62297869.050000004</v>
      </c>
      <c r="AI108" s="22">
        <f>SUM(AI70:AI107)</f>
        <v>0</v>
      </c>
      <c r="AJ108" s="22">
        <f>SUM(AJ70:AJ107)</f>
        <v>44609833.359999992</v>
      </c>
      <c r="AK108" s="22">
        <f>SUM(AK70:AK107)</f>
        <v>0</v>
      </c>
      <c r="AL108" s="22">
        <f>SUM(AL70:AL107)</f>
        <v>17688035.689999998</v>
      </c>
      <c r="AM108" s="22"/>
      <c r="AN108" s="13">
        <f>AH108/AJ108</f>
        <v>1.3965053074118907</v>
      </c>
      <c r="AO108" s="13"/>
      <c r="AP108" s="14">
        <f t="shared" si="30"/>
        <v>0.39650530741189072</v>
      </c>
    </row>
    <row r="109" spans="1:42" s="9" customFormat="1" ht="24.95" customHeight="1" x14ac:dyDescent="0.2">
      <c r="B109" s="12"/>
      <c r="C109" s="12"/>
      <c r="D109" s="12"/>
      <c r="E109" s="12"/>
      <c r="F109" s="12"/>
      <c r="G109" s="12"/>
      <c r="P109" s="10"/>
      <c r="R109" s="65"/>
      <c r="T109" s="65"/>
      <c r="V109" s="65"/>
      <c r="X109" s="65"/>
      <c r="Z109" s="65"/>
      <c r="AB109" s="65"/>
      <c r="AD109" s="65"/>
      <c r="AF109" s="10"/>
      <c r="AN109" s="13"/>
      <c r="AO109" s="13"/>
      <c r="AP109" s="19"/>
    </row>
    <row r="110" spans="1:42" s="9" customFormat="1" ht="24.95" customHeight="1" x14ac:dyDescent="0.2">
      <c r="A110" s="8" t="s">
        <v>313</v>
      </c>
      <c r="B110" s="12"/>
      <c r="C110" s="12"/>
      <c r="D110" s="12"/>
      <c r="E110" s="12"/>
      <c r="F110" s="12"/>
      <c r="G110" s="12"/>
      <c r="P110" s="10"/>
      <c r="Q110" s="8" t="s">
        <v>313</v>
      </c>
      <c r="R110" s="65"/>
      <c r="T110" s="65"/>
      <c r="V110" s="65"/>
      <c r="X110" s="65"/>
      <c r="Z110" s="65"/>
      <c r="AB110" s="65"/>
      <c r="AD110" s="65"/>
      <c r="AF110" s="10"/>
      <c r="AG110" s="8" t="s">
        <v>313</v>
      </c>
      <c r="AN110" s="10"/>
      <c r="AO110" s="10"/>
      <c r="AP110" s="19"/>
    </row>
    <row r="111" spans="1:42" s="9" customFormat="1" ht="24.95" customHeight="1" x14ac:dyDescent="0.2">
      <c r="A111" s="9" t="s">
        <v>314</v>
      </c>
      <c r="B111" s="12">
        <v>0</v>
      </c>
      <c r="C111" s="12"/>
      <c r="D111" s="12">
        <v>0</v>
      </c>
      <c r="E111" s="12"/>
      <c r="F111" s="12">
        <v>0</v>
      </c>
      <c r="G111" s="12"/>
      <c r="H111" s="12">
        <v>0</v>
      </c>
      <c r="I111" s="12"/>
      <c r="J111" s="12">
        <v>0</v>
      </c>
      <c r="K111" s="12"/>
      <c r="L111" s="12">
        <v>0</v>
      </c>
      <c r="M111" s="12"/>
      <c r="N111" s="12">
        <v>0</v>
      </c>
      <c r="O111" s="12"/>
      <c r="P111" s="12">
        <f>SUM(B111:N111)</f>
        <v>0</v>
      </c>
      <c r="Q111" s="9" t="s">
        <v>314</v>
      </c>
      <c r="R111" s="54">
        <v>0</v>
      </c>
      <c r="S111" s="12"/>
      <c r="T111" s="54">
        <v>0</v>
      </c>
      <c r="U111" s="12"/>
      <c r="V111" s="54">
        <v>0</v>
      </c>
      <c r="W111" s="12"/>
      <c r="X111" s="54">
        <v>0</v>
      </c>
      <c r="Y111" s="12"/>
      <c r="Z111" s="54">
        <v>0</v>
      </c>
      <c r="AA111" s="12"/>
      <c r="AB111" s="54">
        <v>0</v>
      </c>
      <c r="AC111" s="12"/>
      <c r="AD111" s="54">
        <v>0</v>
      </c>
      <c r="AE111" s="12"/>
      <c r="AF111" s="122">
        <f>SUM(R111:AD111)</f>
        <v>0</v>
      </c>
      <c r="AG111" s="9" t="s">
        <v>314</v>
      </c>
      <c r="AH111" s="12">
        <f>P111</f>
        <v>0</v>
      </c>
      <c r="AI111" s="12"/>
      <c r="AJ111" s="12">
        <f>AF111</f>
        <v>0</v>
      </c>
      <c r="AK111" s="12"/>
      <c r="AL111" s="12">
        <f>AH111-AJ111</f>
        <v>0</v>
      </c>
      <c r="AM111" s="12"/>
      <c r="AN111" s="13" t="e">
        <f t="shared" ref="AN111:AN116" si="32">AH111/AJ111</f>
        <v>#DIV/0!</v>
      </c>
      <c r="AO111" s="13"/>
      <c r="AP111" s="14" t="e">
        <f t="shared" ref="AP111:AP116" si="33">AN111-1</f>
        <v>#DIV/0!</v>
      </c>
    </row>
    <row r="112" spans="1:42" s="9" customFormat="1" ht="24.95" customHeight="1" x14ac:dyDescent="0.2">
      <c r="A112" s="9" t="s">
        <v>315</v>
      </c>
      <c r="B112" s="12">
        <f>CNT!S132</f>
        <v>0</v>
      </c>
      <c r="C112" s="12"/>
      <c r="D112" s="12">
        <v>0</v>
      </c>
      <c r="E112" s="12"/>
      <c r="F112" s="12">
        <v>0</v>
      </c>
      <c r="G112" s="12"/>
      <c r="H112" s="12">
        <v>0</v>
      </c>
      <c r="J112" s="12">
        <f>BSC!F69</f>
        <v>1038675.03</v>
      </c>
      <c r="L112" s="12">
        <f>'Oliari Co'!F68</f>
        <v>247750</v>
      </c>
      <c r="N112" s="12">
        <f>'722 Bedford St'!E53</f>
        <v>0</v>
      </c>
      <c r="P112" s="12">
        <f>SUM(B112:N112)</f>
        <v>1286425.03</v>
      </c>
      <c r="Q112" s="9" t="s">
        <v>315</v>
      </c>
      <c r="R112" s="54">
        <v>0</v>
      </c>
      <c r="S112" s="12"/>
      <c r="T112" s="54">
        <v>0</v>
      </c>
      <c r="U112" s="12"/>
      <c r="V112" s="54">
        <v>0</v>
      </c>
      <c r="W112" s="12"/>
      <c r="X112" s="54">
        <v>0</v>
      </c>
      <c r="Y112" s="12"/>
      <c r="Z112" s="54">
        <v>1038675.03</v>
      </c>
      <c r="AA112" s="12"/>
      <c r="AB112" s="54">
        <v>247750</v>
      </c>
      <c r="AC112" s="12"/>
      <c r="AD112" s="54">
        <v>3563493</v>
      </c>
      <c r="AE112" s="12"/>
      <c r="AF112" s="122">
        <f t="shared" ref="AF112:AF115" si="34">SUM(R112:AD112)</f>
        <v>4849918.03</v>
      </c>
      <c r="AG112" s="9" t="s">
        <v>315</v>
      </c>
      <c r="AH112" s="12">
        <f>P112</f>
        <v>1286425.03</v>
      </c>
      <c r="AI112" s="12"/>
      <c r="AJ112" s="12">
        <f>AF112</f>
        <v>4849918.03</v>
      </c>
      <c r="AK112" s="12"/>
      <c r="AL112" s="12">
        <f>AH112-AJ112</f>
        <v>-3563493</v>
      </c>
      <c r="AM112" s="12"/>
      <c r="AN112" s="13">
        <f t="shared" si="32"/>
        <v>0.26524675717045054</v>
      </c>
      <c r="AO112" s="13"/>
      <c r="AP112" s="14">
        <f t="shared" si="33"/>
        <v>-0.73475324282954946</v>
      </c>
    </row>
    <row r="113" spans="1:42" s="9" customFormat="1" ht="24.95" customHeight="1" x14ac:dyDescent="0.2">
      <c r="A113" s="9" t="s">
        <v>316</v>
      </c>
      <c r="B113" s="12">
        <f>CNT!S133</f>
        <v>16821.72</v>
      </c>
      <c r="C113" s="12"/>
      <c r="D113" s="12">
        <v>0</v>
      </c>
      <c r="E113" s="12"/>
      <c r="F113" s="12">
        <v>0</v>
      </c>
      <c r="G113" s="12"/>
      <c r="H113" s="12">
        <v>0</v>
      </c>
      <c r="J113" s="12">
        <v>0</v>
      </c>
      <c r="L113" s="12">
        <v>0</v>
      </c>
      <c r="N113" s="12">
        <f>'722 Bedford St'!E50</f>
        <v>0</v>
      </c>
      <c r="P113" s="12">
        <f>SUM(B113:N113)</f>
        <v>16821.72</v>
      </c>
      <c r="Q113" s="9" t="s">
        <v>316</v>
      </c>
      <c r="R113" s="54">
        <v>16317.25</v>
      </c>
      <c r="S113" s="12"/>
      <c r="T113" s="54">
        <v>0</v>
      </c>
      <c r="U113" s="12"/>
      <c r="V113" s="54">
        <v>0</v>
      </c>
      <c r="W113" s="12"/>
      <c r="X113" s="54">
        <v>0</v>
      </c>
      <c r="Y113" s="12"/>
      <c r="Z113" s="54">
        <v>0</v>
      </c>
      <c r="AA113" s="12"/>
      <c r="AB113" s="54">
        <v>0</v>
      </c>
      <c r="AC113" s="12"/>
      <c r="AD113" s="54">
        <v>819709.5</v>
      </c>
      <c r="AE113" s="12"/>
      <c r="AF113" s="122">
        <f t="shared" si="34"/>
        <v>836026.75</v>
      </c>
      <c r="AG113" s="9" t="s">
        <v>316</v>
      </c>
      <c r="AH113" s="12">
        <f>P113</f>
        <v>16821.72</v>
      </c>
      <c r="AI113" s="12"/>
      <c r="AJ113" s="12">
        <f>AF113</f>
        <v>836026.75</v>
      </c>
      <c r="AK113" s="12"/>
      <c r="AL113" s="12">
        <f>AH113-AJ113</f>
        <v>-819205.03</v>
      </c>
      <c r="AM113" s="12"/>
      <c r="AN113" s="13">
        <f t="shared" si="32"/>
        <v>2.0121030816298641E-2</v>
      </c>
      <c r="AO113" s="13"/>
      <c r="AP113" s="14">
        <f t="shared" si="33"/>
        <v>-0.97987896918370132</v>
      </c>
    </row>
    <row r="114" spans="1:42" s="9" customFormat="1" ht="24.95" customHeight="1" x14ac:dyDescent="0.2">
      <c r="A114" s="9" t="s">
        <v>317</v>
      </c>
      <c r="B114" s="12">
        <f>CNT!S134</f>
        <v>4362.71</v>
      </c>
      <c r="C114" s="12"/>
      <c r="D114" s="12">
        <v>0</v>
      </c>
      <c r="E114" s="12"/>
      <c r="F114" s="12">
        <v>0</v>
      </c>
      <c r="G114" s="12"/>
      <c r="H114" s="12">
        <v>0</v>
      </c>
      <c r="J114" s="12">
        <v>0</v>
      </c>
      <c r="L114" s="12">
        <v>0</v>
      </c>
      <c r="N114" s="12">
        <f>'722 Bedford St'!E51</f>
        <v>0</v>
      </c>
      <c r="P114" s="12">
        <f>SUM(B114:N114)</f>
        <v>4362.71</v>
      </c>
      <c r="Q114" s="9" t="s">
        <v>317</v>
      </c>
      <c r="R114" s="54">
        <v>4231.8599999999997</v>
      </c>
      <c r="S114" s="12"/>
      <c r="T114" s="54">
        <v>0</v>
      </c>
      <c r="U114" s="12"/>
      <c r="V114" s="54">
        <v>0</v>
      </c>
      <c r="W114" s="12"/>
      <c r="X114" s="54">
        <v>0</v>
      </c>
      <c r="Y114" s="12"/>
      <c r="Z114" s="54">
        <v>0</v>
      </c>
      <c r="AA114" s="12"/>
      <c r="AB114" s="54">
        <v>0</v>
      </c>
      <c r="AC114" s="12"/>
      <c r="AD114" s="54">
        <v>825953</v>
      </c>
      <c r="AE114" s="12"/>
      <c r="AF114" s="122">
        <f t="shared" si="34"/>
        <v>830184.86</v>
      </c>
      <c r="AG114" s="9" t="s">
        <v>317</v>
      </c>
      <c r="AH114" s="12">
        <f>P114</f>
        <v>4362.71</v>
      </c>
      <c r="AI114" s="12"/>
      <c r="AJ114" s="12">
        <f>AF114</f>
        <v>830184.86</v>
      </c>
      <c r="AK114" s="12"/>
      <c r="AL114" s="12">
        <f>AH114-AJ114</f>
        <v>-825822.15</v>
      </c>
      <c r="AM114" s="12"/>
      <c r="AN114" s="13">
        <f t="shared" si="32"/>
        <v>5.255106675879394E-3</v>
      </c>
      <c r="AO114" s="13"/>
      <c r="AP114" s="14">
        <f t="shared" si="33"/>
        <v>-0.99474489332412064</v>
      </c>
    </row>
    <row r="115" spans="1:42" s="9" customFormat="1" ht="24.95" customHeight="1" x14ac:dyDescent="0.2">
      <c r="A115" s="9" t="s">
        <v>318</v>
      </c>
      <c r="B115" s="16">
        <f>CNT!S135</f>
        <v>19902</v>
      </c>
      <c r="C115" s="16"/>
      <c r="D115" s="16">
        <v>0</v>
      </c>
      <c r="E115" s="16"/>
      <c r="F115" s="16">
        <v>0</v>
      </c>
      <c r="G115" s="16"/>
      <c r="H115" s="16">
        <v>0</v>
      </c>
      <c r="I115" s="17"/>
      <c r="J115" s="16">
        <v>0</v>
      </c>
      <c r="K115" s="17"/>
      <c r="L115" s="16">
        <v>0</v>
      </c>
      <c r="M115" s="17"/>
      <c r="N115" s="16">
        <f>'722 Bedford St'!E52</f>
        <v>0</v>
      </c>
      <c r="O115" s="17"/>
      <c r="P115" s="16">
        <f>SUM(B115:N115)</f>
        <v>19902</v>
      </c>
      <c r="Q115" s="9" t="s">
        <v>318</v>
      </c>
      <c r="R115" s="55">
        <v>19304.82</v>
      </c>
      <c r="S115" s="16"/>
      <c r="T115" s="55">
        <v>0</v>
      </c>
      <c r="U115" s="16"/>
      <c r="V115" s="55">
        <v>0</v>
      </c>
      <c r="W115" s="16"/>
      <c r="X115" s="55">
        <v>0</v>
      </c>
      <c r="Y115" s="16"/>
      <c r="Z115" s="55">
        <v>0</v>
      </c>
      <c r="AA115" s="16"/>
      <c r="AB115" s="55">
        <v>0</v>
      </c>
      <c r="AC115" s="16"/>
      <c r="AD115" s="55">
        <v>656846.65</v>
      </c>
      <c r="AE115" s="16"/>
      <c r="AF115" s="16">
        <f t="shared" si="34"/>
        <v>676151.47</v>
      </c>
      <c r="AG115" s="9" t="s">
        <v>318</v>
      </c>
      <c r="AH115" s="16">
        <f>P115</f>
        <v>19902</v>
      </c>
      <c r="AI115" s="16"/>
      <c r="AJ115" s="16">
        <f>AF115</f>
        <v>676151.47</v>
      </c>
      <c r="AK115" s="16"/>
      <c r="AL115" s="16">
        <f>AH115-AJ115</f>
        <v>-656249.47</v>
      </c>
      <c r="AM115" s="12"/>
      <c r="AN115" s="13">
        <f t="shared" si="32"/>
        <v>2.9434233131224282E-2</v>
      </c>
      <c r="AO115" s="13"/>
      <c r="AP115" s="14">
        <f t="shared" si="33"/>
        <v>-0.97056576686877571</v>
      </c>
    </row>
    <row r="116" spans="1:42" s="9" customFormat="1" ht="24.95" customHeight="1" x14ac:dyDescent="0.2">
      <c r="A116" s="20" t="s">
        <v>319</v>
      </c>
      <c r="B116" s="12">
        <f>SUM(B111:B115)</f>
        <v>41086.43</v>
      </c>
      <c r="C116" s="12"/>
      <c r="D116" s="12">
        <f>SUM(D111:D115)</f>
        <v>0</v>
      </c>
      <c r="E116" s="12"/>
      <c r="F116" s="12">
        <f>SUM(F111:F115)</f>
        <v>0</v>
      </c>
      <c r="G116" s="12"/>
      <c r="H116" s="12">
        <f>SUM(H111:H115)</f>
        <v>0</v>
      </c>
      <c r="I116" s="12"/>
      <c r="J116" s="12">
        <f>SUM(J111:J115)</f>
        <v>1038675.03</v>
      </c>
      <c r="K116" s="12"/>
      <c r="L116" s="12">
        <f>SUM(L111:L115)</f>
        <v>247750</v>
      </c>
      <c r="M116" s="12"/>
      <c r="N116" s="12">
        <f>SUM(N111:N115)</f>
        <v>0</v>
      </c>
      <c r="O116" s="12"/>
      <c r="P116" s="12">
        <f>SUM(P111:P115)</f>
        <v>1327511.46</v>
      </c>
      <c r="Q116" s="20" t="s">
        <v>319</v>
      </c>
      <c r="R116" s="54">
        <f>SUM(R111:R115)</f>
        <v>39853.93</v>
      </c>
      <c r="S116" s="12"/>
      <c r="T116" s="54">
        <f>SUM(T111:T115)</f>
        <v>0</v>
      </c>
      <c r="U116" s="12"/>
      <c r="V116" s="54">
        <f>SUM(V111:V115)</f>
        <v>0</v>
      </c>
      <c r="W116" s="12"/>
      <c r="X116" s="54">
        <f>SUM(X111:X115)</f>
        <v>0</v>
      </c>
      <c r="Y116" s="12"/>
      <c r="Z116" s="54">
        <f>SUM(Z111:Z115)</f>
        <v>1038675.03</v>
      </c>
      <c r="AA116" s="12"/>
      <c r="AB116" s="54">
        <f>SUM(AB111:AB115)</f>
        <v>247750</v>
      </c>
      <c r="AC116" s="12"/>
      <c r="AD116" s="54">
        <f>SUM(AD111:AD115)</f>
        <v>5866002.1500000004</v>
      </c>
      <c r="AE116" s="12"/>
      <c r="AF116" s="12">
        <f>SUM(AF111:AF115)</f>
        <v>7192281.1100000003</v>
      </c>
      <c r="AG116" s="20" t="s">
        <v>319</v>
      </c>
      <c r="AH116" s="12">
        <f>SUM(AH111:AH115)</f>
        <v>1327511.46</v>
      </c>
      <c r="AI116" s="12"/>
      <c r="AJ116" s="12">
        <f>SUM(AJ111:AJ115)</f>
        <v>7192281.1100000003</v>
      </c>
      <c r="AK116" s="12"/>
      <c r="AL116" s="12">
        <f>SUM(AL111:AL115)</f>
        <v>-5864769.6500000004</v>
      </c>
      <c r="AM116" s="12"/>
      <c r="AN116" s="13">
        <f t="shared" si="32"/>
        <v>0.18457446805774252</v>
      </c>
      <c r="AO116" s="13"/>
      <c r="AP116" s="14">
        <f t="shared" si="33"/>
        <v>-0.81542553194225742</v>
      </c>
    </row>
    <row r="117" spans="1:42" s="9" customFormat="1" ht="24.95" customHeight="1" x14ac:dyDescent="0.2">
      <c r="A117" s="20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O117" s="12"/>
      <c r="P117" s="10"/>
      <c r="Q117" s="20"/>
      <c r="R117" s="54"/>
      <c r="S117" s="12"/>
      <c r="T117" s="65"/>
      <c r="V117" s="65"/>
      <c r="X117" s="65"/>
      <c r="Z117" s="65"/>
      <c r="AB117" s="65"/>
      <c r="AD117" s="65"/>
      <c r="AF117" s="10"/>
      <c r="AG117" s="20"/>
      <c r="AN117" s="10"/>
      <c r="AO117" s="10"/>
      <c r="AP117" s="14"/>
    </row>
    <row r="118" spans="1:42" s="9" customFormat="1" ht="24.95" customHeight="1" x14ac:dyDescent="0.2">
      <c r="A118" s="27" t="s">
        <v>320</v>
      </c>
      <c r="B118" s="21">
        <f>B116+B108</f>
        <v>58761721.799999997</v>
      </c>
      <c r="C118" s="21"/>
      <c r="D118" s="21">
        <f>D116+D108</f>
        <v>94959.65</v>
      </c>
      <c r="E118" s="21"/>
      <c r="F118" s="21">
        <f>F116+F108</f>
        <v>724328.52</v>
      </c>
      <c r="G118" s="21"/>
      <c r="H118" s="21">
        <f>H116+H108</f>
        <v>449450.7</v>
      </c>
      <c r="I118" s="21"/>
      <c r="J118" s="21">
        <f>J116+J108</f>
        <v>3231589.0700000003</v>
      </c>
      <c r="K118" s="21"/>
      <c r="L118" s="21">
        <f>L116+L108</f>
        <v>356008.46</v>
      </c>
      <c r="M118" s="21"/>
      <c r="N118" s="21">
        <f>N116+N108</f>
        <v>7322.3099999999977</v>
      </c>
      <c r="O118" s="21"/>
      <c r="P118" s="21">
        <f>P116+P108</f>
        <v>63625380.510000005</v>
      </c>
      <c r="Q118" s="27" t="s">
        <v>320</v>
      </c>
      <c r="R118" s="56">
        <f>R116+R108</f>
        <v>39974783.250000007</v>
      </c>
      <c r="S118" s="21"/>
      <c r="T118" s="56">
        <f>T116+T108</f>
        <v>634586.35000000009</v>
      </c>
      <c r="U118" s="21"/>
      <c r="V118" s="56">
        <f>V116+V108</f>
        <v>494744.38</v>
      </c>
      <c r="W118" s="21"/>
      <c r="X118" s="56">
        <f>X116+X108</f>
        <v>300062.65000000002</v>
      </c>
      <c r="Y118" s="21"/>
      <c r="Z118" s="56">
        <f>Z116+Z108</f>
        <v>3243825.91</v>
      </c>
      <c r="AA118" s="21"/>
      <c r="AB118" s="56">
        <f>AB116+AB108</f>
        <v>344892.3</v>
      </c>
      <c r="AC118" s="21"/>
      <c r="AD118" s="56">
        <f>AD116+AD108</f>
        <v>6809219.6300000008</v>
      </c>
      <c r="AE118" s="21"/>
      <c r="AF118" s="21">
        <f>AF116+AF108</f>
        <v>51802114.469999991</v>
      </c>
      <c r="AG118" s="27" t="s">
        <v>320</v>
      </c>
      <c r="AH118" s="21">
        <f>AH108+AH116</f>
        <v>63625380.510000005</v>
      </c>
      <c r="AI118" s="21"/>
      <c r="AJ118" s="21">
        <f>AJ108+AJ116</f>
        <v>51802114.469999991</v>
      </c>
      <c r="AK118" s="21"/>
      <c r="AL118" s="21">
        <f>AL108+AL116</f>
        <v>11823266.039999997</v>
      </c>
      <c r="AM118" s="12"/>
      <c r="AN118" s="13">
        <f>AH118/AJ118</f>
        <v>1.2282390624584869</v>
      </c>
      <c r="AO118" s="13"/>
      <c r="AP118" s="14">
        <f>AN118-1</f>
        <v>0.22823906245848691</v>
      </c>
    </row>
    <row r="119" spans="1:42" s="9" customFormat="1" ht="24.95" customHeight="1" x14ac:dyDescent="0.2">
      <c r="B119" s="12"/>
      <c r="C119" s="12"/>
      <c r="D119" s="12"/>
      <c r="E119" s="12"/>
      <c r="F119" s="12"/>
      <c r="G119" s="12"/>
      <c r="P119" s="10"/>
      <c r="R119" s="65"/>
      <c r="T119" s="65"/>
      <c r="V119" s="65"/>
      <c r="X119" s="65"/>
      <c r="Z119" s="65"/>
      <c r="AB119" s="65"/>
      <c r="AD119" s="65"/>
      <c r="AF119" s="10"/>
      <c r="AN119" s="10"/>
      <c r="AO119" s="10"/>
      <c r="AP119" s="19"/>
    </row>
    <row r="120" spans="1:42" s="9" customFormat="1" ht="24.95" customHeight="1" x14ac:dyDescent="0.2">
      <c r="A120" s="8" t="s">
        <v>160</v>
      </c>
      <c r="B120" s="12"/>
      <c r="C120" s="12"/>
      <c r="D120" s="12"/>
      <c r="E120" s="12"/>
      <c r="F120" s="12"/>
      <c r="G120" s="12"/>
      <c r="P120" s="10"/>
      <c r="Q120" s="8" t="s">
        <v>160</v>
      </c>
      <c r="R120" s="65"/>
      <c r="T120" s="65"/>
      <c r="V120" s="65"/>
      <c r="X120" s="65"/>
      <c r="Z120" s="65"/>
      <c r="AB120" s="65"/>
      <c r="AD120" s="65"/>
      <c r="AF120" s="10"/>
      <c r="AG120" s="8" t="s">
        <v>160</v>
      </c>
      <c r="AN120" s="10"/>
      <c r="AO120" s="10"/>
      <c r="AP120" s="19"/>
    </row>
    <row r="121" spans="1:42" s="9" customFormat="1" ht="24.95" customHeight="1" x14ac:dyDescent="0.2">
      <c r="A121" s="9" t="s">
        <v>321</v>
      </c>
      <c r="B121" s="12">
        <f>CNT!S142</f>
        <v>152325</v>
      </c>
      <c r="C121" s="12"/>
      <c r="D121" s="12">
        <v>0</v>
      </c>
      <c r="E121" s="12"/>
      <c r="F121" s="12">
        <f>DEP!S57</f>
        <v>1000</v>
      </c>
      <c r="G121" s="12"/>
      <c r="H121" s="12">
        <v>0</v>
      </c>
      <c r="I121" s="12"/>
      <c r="J121" s="12">
        <f>BSC!F74</f>
        <v>25000.03</v>
      </c>
      <c r="K121" s="12"/>
      <c r="L121" s="12">
        <v>0</v>
      </c>
      <c r="M121" s="12"/>
      <c r="N121" s="12">
        <v>0</v>
      </c>
      <c r="O121" s="12"/>
      <c r="P121" s="12">
        <f>SUM(B121:N121)</f>
        <v>178325.03</v>
      </c>
      <c r="Q121" s="9" t="s">
        <v>321</v>
      </c>
      <c r="R121" s="54">
        <v>152325</v>
      </c>
      <c r="S121" s="12"/>
      <c r="T121" s="54">
        <v>0</v>
      </c>
      <c r="U121" s="12"/>
      <c r="V121" s="54">
        <v>1000</v>
      </c>
      <c r="W121" s="12"/>
      <c r="X121" s="54">
        <v>0</v>
      </c>
      <c r="Y121" s="12"/>
      <c r="Z121" s="54">
        <v>25000.03</v>
      </c>
      <c r="AA121" s="12"/>
      <c r="AB121" s="54">
        <v>0</v>
      </c>
      <c r="AC121" s="12"/>
      <c r="AD121" s="54">
        <v>0</v>
      </c>
      <c r="AE121" s="12"/>
      <c r="AF121" s="122">
        <f>SUM(R121:AD121)</f>
        <v>178325.03</v>
      </c>
      <c r="AG121" s="9" t="s">
        <v>321</v>
      </c>
      <c r="AH121" s="12">
        <f t="shared" ref="AH121:AH132" si="35">P121</f>
        <v>178325.03</v>
      </c>
      <c r="AI121" s="12"/>
      <c r="AJ121" s="12">
        <f>AF121</f>
        <v>178325.03</v>
      </c>
      <c r="AK121" s="12"/>
      <c r="AL121" s="12">
        <f t="shared" ref="AL121:AL132" si="36">AH121-AJ121</f>
        <v>0</v>
      </c>
      <c r="AM121" s="12"/>
      <c r="AN121" s="13">
        <f t="shared" ref="AN121:AN135" si="37">AH121/AJ121</f>
        <v>1</v>
      </c>
      <c r="AO121" s="13"/>
      <c r="AP121" s="14">
        <f t="shared" ref="AP121:AP135" si="38">AN121-1</f>
        <v>0</v>
      </c>
    </row>
    <row r="122" spans="1:42" s="9" customFormat="1" ht="24.95" customHeight="1" x14ac:dyDescent="0.2">
      <c r="A122" s="9" t="s">
        <v>322</v>
      </c>
      <c r="B122" s="12">
        <f>CNT!S143</f>
        <v>1709758</v>
      </c>
      <c r="C122" s="12"/>
      <c r="D122" s="12">
        <v>0</v>
      </c>
      <c r="E122" s="12"/>
      <c r="F122" s="12">
        <v>0</v>
      </c>
      <c r="G122" s="12"/>
      <c r="H122" s="12">
        <v>0</v>
      </c>
      <c r="I122" s="12"/>
      <c r="J122" s="12">
        <v>0</v>
      </c>
      <c r="K122" s="12"/>
      <c r="L122" s="12">
        <v>0</v>
      </c>
      <c r="M122" s="12"/>
      <c r="N122" s="12">
        <v>0</v>
      </c>
      <c r="O122" s="12"/>
      <c r="P122" s="12">
        <f t="shared" ref="P122:P132" si="39">SUM(B122:N122)</f>
        <v>1709758</v>
      </c>
      <c r="Q122" s="9" t="s">
        <v>322</v>
      </c>
      <c r="R122" s="54">
        <v>1709758</v>
      </c>
      <c r="S122" s="12"/>
      <c r="T122" s="54">
        <v>0</v>
      </c>
      <c r="U122" s="12"/>
      <c r="V122" s="54">
        <v>0</v>
      </c>
      <c r="W122" s="12"/>
      <c r="X122" s="54">
        <v>0</v>
      </c>
      <c r="Y122" s="12"/>
      <c r="Z122" s="54">
        <v>0</v>
      </c>
      <c r="AA122" s="12"/>
      <c r="AB122" s="54">
        <v>0</v>
      </c>
      <c r="AC122" s="12"/>
      <c r="AD122" s="54">
        <v>0</v>
      </c>
      <c r="AE122" s="12"/>
      <c r="AF122" s="122">
        <f t="shared" ref="AF122:AF132" si="40">SUM(R122:AD122)</f>
        <v>1709758</v>
      </c>
      <c r="AG122" s="9" t="s">
        <v>322</v>
      </c>
      <c r="AH122" s="12">
        <f t="shared" si="35"/>
        <v>1709758</v>
      </c>
      <c r="AI122" s="12"/>
      <c r="AJ122" s="12">
        <f t="shared" ref="AJ122:AJ132" si="41">AF122</f>
        <v>1709758</v>
      </c>
      <c r="AK122" s="12"/>
      <c r="AL122" s="12">
        <f t="shared" si="36"/>
        <v>0</v>
      </c>
      <c r="AM122" s="12"/>
      <c r="AN122" s="13">
        <f t="shared" si="37"/>
        <v>1</v>
      </c>
      <c r="AO122" s="13"/>
      <c r="AP122" s="14">
        <f t="shared" si="38"/>
        <v>0</v>
      </c>
    </row>
    <row r="123" spans="1:42" s="9" customFormat="1" ht="24.95" customHeight="1" x14ac:dyDescent="0.2">
      <c r="A123" s="9" t="s">
        <v>323</v>
      </c>
      <c r="B123" s="12">
        <f>CNT!S144</f>
        <v>4737181.4800000004</v>
      </c>
      <c r="C123" s="12"/>
      <c r="D123" s="12">
        <f>BPM!S57</f>
        <v>13131.73</v>
      </c>
      <c r="E123" s="12"/>
      <c r="F123" s="12">
        <f>DEP!S58</f>
        <v>833807.64</v>
      </c>
      <c r="G123" s="12"/>
      <c r="H123" s="12">
        <f>Lending!F42</f>
        <v>11962.27</v>
      </c>
      <c r="I123" s="12"/>
      <c r="J123" s="12">
        <f>BSC!F76</f>
        <v>47664.52</v>
      </c>
      <c r="K123" s="12"/>
      <c r="L123" s="12">
        <f>'Oliari Co'!F91</f>
        <v>50343.67</v>
      </c>
      <c r="M123" s="12"/>
      <c r="N123" s="12">
        <f>'722 Bedford St'!E68</f>
        <v>58548.25</v>
      </c>
      <c r="O123" s="12"/>
      <c r="P123" s="12">
        <f t="shared" si="39"/>
        <v>5752639.5599999996</v>
      </c>
      <c r="Q123" s="9" t="s">
        <v>323</v>
      </c>
      <c r="R123" s="54">
        <v>120995.67</v>
      </c>
      <c r="S123" s="12"/>
      <c r="T123" s="54">
        <v>-46962.239999999998</v>
      </c>
      <c r="U123" s="12"/>
      <c r="V123" s="54">
        <v>319613.15999999997</v>
      </c>
      <c r="W123" s="12"/>
      <c r="X123" s="54">
        <v>8060.55</v>
      </c>
      <c r="Y123" s="12"/>
      <c r="Z123" s="54">
        <v>100148.87</v>
      </c>
      <c r="AA123" s="12"/>
      <c r="AB123" s="54">
        <v>49005.53</v>
      </c>
      <c r="AC123" s="12"/>
      <c r="AD123" s="54">
        <v>3770.77</v>
      </c>
      <c r="AE123" s="12"/>
      <c r="AF123" s="122">
        <f t="shared" si="40"/>
        <v>554632.30999999994</v>
      </c>
      <c r="AG123" s="9" t="s">
        <v>323</v>
      </c>
      <c r="AH123" s="12">
        <f t="shared" si="35"/>
        <v>5752639.5599999996</v>
      </c>
      <c r="AI123" s="12"/>
      <c r="AJ123" s="12">
        <f t="shared" si="41"/>
        <v>554632.30999999994</v>
      </c>
      <c r="AK123" s="12"/>
      <c r="AL123" s="12">
        <f t="shared" si="36"/>
        <v>5198007.25</v>
      </c>
      <c r="AM123" s="12"/>
      <c r="AN123" s="13">
        <f t="shared" si="37"/>
        <v>10.371987812971083</v>
      </c>
      <c r="AO123" s="13"/>
      <c r="AP123" s="13">
        <f t="shared" si="38"/>
        <v>9.3719878129710832</v>
      </c>
    </row>
    <row r="124" spans="1:42" s="9" customFormat="1" ht="24.95" customHeight="1" x14ac:dyDescent="0.2">
      <c r="A124" s="9" t="s">
        <v>324</v>
      </c>
      <c r="B124" s="12">
        <f>CNT!S145</f>
        <v>-51086.91</v>
      </c>
      <c r="C124" s="12"/>
      <c r="D124" s="12">
        <f>BPM!S58</f>
        <v>380826.51</v>
      </c>
      <c r="E124" s="12"/>
      <c r="F124" s="12">
        <f>DEP!S59</f>
        <v>0</v>
      </c>
      <c r="G124" s="12"/>
      <c r="H124" s="12">
        <f>Lending!F41</f>
        <v>425392.02</v>
      </c>
      <c r="I124" s="12"/>
      <c r="J124" s="12">
        <f>BSC!F75</f>
        <v>-1189372.3600000001</v>
      </c>
      <c r="K124" s="12"/>
      <c r="L124" s="12">
        <f>'Oliari Co'!F77+'Oliari Co'!F84+'Oliari Co'!F85+'Oliari Co'!F90</f>
        <v>5029784.25</v>
      </c>
      <c r="M124" s="12"/>
      <c r="N124" s="12">
        <f>'722 Bedford St'!E63+'722 Bedford St'!E64+'722 Bedford St'!E65+'722 Bedford St'!E66+'722 Bedford St'!E67</f>
        <v>2152258.9300000002</v>
      </c>
      <c r="O124" s="12"/>
      <c r="P124" s="12">
        <f t="shared" si="39"/>
        <v>6747802.4399999995</v>
      </c>
      <c r="Q124" s="9" t="s">
        <v>324</v>
      </c>
      <c r="R124" s="54">
        <v>9444105.0399999991</v>
      </c>
      <c r="S124" s="12"/>
      <c r="T124" s="54">
        <v>2285317.17</v>
      </c>
      <c r="U124" s="12"/>
      <c r="V124" s="54">
        <v>0</v>
      </c>
      <c r="W124" s="12"/>
      <c r="X124" s="54">
        <v>390997.51</v>
      </c>
      <c r="Y124" s="12"/>
      <c r="Z124" s="54">
        <v>-1194103.1399999999</v>
      </c>
      <c r="AA124" s="12"/>
      <c r="AB124" s="54">
        <v>4833163.25</v>
      </c>
      <c r="AC124" s="12"/>
      <c r="AD124" s="54">
        <v>1442724.1400000001</v>
      </c>
      <c r="AE124" s="12"/>
      <c r="AF124" s="122">
        <f t="shared" si="40"/>
        <v>17202203.969999999</v>
      </c>
      <c r="AG124" s="9" t="s">
        <v>324</v>
      </c>
      <c r="AH124" s="12">
        <f t="shared" si="35"/>
        <v>6747802.4399999995</v>
      </c>
      <c r="AI124" s="12"/>
      <c r="AJ124" s="12">
        <f t="shared" si="41"/>
        <v>17202203.969999999</v>
      </c>
      <c r="AK124" s="12"/>
      <c r="AL124" s="12">
        <f t="shared" si="36"/>
        <v>-10454401.529999999</v>
      </c>
      <c r="AM124" s="12"/>
      <c r="AN124" s="13">
        <f t="shared" si="37"/>
        <v>0.39226383152809458</v>
      </c>
      <c r="AO124" s="13"/>
      <c r="AP124" s="14">
        <f t="shared" si="38"/>
        <v>-0.60773616847190537</v>
      </c>
    </row>
    <row r="125" spans="1:42" s="9" customFormat="1" ht="24.95" customHeight="1" x14ac:dyDescent="0.2">
      <c r="A125" s="9" t="s">
        <v>548</v>
      </c>
      <c r="B125" s="12">
        <f>CNT!S146</f>
        <v>0</v>
      </c>
      <c r="C125" s="12"/>
      <c r="D125" s="12">
        <v>0</v>
      </c>
      <c r="E125" s="12"/>
      <c r="F125" s="12">
        <f>DEP!S60+DEP!S61+DEP!S62+DEP!S63+DEP!S64</f>
        <v>6646143.8700000001</v>
      </c>
      <c r="G125" s="12"/>
      <c r="H125" s="12">
        <v>0</v>
      </c>
      <c r="I125" s="12"/>
      <c r="J125" s="12">
        <v>0</v>
      </c>
      <c r="K125" s="12"/>
      <c r="L125" s="12">
        <v>0</v>
      </c>
      <c r="M125" s="12"/>
      <c r="N125" s="12">
        <f>'722 Bedford St'!E57+'722 Bedford St'!E58+'722 Bedford St'!E59+'722 Bedford St'!E60+'722 Bedford St'!E61+'722 Bedford St'!E62</f>
        <v>6126127.2300000004</v>
      </c>
      <c r="O125" s="12"/>
      <c r="P125" s="12">
        <f t="shared" si="39"/>
        <v>12772271.100000001</v>
      </c>
      <c r="Q125" s="9" t="s">
        <v>548</v>
      </c>
      <c r="R125" s="54">
        <v>0</v>
      </c>
      <c r="S125" s="12"/>
      <c r="T125" s="54">
        <v>0</v>
      </c>
      <c r="U125" s="12"/>
      <c r="V125" s="54">
        <v>4996824.41</v>
      </c>
      <c r="W125" s="12"/>
      <c r="X125" s="54">
        <v>0</v>
      </c>
      <c r="Y125" s="12"/>
      <c r="Z125" s="54">
        <v>0</v>
      </c>
      <c r="AA125" s="12"/>
      <c r="AB125" s="54">
        <v>0</v>
      </c>
      <c r="AC125" s="12"/>
      <c r="AD125" s="54">
        <v>0</v>
      </c>
      <c r="AE125" s="12"/>
      <c r="AF125" s="122">
        <f t="shared" si="40"/>
        <v>4996824.41</v>
      </c>
      <c r="AG125" s="9" t="s">
        <v>548</v>
      </c>
      <c r="AH125" s="12">
        <f t="shared" si="35"/>
        <v>12772271.100000001</v>
      </c>
      <c r="AI125" s="12"/>
      <c r="AJ125" s="12">
        <f>AF125</f>
        <v>4996824.41</v>
      </c>
      <c r="AK125" s="12"/>
      <c r="AL125" s="12">
        <f t="shared" si="36"/>
        <v>7775446.6900000013</v>
      </c>
      <c r="AM125" s="12"/>
      <c r="AN125" s="13">
        <v>0</v>
      </c>
      <c r="AO125" s="13"/>
      <c r="AP125" s="14">
        <f>AN125-1</f>
        <v>-1</v>
      </c>
    </row>
    <row r="126" spans="1:42" s="9" customFormat="1" ht="24.95" customHeight="1" x14ac:dyDescent="0.2">
      <c r="A126" s="9" t="s">
        <v>325</v>
      </c>
      <c r="B126" s="12">
        <f>CNT!S147</f>
        <v>0</v>
      </c>
      <c r="C126" s="12"/>
      <c r="D126" s="12">
        <v>0</v>
      </c>
      <c r="E126" s="12"/>
      <c r="F126" s="12">
        <v>0</v>
      </c>
      <c r="G126" s="12"/>
      <c r="H126" s="12">
        <v>0</v>
      </c>
      <c r="I126" s="12"/>
      <c r="J126" s="12">
        <v>0</v>
      </c>
      <c r="K126" s="12"/>
      <c r="L126" s="12">
        <v>0</v>
      </c>
      <c r="M126" s="12"/>
      <c r="N126" s="12">
        <v>0</v>
      </c>
      <c r="O126" s="12"/>
      <c r="P126" s="12">
        <f t="shared" si="39"/>
        <v>0</v>
      </c>
      <c r="Q126" s="9" t="s">
        <v>325</v>
      </c>
      <c r="R126" s="54">
        <v>0</v>
      </c>
      <c r="S126" s="12"/>
      <c r="T126" s="54">
        <v>0</v>
      </c>
      <c r="U126" s="12"/>
      <c r="V126" s="54">
        <v>0</v>
      </c>
      <c r="W126" s="12"/>
      <c r="X126" s="54">
        <v>0</v>
      </c>
      <c r="Y126" s="12"/>
      <c r="Z126" s="54">
        <v>0</v>
      </c>
      <c r="AA126" s="12"/>
      <c r="AB126" s="54">
        <v>0</v>
      </c>
      <c r="AC126" s="12"/>
      <c r="AD126" s="54">
        <v>0</v>
      </c>
      <c r="AE126" s="12"/>
      <c r="AF126" s="122">
        <f t="shared" si="40"/>
        <v>0</v>
      </c>
      <c r="AG126" s="9" t="s">
        <v>325</v>
      </c>
      <c r="AH126" s="12">
        <f t="shared" si="35"/>
        <v>0</v>
      </c>
      <c r="AI126" s="12"/>
      <c r="AJ126" s="12">
        <f t="shared" si="41"/>
        <v>0</v>
      </c>
      <c r="AK126" s="12"/>
      <c r="AL126" s="12">
        <f t="shared" si="36"/>
        <v>0</v>
      </c>
      <c r="AM126" s="12"/>
      <c r="AN126" s="13" t="e">
        <f t="shared" si="37"/>
        <v>#DIV/0!</v>
      </c>
      <c r="AO126" s="13"/>
      <c r="AP126" s="14" t="e">
        <f t="shared" si="38"/>
        <v>#DIV/0!</v>
      </c>
    </row>
    <row r="127" spans="1:42" s="9" customFormat="1" ht="24.95" customHeight="1" x14ac:dyDescent="0.2">
      <c r="A127" s="9" t="s">
        <v>326</v>
      </c>
      <c r="B127" s="12">
        <f>CNT!S151</f>
        <v>0</v>
      </c>
      <c r="C127" s="12"/>
      <c r="D127" s="12">
        <v>0</v>
      </c>
      <c r="E127" s="12"/>
      <c r="F127" s="12">
        <v>0</v>
      </c>
      <c r="G127" s="12"/>
      <c r="H127" s="12">
        <v>0</v>
      </c>
      <c r="I127" s="12"/>
      <c r="J127" s="12">
        <v>0</v>
      </c>
      <c r="K127" s="12"/>
      <c r="L127" s="12">
        <v>0</v>
      </c>
      <c r="M127" s="12"/>
      <c r="N127" s="12">
        <v>0</v>
      </c>
      <c r="O127" s="12"/>
      <c r="P127" s="12">
        <f t="shared" si="39"/>
        <v>0</v>
      </c>
      <c r="Q127" s="9" t="s">
        <v>326</v>
      </c>
      <c r="R127" s="54">
        <v>0</v>
      </c>
      <c r="S127" s="12"/>
      <c r="T127" s="54">
        <v>0</v>
      </c>
      <c r="U127" s="12"/>
      <c r="V127" s="54">
        <v>0</v>
      </c>
      <c r="W127" s="12"/>
      <c r="X127" s="54">
        <v>0</v>
      </c>
      <c r="Y127" s="12"/>
      <c r="Z127" s="54">
        <v>0</v>
      </c>
      <c r="AA127" s="12"/>
      <c r="AB127" s="54">
        <v>0</v>
      </c>
      <c r="AC127" s="12"/>
      <c r="AD127" s="54">
        <v>0</v>
      </c>
      <c r="AE127" s="12"/>
      <c r="AF127" s="122">
        <f t="shared" si="40"/>
        <v>0</v>
      </c>
      <c r="AG127" s="9" t="s">
        <v>326</v>
      </c>
      <c r="AH127" s="12">
        <f t="shared" si="35"/>
        <v>0</v>
      </c>
      <c r="AI127" s="12"/>
      <c r="AJ127" s="12">
        <f t="shared" si="41"/>
        <v>0</v>
      </c>
      <c r="AK127" s="12"/>
      <c r="AL127" s="12">
        <f t="shared" si="36"/>
        <v>0</v>
      </c>
      <c r="AM127" s="12"/>
      <c r="AN127" s="13" t="e">
        <f t="shared" si="37"/>
        <v>#DIV/0!</v>
      </c>
      <c r="AO127" s="13"/>
      <c r="AP127" s="14" t="e">
        <f t="shared" si="38"/>
        <v>#DIV/0!</v>
      </c>
    </row>
    <row r="128" spans="1:42" s="9" customFormat="1" ht="24.95" customHeight="1" x14ac:dyDescent="0.2">
      <c r="A128" s="9" t="s">
        <v>327</v>
      </c>
      <c r="B128" s="12">
        <v>0</v>
      </c>
      <c r="C128" s="12"/>
      <c r="D128" s="12">
        <f>BPM!S59</f>
        <v>0</v>
      </c>
      <c r="E128" s="12"/>
      <c r="F128" s="12">
        <v>0</v>
      </c>
      <c r="G128" s="12"/>
      <c r="H128" s="12">
        <v>0</v>
      </c>
      <c r="I128" s="12"/>
      <c r="J128" s="12">
        <v>0</v>
      </c>
      <c r="K128" s="12"/>
      <c r="L128" s="12">
        <v>0</v>
      </c>
      <c r="M128" s="12"/>
      <c r="N128" s="12">
        <v>0</v>
      </c>
      <c r="O128" s="12"/>
      <c r="P128" s="12">
        <f t="shared" si="39"/>
        <v>0</v>
      </c>
      <c r="Q128" s="9" t="s">
        <v>327</v>
      </c>
      <c r="R128" s="54">
        <v>0</v>
      </c>
      <c r="S128" s="12"/>
      <c r="T128" s="54">
        <v>0</v>
      </c>
      <c r="U128" s="12"/>
      <c r="V128" s="54">
        <v>0</v>
      </c>
      <c r="W128" s="12"/>
      <c r="X128" s="54">
        <v>0</v>
      </c>
      <c r="Y128" s="12"/>
      <c r="Z128" s="54">
        <v>0</v>
      </c>
      <c r="AA128" s="12"/>
      <c r="AB128" s="54">
        <v>0</v>
      </c>
      <c r="AC128" s="12"/>
      <c r="AD128" s="54">
        <v>0</v>
      </c>
      <c r="AE128" s="12"/>
      <c r="AF128" s="122">
        <f t="shared" si="40"/>
        <v>0</v>
      </c>
      <c r="AG128" s="9" t="s">
        <v>327</v>
      </c>
      <c r="AH128" s="12">
        <f t="shared" si="35"/>
        <v>0</v>
      </c>
      <c r="AI128" s="12"/>
      <c r="AJ128" s="12">
        <f t="shared" si="41"/>
        <v>0</v>
      </c>
      <c r="AK128" s="12"/>
      <c r="AL128" s="12">
        <f t="shared" si="36"/>
        <v>0</v>
      </c>
      <c r="AM128" s="12"/>
      <c r="AN128" s="13" t="e">
        <f t="shared" si="37"/>
        <v>#DIV/0!</v>
      </c>
      <c r="AO128" s="13"/>
      <c r="AP128" s="14" t="e">
        <f t="shared" si="38"/>
        <v>#DIV/0!</v>
      </c>
    </row>
    <row r="129" spans="1:42" s="9" customFormat="1" ht="24.95" customHeight="1" x14ac:dyDescent="0.2">
      <c r="A129" s="9" t="s">
        <v>332</v>
      </c>
      <c r="B129" s="12">
        <v>0</v>
      </c>
      <c r="C129" s="12"/>
      <c r="D129" s="12">
        <f>BPM!S63</f>
        <v>0</v>
      </c>
      <c r="E129" s="12"/>
      <c r="F129" s="12">
        <v>0</v>
      </c>
      <c r="G129" s="12"/>
      <c r="H129" s="12">
        <v>0</v>
      </c>
      <c r="I129" s="12"/>
      <c r="J129" s="12">
        <v>0</v>
      </c>
      <c r="K129" s="12"/>
      <c r="L129" s="12">
        <v>0</v>
      </c>
      <c r="M129" s="12"/>
      <c r="N129" s="12">
        <v>0</v>
      </c>
      <c r="O129" s="12"/>
      <c r="P129" s="12">
        <f t="shared" si="39"/>
        <v>0</v>
      </c>
      <c r="Q129" s="9" t="s">
        <v>332</v>
      </c>
      <c r="R129" s="54">
        <v>0</v>
      </c>
      <c r="S129" s="12"/>
      <c r="T129" s="54">
        <v>0</v>
      </c>
      <c r="U129" s="12"/>
      <c r="V129" s="54">
        <v>0</v>
      </c>
      <c r="W129" s="12"/>
      <c r="X129" s="54">
        <v>0</v>
      </c>
      <c r="Y129" s="12"/>
      <c r="Z129" s="54">
        <v>0</v>
      </c>
      <c r="AA129" s="12"/>
      <c r="AB129" s="54">
        <v>0</v>
      </c>
      <c r="AC129" s="12"/>
      <c r="AD129" s="54">
        <v>0</v>
      </c>
      <c r="AE129" s="12"/>
      <c r="AF129" s="122">
        <f t="shared" si="40"/>
        <v>0</v>
      </c>
      <c r="AG129" s="9" t="s">
        <v>332</v>
      </c>
      <c r="AH129" s="12">
        <f t="shared" si="35"/>
        <v>0</v>
      </c>
      <c r="AI129" s="12"/>
      <c r="AJ129" s="12">
        <f t="shared" si="41"/>
        <v>0</v>
      </c>
      <c r="AK129" s="12"/>
      <c r="AL129" s="12">
        <f t="shared" si="36"/>
        <v>0</v>
      </c>
      <c r="AM129" s="12"/>
      <c r="AN129" s="13" t="e">
        <f t="shared" si="37"/>
        <v>#DIV/0!</v>
      </c>
      <c r="AO129" s="13"/>
      <c r="AP129" s="14" t="e">
        <f t="shared" si="38"/>
        <v>#DIV/0!</v>
      </c>
    </row>
    <row r="130" spans="1:42" s="9" customFormat="1" ht="24.95" customHeight="1" x14ac:dyDescent="0.2">
      <c r="A130" s="9" t="s">
        <v>328</v>
      </c>
      <c r="B130" s="12">
        <f>CNT!S148</f>
        <v>-6000</v>
      </c>
      <c r="C130" s="12"/>
      <c r="D130" s="12">
        <f>BPM!S60</f>
        <v>0</v>
      </c>
      <c r="E130" s="12"/>
      <c r="F130" s="12">
        <v>0</v>
      </c>
      <c r="G130" s="12"/>
      <c r="H130" s="12">
        <v>0</v>
      </c>
      <c r="I130" s="12"/>
      <c r="J130" s="12">
        <v>0</v>
      </c>
      <c r="K130" s="12"/>
      <c r="L130" s="12">
        <f>'Oliari Co'!F88</f>
        <v>0</v>
      </c>
      <c r="M130" s="12"/>
      <c r="N130" s="12">
        <v>0</v>
      </c>
      <c r="O130" s="12"/>
      <c r="P130" s="12">
        <f t="shared" si="39"/>
        <v>-6000</v>
      </c>
      <c r="Q130" s="9" t="s">
        <v>328</v>
      </c>
      <c r="R130" s="54">
        <v>0</v>
      </c>
      <c r="S130" s="12"/>
      <c r="T130" s="54">
        <v>0</v>
      </c>
      <c r="U130" s="12"/>
      <c r="V130" s="54">
        <v>0</v>
      </c>
      <c r="W130" s="12"/>
      <c r="X130" s="54">
        <v>0</v>
      </c>
      <c r="Y130" s="12"/>
      <c r="Z130" s="54">
        <v>0</v>
      </c>
      <c r="AA130" s="12"/>
      <c r="AB130" s="54">
        <v>0</v>
      </c>
      <c r="AC130" s="12"/>
      <c r="AD130" s="54">
        <v>0</v>
      </c>
      <c r="AE130" s="12"/>
      <c r="AF130" s="122">
        <f t="shared" si="40"/>
        <v>0</v>
      </c>
      <c r="AG130" s="9" t="s">
        <v>328</v>
      </c>
      <c r="AH130" s="12">
        <f t="shared" si="35"/>
        <v>-6000</v>
      </c>
      <c r="AI130" s="12"/>
      <c r="AJ130" s="12">
        <f t="shared" si="41"/>
        <v>0</v>
      </c>
      <c r="AK130" s="12"/>
      <c r="AL130" s="12">
        <f t="shared" si="36"/>
        <v>-6000</v>
      </c>
      <c r="AM130" s="12"/>
      <c r="AN130" s="13" t="e">
        <f t="shared" si="37"/>
        <v>#DIV/0!</v>
      </c>
      <c r="AO130" s="13"/>
      <c r="AP130" s="14" t="e">
        <f t="shared" si="38"/>
        <v>#DIV/0!</v>
      </c>
    </row>
    <row r="131" spans="1:42" s="9" customFormat="1" ht="24.95" customHeight="1" x14ac:dyDescent="0.2">
      <c r="A131" s="9" t="s">
        <v>329</v>
      </c>
      <c r="B131" s="12">
        <f>CNT!S149</f>
        <v>-6000</v>
      </c>
      <c r="C131" s="12"/>
      <c r="D131" s="12">
        <f>BPM!S61</f>
        <v>0</v>
      </c>
      <c r="E131" s="12"/>
      <c r="F131" s="12">
        <v>0</v>
      </c>
      <c r="G131" s="12"/>
      <c r="H131" s="12">
        <v>0</v>
      </c>
      <c r="I131" s="12"/>
      <c r="J131" s="12">
        <v>0</v>
      </c>
      <c r="K131" s="12"/>
      <c r="L131" s="12">
        <f>'Oliari Co'!F87</f>
        <v>0</v>
      </c>
      <c r="M131" s="12"/>
      <c r="N131" s="12">
        <v>0</v>
      </c>
      <c r="O131" s="12"/>
      <c r="P131" s="12">
        <f t="shared" si="39"/>
        <v>-6000</v>
      </c>
      <c r="Q131" s="9" t="s">
        <v>329</v>
      </c>
      <c r="R131" s="54">
        <v>0</v>
      </c>
      <c r="S131" s="12"/>
      <c r="T131" s="54">
        <v>0</v>
      </c>
      <c r="U131" s="12"/>
      <c r="V131" s="54">
        <v>0</v>
      </c>
      <c r="W131" s="12"/>
      <c r="X131" s="54">
        <v>0</v>
      </c>
      <c r="Y131" s="12"/>
      <c r="Z131" s="54">
        <v>0</v>
      </c>
      <c r="AA131" s="12"/>
      <c r="AB131" s="54">
        <v>0</v>
      </c>
      <c r="AC131" s="12"/>
      <c r="AD131" s="54">
        <v>0</v>
      </c>
      <c r="AE131" s="12"/>
      <c r="AF131" s="122">
        <f t="shared" si="40"/>
        <v>0</v>
      </c>
      <c r="AG131" s="9" t="s">
        <v>329</v>
      </c>
      <c r="AH131" s="12">
        <f t="shared" si="35"/>
        <v>-6000</v>
      </c>
      <c r="AI131" s="12"/>
      <c r="AJ131" s="12">
        <f t="shared" si="41"/>
        <v>0</v>
      </c>
      <c r="AK131" s="12"/>
      <c r="AL131" s="12">
        <f t="shared" si="36"/>
        <v>-6000</v>
      </c>
      <c r="AM131" s="12"/>
      <c r="AN131" s="13" t="e">
        <f t="shared" si="37"/>
        <v>#DIV/0!</v>
      </c>
      <c r="AO131" s="13"/>
      <c r="AP131" s="14" t="e">
        <f t="shared" si="38"/>
        <v>#DIV/0!</v>
      </c>
    </row>
    <row r="132" spans="1:42" s="9" customFormat="1" ht="24.95" customHeight="1" x14ac:dyDescent="0.2">
      <c r="A132" s="9" t="s">
        <v>330</v>
      </c>
      <c r="B132" s="16">
        <f>CNT!S150</f>
        <v>-6000</v>
      </c>
      <c r="C132" s="16"/>
      <c r="D132" s="16">
        <f>BPM!S62</f>
        <v>0</v>
      </c>
      <c r="E132" s="16"/>
      <c r="F132" s="16">
        <v>0</v>
      </c>
      <c r="G132" s="16"/>
      <c r="H132" s="16">
        <v>0</v>
      </c>
      <c r="I132" s="16"/>
      <c r="J132" s="16">
        <v>0</v>
      </c>
      <c r="K132" s="16"/>
      <c r="L132" s="16">
        <f>'Oliari Co'!F89</f>
        <v>0</v>
      </c>
      <c r="M132" s="16"/>
      <c r="N132" s="16">
        <v>0</v>
      </c>
      <c r="O132" s="16"/>
      <c r="P132" s="16">
        <f t="shared" si="39"/>
        <v>-6000</v>
      </c>
      <c r="Q132" s="9" t="s">
        <v>330</v>
      </c>
      <c r="R132" s="55">
        <v>0</v>
      </c>
      <c r="S132" s="16"/>
      <c r="T132" s="55">
        <v>0</v>
      </c>
      <c r="U132" s="16"/>
      <c r="V132" s="55">
        <v>0</v>
      </c>
      <c r="W132" s="16"/>
      <c r="X132" s="55">
        <v>0</v>
      </c>
      <c r="Y132" s="16"/>
      <c r="Z132" s="55">
        <v>0</v>
      </c>
      <c r="AA132" s="16"/>
      <c r="AB132" s="55">
        <v>0</v>
      </c>
      <c r="AC132" s="16"/>
      <c r="AD132" s="55">
        <v>0</v>
      </c>
      <c r="AE132" s="16"/>
      <c r="AF132" s="16">
        <f t="shared" si="40"/>
        <v>0</v>
      </c>
      <c r="AG132" s="9" t="s">
        <v>330</v>
      </c>
      <c r="AH132" s="16">
        <f t="shared" si="35"/>
        <v>-6000</v>
      </c>
      <c r="AI132" s="16"/>
      <c r="AJ132" s="16">
        <f t="shared" si="41"/>
        <v>0</v>
      </c>
      <c r="AK132" s="16"/>
      <c r="AL132" s="16">
        <f t="shared" si="36"/>
        <v>-6000</v>
      </c>
      <c r="AM132" s="12"/>
      <c r="AN132" s="13" t="e">
        <f t="shared" si="37"/>
        <v>#DIV/0!</v>
      </c>
      <c r="AO132" s="13"/>
      <c r="AP132" s="14" t="e">
        <f t="shared" si="38"/>
        <v>#DIV/0!</v>
      </c>
    </row>
    <row r="133" spans="1:42" s="9" customFormat="1" ht="24.95" customHeight="1" x14ac:dyDescent="0.2">
      <c r="A133" s="27" t="s">
        <v>331</v>
      </c>
      <c r="B133" s="12">
        <f>SUM(B121:B132)</f>
        <v>6530177.5700000003</v>
      </c>
      <c r="C133" s="12"/>
      <c r="D133" s="12">
        <f>SUM(D121:D132)</f>
        <v>393958.24</v>
      </c>
      <c r="E133" s="12"/>
      <c r="F133" s="12">
        <f>SUM(F121:F132)</f>
        <v>7480951.5099999998</v>
      </c>
      <c r="G133" s="12"/>
      <c r="H133" s="12">
        <f>SUM(H121:H132)</f>
        <v>437354.29000000004</v>
      </c>
      <c r="I133" s="12"/>
      <c r="J133" s="12">
        <f>SUM(J121:J132)</f>
        <v>-1116707.81</v>
      </c>
      <c r="K133" s="12"/>
      <c r="L133" s="12">
        <f>SUM(L121:L132)</f>
        <v>5080127.92</v>
      </c>
      <c r="M133" s="12"/>
      <c r="N133" s="12">
        <f>SUM(N121:N132)</f>
        <v>8336934.4100000001</v>
      </c>
      <c r="O133" s="12"/>
      <c r="P133" s="12">
        <f>SUM(P121:P132)</f>
        <v>27142796.130000003</v>
      </c>
      <c r="Q133" s="27" t="s">
        <v>331</v>
      </c>
      <c r="R133" s="54">
        <f>SUM(R121:R132)</f>
        <v>11427183.709999999</v>
      </c>
      <c r="S133" s="12"/>
      <c r="T133" s="54">
        <f>SUM(T121:T132)</f>
        <v>2238354.9299999997</v>
      </c>
      <c r="U133" s="12"/>
      <c r="V133" s="54">
        <f>SUM(V121:V132)</f>
        <v>5317437.57</v>
      </c>
      <c r="W133" s="12"/>
      <c r="X133" s="54">
        <f>SUM(X121:X132)</f>
        <v>399058.06</v>
      </c>
      <c r="Y133" s="12"/>
      <c r="Z133" s="54">
        <f>SUM(Z121:Z132)</f>
        <v>-1068954.24</v>
      </c>
      <c r="AA133" s="12"/>
      <c r="AB133" s="54">
        <f>SUM(AB121:AB132)</f>
        <v>4882168.78</v>
      </c>
      <c r="AC133" s="12"/>
      <c r="AD133" s="54">
        <f>SUM(AD121:AD132)</f>
        <v>1446494.9100000001</v>
      </c>
      <c r="AE133" s="12"/>
      <c r="AF133" s="12">
        <f>SUM(AF121:AF132)</f>
        <v>24641743.719999999</v>
      </c>
      <c r="AG133" s="27" t="s">
        <v>331</v>
      </c>
      <c r="AH133" s="22">
        <f>SUM(AH121:AH132)</f>
        <v>27142796.130000003</v>
      </c>
      <c r="AI133" s="22"/>
      <c r="AJ133" s="22">
        <f>SUM(AJ121:AJ132)</f>
        <v>24641743.719999999</v>
      </c>
      <c r="AK133" s="22"/>
      <c r="AL133" s="22">
        <f>SUM(AL121:AL132)</f>
        <v>2501052.410000002</v>
      </c>
      <c r="AM133" s="22"/>
      <c r="AN133" s="13">
        <f t="shared" si="37"/>
        <v>1.10149656771124</v>
      </c>
      <c r="AO133" s="13"/>
      <c r="AP133" s="14">
        <f t="shared" si="38"/>
        <v>0.10149656771124005</v>
      </c>
    </row>
    <row r="134" spans="1:42" s="9" customFormat="1" ht="24.95" customHeight="1" x14ac:dyDescent="0.2">
      <c r="B134" s="12"/>
      <c r="C134" s="12"/>
      <c r="D134" s="12"/>
      <c r="E134" s="12"/>
      <c r="F134" s="12"/>
      <c r="G134" s="12"/>
      <c r="P134" s="10"/>
      <c r="R134" s="65"/>
      <c r="T134" s="65"/>
      <c r="V134" s="65"/>
      <c r="X134" s="65"/>
      <c r="Z134" s="65"/>
      <c r="AB134" s="65"/>
      <c r="AD134" s="65"/>
      <c r="AF134" s="10"/>
      <c r="AN134" s="13"/>
      <c r="AO134" s="13"/>
      <c r="AP134" s="19"/>
    </row>
    <row r="135" spans="1:42" s="9" customFormat="1" ht="24.95" customHeight="1" thickBot="1" x14ac:dyDescent="0.25">
      <c r="A135" s="8" t="s">
        <v>333</v>
      </c>
      <c r="B135" s="23">
        <f>SUM(B133,B116,B108)</f>
        <v>65291899.369999997</v>
      </c>
      <c r="C135" s="23"/>
      <c r="D135" s="23">
        <f>SUM(D133,D116,D108)</f>
        <v>488917.89</v>
      </c>
      <c r="E135" s="23"/>
      <c r="F135" s="23">
        <f>SUM(F133,F116,F108)</f>
        <v>8205280.0299999993</v>
      </c>
      <c r="G135" s="23"/>
      <c r="H135" s="23">
        <f>SUM(H133,H116,H108)</f>
        <v>886804.99</v>
      </c>
      <c r="I135" s="23"/>
      <c r="J135" s="23">
        <f>SUM(J133,J116,J108)</f>
        <v>2114881.2599999998</v>
      </c>
      <c r="K135" s="23"/>
      <c r="L135" s="23">
        <f>SUM(L133,L116,L108)</f>
        <v>5436136.3799999999</v>
      </c>
      <c r="M135" s="23"/>
      <c r="N135" s="23">
        <f>SUM(N133,N116,N108)</f>
        <v>8344256.7199999997</v>
      </c>
      <c r="O135" s="23"/>
      <c r="P135" s="23">
        <f>SUM(P133,P116,P108)</f>
        <v>90768176.640000015</v>
      </c>
      <c r="Q135" s="8" t="s">
        <v>333</v>
      </c>
      <c r="R135" s="57">
        <f>SUM(R133,R116,R108)</f>
        <v>51401966.960000008</v>
      </c>
      <c r="S135" s="23"/>
      <c r="T135" s="57">
        <f>SUM(T133,T116,T108)</f>
        <v>2872941.28</v>
      </c>
      <c r="U135" s="23"/>
      <c r="V135" s="57">
        <f>SUM(V133,V116,V108)</f>
        <v>5812181.9500000002</v>
      </c>
      <c r="W135" s="23"/>
      <c r="X135" s="57">
        <f>SUM(X133,X116,X108)</f>
        <v>699120.71</v>
      </c>
      <c r="Y135" s="24"/>
      <c r="Z135" s="66">
        <f>SUM(Z133,Z116,Z108)</f>
        <v>2174871.67</v>
      </c>
      <c r="AA135" s="24"/>
      <c r="AB135" s="66">
        <f>SUM(AB133,AB116,AB108)</f>
        <v>5227061.08</v>
      </c>
      <c r="AC135" s="24"/>
      <c r="AD135" s="66">
        <f>SUM(AD133,AD116,AD108)</f>
        <v>8255714.540000001</v>
      </c>
      <c r="AE135" s="24"/>
      <c r="AF135" s="23">
        <f>SUM(AF133,AF116,AF108)</f>
        <v>76443858.189999998</v>
      </c>
      <c r="AG135" s="8" t="s">
        <v>333</v>
      </c>
      <c r="AH135" s="23">
        <f>SUM(AH133,AH116,AH108)</f>
        <v>90768176.640000015</v>
      </c>
      <c r="AI135" s="23"/>
      <c r="AJ135" s="23">
        <f>SUM(AJ133,AJ116,AJ108)</f>
        <v>76443858.189999998</v>
      </c>
      <c r="AK135" s="23"/>
      <c r="AL135" s="23">
        <f>SUM(AL133,AL116,AL108)</f>
        <v>14324318.449999999</v>
      </c>
      <c r="AM135" s="25"/>
      <c r="AN135" s="13">
        <f t="shared" si="37"/>
        <v>1.1873835097961323</v>
      </c>
      <c r="AO135" s="13"/>
      <c r="AP135" s="14">
        <f t="shared" si="38"/>
        <v>0.18738350979613227</v>
      </c>
    </row>
    <row r="136" spans="1:42" ht="15.75" thickTop="1" x14ac:dyDescent="0.2">
      <c r="B136" s="3">
        <f>B135-B66</f>
        <v>0</v>
      </c>
      <c r="C136" s="3"/>
      <c r="D136" s="3">
        <f>D135-D66</f>
        <v>0</v>
      </c>
      <c r="E136" s="3"/>
      <c r="F136" s="3">
        <f>F135-F66</f>
        <v>0</v>
      </c>
      <c r="G136" s="3"/>
      <c r="H136" s="3">
        <f>H135-H66</f>
        <v>0</v>
      </c>
      <c r="I136" s="3"/>
      <c r="J136" s="3">
        <f>J135-J66</f>
        <v>0</v>
      </c>
      <c r="K136" s="3"/>
      <c r="L136" s="3">
        <f>L135-L66</f>
        <v>0</v>
      </c>
      <c r="M136" s="3"/>
      <c r="N136" s="3">
        <f>N135-N66</f>
        <v>0</v>
      </c>
      <c r="O136" s="3"/>
      <c r="P136" s="3">
        <f>P135-P66</f>
        <v>0</v>
      </c>
      <c r="R136" s="58">
        <f>R66-R135</f>
        <v>0</v>
      </c>
      <c r="S136" s="3"/>
      <c r="T136" s="58">
        <f>T135-T66</f>
        <v>0</v>
      </c>
      <c r="U136" s="3"/>
      <c r="V136" s="58">
        <f>V135-V66</f>
        <v>0</v>
      </c>
      <c r="W136" s="3"/>
      <c r="X136" s="58">
        <f>X135-X66</f>
        <v>0</v>
      </c>
      <c r="Y136" s="3"/>
      <c r="Z136" s="58">
        <f>Z135-Z66</f>
        <v>0</v>
      </c>
      <c r="AA136" s="3"/>
      <c r="AB136" s="58">
        <f>AB135-AB66</f>
        <v>0</v>
      </c>
      <c r="AC136" s="3"/>
      <c r="AD136" s="58">
        <f>AD135-AD66</f>
        <v>0</v>
      </c>
      <c r="AE136" s="3"/>
      <c r="AF136" s="3">
        <f>AF135-AF66</f>
        <v>0</v>
      </c>
      <c r="AG136" s="3"/>
      <c r="AH136" s="3">
        <f>AH135-AH66</f>
        <v>0</v>
      </c>
      <c r="AI136" s="3"/>
      <c r="AJ136" s="3">
        <f>AJ135-AJ66</f>
        <v>0</v>
      </c>
      <c r="AK136" s="3"/>
      <c r="AL136" s="3">
        <f>AL135-AL66</f>
        <v>0</v>
      </c>
      <c r="AM136" s="3"/>
      <c r="AN136" s="4">
        <f>AN135-AN66</f>
        <v>0</v>
      </c>
      <c r="AO136" s="3"/>
      <c r="AP136" s="3">
        <f>AP135-AP66</f>
        <v>-4.4408920985006262E-16</v>
      </c>
    </row>
    <row r="137" spans="1:42" x14ac:dyDescent="0.2">
      <c r="B137" s="3">
        <f>B135-CNT!U154</f>
        <v>0</v>
      </c>
      <c r="C137" s="3"/>
      <c r="D137" s="3">
        <f>D135-BPM!U69</f>
        <v>0</v>
      </c>
      <c r="E137" s="3"/>
      <c r="F137" s="3">
        <f>F135-DEP!U67</f>
        <v>0</v>
      </c>
      <c r="G137" s="3"/>
      <c r="H137" s="38">
        <f>H135-Lending!F44</f>
        <v>0</v>
      </c>
      <c r="J137" s="38">
        <f>J135-BSC!F78</f>
        <v>0</v>
      </c>
      <c r="L137" s="38">
        <f>L135-'Oliari Co'!F93</f>
        <v>0</v>
      </c>
      <c r="N137" s="38">
        <f>N135-'722 Bedford St'!E70</f>
        <v>0</v>
      </c>
      <c r="P137" s="7">
        <f>P135-SUM(B135:N135)</f>
        <v>0</v>
      </c>
    </row>
    <row r="138" spans="1:42" x14ac:dyDescent="0.2">
      <c r="R138" s="58"/>
      <c r="S138" s="3"/>
      <c r="T138" s="58"/>
      <c r="U138" s="3"/>
      <c r="V138" s="58"/>
      <c r="W138" s="3"/>
      <c r="X138" s="58"/>
      <c r="Y138" s="3"/>
      <c r="Z138" s="58"/>
      <c r="AA138" s="3"/>
      <c r="AB138" s="58"/>
      <c r="AC138" s="3"/>
      <c r="AD138" s="58"/>
    </row>
    <row r="139" spans="1:42" x14ac:dyDescent="0.2">
      <c r="R139" s="58"/>
      <c r="T139" s="58"/>
      <c r="V139" s="58"/>
      <c r="X139" s="58"/>
      <c r="Z139" s="58"/>
      <c r="AB139" s="58"/>
      <c r="AD139" s="58"/>
    </row>
    <row r="140" spans="1:42" x14ac:dyDescent="0.2">
      <c r="A140" s="50" t="s">
        <v>533</v>
      </c>
    </row>
    <row r="141" spans="1:42" x14ac:dyDescent="0.2">
      <c r="A141" s="50"/>
    </row>
    <row r="142" spans="1:42" x14ac:dyDescent="0.2">
      <c r="A142" s="50"/>
      <c r="F142" s="38"/>
      <c r="H142" s="38"/>
    </row>
    <row r="143" spans="1:42" x14ac:dyDescent="0.2">
      <c r="A143" s="2" t="s">
        <v>534</v>
      </c>
      <c r="B143" s="38">
        <f t="shared" ref="B143:N143" si="42">B11</f>
        <v>705675.51</v>
      </c>
      <c r="C143" s="38">
        <f t="shared" si="42"/>
        <v>0</v>
      </c>
      <c r="D143" s="38">
        <f t="shared" si="42"/>
        <v>0</v>
      </c>
      <c r="E143" s="38">
        <f t="shared" si="42"/>
        <v>0</v>
      </c>
      <c r="F143" s="38">
        <f t="shared" si="42"/>
        <v>5706322.3200000003</v>
      </c>
      <c r="G143" s="38">
        <f t="shared" si="42"/>
        <v>0</v>
      </c>
      <c r="H143" s="38">
        <f t="shared" si="42"/>
        <v>0</v>
      </c>
      <c r="I143" s="38">
        <f t="shared" si="42"/>
        <v>0</v>
      </c>
      <c r="J143" s="38">
        <f t="shared" si="42"/>
        <v>250000</v>
      </c>
      <c r="K143" s="38">
        <f t="shared" si="42"/>
        <v>0</v>
      </c>
      <c r="L143" s="38">
        <f t="shared" si="42"/>
        <v>1694219.03</v>
      </c>
      <c r="M143" s="38">
        <f t="shared" si="42"/>
        <v>0</v>
      </c>
      <c r="N143" s="38">
        <f t="shared" si="42"/>
        <v>818750</v>
      </c>
      <c r="P143" s="7">
        <f>SUM(B143:N143)</f>
        <v>9174966.8599999994</v>
      </c>
    </row>
    <row r="144" spans="1:42" x14ac:dyDescent="0.2">
      <c r="A144" s="2" t="s">
        <v>535</v>
      </c>
      <c r="B144" s="38">
        <f>B102+B101</f>
        <v>7254650</v>
      </c>
      <c r="C144" s="38">
        <f t="shared" ref="C144:M144" si="43">C102+C101</f>
        <v>0</v>
      </c>
      <c r="D144" s="38">
        <f>D102+D101</f>
        <v>48330.51</v>
      </c>
      <c r="E144" s="38">
        <f t="shared" si="43"/>
        <v>0</v>
      </c>
      <c r="F144" s="38">
        <f>F102+F101</f>
        <v>285273.09999999998</v>
      </c>
      <c r="G144" s="38">
        <f t="shared" si="43"/>
        <v>0</v>
      </c>
      <c r="H144" s="38">
        <f>H102+H101</f>
        <v>437834.14</v>
      </c>
      <c r="I144" s="38">
        <f t="shared" si="43"/>
        <v>0</v>
      </c>
      <c r="J144" s="38">
        <f>J102+J101+J78</f>
        <v>1162556.76</v>
      </c>
      <c r="K144" s="38">
        <f t="shared" si="43"/>
        <v>0</v>
      </c>
      <c r="L144" s="38">
        <f>L102+L101</f>
        <v>0</v>
      </c>
      <c r="M144" s="38">
        <f t="shared" si="43"/>
        <v>0</v>
      </c>
      <c r="N144" s="38">
        <f>N102+N101</f>
        <v>6322.320000000007</v>
      </c>
      <c r="P144" s="7">
        <f>SUM(B144:N144)</f>
        <v>9194966.8300000001</v>
      </c>
    </row>
    <row r="145" spans="1:17" x14ac:dyDescent="0.2">
      <c r="A145" s="2" t="s">
        <v>536</v>
      </c>
      <c r="H145" s="38"/>
      <c r="P145" s="68">
        <f>P143-P144</f>
        <v>-19999.970000000671</v>
      </c>
    </row>
    <row r="146" spans="1:17" x14ac:dyDescent="0.2">
      <c r="Q146" s="62"/>
    </row>
    <row r="147" spans="1:17" x14ac:dyDescent="0.2">
      <c r="A147" s="2" t="s">
        <v>538</v>
      </c>
      <c r="B147" s="3">
        <v>-9046717.2699999996</v>
      </c>
      <c r="D147" s="3">
        <v>-17763.09</v>
      </c>
      <c r="F147" s="3">
        <v>-797776.31</v>
      </c>
      <c r="H147" s="3">
        <v>0</v>
      </c>
      <c r="J147" s="3">
        <v>-2545935.86</v>
      </c>
      <c r="L147" s="3">
        <v>-1557487.12</v>
      </c>
      <c r="N147" s="3">
        <v>-1265921.3999999999</v>
      </c>
      <c r="Q147" s="51"/>
    </row>
    <row r="148" spans="1:17" x14ac:dyDescent="0.2">
      <c r="A148" s="2" t="s">
        <v>539</v>
      </c>
      <c r="B148" s="63">
        <f>B61</f>
        <v>-9364691.1799999997</v>
      </c>
      <c r="C148" s="48"/>
      <c r="D148" s="63">
        <f>D61</f>
        <v>-19017.96</v>
      </c>
      <c r="E148" s="48"/>
      <c r="F148" s="63">
        <f>F61</f>
        <v>-837890.12</v>
      </c>
      <c r="G148" s="48"/>
      <c r="H148" s="63">
        <f>H61</f>
        <v>0</v>
      </c>
      <c r="I148" s="48"/>
      <c r="J148" s="63">
        <f>J61</f>
        <v>-2571177.9500000002</v>
      </c>
      <c r="K148" s="48"/>
      <c r="L148" s="63">
        <f>L61</f>
        <v>-1584754.88</v>
      </c>
      <c r="M148" s="48"/>
      <c r="N148" s="63">
        <f>N61</f>
        <v>-1309560.6599999999</v>
      </c>
      <c r="O148" s="48"/>
      <c r="P148" s="49">
        <f>SUM(B148:N148)</f>
        <v>-15687092.75</v>
      </c>
    </row>
    <row r="149" spans="1:17" x14ac:dyDescent="0.2">
      <c r="A149" s="2" t="s">
        <v>540</v>
      </c>
      <c r="B149" s="38">
        <f>B147-B148</f>
        <v>317973.91000000015</v>
      </c>
      <c r="D149" s="38">
        <f>D147-D148</f>
        <v>1254.869999999999</v>
      </c>
      <c r="F149" s="38">
        <f>F147-F148</f>
        <v>40113.809999999939</v>
      </c>
      <c r="H149" s="38">
        <f>H147-H148</f>
        <v>0</v>
      </c>
      <c r="J149" s="38">
        <f>J147-J148</f>
        <v>25242.090000000317</v>
      </c>
      <c r="L149" s="38">
        <f>L147-L148</f>
        <v>27267.759999999776</v>
      </c>
      <c r="N149" s="38">
        <f>N147-N148</f>
        <v>43639.260000000009</v>
      </c>
    </row>
    <row r="150" spans="1:17" x14ac:dyDescent="0.2">
      <c r="B150" s="38"/>
      <c r="D150" s="38"/>
      <c r="F150" s="38"/>
      <c r="H150" s="38"/>
      <c r="J150" s="38"/>
      <c r="L150" s="38"/>
      <c r="N150" s="38"/>
    </row>
    <row r="151" spans="1:17" x14ac:dyDescent="0.2">
      <c r="A151" s="2" t="s">
        <v>537</v>
      </c>
      <c r="B151" s="38">
        <f>'[1]Comp YTD 2020-2019 '!$B$65</f>
        <v>319429.12</v>
      </c>
      <c r="D151" s="38">
        <f>'[1]Comp YTD 2020-2019 '!$C$65</f>
        <v>1254.8700000000001</v>
      </c>
      <c r="F151" s="38">
        <f>'[1]Comp YTD 2020-2019 '!$D$65</f>
        <v>40113.81</v>
      </c>
      <c r="H151" s="38">
        <f>'[1]Comp YTD 2020-2019 '!$E$65</f>
        <v>0</v>
      </c>
      <c r="J151" s="38">
        <f>'[1]Comp YTD 2020-2019 '!$F$65</f>
        <v>25242.090000000004</v>
      </c>
      <c r="L151" s="38">
        <f>'[1]Comp YTD 2020-2019 '!$G$65</f>
        <v>27755.820000000003</v>
      </c>
      <c r="N151" s="38">
        <f>'[1]Comp YTD 2020-2019 '!$H$65</f>
        <v>43639.26</v>
      </c>
      <c r="P151" s="7">
        <f>SUM(B151:N151)</f>
        <v>457434.97000000003</v>
      </c>
    </row>
    <row r="152" spans="1:17" x14ac:dyDescent="0.2">
      <c r="A152" s="2" t="s">
        <v>536</v>
      </c>
      <c r="B152" s="71">
        <f>B149-B151</f>
        <v>-1455.2099999998463</v>
      </c>
      <c r="C152" s="70"/>
      <c r="D152" s="71">
        <f>D149-D151</f>
        <v>0</v>
      </c>
      <c r="E152" s="70"/>
      <c r="F152" s="71">
        <f>F149-F151</f>
        <v>-5.8207660913467407E-11</v>
      </c>
      <c r="G152" s="70"/>
      <c r="H152" s="71">
        <f>H149-H151</f>
        <v>0</v>
      </c>
      <c r="I152" s="70"/>
      <c r="J152" s="71">
        <f>J149-J151</f>
        <v>3.1286617740988731E-10</v>
      </c>
      <c r="K152" s="70"/>
      <c r="L152" s="71">
        <f>L149-L151</f>
        <v>-488.06000000022686</v>
      </c>
      <c r="M152" s="70"/>
      <c r="N152" s="71">
        <f>N149-N151</f>
        <v>0</v>
      </c>
    </row>
    <row r="154" spans="1:17" x14ac:dyDescent="0.2">
      <c r="A154" s="2" t="s">
        <v>558</v>
      </c>
      <c r="B154" s="69">
        <f>B123-'[1]Comp YTD 2020-2019 '!$B$175</f>
        <v>4.9732625484466553E-7</v>
      </c>
      <c r="C154" s="70" t="s">
        <v>536</v>
      </c>
      <c r="D154" s="69">
        <f>D123-'[1]Comp YTD 2020-2019 '!$C$175</f>
        <v>6.5847416408360004E-10</v>
      </c>
      <c r="E154" s="70"/>
      <c r="F154" s="69">
        <f>F123-'[1]Comp YTD 2020-2019 '!$D$175</f>
        <v>0</v>
      </c>
      <c r="G154" s="70"/>
      <c r="H154" s="69">
        <f>H123-'[1]Comp YTD 2020-2019 '!$E$175</f>
        <v>0</v>
      </c>
      <c r="I154" s="70"/>
      <c r="J154" s="69">
        <f>J123-'[1]Comp YTD 2020-2019 '!$F$175</f>
        <v>0</v>
      </c>
      <c r="K154" s="70"/>
      <c r="L154" s="69">
        <f>L123-'[1]Comp YTD 2020-2019 '!$G$175</f>
        <v>0</v>
      </c>
      <c r="M154" s="70"/>
      <c r="N154" s="69">
        <f>N123-'[1]Comp YTD 2020-2019 '!$H$175</f>
        <v>0</v>
      </c>
      <c r="O154" s="70"/>
      <c r="P154" s="68">
        <v>0</v>
      </c>
      <c r="Q154" s="2" t="s">
        <v>536</v>
      </c>
    </row>
    <row r="155" spans="1:17" x14ac:dyDescent="0.2">
      <c r="B155" s="38"/>
    </row>
  </sheetData>
  <mergeCells count="7">
    <mergeCell ref="AG3:AN3"/>
    <mergeCell ref="A1:P1"/>
    <mergeCell ref="A2:P2"/>
    <mergeCell ref="Q1:AF1"/>
    <mergeCell ref="Q2:AF2"/>
    <mergeCell ref="AG1:AN1"/>
    <mergeCell ref="AG2:AN2"/>
  </mergeCells>
  <pageMargins left="0.7" right="0.7" top="0.75" bottom="0.75" header="0.3" footer="0.3"/>
  <pageSetup scale="40" orientation="landscape" r:id="rId1"/>
  <headerFooter>
    <oddFooter>&amp;C&amp;14Page &amp;P of &amp;N</oddFooter>
  </headerFooter>
  <rowBreaks count="3" manualBreakCount="3">
    <brk id="43" max="16383" man="1"/>
    <brk id="66" max="33" man="1"/>
    <brk id="108" max="16383" man="1"/>
  </rowBreaks>
  <colBreaks count="2" manualBreakCount="2">
    <brk id="16" max="1048575" man="1"/>
    <brk id="3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outlinePr summaryBelow="0"/>
    <pageSetUpPr autoPageBreaks="0" fitToPage="1"/>
  </sheetPr>
  <dimension ref="A1:AH160"/>
  <sheetViews>
    <sheetView showGridLines="0" topLeftCell="A128" workbookViewId="0">
      <selection activeCell="Y154" sqref="Y154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0.85546875" style="75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3.140625" style="75" bestFit="1" customWidth="1"/>
    <col min="20" max="20" width="2.28515625" style="75" customWidth="1"/>
    <col min="21" max="21" width="1.28515625" style="75" customWidth="1"/>
    <col min="22" max="22" width="6.28515625" style="75" customWidth="1"/>
    <col min="23" max="23" width="5.85546875" style="75" customWidth="1"/>
    <col min="24" max="24" width="1.28515625" style="75" customWidth="1"/>
    <col min="25" max="25" width="12.85546875" style="75" bestFit="1" customWidth="1"/>
    <col min="26" max="26" width="11" style="75" bestFit="1" customWidth="1"/>
    <col min="27" max="27" width="12.85546875" style="75" bestFit="1" customWidth="1"/>
    <col min="28" max="16384" width="5.28515625" style="75"/>
  </cols>
  <sheetData>
    <row r="1" spans="1:25" ht="12" customHeight="1" x14ac:dyDescent="0.2">
      <c r="A1" s="164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</row>
    <row r="2" spans="1:25" ht="12" customHeight="1" x14ac:dyDescent="0.2"/>
    <row r="3" spans="1:25" ht="12" customHeight="1" x14ac:dyDescent="0.2">
      <c r="A3" s="164" t="s">
        <v>715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</row>
    <row r="4" spans="1:25" ht="12" customHeight="1" x14ac:dyDescent="0.2">
      <c r="A4" s="165" t="s">
        <v>1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</row>
    <row r="5" spans="1:25" ht="12" customHeight="1" x14ac:dyDescent="0.2">
      <c r="A5" s="156" t="s">
        <v>2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</row>
    <row r="6" spans="1:25" ht="12" customHeight="1" x14ac:dyDescent="0.2"/>
    <row r="7" spans="1:25" ht="12" customHeight="1" x14ac:dyDescent="0.2">
      <c r="B7" s="156" t="s">
        <v>3</v>
      </c>
      <c r="C7" s="156"/>
      <c r="D7" s="156"/>
      <c r="E7" s="156"/>
      <c r="F7" s="156"/>
      <c r="G7" s="156"/>
      <c r="H7" s="156"/>
      <c r="I7" s="156"/>
      <c r="J7" s="156"/>
      <c r="K7" s="156"/>
    </row>
    <row r="8" spans="1:25" ht="12" customHeight="1" x14ac:dyDescent="0.2"/>
    <row r="9" spans="1:25" ht="12" customHeight="1" x14ac:dyDescent="0.2">
      <c r="C9" s="158">
        <v>1120</v>
      </c>
      <c r="D9" s="158"/>
      <c r="E9" s="158"/>
      <c r="F9" s="158"/>
      <c r="H9" s="76" t="s">
        <v>217</v>
      </c>
      <c r="S9" s="145"/>
    </row>
    <row r="10" spans="1:25" ht="12" customHeight="1" x14ac:dyDescent="0.2">
      <c r="C10" s="158" t="s">
        <v>4</v>
      </c>
      <c r="D10" s="158"/>
      <c r="E10" s="158"/>
      <c r="F10" s="158"/>
      <c r="H10" s="76" t="s">
        <v>5</v>
      </c>
      <c r="I10" s="76"/>
      <c r="J10" s="76"/>
      <c r="K10" s="76"/>
      <c r="L10" s="76"/>
      <c r="M10" s="76"/>
      <c r="N10" s="76"/>
      <c r="O10" s="76"/>
      <c r="P10" s="76"/>
      <c r="Q10" s="76"/>
      <c r="S10" s="145">
        <v>500</v>
      </c>
    </row>
    <row r="11" spans="1:25" ht="12" customHeight="1" x14ac:dyDescent="0.2">
      <c r="C11" s="158" t="s">
        <v>6</v>
      </c>
      <c r="D11" s="158"/>
      <c r="E11" s="158"/>
      <c r="F11" s="158"/>
      <c r="H11" s="76" t="s">
        <v>7</v>
      </c>
      <c r="I11" s="76"/>
      <c r="J11" s="76"/>
      <c r="K11" s="76"/>
      <c r="L11" s="76"/>
      <c r="M11" s="76"/>
      <c r="N11" s="76"/>
      <c r="O11" s="76"/>
      <c r="P11" s="76"/>
      <c r="Q11" s="76"/>
      <c r="S11" s="145">
        <v>-73768.89</v>
      </c>
    </row>
    <row r="12" spans="1:25" ht="12" customHeight="1" x14ac:dyDescent="0.2">
      <c r="C12" s="158" t="s">
        <v>8</v>
      </c>
      <c r="D12" s="158"/>
      <c r="E12" s="158"/>
      <c r="F12" s="158"/>
      <c r="H12" s="76" t="s">
        <v>9</v>
      </c>
      <c r="I12" s="76"/>
      <c r="J12" s="76"/>
      <c r="K12" s="76"/>
      <c r="L12" s="76"/>
      <c r="M12" s="76"/>
      <c r="N12" s="76"/>
      <c r="O12" s="76"/>
      <c r="P12" s="76"/>
      <c r="Q12" s="76"/>
      <c r="S12" s="145">
        <v>11117739.42</v>
      </c>
    </row>
    <row r="13" spans="1:25" ht="12" hidden="1" customHeight="1" x14ac:dyDescent="0.2">
      <c r="C13" s="158" t="s">
        <v>10</v>
      </c>
      <c r="D13" s="158"/>
      <c r="E13" s="158"/>
      <c r="F13" s="158"/>
      <c r="H13" s="76" t="s">
        <v>11</v>
      </c>
      <c r="I13" s="76"/>
      <c r="J13" s="76"/>
      <c r="K13" s="76"/>
      <c r="L13" s="76"/>
      <c r="M13" s="76"/>
      <c r="N13" s="76"/>
      <c r="O13" s="76"/>
      <c r="P13" s="76"/>
      <c r="Q13" s="76"/>
      <c r="S13" s="145"/>
      <c r="Y13" s="76"/>
    </row>
    <row r="14" spans="1:25" ht="12" customHeight="1" x14ac:dyDescent="0.2">
      <c r="C14" s="158" t="s">
        <v>12</v>
      </c>
      <c r="D14" s="158"/>
      <c r="E14" s="158"/>
      <c r="F14" s="158"/>
      <c r="H14" s="76" t="s">
        <v>13</v>
      </c>
      <c r="I14" s="76"/>
      <c r="J14" s="76"/>
      <c r="K14" s="76"/>
      <c r="L14" s="76"/>
      <c r="M14" s="76"/>
      <c r="N14" s="76"/>
      <c r="O14" s="76"/>
      <c r="P14" s="76"/>
      <c r="Q14" s="76"/>
      <c r="S14" s="145">
        <v>167054.51999999999</v>
      </c>
    </row>
    <row r="15" spans="1:25" ht="12" customHeight="1" x14ac:dyDescent="0.2">
      <c r="C15" s="158" t="s">
        <v>14</v>
      </c>
      <c r="D15" s="158"/>
      <c r="E15" s="158"/>
      <c r="F15" s="158"/>
      <c r="H15" s="76" t="s">
        <v>15</v>
      </c>
      <c r="I15" s="76"/>
      <c r="J15" s="76"/>
      <c r="K15" s="76"/>
      <c r="L15" s="76"/>
      <c r="M15" s="76"/>
      <c r="N15" s="76"/>
      <c r="O15" s="76"/>
      <c r="P15" s="76"/>
      <c r="Q15" s="76"/>
      <c r="S15" s="145">
        <v>963515.47</v>
      </c>
    </row>
    <row r="16" spans="1:25" ht="12" customHeight="1" x14ac:dyDescent="0.2">
      <c r="C16" s="158" t="s">
        <v>16</v>
      </c>
      <c r="D16" s="158"/>
      <c r="E16" s="158"/>
      <c r="F16" s="158"/>
      <c r="H16" s="76" t="s">
        <v>17</v>
      </c>
      <c r="I16" s="76"/>
      <c r="J16" s="76"/>
      <c r="K16" s="76"/>
      <c r="L16" s="76"/>
      <c r="M16" s="76"/>
      <c r="N16" s="76"/>
      <c r="O16" s="76"/>
      <c r="P16" s="76"/>
      <c r="Q16" s="76"/>
      <c r="S16" s="145">
        <v>59550740.170000002</v>
      </c>
    </row>
    <row r="17" spans="3:34" ht="12" customHeight="1" x14ac:dyDescent="0.2">
      <c r="C17" s="158">
        <v>1220</v>
      </c>
      <c r="D17" s="158"/>
      <c r="E17" s="158"/>
      <c r="F17" s="158"/>
      <c r="H17" s="76" t="s">
        <v>585</v>
      </c>
      <c r="I17" s="76"/>
      <c r="J17" s="76"/>
      <c r="K17" s="76"/>
      <c r="L17" s="76"/>
      <c r="M17" s="76"/>
      <c r="N17" s="76"/>
      <c r="O17" s="76"/>
      <c r="P17" s="76"/>
      <c r="Q17" s="76"/>
      <c r="S17" s="145">
        <v>3749.98</v>
      </c>
    </row>
    <row r="18" spans="3:34" ht="12" customHeight="1" x14ac:dyDescent="0.2">
      <c r="C18" s="158" t="s">
        <v>18</v>
      </c>
      <c r="D18" s="158"/>
      <c r="E18" s="158"/>
      <c r="F18" s="158"/>
      <c r="H18" s="76" t="s">
        <v>19</v>
      </c>
      <c r="I18" s="76"/>
      <c r="J18" s="76"/>
      <c r="K18" s="76"/>
      <c r="L18" s="76"/>
      <c r="M18" s="76"/>
      <c r="N18" s="76"/>
      <c r="O18" s="76"/>
      <c r="P18" s="76"/>
      <c r="Q18" s="76"/>
      <c r="S18" s="145">
        <v>37047450.5</v>
      </c>
      <c r="AG18" s="76"/>
    </row>
    <row r="19" spans="3:34" ht="12" customHeight="1" x14ac:dyDescent="0.2">
      <c r="C19" s="158" t="s">
        <v>20</v>
      </c>
      <c r="D19" s="158"/>
      <c r="E19" s="158"/>
      <c r="F19" s="158"/>
      <c r="H19" s="76" t="s">
        <v>21</v>
      </c>
      <c r="I19" s="76"/>
      <c r="J19" s="76"/>
      <c r="K19" s="76"/>
      <c r="L19" s="76"/>
      <c r="M19" s="76"/>
      <c r="N19" s="76"/>
      <c r="O19" s="76"/>
      <c r="P19" s="76"/>
      <c r="Q19" s="76"/>
      <c r="S19" s="145">
        <v>103537080.8</v>
      </c>
    </row>
    <row r="20" spans="3:34" ht="12" customHeight="1" x14ac:dyDescent="0.2">
      <c r="C20" s="158" t="s">
        <v>22</v>
      </c>
      <c r="D20" s="158"/>
      <c r="E20" s="158"/>
      <c r="F20" s="158"/>
      <c r="H20" s="76" t="s">
        <v>23</v>
      </c>
      <c r="I20" s="76"/>
      <c r="J20" s="76"/>
      <c r="K20" s="76"/>
      <c r="L20" s="76"/>
      <c r="M20" s="76"/>
      <c r="N20" s="76"/>
      <c r="O20" s="76"/>
      <c r="P20" s="76"/>
      <c r="Q20" s="76"/>
      <c r="S20" s="145">
        <v>421655.88</v>
      </c>
    </row>
    <row r="21" spans="3:34" ht="12" customHeight="1" x14ac:dyDescent="0.2">
      <c r="C21" s="158" t="s">
        <v>24</v>
      </c>
      <c r="D21" s="158"/>
      <c r="E21" s="158"/>
      <c r="F21" s="158"/>
      <c r="H21" s="76" t="s">
        <v>25</v>
      </c>
      <c r="I21" s="76"/>
      <c r="J21" s="76"/>
      <c r="K21" s="76"/>
      <c r="L21" s="76"/>
      <c r="M21" s="76"/>
      <c r="N21" s="76"/>
      <c r="O21" s="76"/>
      <c r="P21" s="76"/>
      <c r="Q21" s="76"/>
      <c r="S21" s="145">
        <v>1633475.51</v>
      </c>
      <c r="AH21" s="76"/>
    </row>
    <row r="22" spans="3:34" ht="12" customHeight="1" x14ac:dyDescent="0.2">
      <c r="C22" s="158" t="s">
        <v>26</v>
      </c>
      <c r="D22" s="158"/>
      <c r="E22" s="158"/>
      <c r="F22" s="158"/>
      <c r="H22" s="76" t="s">
        <v>27</v>
      </c>
      <c r="I22" s="76"/>
      <c r="J22" s="76"/>
      <c r="K22" s="76"/>
      <c r="L22" s="76"/>
      <c r="M22" s="76"/>
      <c r="N22" s="76"/>
      <c r="O22" s="76"/>
      <c r="P22" s="76"/>
      <c r="Q22" s="76"/>
      <c r="S22" s="145">
        <v>0</v>
      </c>
      <c r="AH22" s="76"/>
    </row>
    <row r="23" spans="3:34" ht="12" customHeight="1" x14ac:dyDescent="0.2">
      <c r="C23" s="158" t="s">
        <v>28</v>
      </c>
      <c r="D23" s="158"/>
      <c r="E23" s="158"/>
      <c r="F23" s="158"/>
      <c r="H23" s="76" t="s">
        <v>29</v>
      </c>
      <c r="I23" s="76"/>
      <c r="J23" s="76"/>
      <c r="K23" s="76"/>
      <c r="L23" s="76"/>
      <c r="M23" s="76"/>
      <c r="N23" s="76"/>
      <c r="O23" s="76"/>
      <c r="P23" s="76"/>
      <c r="Q23" s="76"/>
      <c r="S23" s="145">
        <v>835262.51</v>
      </c>
    </row>
    <row r="24" spans="3:34" ht="12" customHeight="1" x14ac:dyDescent="0.2">
      <c r="C24" s="158" t="s">
        <v>30</v>
      </c>
      <c r="D24" s="158"/>
      <c r="E24" s="158"/>
      <c r="F24" s="158"/>
      <c r="H24" s="76" t="s">
        <v>31</v>
      </c>
      <c r="I24" s="76"/>
      <c r="J24" s="76"/>
      <c r="K24" s="76"/>
      <c r="L24" s="76"/>
      <c r="M24" s="76"/>
      <c r="N24" s="76"/>
      <c r="O24" s="76"/>
      <c r="P24" s="76"/>
      <c r="Q24" s="76"/>
      <c r="S24" s="145">
        <v>294538.81</v>
      </c>
    </row>
    <row r="25" spans="3:34" ht="12" customHeight="1" x14ac:dyDescent="0.2">
      <c r="C25" s="158" t="s">
        <v>32</v>
      </c>
      <c r="D25" s="158"/>
      <c r="E25" s="158"/>
      <c r="F25" s="158"/>
      <c r="H25" s="76" t="s">
        <v>33</v>
      </c>
      <c r="I25" s="76"/>
      <c r="J25" s="76"/>
      <c r="K25" s="76"/>
      <c r="L25" s="76"/>
      <c r="M25" s="76"/>
      <c r="N25" s="76"/>
      <c r="O25" s="76"/>
      <c r="P25" s="76"/>
      <c r="Q25" s="76"/>
      <c r="S25" s="145">
        <v>-48354900.82</v>
      </c>
    </row>
    <row r="26" spans="3:34" ht="12" customHeight="1" x14ac:dyDescent="0.2">
      <c r="C26" s="158" t="s">
        <v>34</v>
      </c>
      <c r="D26" s="158"/>
      <c r="E26" s="158"/>
      <c r="F26" s="158"/>
      <c r="H26" s="76" t="s">
        <v>35</v>
      </c>
      <c r="I26" s="76"/>
      <c r="J26" s="76"/>
      <c r="K26" s="76"/>
      <c r="L26" s="76"/>
      <c r="M26" s="76"/>
      <c r="N26" s="76"/>
      <c r="O26" s="76"/>
      <c r="P26" s="76"/>
      <c r="Q26" s="76"/>
      <c r="S26" s="145">
        <v>-160035712.21000001</v>
      </c>
    </row>
    <row r="27" spans="3:34" ht="12" customHeight="1" x14ac:dyDescent="0.2">
      <c r="C27" s="158" t="s">
        <v>36</v>
      </c>
      <c r="D27" s="158"/>
      <c r="E27" s="158"/>
      <c r="F27" s="158"/>
      <c r="H27" s="76" t="s">
        <v>37</v>
      </c>
      <c r="I27" s="76"/>
      <c r="J27" s="76"/>
      <c r="K27" s="76"/>
      <c r="L27" s="76"/>
      <c r="M27" s="76"/>
      <c r="N27" s="76"/>
      <c r="O27" s="76"/>
      <c r="P27" s="76"/>
      <c r="Q27" s="76"/>
      <c r="S27" s="145">
        <v>-30081777.469999999</v>
      </c>
    </row>
    <row r="28" spans="3:34" ht="12" customHeight="1" x14ac:dyDescent="0.2">
      <c r="C28" s="158" t="s">
        <v>38</v>
      </c>
      <c r="D28" s="158"/>
      <c r="E28" s="158"/>
      <c r="F28" s="158"/>
      <c r="H28" s="76" t="s">
        <v>39</v>
      </c>
      <c r="I28" s="76"/>
      <c r="J28" s="76"/>
      <c r="K28" s="76"/>
      <c r="L28" s="76"/>
      <c r="M28" s="76"/>
      <c r="N28" s="76"/>
      <c r="O28" s="76"/>
      <c r="P28" s="76"/>
      <c r="Q28" s="76"/>
      <c r="S28" s="145">
        <v>-29140.21</v>
      </c>
    </row>
    <row r="29" spans="3:34" ht="12" customHeight="1" x14ac:dyDescent="0.2">
      <c r="C29" s="158" t="s">
        <v>40</v>
      </c>
      <c r="D29" s="158"/>
      <c r="E29" s="158"/>
      <c r="F29" s="158"/>
      <c r="H29" s="76" t="s">
        <v>41</v>
      </c>
      <c r="I29" s="76"/>
      <c r="J29" s="76"/>
      <c r="K29" s="76"/>
      <c r="L29" s="76"/>
      <c r="M29" s="76"/>
      <c r="N29" s="76"/>
      <c r="O29" s="76"/>
      <c r="P29" s="76"/>
      <c r="Q29" s="76"/>
      <c r="S29" s="145">
        <v>235273.1</v>
      </c>
    </row>
    <row r="30" spans="3:34" ht="12" customHeight="1" x14ac:dyDescent="0.2">
      <c r="C30" s="158" t="s">
        <v>42</v>
      </c>
      <c r="D30" s="158"/>
      <c r="E30" s="158"/>
      <c r="F30" s="158"/>
      <c r="H30" s="76" t="s">
        <v>43</v>
      </c>
      <c r="I30" s="76"/>
      <c r="J30" s="76"/>
      <c r="K30" s="76"/>
      <c r="L30" s="76"/>
      <c r="M30" s="76"/>
      <c r="N30" s="76"/>
      <c r="O30" s="76"/>
      <c r="P30" s="76"/>
      <c r="Q30" s="76"/>
      <c r="S30" s="145">
        <v>14237.73</v>
      </c>
    </row>
    <row r="31" spans="3:34" ht="12" customHeight="1" x14ac:dyDescent="0.2">
      <c r="C31" s="158">
        <v>1238</v>
      </c>
      <c r="D31" s="158"/>
      <c r="E31" s="158"/>
      <c r="F31" s="158"/>
      <c r="H31" s="76" t="s">
        <v>586</v>
      </c>
      <c r="I31" s="76"/>
      <c r="J31" s="76"/>
      <c r="K31" s="76"/>
      <c r="L31" s="76"/>
      <c r="M31" s="76"/>
      <c r="N31" s="76"/>
      <c r="O31" s="76"/>
      <c r="P31" s="76"/>
      <c r="Q31" s="76"/>
      <c r="S31" s="145">
        <v>0</v>
      </c>
    </row>
    <row r="32" spans="3:34" ht="12" customHeight="1" x14ac:dyDescent="0.2">
      <c r="C32" s="158" t="s">
        <v>44</v>
      </c>
      <c r="D32" s="158"/>
      <c r="E32" s="158"/>
      <c r="F32" s="158"/>
      <c r="H32" s="76" t="s">
        <v>45</v>
      </c>
      <c r="I32" s="76"/>
      <c r="J32" s="76"/>
      <c r="K32" s="76"/>
      <c r="L32" s="76"/>
      <c r="M32" s="76"/>
      <c r="N32" s="76"/>
      <c r="O32" s="76"/>
      <c r="P32" s="76"/>
      <c r="Q32" s="76"/>
      <c r="S32" s="145">
        <v>0</v>
      </c>
    </row>
    <row r="33" spans="3:19" ht="12" customHeight="1" x14ac:dyDescent="0.2">
      <c r="C33" s="158" t="s">
        <v>46</v>
      </c>
      <c r="D33" s="158"/>
      <c r="E33" s="158"/>
      <c r="F33" s="158"/>
      <c r="H33" s="76" t="s">
        <v>47</v>
      </c>
      <c r="I33" s="76"/>
      <c r="J33" s="76"/>
      <c r="K33" s="76"/>
      <c r="L33" s="76"/>
      <c r="M33" s="76"/>
      <c r="N33" s="76"/>
      <c r="O33" s="76"/>
      <c r="P33" s="76"/>
      <c r="Q33" s="76"/>
      <c r="S33" s="145">
        <v>0</v>
      </c>
    </row>
    <row r="34" spans="3:19" ht="12" customHeight="1" x14ac:dyDescent="0.2">
      <c r="C34" s="158" t="s">
        <v>48</v>
      </c>
      <c r="D34" s="158"/>
      <c r="E34" s="158"/>
      <c r="F34" s="158"/>
      <c r="H34" s="76" t="s">
        <v>49</v>
      </c>
      <c r="I34" s="76"/>
      <c r="J34" s="76"/>
      <c r="K34" s="76"/>
      <c r="L34" s="76"/>
      <c r="M34" s="76"/>
      <c r="N34" s="76"/>
      <c r="O34" s="76"/>
      <c r="P34" s="76"/>
      <c r="Q34" s="76"/>
      <c r="S34" s="145">
        <v>133059.82</v>
      </c>
    </row>
    <row r="35" spans="3:19" ht="12" customHeight="1" x14ac:dyDescent="0.2">
      <c r="C35" s="158" t="s">
        <v>50</v>
      </c>
      <c r="D35" s="158"/>
      <c r="E35" s="158"/>
      <c r="F35" s="158"/>
      <c r="H35" s="76" t="s">
        <v>51</v>
      </c>
      <c r="I35" s="76"/>
      <c r="J35" s="76"/>
      <c r="K35" s="76"/>
      <c r="L35" s="76"/>
      <c r="M35" s="76"/>
      <c r="N35" s="76"/>
      <c r="O35" s="76"/>
      <c r="P35" s="76"/>
      <c r="Q35" s="76"/>
      <c r="S35" s="145">
        <v>71973078.620000005</v>
      </c>
    </row>
    <row r="36" spans="3:19" ht="12" customHeight="1" x14ac:dyDescent="0.2">
      <c r="C36" s="158" t="s">
        <v>52</v>
      </c>
      <c r="D36" s="158"/>
      <c r="E36" s="158"/>
      <c r="F36" s="158"/>
      <c r="H36" s="76" t="s">
        <v>53</v>
      </c>
      <c r="I36" s="76"/>
      <c r="J36" s="76"/>
      <c r="K36" s="76"/>
      <c r="L36" s="76"/>
      <c r="M36" s="76"/>
      <c r="N36" s="76"/>
      <c r="O36" s="76"/>
      <c r="P36" s="76"/>
      <c r="Q36" s="76"/>
      <c r="S36" s="145">
        <v>485693.7</v>
      </c>
    </row>
    <row r="37" spans="3:19" ht="12" customHeight="1" x14ac:dyDescent="0.2">
      <c r="C37" s="158" t="s">
        <v>54</v>
      </c>
      <c r="D37" s="158"/>
      <c r="E37" s="158"/>
      <c r="F37" s="158"/>
      <c r="H37" s="76" t="s">
        <v>55</v>
      </c>
      <c r="I37" s="76"/>
      <c r="J37" s="76"/>
      <c r="K37" s="76"/>
      <c r="L37" s="76"/>
      <c r="M37" s="76"/>
      <c r="N37" s="76"/>
      <c r="O37" s="76"/>
      <c r="P37" s="76"/>
      <c r="Q37" s="76"/>
      <c r="S37" s="145">
        <v>115000</v>
      </c>
    </row>
    <row r="38" spans="3:19" ht="12" customHeight="1" x14ac:dyDescent="0.2">
      <c r="C38" s="158">
        <v>1248</v>
      </c>
      <c r="D38" s="158"/>
      <c r="E38" s="158"/>
      <c r="F38" s="158"/>
      <c r="H38" s="76" t="s">
        <v>603</v>
      </c>
      <c r="I38" s="76"/>
      <c r="J38" s="76"/>
      <c r="K38" s="76"/>
      <c r="L38" s="76"/>
      <c r="M38" s="76"/>
      <c r="N38" s="76"/>
      <c r="O38" s="76"/>
      <c r="P38" s="76"/>
      <c r="Q38" s="76"/>
      <c r="S38" s="145">
        <v>0</v>
      </c>
    </row>
    <row r="39" spans="3:19" ht="12" customHeight="1" x14ac:dyDescent="0.2">
      <c r="C39" s="158">
        <v>1249</v>
      </c>
      <c r="D39" s="158"/>
      <c r="E39" s="158"/>
      <c r="F39" s="158"/>
      <c r="H39" s="76" t="s">
        <v>663</v>
      </c>
      <c r="I39" s="76"/>
      <c r="J39" s="76"/>
      <c r="K39" s="76"/>
      <c r="L39" s="76"/>
      <c r="M39" s="76"/>
      <c r="N39" s="76"/>
      <c r="O39" s="76"/>
      <c r="P39" s="76"/>
      <c r="Q39" s="76"/>
      <c r="S39" s="145">
        <v>6936.53</v>
      </c>
    </row>
    <row r="40" spans="3:19" ht="12" customHeight="1" x14ac:dyDescent="0.2">
      <c r="C40" s="158" t="s">
        <v>58</v>
      </c>
      <c r="D40" s="158"/>
      <c r="E40" s="158"/>
      <c r="F40" s="158"/>
      <c r="H40" s="76" t="s">
        <v>59</v>
      </c>
      <c r="I40" s="76"/>
      <c r="J40" s="76"/>
      <c r="K40" s="76"/>
      <c r="L40" s="76"/>
      <c r="M40" s="76"/>
      <c r="N40" s="76"/>
      <c r="O40" s="76"/>
      <c r="P40" s="76"/>
      <c r="Q40" s="76"/>
      <c r="S40" s="145">
        <v>-282985</v>
      </c>
    </row>
    <row r="41" spans="3:19" ht="12" customHeight="1" x14ac:dyDescent="0.2">
      <c r="C41" s="158">
        <v>1252</v>
      </c>
      <c r="D41" s="158"/>
      <c r="E41" s="158"/>
      <c r="F41" s="158"/>
      <c r="H41" s="76" t="s">
        <v>589</v>
      </c>
      <c r="I41" s="76"/>
      <c r="J41" s="76"/>
      <c r="K41" s="76"/>
      <c r="L41" s="76"/>
      <c r="M41" s="76"/>
      <c r="N41" s="76"/>
      <c r="O41" s="76"/>
      <c r="P41" s="76"/>
      <c r="Q41" s="76"/>
      <c r="S41" s="145">
        <v>3360.93</v>
      </c>
    </row>
    <row r="42" spans="3:19" ht="12" customHeight="1" x14ac:dyDescent="0.2">
      <c r="C42" s="166">
        <v>1253</v>
      </c>
      <c r="D42" s="166"/>
      <c r="E42" s="166"/>
      <c r="F42" s="166"/>
      <c r="H42" s="76" t="s">
        <v>200</v>
      </c>
      <c r="I42" s="76"/>
      <c r="J42" s="76"/>
      <c r="K42" s="76"/>
      <c r="L42" s="76"/>
      <c r="M42" s="76"/>
      <c r="N42" s="76"/>
      <c r="O42" s="76"/>
      <c r="P42" s="76"/>
      <c r="Q42" s="76"/>
      <c r="S42" s="148">
        <v>1560</v>
      </c>
    </row>
    <row r="43" spans="3:19" ht="12" customHeight="1" x14ac:dyDescent="0.2">
      <c r="C43" s="158">
        <v>1255</v>
      </c>
      <c r="D43" s="158"/>
      <c r="E43" s="158"/>
      <c r="F43" s="158"/>
      <c r="H43" s="76" t="s">
        <v>554</v>
      </c>
      <c r="I43" s="76"/>
      <c r="J43" s="76"/>
      <c r="K43" s="76"/>
      <c r="L43" s="76"/>
      <c r="M43" s="76"/>
      <c r="N43" s="76"/>
      <c r="O43" s="76"/>
      <c r="P43" s="76"/>
      <c r="Q43" s="76"/>
      <c r="S43" s="145">
        <v>410117.67</v>
      </c>
    </row>
    <row r="44" spans="3:19" ht="12" customHeight="1" x14ac:dyDescent="0.2">
      <c r="C44" s="158" t="s">
        <v>60</v>
      </c>
      <c r="D44" s="158"/>
      <c r="E44" s="158"/>
      <c r="F44" s="158"/>
      <c r="H44" s="76" t="s">
        <v>61</v>
      </c>
      <c r="I44" s="76"/>
      <c r="J44" s="76"/>
      <c r="K44" s="76"/>
      <c r="L44" s="76"/>
      <c r="M44" s="76"/>
      <c r="N44" s="76"/>
      <c r="O44" s="76"/>
      <c r="P44" s="76"/>
      <c r="Q44" s="76"/>
      <c r="S44" s="145">
        <v>2716.5</v>
      </c>
    </row>
    <row r="45" spans="3:19" ht="12" customHeight="1" x14ac:dyDescent="0.2">
      <c r="C45" s="158" t="s">
        <v>62</v>
      </c>
      <c r="D45" s="158"/>
      <c r="E45" s="158"/>
      <c r="F45" s="158"/>
      <c r="H45" s="76" t="s">
        <v>63</v>
      </c>
      <c r="I45" s="76"/>
      <c r="J45" s="76"/>
      <c r="K45" s="76"/>
      <c r="L45" s="76"/>
      <c r="M45" s="76"/>
      <c r="N45" s="76"/>
      <c r="O45" s="76"/>
      <c r="P45" s="76"/>
      <c r="Q45" s="76"/>
      <c r="S45" s="145">
        <v>43330.51</v>
      </c>
    </row>
    <row r="46" spans="3:19" ht="12" customHeight="1" x14ac:dyDescent="0.2">
      <c r="C46" s="158" t="s">
        <v>64</v>
      </c>
      <c r="D46" s="158"/>
      <c r="E46" s="158"/>
      <c r="F46" s="158"/>
      <c r="H46" s="76" t="s">
        <v>65</v>
      </c>
      <c r="I46" s="76"/>
      <c r="J46" s="76"/>
      <c r="K46" s="76"/>
      <c r="L46" s="76"/>
      <c r="M46" s="76"/>
      <c r="N46" s="76"/>
      <c r="O46" s="76"/>
      <c r="P46" s="76"/>
      <c r="Q46" s="76"/>
      <c r="S46" s="145">
        <v>4558459.7300000004</v>
      </c>
    </row>
    <row r="47" spans="3:19" ht="12" customHeight="1" x14ac:dyDescent="0.2">
      <c r="C47" s="158" t="s">
        <v>66</v>
      </c>
      <c r="D47" s="158"/>
      <c r="E47" s="158"/>
      <c r="F47" s="158"/>
      <c r="H47" s="76" t="s">
        <v>67</v>
      </c>
      <c r="I47" s="76"/>
      <c r="J47" s="76"/>
      <c r="K47" s="76"/>
      <c r="L47" s="76"/>
      <c r="M47" s="76"/>
      <c r="N47" s="76"/>
      <c r="O47" s="76"/>
      <c r="P47" s="76"/>
      <c r="Q47" s="76"/>
      <c r="S47" s="145">
        <v>-77783.66</v>
      </c>
    </row>
    <row r="48" spans="3:19" ht="12" customHeight="1" x14ac:dyDescent="0.2">
      <c r="C48" s="158" t="s">
        <v>68</v>
      </c>
      <c r="D48" s="158"/>
      <c r="E48" s="158"/>
      <c r="F48" s="158"/>
      <c r="H48" s="76" t="s">
        <v>69</v>
      </c>
      <c r="I48" s="76"/>
      <c r="J48" s="76"/>
      <c r="K48" s="76"/>
      <c r="L48" s="76"/>
      <c r="M48" s="76"/>
      <c r="N48" s="76"/>
      <c r="O48" s="76"/>
      <c r="P48" s="76"/>
      <c r="Q48" s="76"/>
      <c r="S48" s="145">
        <v>1862484.3</v>
      </c>
    </row>
    <row r="49" spans="2:27" ht="12" customHeight="1" x14ac:dyDescent="0.2">
      <c r="C49" s="158" t="s">
        <v>70</v>
      </c>
      <c r="D49" s="158"/>
      <c r="E49" s="158"/>
      <c r="F49" s="158"/>
      <c r="H49" s="76" t="s">
        <v>397</v>
      </c>
      <c r="I49" s="76"/>
      <c r="J49" s="76"/>
      <c r="K49" s="76"/>
      <c r="L49" s="76"/>
      <c r="M49" s="76"/>
      <c r="N49" s="76"/>
      <c r="O49" s="76"/>
      <c r="P49" s="76"/>
      <c r="Q49" s="76"/>
      <c r="S49" s="145">
        <v>71260.14</v>
      </c>
    </row>
    <row r="50" spans="2:27" ht="12" customHeight="1" x14ac:dyDescent="0.2">
      <c r="C50" s="158" t="s">
        <v>71</v>
      </c>
      <c r="D50" s="158"/>
      <c r="E50" s="158"/>
      <c r="F50" s="158"/>
      <c r="H50" s="76" t="s">
        <v>398</v>
      </c>
      <c r="I50" s="76"/>
      <c r="J50" s="76"/>
      <c r="K50" s="76"/>
      <c r="L50" s="76"/>
      <c r="M50" s="76"/>
      <c r="N50" s="76"/>
      <c r="O50" s="76"/>
      <c r="P50" s="76"/>
      <c r="Q50" s="76"/>
      <c r="S50" s="145">
        <v>134112.59</v>
      </c>
    </row>
    <row r="51" spans="2:27" ht="12" customHeight="1" x14ac:dyDescent="0.2">
      <c r="C51" s="158" t="s">
        <v>72</v>
      </c>
      <c r="D51" s="158"/>
      <c r="E51" s="158"/>
      <c r="F51" s="158"/>
      <c r="H51" s="76" t="s">
        <v>399</v>
      </c>
      <c r="I51" s="76"/>
      <c r="J51" s="76"/>
      <c r="K51" s="76"/>
      <c r="L51" s="76"/>
      <c r="M51" s="76"/>
      <c r="N51" s="76"/>
      <c r="O51" s="76"/>
      <c r="P51" s="76"/>
      <c r="Q51" s="76"/>
      <c r="S51" s="145">
        <v>107911.4</v>
      </c>
    </row>
    <row r="52" spans="2:27" ht="12" customHeight="1" x14ac:dyDescent="0.2">
      <c r="C52" s="158" t="s">
        <v>620</v>
      </c>
      <c r="D52" s="158"/>
      <c r="E52" s="158"/>
      <c r="F52" s="158"/>
      <c r="H52" s="76" t="s">
        <v>621</v>
      </c>
      <c r="I52" s="76"/>
      <c r="J52" s="76"/>
      <c r="K52" s="76"/>
      <c r="L52" s="76"/>
      <c r="M52" s="76"/>
      <c r="N52" s="76"/>
      <c r="O52" s="76"/>
      <c r="P52" s="76"/>
      <c r="Q52" s="76"/>
      <c r="S52" s="145"/>
    </row>
    <row r="53" spans="2:27" ht="12" customHeight="1" x14ac:dyDescent="0.2">
      <c r="C53" s="166" t="s">
        <v>629</v>
      </c>
      <c r="D53" s="166"/>
      <c r="E53" s="166"/>
      <c r="F53" s="166"/>
      <c r="H53" s="76" t="s">
        <v>716</v>
      </c>
      <c r="I53" s="76"/>
      <c r="J53" s="76"/>
      <c r="K53" s="76"/>
      <c r="L53" s="76"/>
      <c r="M53" s="76"/>
      <c r="N53" s="76"/>
      <c r="O53" s="76"/>
      <c r="P53" s="76"/>
      <c r="Q53" s="76"/>
      <c r="S53" s="148"/>
    </row>
    <row r="54" spans="2:27" ht="12" customHeight="1" x14ac:dyDescent="0.2">
      <c r="C54" s="158" t="s">
        <v>619</v>
      </c>
      <c r="D54" s="158"/>
      <c r="E54" s="158"/>
      <c r="F54" s="158"/>
      <c r="H54" s="76" t="s">
        <v>618</v>
      </c>
      <c r="I54" s="76"/>
      <c r="J54" s="76"/>
      <c r="K54" s="76"/>
      <c r="L54" s="76"/>
      <c r="M54" s="76"/>
      <c r="N54" s="76"/>
      <c r="O54" s="76"/>
      <c r="P54" s="76"/>
      <c r="Q54" s="76"/>
      <c r="S54" s="145">
        <v>2618.34</v>
      </c>
    </row>
    <row r="55" spans="2:27" ht="12" customHeight="1" x14ac:dyDescent="0.2">
      <c r="C55" s="143" t="s">
        <v>552</v>
      </c>
      <c r="D55" s="143"/>
      <c r="E55" s="143"/>
      <c r="F55" s="143"/>
      <c r="H55" s="76" t="s">
        <v>553</v>
      </c>
      <c r="I55" s="76"/>
      <c r="J55" s="76"/>
      <c r="K55" s="76"/>
      <c r="L55" s="76"/>
      <c r="M55" s="76"/>
      <c r="N55" s="76"/>
      <c r="O55" s="76"/>
      <c r="P55" s="76"/>
      <c r="Q55" s="76"/>
      <c r="S55" s="145">
        <v>1154.79</v>
      </c>
    </row>
    <row r="56" spans="2:27" ht="12" customHeight="1" x14ac:dyDescent="0.2">
      <c r="C56" s="143" t="s">
        <v>598</v>
      </c>
      <c r="D56" s="143"/>
      <c r="E56" s="143"/>
      <c r="F56" s="143"/>
      <c r="H56" s="76" t="s">
        <v>599</v>
      </c>
      <c r="I56" s="76"/>
      <c r="J56" s="76"/>
      <c r="K56" s="76"/>
      <c r="L56" s="76"/>
      <c r="M56" s="76"/>
      <c r="N56" s="76"/>
      <c r="O56" s="76"/>
      <c r="P56" s="76"/>
      <c r="Q56" s="76"/>
      <c r="S56" s="145">
        <v>6.93</v>
      </c>
    </row>
    <row r="57" spans="2:27" ht="12" customHeight="1" x14ac:dyDescent="0.2">
      <c r="C57" s="158" t="s">
        <v>401</v>
      </c>
      <c r="D57" s="158"/>
      <c r="E57" s="158"/>
      <c r="F57" s="158"/>
      <c r="H57" s="76" t="s">
        <v>400</v>
      </c>
      <c r="I57" s="76"/>
      <c r="J57" s="76"/>
      <c r="K57" s="76"/>
      <c r="L57" s="76"/>
      <c r="M57" s="76"/>
      <c r="N57" s="76"/>
      <c r="O57" s="76"/>
      <c r="P57" s="76"/>
      <c r="Q57" s="76"/>
      <c r="S57" s="145">
        <v>28537.1</v>
      </c>
    </row>
    <row r="58" spans="2:27" ht="12" customHeight="1" x14ac:dyDescent="0.2">
      <c r="C58" s="158"/>
      <c r="D58" s="158"/>
      <c r="E58" s="158"/>
      <c r="F58" s="158"/>
      <c r="H58" s="76"/>
      <c r="I58" s="76"/>
      <c r="J58" s="76"/>
      <c r="K58" s="76"/>
      <c r="L58" s="76"/>
      <c r="M58" s="76"/>
      <c r="N58" s="76"/>
      <c r="O58" s="76"/>
      <c r="P58" s="76"/>
      <c r="Q58" s="76"/>
      <c r="S58" s="145"/>
    </row>
    <row r="59" spans="2:27" ht="12" customHeight="1" x14ac:dyDescent="0.2">
      <c r="H59" s="156" t="s">
        <v>73</v>
      </c>
      <c r="I59" s="156"/>
      <c r="J59" s="156"/>
      <c r="K59" s="156"/>
      <c r="L59" s="156"/>
      <c r="M59" s="156"/>
      <c r="N59" s="156"/>
      <c r="O59" s="156"/>
      <c r="P59" s="156"/>
      <c r="U59" s="157">
        <f>SUM(S9:S57)</f>
        <v>56827605.739999995</v>
      </c>
      <c r="V59" s="157"/>
      <c r="W59" s="157"/>
      <c r="Y59" s="77"/>
      <c r="AA59" s="77"/>
    </row>
    <row r="60" spans="2:27" ht="12" customHeight="1" x14ac:dyDescent="0.2"/>
    <row r="61" spans="2:27" ht="12" customHeight="1" x14ac:dyDescent="0.2">
      <c r="B61" s="156" t="s">
        <v>74</v>
      </c>
      <c r="C61" s="156"/>
      <c r="D61" s="156"/>
      <c r="E61" s="156"/>
      <c r="F61" s="156"/>
      <c r="G61" s="156"/>
      <c r="H61" s="156"/>
      <c r="I61" s="156"/>
      <c r="J61" s="156"/>
      <c r="K61" s="156"/>
    </row>
    <row r="62" spans="2:27" ht="12" customHeight="1" x14ac:dyDescent="0.2"/>
    <row r="63" spans="2:27" ht="12" customHeight="1" x14ac:dyDescent="0.2">
      <c r="C63" s="158" t="s">
        <v>75</v>
      </c>
      <c r="D63" s="158"/>
      <c r="E63" s="158"/>
      <c r="F63" s="158"/>
      <c r="H63" s="158" t="s">
        <v>76</v>
      </c>
      <c r="I63" s="158"/>
      <c r="J63" s="158"/>
      <c r="K63" s="158"/>
      <c r="L63" s="158"/>
      <c r="M63" s="158"/>
      <c r="N63" s="158"/>
      <c r="O63" s="158"/>
      <c r="P63" s="158"/>
      <c r="Q63" s="158"/>
      <c r="S63" s="145">
        <v>1114391.1100000001</v>
      </c>
    </row>
    <row r="64" spans="2:27" ht="12" customHeight="1" x14ac:dyDescent="0.2">
      <c r="C64" s="158" t="s">
        <v>77</v>
      </c>
      <c r="D64" s="158"/>
      <c r="E64" s="158"/>
      <c r="F64" s="158"/>
      <c r="H64" s="158" t="s">
        <v>78</v>
      </c>
      <c r="I64" s="158"/>
      <c r="J64" s="158"/>
      <c r="K64" s="158"/>
      <c r="L64" s="158"/>
      <c r="M64" s="158"/>
      <c r="N64" s="158"/>
      <c r="O64" s="158"/>
      <c r="P64" s="158"/>
      <c r="Q64" s="158"/>
      <c r="S64" s="145">
        <v>45071.88</v>
      </c>
    </row>
    <row r="65" spans="3:23" ht="12" customHeight="1" x14ac:dyDescent="0.2">
      <c r="C65" s="158" t="s">
        <v>79</v>
      </c>
      <c r="D65" s="158"/>
      <c r="E65" s="158"/>
      <c r="F65" s="158"/>
      <c r="H65" s="158" t="s">
        <v>80</v>
      </c>
      <c r="I65" s="158"/>
      <c r="J65" s="158"/>
      <c r="K65" s="158"/>
      <c r="L65" s="158"/>
      <c r="M65" s="158"/>
      <c r="N65" s="158"/>
      <c r="O65" s="158"/>
      <c r="P65" s="158"/>
      <c r="Q65" s="158"/>
      <c r="S65" s="145">
        <v>715632.48</v>
      </c>
    </row>
    <row r="66" spans="3:23" ht="12" customHeight="1" x14ac:dyDescent="0.2">
      <c r="C66" s="158" t="s">
        <v>81</v>
      </c>
      <c r="D66" s="158"/>
      <c r="E66" s="158"/>
      <c r="F66" s="158"/>
      <c r="H66" s="158" t="s">
        <v>82</v>
      </c>
      <c r="I66" s="158"/>
      <c r="J66" s="158"/>
      <c r="K66" s="158"/>
      <c r="L66" s="158"/>
      <c r="M66" s="158"/>
      <c r="N66" s="158"/>
      <c r="O66" s="158"/>
      <c r="P66" s="158"/>
      <c r="Q66" s="158"/>
      <c r="S66" s="145">
        <v>4714695.95</v>
      </c>
    </row>
    <row r="67" spans="3:23" ht="12" customHeight="1" x14ac:dyDescent="0.2">
      <c r="C67" s="158" t="s">
        <v>83</v>
      </c>
      <c r="D67" s="158"/>
      <c r="E67" s="158"/>
      <c r="F67" s="158"/>
      <c r="H67" s="158" t="s">
        <v>84</v>
      </c>
      <c r="I67" s="158"/>
      <c r="J67" s="158"/>
      <c r="K67" s="158"/>
      <c r="L67" s="158"/>
      <c r="M67" s="158"/>
      <c r="N67" s="158"/>
      <c r="O67" s="158"/>
      <c r="P67" s="158"/>
      <c r="Q67" s="158"/>
      <c r="S67" s="145">
        <v>460539.38</v>
      </c>
    </row>
    <row r="68" spans="3:23" ht="14.25" customHeight="1" x14ac:dyDescent="0.2">
      <c r="C68" s="158" t="s">
        <v>85</v>
      </c>
      <c r="D68" s="158"/>
      <c r="E68" s="158"/>
      <c r="F68" s="158"/>
      <c r="H68" s="158" t="s">
        <v>86</v>
      </c>
      <c r="I68" s="158"/>
      <c r="J68" s="158"/>
      <c r="K68" s="158"/>
      <c r="L68" s="158"/>
      <c r="M68" s="158"/>
      <c r="N68" s="158"/>
      <c r="O68" s="158"/>
      <c r="P68" s="158"/>
      <c r="Q68" s="158"/>
      <c r="S68" s="145">
        <v>0</v>
      </c>
    </row>
    <row r="69" spans="3:23" ht="12" customHeight="1" x14ac:dyDescent="0.2">
      <c r="C69" s="158" t="s">
        <v>87</v>
      </c>
      <c r="D69" s="158"/>
      <c r="E69" s="158"/>
      <c r="F69" s="158"/>
      <c r="H69" s="158" t="s">
        <v>88</v>
      </c>
      <c r="I69" s="158"/>
      <c r="J69" s="158"/>
      <c r="K69" s="158"/>
      <c r="L69" s="158"/>
      <c r="M69" s="158"/>
      <c r="N69" s="158"/>
      <c r="O69" s="158"/>
      <c r="P69" s="158"/>
      <c r="Q69" s="158"/>
      <c r="S69" s="145">
        <v>3142165.97</v>
      </c>
    </row>
    <row r="70" spans="3:23" ht="12.75" customHeight="1" x14ac:dyDescent="0.2">
      <c r="C70" s="158" t="s">
        <v>89</v>
      </c>
      <c r="D70" s="158"/>
      <c r="E70" s="158"/>
      <c r="F70" s="158"/>
      <c r="H70" s="158" t="s">
        <v>90</v>
      </c>
      <c r="I70" s="158"/>
      <c r="J70" s="158"/>
      <c r="K70" s="158"/>
      <c r="L70" s="158"/>
      <c r="M70" s="158"/>
      <c r="N70" s="158"/>
      <c r="O70" s="158"/>
      <c r="P70" s="158"/>
      <c r="Q70" s="158"/>
      <c r="S70" s="145">
        <v>11428.88</v>
      </c>
    </row>
    <row r="71" spans="3:23" ht="12" customHeight="1" x14ac:dyDescent="0.2">
      <c r="C71" s="158" t="s">
        <v>91</v>
      </c>
      <c r="D71" s="158"/>
      <c r="E71" s="158"/>
      <c r="F71" s="158"/>
      <c r="H71" s="158" t="s">
        <v>92</v>
      </c>
      <c r="I71" s="158"/>
      <c r="J71" s="158"/>
      <c r="K71" s="158"/>
      <c r="L71" s="158"/>
      <c r="M71" s="158"/>
      <c r="N71" s="158"/>
      <c r="O71" s="158"/>
      <c r="P71" s="158"/>
      <c r="Q71" s="158"/>
      <c r="S71" s="145">
        <v>384818.56</v>
      </c>
    </row>
    <row r="72" spans="3:23" ht="12" customHeight="1" x14ac:dyDescent="0.2">
      <c r="C72" s="158" t="s">
        <v>93</v>
      </c>
      <c r="D72" s="158"/>
      <c r="E72" s="158"/>
      <c r="F72" s="158"/>
      <c r="H72" s="158" t="s">
        <v>94</v>
      </c>
      <c r="I72" s="158"/>
      <c r="J72" s="158"/>
      <c r="K72" s="158"/>
      <c r="L72" s="158"/>
      <c r="M72" s="158"/>
      <c r="N72" s="158"/>
      <c r="O72" s="158"/>
      <c r="P72" s="158"/>
      <c r="Q72" s="158"/>
      <c r="S72" s="145">
        <v>2027573.66</v>
      </c>
    </row>
    <row r="73" spans="3:23" ht="12" customHeight="1" x14ac:dyDescent="0.2">
      <c r="C73" s="158" t="s">
        <v>95</v>
      </c>
      <c r="D73" s="158"/>
      <c r="E73" s="158"/>
      <c r="F73" s="158"/>
      <c r="H73" s="158" t="s">
        <v>96</v>
      </c>
      <c r="I73" s="158"/>
      <c r="J73" s="158"/>
      <c r="K73" s="158"/>
      <c r="L73" s="158"/>
      <c r="M73" s="158"/>
      <c r="N73" s="158"/>
      <c r="O73" s="158"/>
      <c r="P73" s="158"/>
      <c r="Q73" s="158"/>
      <c r="S73" s="145">
        <v>5103382.3600000003</v>
      </c>
    </row>
    <row r="74" spans="3:23" ht="12" customHeight="1" x14ac:dyDescent="0.2">
      <c r="C74" s="158">
        <v>1327</v>
      </c>
      <c r="D74" s="158"/>
      <c r="E74" s="158"/>
      <c r="F74" s="158"/>
      <c r="H74" s="143" t="s">
        <v>664</v>
      </c>
      <c r="I74" s="143"/>
      <c r="J74" s="143"/>
      <c r="K74" s="143"/>
      <c r="L74" s="143"/>
      <c r="M74" s="143"/>
      <c r="N74" s="143"/>
      <c r="O74" s="143"/>
      <c r="P74" s="143"/>
      <c r="Q74" s="143"/>
      <c r="S74" s="145">
        <v>0</v>
      </c>
    </row>
    <row r="75" spans="3:23" ht="12" customHeight="1" x14ac:dyDescent="0.2">
      <c r="C75" s="158" t="s">
        <v>97</v>
      </c>
      <c r="D75" s="158"/>
      <c r="E75" s="158"/>
      <c r="F75" s="158"/>
      <c r="H75" s="158" t="s">
        <v>98</v>
      </c>
      <c r="I75" s="158"/>
      <c r="J75" s="158"/>
      <c r="K75" s="158"/>
      <c r="L75" s="158"/>
      <c r="M75" s="158"/>
      <c r="N75" s="158"/>
      <c r="O75" s="158"/>
      <c r="P75" s="158"/>
      <c r="Q75" s="158"/>
      <c r="S75" s="145">
        <v>76523.81</v>
      </c>
    </row>
    <row r="76" spans="3:23" ht="12" customHeight="1" x14ac:dyDescent="0.2">
      <c r="C76" s="158">
        <v>1336</v>
      </c>
      <c r="D76" s="158"/>
      <c r="E76" s="158"/>
      <c r="F76" s="158"/>
      <c r="H76" s="158" t="s">
        <v>673</v>
      </c>
      <c r="I76" s="158"/>
      <c r="J76" s="158"/>
      <c r="K76" s="158"/>
      <c r="L76" s="158"/>
      <c r="M76" s="158"/>
      <c r="N76" s="158"/>
      <c r="O76" s="158"/>
      <c r="P76" s="158"/>
      <c r="Q76" s="158"/>
      <c r="S76" s="145">
        <v>0</v>
      </c>
    </row>
    <row r="77" spans="3:23" ht="12" customHeight="1" x14ac:dyDescent="0.2">
      <c r="C77" s="158">
        <v>1350</v>
      </c>
      <c r="D77" s="158"/>
      <c r="E77" s="158"/>
      <c r="F77" s="158"/>
      <c r="H77" s="158" t="s">
        <v>724</v>
      </c>
      <c r="I77" s="158"/>
      <c r="J77" s="158"/>
      <c r="K77" s="158"/>
      <c r="L77" s="158"/>
      <c r="M77" s="158"/>
      <c r="N77" s="158"/>
      <c r="O77" s="158"/>
      <c r="P77" s="158"/>
      <c r="Q77" s="158"/>
      <c r="S77" s="151">
        <v>32760.77</v>
      </c>
    </row>
    <row r="78" spans="3:23" ht="12" customHeight="1" x14ac:dyDescent="0.2">
      <c r="C78" s="158" t="s">
        <v>99</v>
      </c>
      <c r="D78" s="158"/>
      <c r="E78" s="158"/>
      <c r="F78" s="158"/>
      <c r="H78" s="158" t="s">
        <v>100</v>
      </c>
      <c r="I78" s="158"/>
      <c r="J78" s="158"/>
      <c r="K78" s="158"/>
      <c r="L78" s="158"/>
      <c r="M78" s="158"/>
      <c r="N78" s="158"/>
      <c r="O78" s="158"/>
      <c r="P78" s="158"/>
      <c r="Q78" s="158"/>
      <c r="S78" s="145">
        <v>-9364691.1799999997</v>
      </c>
    </row>
    <row r="79" spans="3:23" ht="12" customHeight="1" x14ac:dyDescent="0.2">
      <c r="C79" s="158" t="s">
        <v>101</v>
      </c>
      <c r="D79" s="158"/>
      <c r="E79" s="158"/>
      <c r="F79" s="158"/>
      <c r="H79" s="158" t="s">
        <v>102</v>
      </c>
      <c r="I79" s="158"/>
      <c r="J79" s="158"/>
      <c r="K79" s="158"/>
      <c r="L79" s="158"/>
      <c r="M79" s="158"/>
      <c r="N79" s="158"/>
      <c r="O79" s="158"/>
      <c r="P79" s="158"/>
      <c r="Q79" s="158"/>
      <c r="S79" s="145">
        <v>0</v>
      </c>
    </row>
    <row r="80" spans="3:23" ht="12" customHeight="1" x14ac:dyDescent="0.2">
      <c r="H80" s="156" t="s">
        <v>103</v>
      </c>
      <c r="I80" s="156"/>
      <c r="J80" s="156"/>
      <c r="K80" s="156"/>
      <c r="L80" s="156"/>
      <c r="M80" s="156"/>
      <c r="N80" s="156"/>
      <c r="O80" s="156"/>
      <c r="P80" s="156"/>
      <c r="U80" s="160">
        <f>SUM(S63:S79)</f>
        <v>8464293.629999999</v>
      </c>
      <c r="V80" s="160"/>
      <c r="W80" s="160"/>
    </row>
    <row r="81" spans="1:23" ht="12" customHeight="1" x14ac:dyDescent="0.2">
      <c r="H81" s="144"/>
      <c r="I81" s="144"/>
      <c r="J81" s="144"/>
      <c r="K81" s="144"/>
      <c r="L81" s="144"/>
      <c r="M81" s="144"/>
      <c r="N81" s="144"/>
      <c r="O81" s="144"/>
      <c r="P81" s="144"/>
      <c r="U81" s="78"/>
      <c r="V81" s="78"/>
      <c r="W81" s="78"/>
    </row>
    <row r="82" spans="1:23" ht="12" customHeight="1" x14ac:dyDescent="0.2">
      <c r="D82" s="158" t="s">
        <v>101</v>
      </c>
      <c r="E82" s="158"/>
      <c r="F82" s="158"/>
      <c r="G82" s="158"/>
      <c r="H82" s="158" t="s">
        <v>674</v>
      </c>
      <c r="I82" s="158"/>
      <c r="J82" s="158"/>
      <c r="K82" s="158"/>
      <c r="L82" s="158"/>
      <c r="M82" s="158"/>
      <c r="N82" s="158"/>
      <c r="O82" s="158"/>
      <c r="P82" s="158"/>
      <c r="Q82" s="158"/>
      <c r="S82" s="145">
        <v>0</v>
      </c>
      <c r="U82" s="78"/>
      <c r="V82" s="78"/>
      <c r="W82" s="78"/>
    </row>
    <row r="83" spans="1:23" ht="12" customHeight="1" thickBot="1" x14ac:dyDescent="0.25">
      <c r="I83" s="156" t="s">
        <v>104</v>
      </c>
      <c r="J83" s="156"/>
      <c r="K83" s="156"/>
      <c r="L83" s="156"/>
      <c r="M83" s="156"/>
      <c r="N83" s="156"/>
      <c r="O83" s="156"/>
      <c r="P83" s="156"/>
      <c r="U83" s="163">
        <f>U59+U80+S82</f>
        <v>65291899.36999999</v>
      </c>
      <c r="V83" s="163"/>
      <c r="W83" s="163"/>
    </row>
    <row r="84" spans="1:23" ht="12" customHeight="1" x14ac:dyDescent="0.2"/>
    <row r="85" spans="1:23" ht="12" customHeight="1" x14ac:dyDescent="0.2">
      <c r="A85" s="156" t="s">
        <v>105</v>
      </c>
      <c r="B85" s="156"/>
      <c r="C85" s="156"/>
      <c r="D85" s="156"/>
      <c r="E85" s="156"/>
      <c r="F85" s="156"/>
      <c r="G85" s="156"/>
      <c r="H85" s="156"/>
      <c r="I85" s="156"/>
      <c r="J85" s="156"/>
      <c r="K85" s="156"/>
      <c r="L85" s="156"/>
      <c r="M85" s="156"/>
    </row>
    <row r="86" spans="1:23" ht="12" customHeight="1" x14ac:dyDescent="0.2"/>
    <row r="87" spans="1:23" ht="12" customHeight="1" x14ac:dyDescent="0.2">
      <c r="B87" s="156" t="s">
        <v>106</v>
      </c>
      <c r="C87" s="156"/>
      <c r="D87" s="156"/>
      <c r="E87" s="156"/>
      <c r="F87" s="156"/>
      <c r="G87" s="156"/>
      <c r="H87" s="156"/>
      <c r="I87" s="156"/>
      <c r="J87" s="156"/>
      <c r="K87" s="156"/>
    </row>
    <row r="88" spans="1:23" ht="12" customHeight="1" x14ac:dyDescent="0.2">
      <c r="C88" s="158" t="s">
        <v>107</v>
      </c>
      <c r="D88" s="158"/>
      <c r="E88" s="158"/>
      <c r="F88" s="158"/>
      <c r="H88" s="76" t="s">
        <v>108</v>
      </c>
      <c r="I88" s="76"/>
      <c r="J88" s="76"/>
      <c r="K88" s="76"/>
      <c r="L88" s="76"/>
      <c r="M88" s="76"/>
      <c r="N88" s="76"/>
      <c r="O88" s="76"/>
      <c r="P88" s="76"/>
      <c r="Q88" s="76"/>
      <c r="S88" s="145">
        <v>0</v>
      </c>
    </row>
    <row r="89" spans="1:23" ht="12" customHeight="1" x14ac:dyDescent="0.2">
      <c r="C89" s="158" t="s">
        <v>109</v>
      </c>
      <c r="D89" s="158"/>
      <c r="E89" s="158"/>
      <c r="F89" s="158"/>
      <c r="H89" s="76" t="s">
        <v>110</v>
      </c>
      <c r="I89" s="76"/>
      <c r="J89" s="76"/>
      <c r="K89" s="76"/>
      <c r="L89" s="76"/>
      <c r="M89" s="76"/>
      <c r="N89" s="76"/>
      <c r="O89" s="76"/>
      <c r="P89" s="76"/>
      <c r="Q89" s="76"/>
      <c r="S89" s="145">
        <v>11166404.140000001</v>
      </c>
    </row>
    <row r="90" spans="1:23" ht="12" customHeight="1" x14ac:dyDescent="0.2">
      <c r="C90" s="158" t="s">
        <v>111</v>
      </c>
      <c r="D90" s="158"/>
      <c r="E90" s="158"/>
      <c r="F90" s="158"/>
      <c r="H90" s="76" t="s">
        <v>112</v>
      </c>
      <c r="I90" s="76"/>
      <c r="J90" s="76"/>
      <c r="K90" s="76"/>
      <c r="L90" s="76"/>
      <c r="M90" s="76"/>
      <c r="N90" s="76"/>
      <c r="O90" s="76"/>
      <c r="P90" s="76"/>
      <c r="Q90" s="76"/>
      <c r="S90" s="145">
        <v>95.64</v>
      </c>
    </row>
    <row r="91" spans="1:23" ht="12" customHeight="1" x14ac:dyDescent="0.2">
      <c r="C91" s="158">
        <v>2125</v>
      </c>
      <c r="D91" s="158"/>
      <c r="E91" s="158"/>
      <c r="F91" s="158"/>
      <c r="H91" s="76" t="s">
        <v>681</v>
      </c>
      <c r="I91" s="76"/>
      <c r="J91" s="76"/>
      <c r="K91" s="76"/>
      <c r="L91" s="76"/>
      <c r="M91" s="76"/>
      <c r="N91" s="76"/>
      <c r="O91" s="76"/>
      <c r="P91" s="76"/>
      <c r="Q91" s="76"/>
      <c r="S91" s="145">
        <v>123.41</v>
      </c>
    </row>
    <row r="92" spans="1:23" ht="12" customHeight="1" x14ac:dyDescent="0.2">
      <c r="C92" s="158" t="s">
        <v>113</v>
      </c>
      <c r="D92" s="158"/>
      <c r="E92" s="158"/>
      <c r="F92" s="158"/>
      <c r="H92" s="76" t="s">
        <v>114</v>
      </c>
      <c r="I92" s="76"/>
      <c r="J92" s="76"/>
      <c r="K92" s="76"/>
      <c r="L92" s="76"/>
      <c r="M92" s="76"/>
      <c r="N92" s="76"/>
      <c r="O92" s="76"/>
      <c r="P92" s="76"/>
      <c r="Q92" s="76"/>
      <c r="S92" s="145">
        <v>9024.09</v>
      </c>
    </row>
    <row r="93" spans="1:23" ht="12" customHeight="1" x14ac:dyDescent="0.2">
      <c r="C93" s="158">
        <v>2127</v>
      </c>
      <c r="D93" s="158"/>
      <c r="E93" s="158"/>
      <c r="F93" s="158"/>
      <c r="H93" s="76" t="s">
        <v>717</v>
      </c>
      <c r="I93" s="76"/>
      <c r="J93" s="76"/>
      <c r="K93" s="76"/>
      <c r="L93" s="76"/>
      <c r="M93" s="76"/>
      <c r="N93" s="76"/>
      <c r="O93" s="76"/>
      <c r="P93" s="76"/>
      <c r="Q93" s="76"/>
      <c r="S93" s="145">
        <v>-118.1</v>
      </c>
    </row>
    <row r="94" spans="1:23" ht="12" customHeight="1" x14ac:dyDescent="0.2">
      <c r="C94" s="158">
        <v>2150</v>
      </c>
      <c r="D94" s="158"/>
      <c r="E94" s="158"/>
      <c r="F94" s="158"/>
      <c r="H94" s="76" t="s">
        <v>189</v>
      </c>
      <c r="I94" s="76"/>
      <c r="J94" s="76"/>
      <c r="K94" s="76"/>
      <c r="L94" s="76"/>
      <c r="M94" s="76"/>
      <c r="N94" s="76"/>
      <c r="O94" s="76"/>
      <c r="P94" s="76"/>
      <c r="Q94" s="76"/>
      <c r="S94" s="145">
        <v>1613.78</v>
      </c>
    </row>
    <row r="95" spans="1:23" ht="12" customHeight="1" x14ac:dyDescent="0.2">
      <c r="C95" s="158">
        <v>2155</v>
      </c>
      <c r="D95" s="158"/>
      <c r="E95" s="158"/>
      <c r="F95" s="158"/>
      <c r="H95" s="76" t="s">
        <v>682</v>
      </c>
      <c r="I95" s="76"/>
      <c r="J95" s="76"/>
      <c r="K95" s="76"/>
      <c r="L95" s="76"/>
      <c r="M95" s="76"/>
      <c r="N95" s="76"/>
      <c r="O95" s="76"/>
      <c r="P95" s="76"/>
      <c r="Q95" s="76"/>
      <c r="S95" s="145">
        <v>1.38</v>
      </c>
    </row>
    <row r="96" spans="1:23" ht="12" customHeight="1" x14ac:dyDescent="0.2">
      <c r="C96" s="158" t="s">
        <v>115</v>
      </c>
      <c r="D96" s="158"/>
      <c r="E96" s="158"/>
      <c r="F96" s="158"/>
      <c r="H96" s="76" t="s">
        <v>116</v>
      </c>
      <c r="I96" s="76"/>
      <c r="J96" s="76"/>
      <c r="K96" s="76"/>
      <c r="L96" s="76"/>
      <c r="M96" s="76"/>
      <c r="N96" s="76"/>
      <c r="O96" s="76"/>
      <c r="P96" s="76"/>
      <c r="Q96" s="76"/>
      <c r="S96" s="145">
        <v>0</v>
      </c>
    </row>
    <row r="97" spans="3:19" ht="12" customHeight="1" x14ac:dyDescent="0.2">
      <c r="C97" s="146" t="s">
        <v>600</v>
      </c>
      <c r="D97" s="143"/>
      <c r="E97" s="143"/>
      <c r="F97" s="143"/>
      <c r="H97" s="76" t="s">
        <v>601</v>
      </c>
      <c r="I97" s="76"/>
      <c r="J97" s="76"/>
      <c r="K97" s="76"/>
      <c r="L97" s="76"/>
      <c r="M97" s="76"/>
      <c r="N97" s="76"/>
      <c r="O97" s="76"/>
      <c r="P97" s="76"/>
      <c r="Q97" s="76"/>
      <c r="S97" s="145">
        <v>0</v>
      </c>
    </row>
    <row r="98" spans="3:19" ht="12" customHeight="1" x14ac:dyDescent="0.2">
      <c r="C98" s="158" t="s">
        <v>117</v>
      </c>
      <c r="D98" s="158"/>
      <c r="E98" s="158"/>
      <c r="F98" s="158"/>
      <c r="H98" s="76" t="s">
        <v>118</v>
      </c>
      <c r="I98" s="76"/>
      <c r="J98" s="76"/>
      <c r="K98" s="76"/>
      <c r="L98" s="76"/>
      <c r="M98" s="76"/>
      <c r="N98" s="76"/>
      <c r="O98" s="76"/>
      <c r="P98" s="76"/>
      <c r="Q98" s="76"/>
      <c r="S98" s="145">
        <v>33895559.789999999</v>
      </c>
    </row>
    <row r="99" spans="3:19" ht="12" customHeight="1" x14ac:dyDescent="0.2">
      <c r="C99" s="158" t="s">
        <v>119</v>
      </c>
      <c r="D99" s="158"/>
      <c r="E99" s="158"/>
      <c r="F99" s="158"/>
      <c r="H99" s="76" t="s">
        <v>120</v>
      </c>
      <c r="I99" s="76"/>
      <c r="J99" s="76"/>
      <c r="K99" s="76"/>
      <c r="L99" s="76"/>
      <c r="M99" s="76"/>
      <c r="N99" s="76"/>
      <c r="O99" s="76"/>
      <c r="P99" s="76"/>
      <c r="Q99" s="76"/>
      <c r="S99" s="145">
        <v>18795.12</v>
      </c>
    </row>
    <row r="100" spans="3:19" ht="12" customHeight="1" x14ac:dyDescent="0.2">
      <c r="C100" s="158" t="s">
        <v>121</v>
      </c>
      <c r="D100" s="158"/>
      <c r="E100" s="158"/>
      <c r="F100" s="158"/>
      <c r="H100" s="76" t="s">
        <v>122</v>
      </c>
      <c r="I100" s="76"/>
      <c r="J100" s="76"/>
      <c r="K100" s="76"/>
      <c r="L100" s="76"/>
      <c r="M100" s="76"/>
      <c r="N100" s="76"/>
      <c r="O100" s="76"/>
      <c r="P100" s="76"/>
      <c r="Q100" s="76"/>
      <c r="S100" s="145">
        <v>301866.07</v>
      </c>
    </row>
    <row r="101" spans="3:19" ht="12" customHeight="1" x14ac:dyDescent="0.2">
      <c r="C101" s="158" t="s">
        <v>123</v>
      </c>
      <c r="D101" s="158"/>
      <c r="E101" s="158"/>
      <c r="F101" s="158"/>
      <c r="H101" s="76" t="s">
        <v>124</v>
      </c>
      <c r="I101" s="76"/>
      <c r="J101" s="76"/>
      <c r="K101" s="76"/>
      <c r="L101" s="76"/>
      <c r="M101" s="76"/>
      <c r="N101" s="76"/>
      <c r="O101" s="76"/>
      <c r="P101" s="76"/>
      <c r="Q101" s="76"/>
      <c r="S101" s="145">
        <v>7999.75</v>
      </c>
    </row>
    <row r="102" spans="3:19" ht="12" customHeight="1" x14ac:dyDescent="0.2">
      <c r="C102" s="158" t="s">
        <v>125</v>
      </c>
      <c r="D102" s="158"/>
      <c r="E102" s="158"/>
      <c r="F102" s="158"/>
      <c r="H102" s="76" t="s">
        <v>126</v>
      </c>
      <c r="I102" s="76"/>
      <c r="J102" s="76"/>
      <c r="K102" s="76"/>
      <c r="L102" s="76"/>
      <c r="M102" s="76"/>
      <c r="N102" s="76"/>
      <c r="O102" s="76"/>
      <c r="P102" s="76"/>
      <c r="Q102" s="76"/>
      <c r="S102" s="145">
        <v>25310.84</v>
      </c>
    </row>
    <row r="103" spans="3:19" ht="12" customHeight="1" x14ac:dyDescent="0.2">
      <c r="C103" s="158" t="s">
        <v>127</v>
      </c>
      <c r="D103" s="158"/>
      <c r="E103" s="158"/>
      <c r="F103" s="158"/>
      <c r="H103" s="76" t="s">
        <v>128</v>
      </c>
      <c r="I103" s="76"/>
      <c r="J103" s="76"/>
      <c r="K103" s="76"/>
      <c r="L103" s="76"/>
      <c r="M103" s="76"/>
      <c r="N103" s="76"/>
      <c r="O103" s="76"/>
      <c r="P103" s="76"/>
      <c r="Q103" s="76"/>
      <c r="S103" s="145">
        <v>96000</v>
      </c>
    </row>
    <row r="104" spans="3:19" ht="12" customHeight="1" x14ac:dyDescent="0.2">
      <c r="C104" s="158">
        <v>2231</v>
      </c>
      <c r="D104" s="158"/>
      <c r="E104" s="158"/>
      <c r="F104" s="158"/>
      <c r="H104" s="76" t="s">
        <v>687</v>
      </c>
      <c r="I104" s="76"/>
      <c r="J104" s="76"/>
      <c r="K104" s="76"/>
      <c r="L104" s="76"/>
      <c r="M104" s="76"/>
      <c r="N104" s="76"/>
      <c r="O104" s="76"/>
      <c r="P104" s="76"/>
      <c r="Q104" s="76"/>
      <c r="S104" s="145">
        <v>3082168.76</v>
      </c>
    </row>
    <row r="105" spans="3:19" ht="12" customHeight="1" x14ac:dyDescent="0.2">
      <c r="C105" s="158" t="s">
        <v>129</v>
      </c>
      <c r="D105" s="158"/>
      <c r="E105" s="158"/>
      <c r="F105" s="158"/>
      <c r="H105" s="76" t="s">
        <v>130</v>
      </c>
      <c r="I105" s="76"/>
      <c r="J105" s="76"/>
      <c r="K105" s="76"/>
      <c r="L105" s="76"/>
      <c r="M105" s="76"/>
      <c r="N105" s="76"/>
      <c r="O105" s="76"/>
      <c r="P105" s="76"/>
      <c r="Q105" s="76"/>
      <c r="S105" s="145">
        <v>159834.29999999999</v>
      </c>
    </row>
    <row r="106" spans="3:19" ht="12" customHeight="1" x14ac:dyDescent="0.2">
      <c r="C106" s="158">
        <v>2241</v>
      </c>
      <c r="D106" s="158"/>
      <c r="E106" s="158"/>
      <c r="F106" s="158"/>
      <c r="H106" s="76" t="s">
        <v>685</v>
      </c>
      <c r="I106" s="76"/>
      <c r="J106" s="76"/>
      <c r="K106" s="76"/>
      <c r="L106" s="76"/>
      <c r="M106" s="76"/>
      <c r="N106" s="76"/>
      <c r="O106" s="76"/>
      <c r="P106" s="76"/>
      <c r="Q106" s="76"/>
      <c r="S106" s="145">
        <v>-4369.75</v>
      </c>
    </row>
    <row r="107" spans="3:19" ht="12" customHeight="1" x14ac:dyDescent="0.2">
      <c r="C107" s="158" t="s">
        <v>131</v>
      </c>
      <c r="D107" s="158"/>
      <c r="E107" s="158"/>
      <c r="F107" s="158"/>
      <c r="H107" s="76" t="s">
        <v>719</v>
      </c>
      <c r="I107" s="76"/>
      <c r="J107" s="76"/>
      <c r="K107" s="76"/>
      <c r="L107" s="76"/>
      <c r="M107" s="76"/>
      <c r="N107" s="76"/>
      <c r="O107" s="76"/>
      <c r="P107" s="76"/>
      <c r="Q107" s="76"/>
      <c r="S107" s="145">
        <v>30000</v>
      </c>
    </row>
    <row r="108" spans="3:19" ht="12" customHeight="1" x14ac:dyDescent="0.2">
      <c r="C108" s="158" t="s">
        <v>132</v>
      </c>
      <c r="D108" s="158"/>
      <c r="E108" s="158"/>
      <c r="F108" s="158"/>
      <c r="H108" s="76" t="s">
        <v>133</v>
      </c>
      <c r="I108" s="76"/>
      <c r="J108" s="76"/>
      <c r="K108" s="76"/>
      <c r="L108" s="76"/>
      <c r="M108" s="76"/>
      <c r="N108" s="76"/>
      <c r="O108" s="76"/>
      <c r="P108" s="76"/>
      <c r="Q108" s="76"/>
      <c r="S108" s="145">
        <v>3426.76</v>
      </c>
    </row>
    <row r="109" spans="3:19" ht="12" customHeight="1" x14ac:dyDescent="0.2">
      <c r="C109" s="158">
        <v>2245</v>
      </c>
      <c r="D109" s="158"/>
      <c r="E109" s="158"/>
      <c r="F109" s="158"/>
      <c r="H109" s="76" t="s">
        <v>634</v>
      </c>
      <c r="I109" s="76"/>
      <c r="J109" s="76"/>
      <c r="K109" s="76"/>
      <c r="L109" s="76"/>
      <c r="M109" s="76"/>
      <c r="N109" s="76"/>
      <c r="O109" s="76"/>
      <c r="P109" s="76"/>
      <c r="Q109" s="76"/>
      <c r="S109" s="145">
        <v>50000</v>
      </c>
    </row>
    <row r="110" spans="3:19" ht="12" customHeight="1" x14ac:dyDescent="0.2">
      <c r="C110" s="158" t="s">
        <v>134</v>
      </c>
      <c r="D110" s="158"/>
      <c r="E110" s="158"/>
      <c r="F110" s="158"/>
      <c r="H110" s="76" t="s">
        <v>135</v>
      </c>
      <c r="I110" s="76"/>
      <c r="J110" s="76"/>
      <c r="K110" s="76"/>
      <c r="L110" s="76"/>
      <c r="M110" s="76"/>
      <c r="N110" s="76"/>
      <c r="O110" s="76"/>
      <c r="P110" s="76"/>
      <c r="Q110" s="76"/>
      <c r="S110" s="145">
        <v>4361.08</v>
      </c>
    </row>
    <row r="111" spans="3:19" ht="12" customHeight="1" x14ac:dyDescent="0.2">
      <c r="C111" s="158" t="s">
        <v>136</v>
      </c>
      <c r="D111" s="158"/>
      <c r="E111" s="158"/>
      <c r="F111" s="158"/>
      <c r="H111" s="76" t="s">
        <v>137</v>
      </c>
      <c r="I111" s="76"/>
      <c r="J111" s="76"/>
      <c r="K111" s="76"/>
      <c r="L111" s="76"/>
      <c r="M111" s="76"/>
      <c r="N111" s="76"/>
      <c r="O111" s="76"/>
      <c r="P111" s="76"/>
      <c r="Q111" s="76"/>
      <c r="S111" s="145">
        <v>-1902.97</v>
      </c>
    </row>
    <row r="112" spans="3:19" ht="12" customHeight="1" x14ac:dyDescent="0.2">
      <c r="C112" s="158" t="s">
        <v>138</v>
      </c>
      <c r="D112" s="158"/>
      <c r="E112" s="158"/>
      <c r="F112" s="158"/>
      <c r="H112" s="76" t="s">
        <v>139</v>
      </c>
      <c r="I112" s="76"/>
      <c r="J112" s="76"/>
      <c r="K112" s="76"/>
      <c r="L112" s="76"/>
      <c r="M112" s="76"/>
      <c r="N112" s="76"/>
      <c r="O112" s="76"/>
      <c r="P112" s="76"/>
      <c r="Q112" s="76"/>
      <c r="S112" s="145">
        <v>0</v>
      </c>
    </row>
    <row r="113" spans="3:25" ht="12" customHeight="1" x14ac:dyDescent="0.2">
      <c r="C113" s="158" t="s">
        <v>140</v>
      </c>
      <c r="D113" s="158"/>
      <c r="E113" s="158"/>
      <c r="F113" s="158"/>
      <c r="H113" s="76" t="s">
        <v>141</v>
      </c>
      <c r="I113" s="76"/>
      <c r="J113" s="76"/>
      <c r="K113" s="76"/>
      <c r="L113" s="76"/>
      <c r="M113" s="76"/>
      <c r="N113" s="76"/>
      <c r="O113" s="76"/>
      <c r="P113" s="76"/>
      <c r="Q113" s="76"/>
      <c r="S113" s="145">
        <v>0</v>
      </c>
    </row>
    <row r="114" spans="3:25" ht="12" customHeight="1" x14ac:dyDescent="0.2">
      <c r="C114" s="158" t="s">
        <v>142</v>
      </c>
      <c r="D114" s="158"/>
      <c r="E114" s="158"/>
      <c r="F114" s="158"/>
      <c r="H114" s="76" t="s">
        <v>143</v>
      </c>
      <c r="I114" s="76"/>
      <c r="J114" s="76"/>
      <c r="K114" s="76"/>
      <c r="L114" s="76"/>
      <c r="M114" s="76"/>
      <c r="N114" s="76"/>
      <c r="O114" s="76"/>
      <c r="P114" s="76"/>
      <c r="Q114" s="76"/>
      <c r="S114" s="145">
        <v>132276.25</v>
      </c>
    </row>
    <row r="115" spans="3:25" ht="12" customHeight="1" x14ac:dyDescent="0.2">
      <c r="C115" s="158" t="s">
        <v>144</v>
      </c>
      <c r="D115" s="158"/>
      <c r="E115" s="158"/>
      <c r="F115" s="158"/>
      <c r="H115" s="76" t="s">
        <v>402</v>
      </c>
      <c r="I115" s="76"/>
      <c r="J115" s="76"/>
      <c r="K115" s="76"/>
      <c r="L115" s="76"/>
      <c r="M115" s="76"/>
      <c r="N115" s="76"/>
      <c r="O115" s="76"/>
      <c r="P115" s="76"/>
      <c r="Q115" s="76"/>
      <c r="S115" s="145">
        <v>5700000</v>
      </c>
    </row>
    <row r="116" spans="3:25" ht="12" customHeight="1" x14ac:dyDescent="0.2">
      <c r="C116" s="158">
        <v>2301</v>
      </c>
      <c r="D116" s="158"/>
      <c r="E116" s="158"/>
      <c r="F116" s="158"/>
      <c r="H116" s="76" t="s">
        <v>403</v>
      </c>
      <c r="I116" s="76"/>
      <c r="J116" s="76"/>
      <c r="K116" s="76"/>
      <c r="L116" s="76"/>
      <c r="M116" s="76"/>
      <c r="N116" s="76"/>
      <c r="O116" s="76"/>
      <c r="P116" s="76"/>
      <c r="Q116" s="76"/>
      <c r="S116" s="145">
        <v>0</v>
      </c>
    </row>
    <row r="117" spans="3:25" ht="12" customHeight="1" x14ac:dyDescent="0.2">
      <c r="C117" s="162" t="s">
        <v>236</v>
      </c>
      <c r="D117" s="162"/>
      <c r="E117" s="162"/>
      <c r="F117" s="162"/>
      <c r="H117" s="162" t="s">
        <v>574</v>
      </c>
      <c r="I117" s="162"/>
      <c r="J117" s="162"/>
      <c r="K117" s="162"/>
      <c r="L117" s="162"/>
      <c r="M117" s="162"/>
      <c r="N117" s="162"/>
      <c r="O117" s="162"/>
      <c r="P117" s="162"/>
      <c r="Q117" s="162"/>
      <c r="S117" s="145">
        <v>768750</v>
      </c>
    </row>
    <row r="118" spans="3:25" ht="12" customHeight="1" x14ac:dyDescent="0.2">
      <c r="C118" s="162" t="s">
        <v>236</v>
      </c>
      <c r="D118" s="162"/>
      <c r="E118" s="162"/>
      <c r="F118" s="162"/>
      <c r="H118" s="162" t="s">
        <v>568</v>
      </c>
      <c r="I118" s="162"/>
      <c r="J118" s="162"/>
      <c r="K118" s="162"/>
      <c r="L118" s="162"/>
      <c r="M118" s="162"/>
      <c r="N118" s="162"/>
      <c r="O118" s="162"/>
      <c r="P118" s="162"/>
      <c r="Q118" s="162"/>
      <c r="S118" s="145">
        <v>35900</v>
      </c>
    </row>
    <row r="119" spans="3:25" ht="12" customHeight="1" x14ac:dyDescent="0.2">
      <c r="C119" s="159" t="s">
        <v>541</v>
      </c>
      <c r="D119" s="158"/>
      <c r="E119" s="158"/>
      <c r="F119" s="158"/>
      <c r="H119" s="158" t="s">
        <v>545</v>
      </c>
      <c r="I119" s="158"/>
      <c r="J119" s="158"/>
      <c r="K119" s="158"/>
      <c r="L119" s="158"/>
      <c r="M119" s="158"/>
      <c r="N119" s="158"/>
      <c r="O119" s="158"/>
      <c r="P119" s="158"/>
      <c r="Q119" s="158"/>
      <c r="S119" s="145">
        <v>0</v>
      </c>
    </row>
    <row r="120" spans="3:25" ht="12" customHeight="1" x14ac:dyDescent="0.2">
      <c r="C120" s="159" t="s">
        <v>542</v>
      </c>
      <c r="D120" s="158"/>
      <c r="E120" s="158"/>
      <c r="F120" s="158"/>
      <c r="H120" s="158" t="s">
        <v>543</v>
      </c>
      <c r="I120" s="158"/>
      <c r="J120" s="158"/>
      <c r="K120" s="158"/>
      <c r="L120" s="158"/>
      <c r="M120" s="158"/>
      <c r="N120" s="158"/>
      <c r="O120" s="158"/>
      <c r="P120" s="158"/>
      <c r="Q120" s="158"/>
      <c r="S120" s="145">
        <v>0</v>
      </c>
    </row>
    <row r="121" spans="3:25" ht="12" customHeight="1" x14ac:dyDescent="0.2">
      <c r="C121" s="159">
        <v>2433</v>
      </c>
      <c r="D121" s="158"/>
      <c r="E121" s="158"/>
      <c r="F121" s="158"/>
      <c r="H121" s="158" t="s">
        <v>544</v>
      </c>
      <c r="I121" s="158"/>
      <c r="J121" s="158"/>
      <c r="K121" s="158"/>
      <c r="L121" s="158"/>
      <c r="M121" s="158"/>
      <c r="N121" s="158"/>
      <c r="O121" s="158"/>
      <c r="P121" s="158"/>
      <c r="Q121" s="158"/>
      <c r="S121" s="145">
        <v>0</v>
      </c>
    </row>
    <row r="122" spans="3:25" ht="12" customHeight="1" x14ac:dyDescent="0.2">
      <c r="C122" s="158" t="s">
        <v>146</v>
      </c>
      <c r="D122" s="158"/>
      <c r="E122" s="158"/>
      <c r="F122" s="158"/>
      <c r="H122" s="76" t="s">
        <v>404</v>
      </c>
      <c r="I122" s="76"/>
      <c r="J122" s="76"/>
      <c r="K122" s="76"/>
      <c r="L122" s="76"/>
      <c r="M122" s="76"/>
      <c r="N122" s="76"/>
      <c r="O122" s="76"/>
      <c r="P122" s="76"/>
      <c r="Q122" s="76"/>
      <c r="S122" s="145">
        <v>2443262.34</v>
      </c>
    </row>
    <row r="123" spans="3:25" ht="12" customHeight="1" x14ac:dyDescent="0.2">
      <c r="C123" s="158" t="s">
        <v>147</v>
      </c>
      <c r="D123" s="158"/>
      <c r="E123" s="158"/>
      <c r="F123" s="158"/>
      <c r="H123" s="76" t="s">
        <v>556</v>
      </c>
      <c r="I123" s="76"/>
      <c r="J123" s="76"/>
      <c r="K123" s="76"/>
      <c r="L123" s="76"/>
      <c r="M123" s="76"/>
      <c r="N123" s="76"/>
      <c r="O123" s="76"/>
      <c r="P123" s="76"/>
      <c r="Q123" s="76"/>
      <c r="S123" s="145">
        <v>16063.87</v>
      </c>
    </row>
    <row r="124" spans="3:25" ht="12" customHeight="1" x14ac:dyDescent="0.2">
      <c r="C124" s="158" t="s">
        <v>587</v>
      </c>
      <c r="D124" s="158"/>
      <c r="E124" s="158"/>
      <c r="F124" s="158"/>
      <c r="H124" s="76" t="s">
        <v>588</v>
      </c>
      <c r="I124" s="76"/>
      <c r="J124" s="76"/>
      <c r="K124" s="76"/>
      <c r="L124" s="76"/>
      <c r="M124" s="76"/>
      <c r="N124" s="76"/>
      <c r="O124" s="76"/>
      <c r="P124" s="76"/>
      <c r="Q124" s="76"/>
      <c r="S124" s="145">
        <v>25081.84</v>
      </c>
    </row>
    <row r="125" spans="3:25" ht="12" customHeight="1" x14ac:dyDescent="0.2">
      <c r="C125" s="158" t="s">
        <v>635</v>
      </c>
      <c r="D125" s="158"/>
      <c r="E125" s="158"/>
      <c r="F125" s="158"/>
      <c r="H125" s="76" t="s">
        <v>636</v>
      </c>
      <c r="I125" s="76"/>
      <c r="J125" s="76"/>
      <c r="K125" s="76"/>
      <c r="L125" s="76"/>
      <c r="M125" s="76"/>
      <c r="N125" s="76"/>
      <c r="O125" s="76"/>
      <c r="P125" s="76"/>
      <c r="Q125" s="76"/>
      <c r="S125" s="145">
        <v>2981.92</v>
      </c>
    </row>
    <row r="126" spans="3:25" ht="12" customHeight="1" x14ac:dyDescent="0.2">
      <c r="C126" s="158" t="s">
        <v>622</v>
      </c>
      <c r="D126" s="158"/>
      <c r="E126" s="158"/>
      <c r="F126" s="158"/>
      <c r="H126" s="76" t="s">
        <v>623</v>
      </c>
      <c r="I126" s="76"/>
      <c r="J126" s="76"/>
      <c r="K126" s="76"/>
      <c r="L126" s="76"/>
      <c r="M126" s="76"/>
      <c r="N126" s="76"/>
      <c r="O126" s="76"/>
      <c r="P126" s="76"/>
      <c r="Q126" s="76"/>
      <c r="S126" s="145">
        <v>125.06</v>
      </c>
    </row>
    <row r="127" spans="3:25" ht="12" customHeight="1" x14ac:dyDescent="0.2">
      <c r="H127" s="156" t="s">
        <v>148</v>
      </c>
      <c r="I127" s="156"/>
      <c r="J127" s="156"/>
      <c r="K127" s="156"/>
      <c r="L127" s="156"/>
      <c r="M127" s="156"/>
      <c r="N127" s="156"/>
      <c r="O127" s="156"/>
      <c r="P127" s="156"/>
      <c r="U127" s="157">
        <f>SUM(S88:S126)</f>
        <v>57970635.369999997</v>
      </c>
      <c r="V127" s="157"/>
      <c r="W127" s="157"/>
      <c r="Y127" s="77"/>
    </row>
    <row r="128" spans="3:25" ht="12" customHeight="1" x14ac:dyDescent="0.2"/>
    <row r="129" spans="1:23" ht="12" customHeight="1" x14ac:dyDescent="0.2">
      <c r="B129" s="156" t="s">
        <v>149</v>
      </c>
      <c r="C129" s="156"/>
      <c r="D129" s="156"/>
      <c r="E129" s="156"/>
      <c r="F129" s="156"/>
      <c r="G129" s="156"/>
      <c r="H129" s="156"/>
      <c r="I129" s="156"/>
      <c r="J129" s="156"/>
      <c r="K129" s="156"/>
    </row>
    <row r="130" spans="1:23" ht="12" customHeight="1" x14ac:dyDescent="0.2">
      <c r="B130" s="144"/>
      <c r="C130" s="158">
        <v>2403</v>
      </c>
      <c r="D130" s="158"/>
      <c r="E130" s="158"/>
      <c r="F130" s="158"/>
      <c r="G130" s="144"/>
      <c r="H130" s="158" t="s">
        <v>665</v>
      </c>
      <c r="I130" s="158"/>
      <c r="J130" s="158"/>
      <c r="K130" s="158"/>
      <c r="L130" s="158"/>
      <c r="M130" s="158"/>
      <c r="N130" s="158"/>
      <c r="O130" s="158"/>
      <c r="P130" s="158"/>
      <c r="Q130" s="158"/>
      <c r="S130" s="145">
        <v>250000</v>
      </c>
    </row>
    <row r="131" spans="1:23" ht="12" customHeight="1" x14ac:dyDescent="0.2">
      <c r="B131" s="144"/>
      <c r="C131" s="158">
        <v>2404</v>
      </c>
      <c r="D131" s="158"/>
      <c r="E131" s="158"/>
      <c r="F131" s="158"/>
      <c r="G131" s="144"/>
      <c r="H131" s="158" t="s">
        <v>666</v>
      </c>
      <c r="I131" s="158"/>
      <c r="J131" s="158"/>
      <c r="K131" s="158"/>
      <c r="L131" s="158"/>
      <c r="M131" s="158"/>
      <c r="N131" s="158"/>
      <c r="O131" s="158"/>
      <c r="P131" s="158"/>
      <c r="Q131" s="158"/>
      <c r="S131" s="145">
        <v>500000</v>
      </c>
    </row>
    <row r="132" spans="1:23" ht="12" customHeight="1" x14ac:dyDescent="0.2">
      <c r="C132" s="158" t="s">
        <v>150</v>
      </c>
      <c r="D132" s="158"/>
      <c r="E132" s="158"/>
      <c r="F132" s="158"/>
      <c r="H132" s="158" t="s">
        <v>151</v>
      </c>
      <c r="I132" s="158"/>
      <c r="J132" s="158"/>
      <c r="K132" s="158"/>
      <c r="L132" s="158"/>
      <c r="M132" s="158"/>
      <c r="N132" s="158"/>
      <c r="O132" s="158"/>
      <c r="P132" s="158"/>
      <c r="Q132" s="158"/>
      <c r="S132" s="145">
        <v>0</v>
      </c>
    </row>
    <row r="133" spans="1:23" ht="12" customHeight="1" x14ac:dyDescent="0.2">
      <c r="C133" s="158" t="s">
        <v>152</v>
      </c>
      <c r="D133" s="158"/>
      <c r="E133" s="158"/>
      <c r="F133" s="158"/>
      <c r="H133" s="158" t="s">
        <v>153</v>
      </c>
      <c r="I133" s="158"/>
      <c r="J133" s="158"/>
      <c r="K133" s="158"/>
      <c r="L133" s="158"/>
      <c r="M133" s="158"/>
      <c r="N133" s="158"/>
      <c r="O133" s="158"/>
      <c r="P133" s="158"/>
      <c r="Q133" s="158"/>
      <c r="S133" s="145">
        <v>16821.72</v>
      </c>
    </row>
    <row r="134" spans="1:23" ht="12" customHeight="1" x14ac:dyDescent="0.2">
      <c r="C134" s="158" t="s">
        <v>154</v>
      </c>
      <c r="D134" s="158"/>
      <c r="E134" s="158"/>
      <c r="F134" s="158"/>
      <c r="H134" s="158" t="s">
        <v>155</v>
      </c>
      <c r="I134" s="158"/>
      <c r="J134" s="158"/>
      <c r="K134" s="158"/>
      <c r="L134" s="158"/>
      <c r="M134" s="158"/>
      <c r="N134" s="158"/>
      <c r="O134" s="158"/>
      <c r="P134" s="158"/>
      <c r="Q134" s="158"/>
      <c r="S134" s="145">
        <v>4362.71</v>
      </c>
    </row>
    <row r="135" spans="1:23" ht="12" customHeight="1" x14ac:dyDescent="0.2">
      <c r="C135" s="158" t="s">
        <v>156</v>
      </c>
      <c r="D135" s="158"/>
      <c r="E135" s="158"/>
      <c r="F135" s="158"/>
      <c r="H135" s="158" t="s">
        <v>157</v>
      </c>
      <c r="I135" s="158"/>
      <c r="J135" s="158"/>
      <c r="K135" s="158"/>
      <c r="L135" s="158"/>
      <c r="M135" s="158"/>
      <c r="N135" s="158"/>
      <c r="O135" s="158"/>
      <c r="P135" s="158"/>
      <c r="Q135" s="158"/>
      <c r="S135" s="145">
        <v>19902</v>
      </c>
    </row>
    <row r="136" spans="1:23" ht="12" customHeight="1" x14ac:dyDescent="0.2">
      <c r="C136" s="143"/>
      <c r="D136" s="143"/>
      <c r="E136" s="143"/>
      <c r="F136" s="143"/>
      <c r="H136" s="143"/>
      <c r="I136" s="143"/>
      <c r="J136" s="143"/>
      <c r="K136" s="143"/>
      <c r="L136" s="143"/>
      <c r="M136" s="143"/>
      <c r="N136" s="143"/>
      <c r="O136" s="143"/>
      <c r="P136" s="143"/>
      <c r="Q136" s="143"/>
      <c r="S136" s="145"/>
    </row>
    <row r="137" spans="1:23" ht="12" customHeight="1" x14ac:dyDescent="0.2">
      <c r="H137" s="156" t="s">
        <v>158</v>
      </c>
      <c r="I137" s="156"/>
      <c r="J137" s="156"/>
      <c r="K137" s="156"/>
      <c r="L137" s="156"/>
      <c r="M137" s="156"/>
      <c r="N137" s="156"/>
      <c r="O137" s="156"/>
      <c r="P137" s="156"/>
      <c r="U137" s="160">
        <f>SUM(S130:S135)</f>
        <v>791086.42999999993</v>
      </c>
      <c r="V137" s="160"/>
      <c r="W137" s="160"/>
    </row>
    <row r="138" spans="1:23" ht="12" customHeight="1" x14ac:dyDescent="0.2"/>
    <row r="139" spans="1:23" ht="12" customHeight="1" x14ac:dyDescent="0.2">
      <c r="I139" s="156" t="s">
        <v>159</v>
      </c>
      <c r="J139" s="156"/>
      <c r="K139" s="156"/>
      <c r="L139" s="156"/>
      <c r="M139" s="156"/>
      <c r="N139" s="156"/>
      <c r="O139" s="156"/>
      <c r="P139" s="156"/>
      <c r="U139" s="157">
        <f>U127+U137</f>
        <v>58761721.799999997</v>
      </c>
      <c r="V139" s="157"/>
      <c r="W139" s="157"/>
    </row>
    <row r="140" spans="1:23" ht="12" customHeight="1" x14ac:dyDescent="0.2"/>
    <row r="141" spans="1:23" ht="12" customHeight="1" x14ac:dyDescent="0.2">
      <c r="A141" s="156" t="s">
        <v>160</v>
      </c>
      <c r="B141" s="156"/>
      <c r="C141" s="156"/>
      <c r="D141" s="156"/>
      <c r="E141" s="156"/>
      <c r="F141" s="156"/>
      <c r="G141" s="156"/>
      <c r="H141" s="156"/>
      <c r="I141" s="156"/>
      <c r="J141" s="156"/>
      <c r="K141" s="156"/>
      <c r="L141" s="156"/>
      <c r="M141" s="156"/>
    </row>
    <row r="142" spans="1:23" ht="12" customHeight="1" x14ac:dyDescent="0.2">
      <c r="C142" s="158" t="s">
        <v>161</v>
      </c>
      <c r="D142" s="158"/>
      <c r="E142" s="158"/>
      <c r="F142" s="158"/>
      <c r="H142" s="158" t="s">
        <v>162</v>
      </c>
      <c r="I142" s="158"/>
      <c r="J142" s="158"/>
      <c r="K142" s="158"/>
      <c r="L142" s="158"/>
      <c r="M142" s="158"/>
      <c r="N142" s="158"/>
      <c r="O142" s="158"/>
      <c r="P142" s="158"/>
      <c r="Q142" s="158"/>
      <c r="S142" s="145">
        <v>152325</v>
      </c>
    </row>
    <row r="143" spans="1:23" ht="12" customHeight="1" x14ac:dyDescent="0.2">
      <c r="C143" s="158" t="s">
        <v>163</v>
      </c>
      <c r="D143" s="158"/>
      <c r="E143" s="158"/>
      <c r="F143" s="158"/>
      <c r="H143" s="158" t="s">
        <v>164</v>
      </c>
      <c r="I143" s="158"/>
      <c r="J143" s="158"/>
      <c r="K143" s="158"/>
      <c r="L143" s="158"/>
      <c r="M143" s="158"/>
      <c r="N143" s="158"/>
      <c r="O143" s="158"/>
      <c r="P143" s="158"/>
      <c r="Q143" s="158"/>
      <c r="S143" s="145">
        <v>1709758</v>
      </c>
    </row>
    <row r="144" spans="1:23" ht="12" customHeight="1" x14ac:dyDescent="0.2">
      <c r="C144" s="158" t="s">
        <v>165</v>
      </c>
      <c r="D144" s="158"/>
      <c r="E144" s="158"/>
      <c r="F144" s="158"/>
      <c r="H144" s="158" t="s">
        <v>166</v>
      </c>
      <c r="I144" s="158"/>
      <c r="J144" s="158"/>
      <c r="K144" s="158"/>
      <c r="L144" s="158"/>
      <c r="M144" s="158"/>
      <c r="N144" s="158"/>
      <c r="O144" s="158"/>
      <c r="P144" s="158"/>
      <c r="Q144" s="158"/>
      <c r="S144" s="145">
        <v>4737181.4800000004</v>
      </c>
    </row>
    <row r="145" spans="3:23" ht="11.25" customHeight="1" x14ac:dyDescent="0.2">
      <c r="C145" s="158" t="s">
        <v>165</v>
      </c>
      <c r="D145" s="158"/>
      <c r="E145" s="158"/>
      <c r="F145" s="158"/>
      <c r="H145" s="158" t="s">
        <v>167</v>
      </c>
      <c r="I145" s="158"/>
      <c r="J145" s="158"/>
      <c r="K145" s="158"/>
      <c r="L145" s="158"/>
      <c r="M145" s="158"/>
      <c r="N145" s="158"/>
      <c r="O145" s="158"/>
      <c r="P145" s="158"/>
      <c r="Q145" s="158"/>
      <c r="S145" s="145">
        <v>-51086.91</v>
      </c>
    </row>
    <row r="146" spans="3:23" ht="11.25" customHeight="1" x14ac:dyDescent="0.2">
      <c r="C146" s="159" t="s">
        <v>546</v>
      </c>
      <c r="D146" s="158"/>
      <c r="E146" s="158"/>
      <c r="F146" s="158"/>
      <c r="H146" s="158" t="s">
        <v>547</v>
      </c>
      <c r="I146" s="158"/>
      <c r="J146" s="158"/>
      <c r="K146" s="158"/>
      <c r="L146" s="158"/>
      <c r="M146" s="158"/>
      <c r="N146" s="158"/>
      <c r="O146" s="158"/>
      <c r="P146" s="158"/>
      <c r="Q146" s="158"/>
      <c r="S146" s="145">
        <v>0</v>
      </c>
    </row>
    <row r="147" spans="3:23" ht="12" customHeight="1" x14ac:dyDescent="0.2">
      <c r="C147" s="158" t="s">
        <v>168</v>
      </c>
      <c r="D147" s="158"/>
      <c r="E147" s="158"/>
      <c r="F147" s="158"/>
      <c r="H147" s="158" t="s">
        <v>169</v>
      </c>
      <c r="I147" s="158"/>
      <c r="J147" s="158"/>
      <c r="K147" s="158"/>
      <c r="L147" s="158"/>
      <c r="M147" s="158"/>
      <c r="N147" s="158"/>
      <c r="O147" s="158"/>
      <c r="P147" s="158"/>
      <c r="Q147" s="158"/>
      <c r="S147" s="145">
        <v>0</v>
      </c>
    </row>
    <row r="148" spans="3:23" ht="12" customHeight="1" x14ac:dyDescent="0.2">
      <c r="C148" s="158" t="s">
        <v>170</v>
      </c>
      <c r="D148" s="158"/>
      <c r="E148" s="158"/>
      <c r="F148" s="158"/>
      <c r="H148" s="158" t="s">
        <v>171</v>
      </c>
      <c r="I148" s="158"/>
      <c r="J148" s="158"/>
      <c r="K148" s="158"/>
      <c r="L148" s="158"/>
      <c r="M148" s="158"/>
      <c r="N148" s="158"/>
      <c r="O148" s="158"/>
      <c r="P148" s="158"/>
      <c r="Q148" s="158"/>
      <c r="S148" s="145">
        <v>-6000</v>
      </c>
    </row>
    <row r="149" spans="3:23" ht="12" customHeight="1" x14ac:dyDescent="0.2">
      <c r="C149" s="158" t="s">
        <v>172</v>
      </c>
      <c r="D149" s="158"/>
      <c r="E149" s="158"/>
      <c r="F149" s="158"/>
      <c r="H149" s="158" t="s">
        <v>173</v>
      </c>
      <c r="I149" s="158"/>
      <c r="J149" s="158"/>
      <c r="K149" s="158"/>
      <c r="L149" s="158"/>
      <c r="M149" s="158"/>
      <c r="N149" s="158"/>
      <c r="O149" s="158"/>
      <c r="P149" s="158"/>
      <c r="Q149" s="158"/>
      <c r="S149" s="145">
        <v>-6000</v>
      </c>
    </row>
    <row r="150" spans="3:23" ht="12" customHeight="1" x14ac:dyDescent="0.2">
      <c r="C150" s="158" t="s">
        <v>174</v>
      </c>
      <c r="D150" s="158"/>
      <c r="E150" s="158"/>
      <c r="F150" s="158"/>
      <c r="H150" s="158" t="s">
        <v>175</v>
      </c>
      <c r="I150" s="158"/>
      <c r="J150" s="158"/>
      <c r="K150" s="158"/>
      <c r="L150" s="158"/>
      <c r="M150" s="158"/>
      <c r="N150" s="158"/>
      <c r="O150" s="158"/>
      <c r="P150" s="158"/>
      <c r="Q150" s="158"/>
      <c r="S150" s="78">
        <v>-6000</v>
      </c>
    </row>
    <row r="151" spans="3:23" ht="12" customHeight="1" x14ac:dyDescent="0.2">
      <c r="C151" s="158">
        <v>3554</v>
      </c>
      <c r="D151" s="158"/>
      <c r="E151" s="158"/>
      <c r="F151" s="158"/>
      <c r="H151" s="158" t="s">
        <v>232</v>
      </c>
      <c r="I151" s="158"/>
      <c r="J151" s="158"/>
      <c r="K151" s="158"/>
      <c r="L151" s="158"/>
      <c r="M151" s="158"/>
      <c r="N151" s="158"/>
      <c r="O151" s="158"/>
      <c r="P151" s="158"/>
      <c r="Q151" s="158"/>
      <c r="S151" s="147">
        <v>0</v>
      </c>
    </row>
    <row r="152" spans="3:23" ht="12" customHeight="1" x14ac:dyDescent="0.2">
      <c r="I152" s="156" t="s">
        <v>176</v>
      </c>
      <c r="J152" s="156"/>
      <c r="K152" s="156"/>
      <c r="L152" s="156"/>
      <c r="M152" s="156"/>
      <c r="N152" s="156"/>
      <c r="O152" s="156"/>
      <c r="P152" s="156"/>
      <c r="U152" s="157">
        <f>SUM(S142:S151)</f>
        <v>6530177.5700000003</v>
      </c>
      <c r="V152" s="157"/>
      <c r="W152" s="157"/>
    </row>
    <row r="153" spans="3:23" ht="12" customHeight="1" x14ac:dyDescent="0.2">
      <c r="I153" s="156" t="s">
        <v>177</v>
      </c>
      <c r="J153" s="156"/>
      <c r="K153" s="156"/>
      <c r="L153" s="156"/>
      <c r="M153" s="156"/>
      <c r="N153" s="156"/>
      <c r="O153" s="156"/>
      <c r="P153" s="156"/>
    </row>
    <row r="154" spans="3:23" ht="12" customHeight="1" thickBot="1" x14ac:dyDescent="0.25">
      <c r="I154" s="156"/>
      <c r="J154" s="156"/>
      <c r="K154" s="156"/>
      <c r="L154" s="156"/>
      <c r="M154" s="156"/>
      <c r="N154" s="156"/>
      <c r="O154" s="156"/>
      <c r="P154" s="156"/>
      <c r="U154" s="161">
        <f>U139+U152</f>
        <v>65291899.369999997</v>
      </c>
      <c r="V154" s="161"/>
      <c r="W154" s="161"/>
    </row>
    <row r="155" spans="3:23" ht="12" customHeight="1" thickTop="1" x14ac:dyDescent="0.2">
      <c r="U155" s="157"/>
      <c r="V155" s="157"/>
      <c r="W155" s="157"/>
    </row>
    <row r="156" spans="3:23" ht="12" customHeight="1" x14ac:dyDescent="0.2">
      <c r="U156" s="157"/>
      <c r="V156" s="157"/>
      <c r="W156" s="157"/>
    </row>
    <row r="157" spans="3:23" ht="12" customHeight="1" x14ac:dyDescent="0.2">
      <c r="S157" s="75" t="s">
        <v>405</v>
      </c>
      <c r="U157" s="157">
        <f>U83-U154</f>
        <v>0</v>
      </c>
      <c r="V157" s="157"/>
      <c r="W157" s="157"/>
    </row>
    <row r="158" spans="3:23" ht="12" customHeight="1" x14ac:dyDescent="0.2"/>
    <row r="159" spans="3:23" ht="12" customHeight="1" x14ac:dyDescent="0.2"/>
    <row r="160" spans="3:23" ht="12" customHeight="1" x14ac:dyDescent="0.2"/>
  </sheetData>
  <mergeCells count="187">
    <mergeCell ref="C21:F21"/>
    <mergeCell ref="C22:F22"/>
    <mergeCell ref="C23:F23"/>
    <mergeCell ref="C65:F65"/>
    <mergeCell ref="H65:Q65"/>
    <mergeCell ref="C66:F66"/>
    <mergeCell ref="H66:Q66"/>
    <mergeCell ref="C67:F67"/>
    <mergeCell ref="H67:Q67"/>
    <mergeCell ref="C27:F27"/>
    <mergeCell ref="H59:P59"/>
    <mergeCell ref="C63:F63"/>
    <mergeCell ref="H63:Q63"/>
    <mergeCell ref="C64:F64"/>
    <mergeCell ref="H64:Q64"/>
    <mergeCell ref="C38:F38"/>
    <mergeCell ref="C53:F53"/>
    <mergeCell ref="C42:F42"/>
    <mergeCell ref="C73:F73"/>
    <mergeCell ref="H73:Q73"/>
    <mergeCell ref="C75:F75"/>
    <mergeCell ref="H75:Q75"/>
    <mergeCell ref="C78:F78"/>
    <mergeCell ref="H78:Q78"/>
    <mergeCell ref="C106:F106"/>
    <mergeCell ref="C79:F79"/>
    <mergeCell ref="C77:F77"/>
    <mergeCell ref="H77:Q77"/>
    <mergeCell ref="C74:F74"/>
    <mergeCell ref="C68:F68"/>
    <mergeCell ref="H68:Q68"/>
    <mergeCell ref="C69:F69"/>
    <mergeCell ref="H69:Q69"/>
    <mergeCell ref="C70:F70"/>
    <mergeCell ref="H70:Q70"/>
    <mergeCell ref="C71:F71"/>
    <mergeCell ref="H71:Q71"/>
    <mergeCell ref="C72:F72"/>
    <mergeCell ref="H72:Q72"/>
    <mergeCell ref="A1:X1"/>
    <mergeCell ref="A3:X3"/>
    <mergeCell ref="A4:X4"/>
    <mergeCell ref="A5:M5"/>
    <mergeCell ref="B7:K7"/>
    <mergeCell ref="C10:F10"/>
    <mergeCell ref="C14:F14"/>
    <mergeCell ref="C15:F15"/>
    <mergeCell ref="C16:F16"/>
    <mergeCell ref="C11:F11"/>
    <mergeCell ref="C12:F12"/>
    <mergeCell ref="C13:F13"/>
    <mergeCell ref="C17:F17"/>
    <mergeCell ref="C9:F9"/>
    <mergeCell ref="C37:F37"/>
    <mergeCell ref="C40:F40"/>
    <mergeCell ref="C43:F43"/>
    <mergeCell ref="C50:F50"/>
    <mergeCell ref="C51:F51"/>
    <mergeCell ref="C28:F28"/>
    <mergeCell ref="C29:F29"/>
    <mergeCell ref="C24:F24"/>
    <mergeCell ref="C25:F25"/>
    <mergeCell ref="C26:F26"/>
    <mergeCell ref="C34:F34"/>
    <mergeCell ref="C35:F35"/>
    <mergeCell ref="C36:F36"/>
    <mergeCell ref="C30:F30"/>
    <mergeCell ref="C32:F32"/>
    <mergeCell ref="C33:F33"/>
    <mergeCell ref="C31:F31"/>
    <mergeCell ref="C41:F41"/>
    <mergeCell ref="C39:F39"/>
    <mergeCell ref="C18:F18"/>
    <mergeCell ref="C19:F19"/>
    <mergeCell ref="C20:F20"/>
    <mergeCell ref="U59:W59"/>
    <mergeCell ref="C47:F47"/>
    <mergeCell ref="C48:F48"/>
    <mergeCell ref="C49:F49"/>
    <mergeCell ref="C57:F57"/>
    <mergeCell ref="B61:K61"/>
    <mergeCell ref="C58:F58"/>
    <mergeCell ref="C44:F44"/>
    <mergeCell ref="C45:F45"/>
    <mergeCell ref="C46:F46"/>
    <mergeCell ref="C54:F54"/>
    <mergeCell ref="C52:F52"/>
    <mergeCell ref="H79:Q79"/>
    <mergeCell ref="H80:P80"/>
    <mergeCell ref="C76:F76"/>
    <mergeCell ref="H76:Q76"/>
    <mergeCell ref="C96:F96"/>
    <mergeCell ref="C98:F98"/>
    <mergeCell ref="C99:F99"/>
    <mergeCell ref="C115:F115"/>
    <mergeCell ref="C108:F108"/>
    <mergeCell ref="C110:F110"/>
    <mergeCell ref="C111:F111"/>
    <mergeCell ref="C103:F103"/>
    <mergeCell ref="C105:F105"/>
    <mergeCell ref="C107:F107"/>
    <mergeCell ref="C100:F100"/>
    <mergeCell ref="C101:F101"/>
    <mergeCell ref="C102:F102"/>
    <mergeCell ref="C112:F112"/>
    <mergeCell ref="C113:F113"/>
    <mergeCell ref="C114:F114"/>
    <mergeCell ref="C95:F95"/>
    <mergeCell ref="C104:F104"/>
    <mergeCell ref="C93:F93"/>
    <mergeCell ref="C94:F94"/>
    <mergeCell ref="U80:W80"/>
    <mergeCell ref="C89:F89"/>
    <mergeCell ref="C90:F90"/>
    <mergeCell ref="C92:F92"/>
    <mergeCell ref="I83:P83"/>
    <mergeCell ref="U83:W83"/>
    <mergeCell ref="A85:M85"/>
    <mergeCell ref="B87:K87"/>
    <mergeCell ref="C88:F88"/>
    <mergeCell ref="D82:G82"/>
    <mergeCell ref="H82:Q82"/>
    <mergeCell ref="C91:F91"/>
    <mergeCell ref="C117:F117"/>
    <mergeCell ref="H119:Q119"/>
    <mergeCell ref="H120:Q120"/>
    <mergeCell ref="H121:Q121"/>
    <mergeCell ref="H133:Q133"/>
    <mergeCell ref="H134:Q134"/>
    <mergeCell ref="C118:F118"/>
    <mergeCell ref="H118:Q118"/>
    <mergeCell ref="H127:P127"/>
    <mergeCell ref="C122:F122"/>
    <mergeCell ref="C123:F123"/>
    <mergeCell ref="C131:F131"/>
    <mergeCell ref="C130:F130"/>
    <mergeCell ref="H131:Q131"/>
    <mergeCell ref="H130:Q130"/>
    <mergeCell ref="H117:Q117"/>
    <mergeCell ref="C116:F116"/>
    <mergeCell ref="C119:F119"/>
    <mergeCell ref="C120:F120"/>
    <mergeCell ref="C121:F121"/>
    <mergeCell ref="C124:F124"/>
    <mergeCell ref="C126:F126"/>
    <mergeCell ref="C109:F109"/>
    <mergeCell ref="C125:F125"/>
    <mergeCell ref="U157:W157"/>
    <mergeCell ref="I152:P152"/>
    <mergeCell ref="U152:W152"/>
    <mergeCell ref="I153:P154"/>
    <mergeCell ref="U154:W154"/>
    <mergeCell ref="U155:W155"/>
    <mergeCell ref="H148:Q148"/>
    <mergeCell ref="C149:F149"/>
    <mergeCell ref="H149:Q149"/>
    <mergeCell ref="C150:F150"/>
    <mergeCell ref="H150:Q150"/>
    <mergeCell ref="C151:F151"/>
    <mergeCell ref="H151:Q151"/>
    <mergeCell ref="C147:F147"/>
    <mergeCell ref="C148:F148"/>
    <mergeCell ref="H147:Q147"/>
    <mergeCell ref="I139:P139"/>
    <mergeCell ref="U139:W139"/>
    <mergeCell ref="A141:M141"/>
    <mergeCell ref="U156:W156"/>
    <mergeCell ref="C142:F142"/>
    <mergeCell ref="H142:Q142"/>
    <mergeCell ref="C143:F143"/>
    <mergeCell ref="U127:W127"/>
    <mergeCell ref="B129:K129"/>
    <mergeCell ref="C132:F132"/>
    <mergeCell ref="H132:Q132"/>
    <mergeCell ref="C134:F134"/>
    <mergeCell ref="C133:F133"/>
    <mergeCell ref="H143:Q143"/>
    <mergeCell ref="C146:F146"/>
    <mergeCell ref="H146:Q146"/>
    <mergeCell ref="H137:P137"/>
    <mergeCell ref="C144:F144"/>
    <mergeCell ref="H144:Q144"/>
    <mergeCell ref="C145:F145"/>
    <mergeCell ref="H145:Q145"/>
    <mergeCell ref="U137:W137"/>
    <mergeCell ref="C135:F135"/>
    <mergeCell ref="H135:Q135"/>
  </mergeCells>
  <pageMargins left="0.5" right="0.5" top="0.25" bottom="0.65" header="0" footer="0"/>
  <pageSetup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  <outlinePr summaryBelow="0"/>
    <pageSetUpPr autoPageBreaks="0"/>
  </sheetPr>
  <dimension ref="A1:X70"/>
  <sheetViews>
    <sheetView showGridLines="0" workbookViewId="0">
      <selection activeCell="AC67" sqref="AC67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0.85546875" style="75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1.7109375" style="75" bestFit="1" customWidth="1"/>
    <col min="20" max="20" width="2.28515625" style="75" customWidth="1"/>
    <col min="21" max="21" width="1.28515625" style="75" customWidth="1"/>
    <col min="22" max="22" width="6.28515625" style="75" customWidth="1"/>
    <col min="23" max="23" width="3.140625" style="75" customWidth="1"/>
    <col min="24" max="24" width="1.28515625" style="75" customWidth="1"/>
    <col min="25" max="16384" width="5.28515625" style="75"/>
  </cols>
  <sheetData>
    <row r="1" spans="1:24" ht="12" customHeight="1" x14ac:dyDescent="0.2">
      <c r="A1" s="164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</row>
    <row r="2" spans="1:24" ht="12" customHeight="1" x14ac:dyDescent="0.2">
      <c r="A2" s="164" t="s">
        <v>721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</row>
    <row r="3" spans="1:24" ht="12" customHeight="1" x14ac:dyDescent="0.2">
      <c r="A3" s="165" t="s">
        <v>194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</row>
    <row r="4" spans="1:24" ht="12" customHeight="1" x14ac:dyDescent="0.2"/>
    <row r="5" spans="1:24" ht="12" customHeight="1" x14ac:dyDescent="0.2">
      <c r="A5" s="156" t="s">
        <v>2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</row>
    <row r="6" spans="1:24" ht="12" customHeight="1" x14ac:dyDescent="0.2">
      <c r="B6" s="156" t="s">
        <v>3</v>
      </c>
      <c r="C6" s="156"/>
      <c r="D6" s="156"/>
      <c r="E6" s="156"/>
      <c r="F6" s="156"/>
      <c r="G6" s="156"/>
      <c r="H6" s="156"/>
      <c r="I6" s="156"/>
      <c r="J6" s="156"/>
      <c r="K6" s="156"/>
    </row>
    <row r="7" spans="1:24" ht="12" customHeight="1" x14ac:dyDescent="0.2">
      <c r="C7" s="158" t="s">
        <v>6</v>
      </c>
      <c r="D7" s="158"/>
      <c r="E7" s="158"/>
      <c r="F7" s="158"/>
      <c r="H7" s="158" t="s">
        <v>195</v>
      </c>
      <c r="I7" s="158"/>
      <c r="J7" s="158"/>
      <c r="K7" s="158"/>
      <c r="L7" s="158"/>
      <c r="M7" s="158"/>
      <c r="N7" s="158"/>
      <c r="O7" s="158"/>
      <c r="P7" s="158"/>
      <c r="Q7" s="158"/>
      <c r="S7" s="125">
        <v>1474637.76</v>
      </c>
    </row>
    <row r="8" spans="1:24" ht="12" customHeight="1" x14ac:dyDescent="0.2">
      <c r="C8" s="158" t="s">
        <v>16</v>
      </c>
      <c r="D8" s="158"/>
      <c r="E8" s="158"/>
      <c r="F8" s="158"/>
      <c r="H8" s="158" t="s">
        <v>17</v>
      </c>
      <c r="I8" s="158"/>
      <c r="J8" s="158"/>
      <c r="K8" s="158"/>
      <c r="L8" s="158"/>
      <c r="M8" s="158"/>
      <c r="N8" s="158"/>
      <c r="O8" s="158"/>
      <c r="P8" s="158"/>
      <c r="Q8" s="158"/>
      <c r="S8" s="125">
        <v>1017.77</v>
      </c>
    </row>
    <row r="9" spans="1:24" ht="12" customHeight="1" x14ac:dyDescent="0.2">
      <c r="A9" s="75">
        <v>1235</v>
      </c>
      <c r="C9" s="158" t="s">
        <v>182</v>
      </c>
      <c r="D9" s="158"/>
      <c r="E9" s="158"/>
      <c r="F9" s="158"/>
      <c r="H9" s="158" t="s">
        <v>61</v>
      </c>
      <c r="I9" s="158"/>
      <c r="J9" s="158"/>
      <c r="K9" s="158"/>
      <c r="L9" s="158"/>
      <c r="M9" s="158"/>
      <c r="N9" s="158"/>
      <c r="O9" s="158"/>
      <c r="P9" s="158"/>
      <c r="Q9" s="158"/>
      <c r="S9" s="125">
        <v>0</v>
      </c>
    </row>
    <row r="10" spans="1:24" ht="12" customHeight="1" x14ac:dyDescent="0.2">
      <c r="C10" s="158" t="s">
        <v>182</v>
      </c>
      <c r="D10" s="158"/>
      <c r="E10" s="158"/>
      <c r="F10" s="158"/>
      <c r="H10" s="158" t="s">
        <v>183</v>
      </c>
      <c r="I10" s="158"/>
      <c r="J10" s="158"/>
      <c r="K10" s="158"/>
      <c r="L10" s="158"/>
      <c r="M10" s="158"/>
      <c r="N10" s="158"/>
      <c r="O10" s="158"/>
      <c r="P10" s="158"/>
      <c r="Q10" s="158"/>
      <c r="S10" s="150">
        <v>5700000</v>
      </c>
    </row>
    <row r="11" spans="1:24" ht="12" customHeight="1" x14ac:dyDescent="0.2">
      <c r="C11" s="158">
        <v>1239</v>
      </c>
      <c r="D11" s="158"/>
      <c r="E11" s="158"/>
      <c r="F11" s="158"/>
      <c r="H11" s="158" t="s">
        <v>45</v>
      </c>
      <c r="I11" s="158"/>
      <c r="J11" s="158"/>
      <c r="K11" s="158"/>
      <c r="L11" s="158"/>
      <c r="M11" s="158"/>
      <c r="N11" s="158"/>
      <c r="O11" s="158"/>
      <c r="P11" s="158"/>
      <c r="Q11" s="158"/>
      <c r="S11" s="125">
        <v>6322.32</v>
      </c>
    </row>
    <row r="12" spans="1:24" ht="12" customHeight="1" x14ac:dyDescent="0.2">
      <c r="C12" s="158" t="s">
        <v>46</v>
      </c>
      <c r="D12" s="158"/>
      <c r="E12" s="158"/>
      <c r="F12" s="158"/>
      <c r="H12" s="158" t="s">
        <v>196</v>
      </c>
      <c r="I12" s="158"/>
      <c r="J12" s="158"/>
      <c r="K12" s="158"/>
      <c r="L12" s="158"/>
      <c r="M12" s="158"/>
      <c r="N12" s="158"/>
      <c r="O12" s="158"/>
      <c r="P12" s="158"/>
      <c r="Q12" s="158"/>
      <c r="S12" s="125">
        <v>10509</v>
      </c>
    </row>
    <row r="13" spans="1:24" ht="12" customHeight="1" x14ac:dyDescent="0.2">
      <c r="C13" s="158" t="s">
        <v>48</v>
      </c>
      <c r="D13" s="158"/>
      <c r="E13" s="158"/>
      <c r="F13" s="158"/>
      <c r="H13" s="94" t="s">
        <v>49</v>
      </c>
      <c r="I13" s="124"/>
      <c r="J13" s="124"/>
      <c r="K13" s="124"/>
      <c r="L13" s="124"/>
      <c r="M13" s="124"/>
      <c r="N13" s="124"/>
      <c r="O13" s="124"/>
      <c r="P13" s="124"/>
      <c r="Q13" s="124"/>
      <c r="S13" s="125">
        <v>24941.52</v>
      </c>
    </row>
    <row r="14" spans="1:24" ht="12" customHeight="1" x14ac:dyDescent="0.2">
      <c r="C14" s="158">
        <v>1243</v>
      </c>
      <c r="D14" s="158"/>
      <c r="E14" s="158"/>
      <c r="F14" s="158"/>
      <c r="H14" s="124" t="s">
        <v>628</v>
      </c>
      <c r="I14" s="124"/>
      <c r="J14" s="124"/>
      <c r="K14" s="124"/>
      <c r="L14" s="124"/>
      <c r="M14" s="124"/>
      <c r="N14" s="124"/>
      <c r="O14" s="124"/>
      <c r="P14" s="124"/>
      <c r="Q14" s="124"/>
      <c r="S14" s="125"/>
    </row>
    <row r="15" spans="1:24" ht="12" customHeight="1" x14ac:dyDescent="0.2">
      <c r="C15" s="158" t="s">
        <v>197</v>
      </c>
      <c r="D15" s="158"/>
      <c r="E15" s="158"/>
      <c r="F15" s="158"/>
      <c r="H15" s="158" t="s">
        <v>198</v>
      </c>
      <c r="I15" s="158"/>
      <c r="J15" s="158"/>
      <c r="K15" s="158"/>
      <c r="L15" s="158"/>
      <c r="M15" s="158"/>
      <c r="N15" s="158"/>
      <c r="O15" s="158"/>
      <c r="P15" s="158"/>
      <c r="Q15" s="158"/>
      <c r="S15" s="125">
        <v>5819</v>
      </c>
    </row>
    <row r="16" spans="1:24" ht="12" customHeight="1" x14ac:dyDescent="0.2">
      <c r="C16" s="158">
        <v>1251</v>
      </c>
      <c r="D16" s="158"/>
      <c r="E16" s="158"/>
      <c r="F16" s="158"/>
      <c r="H16" s="124" t="s">
        <v>200</v>
      </c>
      <c r="I16" s="124"/>
      <c r="J16" s="124"/>
      <c r="K16" s="124"/>
      <c r="L16" s="124"/>
      <c r="M16" s="124"/>
      <c r="N16" s="124"/>
      <c r="O16" s="124"/>
      <c r="P16" s="124"/>
      <c r="Q16" s="124"/>
      <c r="S16" s="125">
        <v>147315.04999999999</v>
      </c>
    </row>
    <row r="17" spans="2:23" ht="12" customHeight="1" x14ac:dyDescent="0.2">
      <c r="C17" s="158">
        <v>1252</v>
      </c>
      <c r="D17" s="158"/>
      <c r="E17" s="158"/>
      <c r="F17" s="158"/>
      <c r="H17" s="124" t="s">
        <v>531</v>
      </c>
      <c r="I17" s="124"/>
      <c r="J17" s="124"/>
      <c r="K17" s="124"/>
      <c r="L17" s="124"/>
      <c r="M17" s="124"/>
      <c r="N17" s="124"/>
      <c r="O17" s="124"/>
      <c r="P17" s="124"/>
      <c r="Q17" s="124"/>
      <c r="S17" s="125">
        <v>3999.99</v>
      </c>
    </row>
    <row r="18" spans="2:23" ht="12" customHeight="1" x14ac:dyDescent="0.2">
      <c r="C18" s="158">
        <v>1253</v>
      </c>
      <c r="D18" s="158"/>
      <c r="E18" s="158"/>
      <c r="F18" s="158"/>
      <c r="H18" s="124" t="s">
        <v>532</v>
      </c>
      <c r="I18" s="124"/>
      <c r="J18" s="124"/>
      <c r="K18" s="124"/>
      <c r="L18" s="124"/>
      <c r="M18" s="124"/>
      <c r="N18" s="124"/>
      <c r="O18" s="124"/>
      <c r="P18" s="124"/>
      <c r="Q18" s="124"/>
      <c r="S18" s="127">
        <v>30683.62</v>
      </c>
    </row>
    <row r="19" spans="2:23" ht="12" customHeight="1" x14ac:dyDescent="0.2">
      <c r="H19" s="156" t="s">
        <v>73</v>
      </c>
      <c r="I19" s="156"/>
      <c r="J19" s="156"/>
      <c r="K19" s="156"/>
      <c r="L19" s="156"/>
      <c r="M19" s="156"/>
      <c r="N19" s="156"/>
      <c r="O19" s="156"/>
      <c r="P19" s="156"/>
      <c r="U19" s="157">
        <f>SUM(S7:S18)</f>
        <v>7405246.0300000003</v>
      </c>
      <c r="V19" s="157"/>
      <c r="W19" s="157"/>
    </row>
    <row r="20" spans="2:23" ht="12" customHeight="1" x14ac:dyDescent="0.2"/>
    <row r="21" spans="2:23" ht="12" customHeight="1" x14ac:dyDescent="0.2">
      <c r="B21" s="156" t="s">
        <v>74</v>
      </c>
      <c r="C21" s="156"/>
      <c r="D21" s="156"/>
      <c r="E21" s="156"/>
      <c r="F21" s="156"/>
      <c r="G21" s="156"/>
      <c r="H21" s="156"/>
      <c r="I21" s="156"/>
      <c r="J21" s="156"/>
      <c r="K21" s="156"/>
    </row>
    <row r="22" spans="2:23" ht="12" customHeight="1" x14ac:dyDescent="0.2">
      <c r="C22" s="158" t="s">
        <v>75</v>
      </c>
      <c r="D22" s="158"/>
      <c r="E22" s="158"/>
      <c r="F22" s="158"/>
      <c r="H22" s="158" t="s">
        <v>186</v>
      </c>
      <c r="I22" s="158"/>
      <c r="J22" s="158"/>
      <c r="K22" s="158"/>
      <c r="L22" s="158"/>
      <c r="M22" s="158"/>
      <c r="N22" s="158"/>
      <c r="O22" s="158"/>
      <c r="P22" s="158"/>
      <c r="Q22" s="158"/>
      <c r="S22" s="125">
        <v>138413.75</v>
      </c>
    </row>
    <row r="23" spans="2:23" ht="12" customHeight="1" x14ac:dyDescent="0.2">
      <c r="C23" s="158" t="s">
        <v>81</v>
      </c>
      <c r="D23" s="158"/>
      <c r="E23" s="158"/>
      <c r="F23" s="158"/>
      <c r="H23" s="158" t="s">
        <v>201</v>
      </c>
      <c r="I23" s="158"/>
      <c r="J23" s="158"/>
      <c r="K23" s="158"/>
      <c r="L23" s="158"/>
      <c r="M23" s="158"/>
      <c r="N23" s="158"/>
      <c r="O23" s="158"/>
      <c r="P23" s="158"/>
      <c r="Q23" s="158"/>
      <c r="S23" s="125">
        <v>193555.25</v>
      </c>
    </row>
    <row r="24" spans="2:23" ht="12" customHeight="1" x14ac:dyDescent="0.2">
      <c r="C24" s="158" t="s">
        <v>87</v>
      </c>
      <c r="D24" s="158"/>
      <c r="E24" s="158"/>
      <c r="F24" s="158"/>
      <c r="H24" s="158" t="s">
        <v>88</v>
      </c>
      <c r="I24" s="158"/>
      <c r="J24" s="158"/>
      <c r="K24" s="158"/>
      <c r="L24" s="158"/>
      <c r="M24" s="158"/>
      <c r="N24" s="158"/>
      <c r="O24" s="158"/>
      <c r="P24" s="158"/>
      <c r="Q24" s="158"/>
      <c r="S24" s="125">
        <v>722636.64</v>
      </c>
    </row>
    <row r="25" spans="2:23" ht="12" customHeight="1" x14ac:dyDescent="0.2">
      <c r="C25" s="158">
        <v>1335</v>
      </c>
      <c r="D25" s="158"/>
      <c r="E25" s="158"/>
      <c r="F25" s="158"/>
      <c r="H25" s="158" t="s">
        <v>724</v>
      </c>
      <c r="I25" s="158"/>
      <c r="J25" s="158"/>
      <c r="K25" s="158"/>
      <c r="L25" s="158"/>
      <c r="M25" s="158"/>
      <c r="N25" s="158"/>
      <c r="O25" s="158"/>
      <c r="P25" s="158"/>
      <c r="Q25" s="158"/>
      <c r="S25" s="150">
        <v>22262</v>
      </c>
    </row>
    <row r="26" spans="2:23" ht="12" customHeight="1" x14ac:dyDescent="0.2">
      <c r="C26" s="158">
        <v>1335</v>
      </c>
      <c r="D26" s="158"/>
      <c r="E26" s="158"/>
      <c r="F26" s="158"/>
      <c r="H26" s="94" t="s">
        <v>94</v>
      </c>
      <c r="I26" s="124"/>
      <c r="J26" s="124"/>
      <c r="K26" s="124"/>
      <c r="L26" s="124"/>
      <c r="M26" s="124"/>
      <c r="N26" s="124"/>
      <c r="O26" s="124"/>
      <c r="P26" s="124"/>
      <c r="Q26" s="124"/>
      <c r="S26" s="125">
        <v>557749</v>
      </c>
    </row>
    <row r="27" spans="2:23" ht="12" customHeight="1" x14ac:dyDescent="0.2">
      <c r="C27" s="158" t="s">
        <v>99</v>
      </c>
      <c r="D27" s="158"/>
      <c r="E27" s="158"/>
      <c r="F27" s="158"/>
      <c r="H27" s="158" t="s">
        <v>187</v>
      </c>
      <c r="I27" s="158"/>
      <c r="J27" s="158"/>
      <c r="K27" s="158"/>
      <c r="L27" s="158"/>
      <c r="M27" s="158"/>
      <c r="N27" s="158"/>
      <c r="O27" s="158"/>
      <c r="P27" s="158"/>
      <c r="Q27" s="158"/>
      <c r="S27" s="126">
        <v>-837890.12</v>
      </c>
    </row>
    <row r="28" spans="2:23" ht="12" customHeight="1" x14ac:dyDescent="0.2">
      <c r="H28" s="156" t="s">
        <v>103</v>
      </c>
      <c r="I28" s="156"/>
      <c r="J28" s="156"/>
      <c r="K28" s="156"/>
      <c r="L28" s="156"/>
      <c r="M28" s="156"/>
      <c r="N28" s="156"/>
      <c r="O28" s="156"/>
      <c r="P28" s="156"/>
      <c r="U28" s="160">
        <f>SUM(S22:S27)</f>
        <v>796726.52000000014</v>
      </c>
      <c r="V28" s="160"/>
      <c r="W28" s="160"/>
    </row>
    <row r="29" spans="2:23" ht="12" customHeight="1" x14ac:dyDescent="0.2"/>
    <row r="30" spans="2:23" ht="12" customHeight="1" x14ac:dyDescent="0.2">
      <c r="B30" s="156" t="s">
        <v>218</v>
      </c>
      <c r="C30" s="156"/>
      <c r="D30" s="156"/>
      <c r="E30" s="156"/>
      <c r="F30" s="156"/>
      <c r="G30" s="156"/>
      <c r="H30" s="156"/>
      <c r="I30" s="156"/>
      <c r="J30" s="156"/>
      <c r="K30" s="156"/>
      <c r="L30" s="133"/>
      <c r="M30" s="133"/>
      <c r="N30" s="133"/>
      <c r="O30" s="133"/>
      <c r="P30" s="133"/>
      <c r="U30" s="78"/>
      <c r="V30" s="78"/>
      <c r="W30" s="78"/>
    </row>
    <row r="31" spans="2:23" ht="12" customHeight="1" x14ac:dyDescent="0.2">
      <c r="C31" s="158">
        <v>1420</v>
      </c>
      <c r="D31" s="158"/>
      <c r="E31" s="158"/>
      <c r="F31" s="158"/>
      <c r="H31" s="158" t="s">
        <v>698</v>
      </c>
      <c r="I31" s="158"/>
      <c r="J31" s="158"/>
      <c r="K31" s="158"/>
      <c r="L31" s="158"/>
      <c r="M31" s="158"/>
      <c r="N31" s="158"/>
      <c r="O31" s="158"/>
      <c r="P31" s="158"/>
      <c r="Q31" s="158"/>
      <c r="S31" s="141">
        <v>3307.48</v>
      </c>
      <c r="U31" s="78"/>
      <c r="V31" s="78"/>
      <c r="W31" s="78"/>
    </row>
    <row r="32" spans="2:23" ht="12" customHeight="1" x14ac:dyDescent="0.2">
      <c r="I32" s="133"/>
      <c r="J32" s="133"/>
      <c r="K32" s="133"/>
      <c r="L32" s="133"/>
      <c r="M32" s="133"/>
      <c r="N32" s="133"/>
      <c r="O32" s="133"/>
      <c r="P32" s="133"/>
      <c r="U32" s="78"/>
      <c r="V32" s="78"/>
      <c r="W32" s="78"/>
    </row>
    <row r="33" spans="1:23" ht="12" customHeight="1" thickBot="1" x14ac:dyDescent="0.25">
      <c r="I33" s="156" t="s">
        <v>104</v>
      </c>
      <c r="J33" s="156"/>
      <c r="K33" s="156"/>
      <c r="L33" s="156"/>
      <c r="M33" s="156"/>
      <c r="N33" s="156"/>
      <c r="O33" s="156"/>
      <c r="P33" s="156"/>
      <c r="U33" s="163">
        <f>U19+U28+S31</f>
        <v>8205280.0300000012</v>
      </c>
      <c r="V33" s="163"/>
      <c r="W33" s="163"/>
    </row>
    <row r="34" spans="1:23" ht="12" customHeight="1" thickTop="1" x14ac:dyDescent="0.2"/>
    <row r="35" spans="1:23" ht="12" customHeight="1" x14ac:dyDescent="0.2">
      <c r="A35" s="156" t="s">
        <v>105</v>
      </c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</row>
    <row r="36" spans="1:23" ht="12" customHeight="1" x14ac:dyDescent="0.2">
      <c r="B36" s="156" t="s">
        <v>106</v>
      </c>
      <c r="C36" s="156"/>
      <c r="D36" s="156"/>
      <c r="E36" s="156"/>
      <c r="F36" s="156"/>
      <c r="G36" s="156"/>
      <c r="H36" s="156"/>
      <c r="I36" s="156"/>
      <c r="J36" s="156"/>
      <c r="K36" s="156"/>
    </row>
    <row r="37" spans="1:23" ht="12" customHeight="1" x14ac:dyDescent="0.2">
      <c r="C37" s="158" t="s">
        <v>109</v>
      </c>
      <c r="D37" s="158"/>
      <c r="E37" s="158"/>
      <c r="F37" s="158"/>
      <c r="H37" s="158" t="s">
        <v>110</v>
      </c>
      <c r="I37" s="158"/>
      <c r="J37" s="158"/>
      <c r="K37" s="158"/>
      <c r="L37" s="158"/>
      <c r="M37" s="158"/>
      <c r="N37" s="158"/>
      <c r="O37" s="158"/>
      <c r="P37" s="158"/>
      <c r="Q37" s="158"/>
      <c r="S37" s="125">
        <v>22425.68</v>
      </c>
    </row>
    <row r="38" spans="1:23" ht="12" customHeight="1" x14ac:dyDescent="0.2">
      <c r="C38" s="158">
        <v>2124</v>
      </c>
      <c r="D38" s="158"/>
      <c r="E38" s="158"/>
      <c r="F38" s="158"/>
      <c r="H38" s="94" t="s">
        <v>395</v>
      </c>
      <c r="I38" s="124"/>
      <c r="J38" s="124"/>
      <c r="K38" s="124"/>
      <c r="L38" s="124"/>
      <c r="M38" s="124"/>
      <c r="N38" s="124"/>
      <c r="O38" s="124"/>
      <c r="P38" s="124"/>
      <c r="Q38" s="124"/>
      <c r="S38" s="125">
        <v>3.15</v>
      </c>
    </row>
    <row r="39" spans="1:23" ht="12" customHeight="1" x14ac:dyDescent="0.2">
      <c r="C39" s="158">
        <v>2125</v>
      </c>
      <c r="D39" s="158"/>
      <c r="E39" s="158"/>
      <c r="F39" s="158"/>
      <c r="H39" s="124" t="s">
        <v>238</v>
      </c>
      <c r="I39" s="124"/>
      <c r="J39" s="124"/>
      <c r="K39" s="124"/>
      <c r="L39" s="124"/>
      <c r="M39" s="124"/>
      <c r="N39" s="124"/>
      <c r="O39" s="124"/>
      <c r="P39" s="124"/>
      <c r="Q39" s="124"/>
      <c r="S39" s="125"/>
    </row>
    <row r="40" spans="1:23" ht="12" customHeight="1" x14ac:dyDescent="0.2">
      <c r="C40" s="158" t="s">
        <v>117</v>
      </c>
      <c r="D40" s="158"/>
      <c r="E40" s="158"/>
      <c r="F40" s="158"/>
      <c r="H40" s="158" t="s">
        <v>118</v>
      </c>
      <c r="I40" s="158"/>
      <c r="J40" s="158"/>
      <c r="K40" s="158"/>
      <c r="L40" s="158"/>
      <c r="M40" s="158"/>
      <c r="N40" s="158"/>
      <c r="O40" s="158"/>
      <c r="P40" s="158"/>
      <c r="Q40" s="158"/>
      <c r="S40" s="125">
        <v>345796.99</v>
      </c>
    </row>
    <row r="41" spans="1:23" ht="12" customHeight="1" x14ac:dyDescent="0.2">
      <c r="C41" s="158" t="s">
        <v>119</v>
      </c>
      <c r="D41" s="158"/>
      <c r="E41" s="158"/>
      <c r="F41" s="158"/>
      <c r="H41" s="158" t="s">
        <v>190</v>
      </c>
      <c r="I41" s="158"/>
      <c r="J41" s="158"/>
      <c r="K41" s="158"/>
      <c r="L41" s="158"/>
      <c r="M41" s="158"/>
      <c r="N41" s="158"/>
      <c r="O41" s="158"/>
      <c r="P41" s="158"/>
      <c r="Q41" s="158"/>
      <c r="S41" s="125">
        <v>31801.18</v>
      </c>
    </row>
    <row r="42" spans="1:23" ht="12" customHeight="1" x14ac:dyDescent="0.2">
      <c r="C42" s="158">
        <v>2215</v>
      </c>
      <c r="D42" s="158"/>
      <c r="E42" s="158"/>
      <c r="F42" s="158"/>
      <c r="H42" s="158" t="s">
        <v>638</v>
      </c>
      <c r="I42" s="158"/>
      <c r="J42" s="158"/>
      <c r="K42" s="158"/>
      <c r="L42" s="158"/>
      <c r="M42" s="158"/>
      <c r="N42" s="158"/>
      <c r="O42" s="158"/>
      <c r="P42" s="158"/>
      <c r="Q42" s="158"/>
      <c r="S42" s="125"/>
    </row>
    <row r="43" spans="1:23" ht="12" customHeight="1" x14ac:dyDescent="0.2">
      <c r="C43" s="158" t="s">
        <v>125</v>
      </c>
      <c r="D43" s="158"/>
      <c r="E43" s="158"/>
      <c r="F43" s="158"/>
      <c r="H43" s="158" t="s">
        <v>202</v>
      </c>
      <c r="I43" s="158"/>
      <c r="J43" s="158"/>
      <c r="K43" s="158"/>
      <c r="L43" s="158"/>
      <c r="M43" s="158"/>
      <c r="N43" s="158"/>
      <c r="O43" s="158"/>
      <c r="P43" s="158"/>
      <c r="Q43" s="158"/>
      <c r="S43" s="125">
        <v>1073.3800000000001</v>
      </c>
    </row>
    <row r="44" spans="1:23" ht="12" customHeight="1" x14ac:dyDescent="0.2">
      <c r="C44" s="158" t="s">
        <v>127</v>
      </c>
      <c r="D44" s="158"/>
      <c r="E44" s="158"/>
      <c r="F44" s="158"/>
      <c r="H44" s="158" t="s">
        <v>203</v>
      </c>
      <c r="I44" s="158"/>
      <c r="J44" s="158"/>
      <c r="K44" s="158"/>
      <c r="L44" s="158"/>
      <c r="M44" s="158"/>
      <c r="N44" s="158"/>
      <c r="O44" s="158"/>
      <c r="P44" s="158"/>
      <c r="Q44" s="158"/>
      <c r="S44" s="125">
        <v>35525.97</v>
      </c>
    </row>
    <row r="45" spans="1:23" ht="12" customHeight="1" x14ac:dyDescent="0.2">
      <c r="C45" s="158" t="s">
        <v>129</v>
      </c>
      <c r="D45" s="158"/>
      <c r="E45" s="158"/>
      <c r="F45" s="158"/>
      <c r="H45" s="158" t="s">
        <v>191</v>
      </c>
      <c r="I45" s="158"/>
      <c r="J45" s="158"/>
      <c r="K45" s="158"/>
      <c r="L45" s="158"/>
      <c r="M45" s="158"/>
      <c r="N45" s="158"/>
      <c r="O45" s="158"/>
      <c r="P45" s="158"/>
      <c r="Q45" s="158"/>
      <c r="S45" s="125">
        <v>2851.07</v>
      </c>
    </row>
    <row r="46" spans="1:23" ht="12" customHeight="1" x14ac:dyDescent="0.2">
      <c r="C46" s="158">
        <v>2241</v>
      </c>
      <c r="D46" s="158"/>
      <c r="E46" s="158"/>
      <c r="F46" s="158"/>
      <c r="H46" s="158" t="s">
        <v>685</v>
      </c>
      <c r="I46" s="158"/>
      <c r="J46" s="158"/>
      <c r="K46" s="158"/>
      <c r="L46" s="158"/>
      <c r="M46" s="158"/>
      <c r="N46" s="158"/>
      <c r="O46" s="158"/>
      <c r="P46" s="158"/>
      <c r="Q46" s="158"/>
      <c r="S46" s="125">
        <v>-422</v>
      </c>
    </row>
    <row r="47" spans="1:23" ht="12" customHeight="1" x14ac:dyDescent="0.2">
      <c r="C47" s="158" t="s">
        <v>204</v>
      </c>
      <c r="D47" s="158"/>
      <c r="E47" s="158"/>
      <c r="F47" s="158"/>
      <c r="H47" s="158" t="s">
        <v>205</v>
      </c>
      <c r="I47" s="158"/>
      <c r="J47" s="158"/>
      <c r="K47" s="158"/>
      <c r="L47" s="158"/>
      <c r="M47" s="158"/>
      <c r="N47" s="158"/>
      <c r="O47" s="158"/>
      <c r="P47" s="158"/>
      <c r="Q47" s="158"/>
      <c r="S47" s="125">
        <v>235273.1</v>
      </c>
    </row>
    <row r="48" spans="1:23" ht="12" customHeight="1" x14ac:dyDescent="0.2">
      <c r="H48" s="156" t="s">
        <v>148</v>
      </c>
      <c r="I48" s="156"/>
      <c r="J48" s="156"/>
      <c r="K48" s="156"/>
      <c r="L48" s="156"/>
      <c r="M48" s="156"/>
      <c r="N48" s="156"/>
      <c r="O48" s="156"/>
      <c r="P48" s="156"/>
      <c r="U48" s="167">
        <f>SUM(S37:S47)</f>
        <v>674328.52</v>
      </c>
      <c r="V48" s="167"/>
      <c r="W48" s="167"/>
    </row>
    <row r="49" spans="1:23" ht="12" customHeight="1" x14ac:dyDescent="0.2">
      <c r="I49" s="156" t="s">
        <v>159</v>
      </c>
      <c r="J49" s="156"/>
      <c r="K49" s="156"/>
      <c r="L49" s="156"/>
      <c r="M49" s="156"/>
      <c r="N49" s="156"/>
      <c r="O49" s="156"/>
      <c r="P49" s="156"/>
      <c r="U49" s="168">
        <f>U48</f>
        <v>674328.52</v>
      </c>
      <c r="V49" s="168"/>
      <c r="W49" s="168"/>
    </row>
    <row r="50" spans="1:23" ht="12" customHeight="1" x14ac:dyDescent="0.2"/>
    <row r="51" spans="1:23" ht="12" customHeight="1" x14ac:dyDescent="0.2">
      <c r="A51" s="156" t="s">
        <v>105</v>
      </c>
      <c r="B51" s="156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</row>
    <row r="52" spans="1:23" ht="12" customHeight="1" x14ac:dyDescent="0.2">
      <c r="B52" s="156" t="s">
        <v>149</v>
      </c>
      <c r="C52" s="156"/>
      <c r="D52" s="156"/>
      <c r="E52" s="156"/>
      <c r="F52" s="156"/>
      <c r="G52" s="156"/>
      <c r="H52" s="156"/>
      <c r="I52" s="156"/>
      <c r="J52" s="156"/>
      <c r="K52" s="156"/>
    </row>
    <row r="53" spans="1:23" ht="12" customHeight="1" x14ac:dyDescent="0.2">
      <c r="C53" s="158">
        <v>2402</v>
      </c>
      <c r="D53" s="158"/>
      <c r="E53" s="158"/>
      <c r="F53" s="158"/>
      <c r="H53" s="158" t="s">
        <v>555</v>
      </c>
      <c r="I53" s="158"/>
      <c r="J53" s="158"/>
      <c r="K53" s="158"/>
      <c r="L53" s="158"/>
      <c r="M53" s="158"/>
      <c r="N53" s="158"/>
      <c r="O53" s="158"/>
      <c r="P53" s="158"/>
      <c r="Q53" s="158"/>
      <c r="S53" s="125">
        <v>50000</v>
      </c>
    </row>
    <row r="54" spans="1:23" ht="12" customHeight="1" x14ac:dyDescent="0.2">
      <c r="H54" s="156" t="s">
        <v>148</v>
      </c>
      <c r="I54" s="156"/>
      <c r="J54" s="156"/>
      <c r="K54" s="156"/>
      <c r="L54" s="156"/>
      <c r="M54" s="156"/>
      <c r="N54" s="156"/>
      <c r="O54" s="156"/>
      <c r="P54" s="156"/>
      <c r="U54" s="167">
        <f>SUM(S53:S53)</f>
        <v>50000</v>
      </c>
      <c r="V54" s="167"/>
      <c r="W54" s="167"/>
    </row>
    <row r="55" spans="1:23" ht="12" customHeight="1" x14ac:dyDescent="0.2">
      <c r="I55" s="156" t="s">
        <v>159</v>
      </c>
      <c r="J55" s="156"/>
      <c r="K55" s="156"/>
      <c r="L55" s="156"/>
      <c r="M55" s="156"/>
      <c r="N55" s="156"/>
      <c r="O55" s="156"/>
      <c r="P55" s="156"/>
      <c r="U55" s="168">
        <f>U54</f>
        <v>50000</v>
      </c>
      <c r="V55" s="168"/>
      <c r="W55" s="168"/>
    </row>
    <row r="56" spans="1:23" ht="12" customHeight="1" x14ac:dyDescent="0.2">
      <c r="A56" s="156" t="s">
        <v>160</v>
      </c>
      <c r="B56" s="156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</row>
    <row r="57" spans="1:23" ht="12" customHeight="1" x14ac:dyDescent="0.2">
      <c r="C57" s="158" t="s">
        <v>161</v>
      </c>
      <c r="D57" s="158"/>
      <c r="E57" s="158"/>
      <c r="F57" s="158"/>
      <c r="H57" s="158" t="s">
        <v>162</v>
      </c>
      <c r="I57" s="158"/>
      <c r="J57" s="158"/>
      <c r="K57" s="158"/>
      <c r="L57" s="158"/>
      <c r="M57" s="158"/>
      <c r="N57" s="158"/>
      <c r="O57" s="158"/>
      <c r="P57" s="158"/>
      <c r="Q57" s="158"/>
      <c r="S57" s="125">
        <v>1000</v>
      </c>
    </row>
    <row r="58" spans="1:23" ht="12" customHeight="1" x14ac:dyDescent="0.2">
      <c r="C58" s="158" t="s">
        <v>165</v>
      </c>
      <c r="D58" s="158"/>
      <c r="E58" s="158"/>
      <c r="F58" s="158"/>
      <c r="H58" s="158" t="s">
        <v>166</v>
      </c>
      <c r="I58" s="158"/>
      <c r="J58" s="158"/>
      <c r="K58" s="158"/>
      <c r="L58" s="158"/>
      <c r="M58" s="158"/>
      <c r="N58" s="158"/>
      <c r="O58" s="158"/>
      <c r="P58" s="158"/>
      <c r="Q58" s="158"/>
      <c r="S58" s="145">
        <v>833807.64</v>
      </c>
      <c r="W58" s="145"/>
    </row>
    <row r="59" spans="1:23" ht="12" customHeight="1" x14ac:dyDescent="0.2">
      <c r="C59" s="158" t="s">
        <v>165</v>
      </c>
      <c r="D59" s="158"/>
      <c r="E59" s="158"/>
      <c r="F59" s="158"/>
      <c r="H59" s="158" t="s">
        <v>193</v>
      </c>
      <c r="I59" s="158"/>
      <c r="J59" s="158"/>
      <c r="K59" s="158"/>
      <c r="L59" s="158"/>
      <c r="M59" s="158"/>
      <c r="N59" s="158"/>
      <c r="O59" s="158"/>
      <c r="P59" s="158"/>
      <c r="Q59" s="158"/>
      <c r="S59" s="145">
        <v>0</v>
      </c>
    </row>
    <row r="60" spans="1:23" ht="12" customHeight="1" x14ac:dyDescent="0.2">
      <c r="C60" s="158" t="s">
        <v>206</v>
      </c>
      <c r="D60" s="158"/>
      <c r="E60" s="158"/>
      <c r="F60" s="158"/>
      <c r="H60" s="158" t="s">
        <v>207</v>
      </c>
      <c r="I60" s="158"/>
      <c r="J60" s="158"/>
      <c r="K60" s="158"/>
      <c r="L60" s="158"/>
      <c r="M60" s="158"/>
      <c r="N60" s="158"/>
      <c r="O60" s="158"/>
      <c r="P60" s="158"/>
      <c r="Q60" s="158"/>
      <c r="S60" s="125">
        <v>33230.769999999997</v>
      </c>
    </row>
    <row r="61" spans="1:23" ht="12" customHeight="1" x14ac:dyDescent="0.2">
      <c r="C61" s="158" t="s">
        <v>208</v>
      </c>
      <c r="D61" s="158"/>
      <c r="E61" s="158"/>
      <c r="F61" s="158"/>
      <c r="H61" s="158" t="s">
        <v>209</v>
      </c>
      <c r="I61" s="158"/>
      <c r="J61" s="158"/>
      <c r="K61" s="158"/>
      <c r="L61" s="158"/>
      <c r="M61" s="158"/>
      <c r="N61" s="158"/>
      <c r="O61" s="158"/>
      <c r="P61" s="158"/>
      <c r="Q61" s="158"/>
      <c r="S61" s="125">
        <v>2193227.4500000002</v>
      </c>
    </row>
    <row r="62" spans="1:23" ht="12" customHeight="1" x14ac:dyDescent="0.2">
      <c r="C62" s="158" t="s">
        <v>210</v>
      </c>
      <c r="D62" s="158"/>
      <c r="E62" s="158"/>
      <c r="F62" s="158"/>
      <c r="H62" s="158" t="s">
        <v>211</v>
      </c>
      <c r="I62" s="158"/>
      <c r="J62" s="158"/>
      <c r="K62" s="158"/>
      <c r="L62" s="158"/>
      <c r="M62" s="158"/>
      <c r="N62" s="158"/>
      <c r="O62" s="158"/>
      <c r="P62" s="158"/>
      <c r="Q62" s="158"/>
      <c r="S62" s="125">
        <v>2193227.4500000002</v>
      </c>
    </row>
    <row r="63" spans="1:23" ht="12" customHeight="1" x14ac:dyDescent="0.2">
      <c r="C63" s="158" t="s">
        <v>212</v>
      </c>
      <c r="D63" s="158"/>
      <c r="E63" s="158"/>
      <c r="F63" s="158"/>
      <c r="H63" s="158" t="s">
        <v>213</v>
      </c>
      <c r="I63" s="158"/>
      <c r="J63" s="158"/>
      <c r="K63" s="158"/>
      <c r="L63" s="158"/>
      <c r="M63" s="158"/>
      <c r="N63" s="158"/>
      <c r="O63" s="158"/>
      <c r="P63" s="158"/>
      <c r="Q63" s="158"/>
      <c r="S63" s="125">
        <v>2193227.4500000002</v>
      </c>
    </row>
    <row r="64" spans="1:23" ht="12" customHeight="1" x14ac:dyDescent="0.2">
      <c r="C64" s="158" t="s">
        <v>214</v>
      </c>
      <c r="D64" s="158"/>
      <c r="E64" s="158"/>
      <c r="F64" s="158"/>
      <c r="H64" s="158" t="s">
        <v>215</v>
      </c>
      <c r="I64" s="158"/>
      <c r="J64" s="158"/>
      <c r="K64" s="158"/>
      <c r="L64" s="158"/>
      <c r="M64" s="158"/>
      <c r="N64" s="158"/>
      <c r="O64" s="158"/>
      <c r="P64" s="158"/>
      <c r="Q64" s="158"/>
      <c r="S64" s="127">
        <v>33230.75</v>
      </c>
    </row>
    <row r="65" spans="9:23" ht="12" customHeight="1" x14ac:dyDescent="0.2">
      <c r="I65" s="156" t="s">
        <v>176</v>
      </c>
      <c r="J65" s="156"/>
      <c r="K65" s="156"/>
      <c r="L65" s="156"/>
      <c r="M65" s="156"/>
      <c r="N65" s="156"/>
      <c r="O65" s="156"/>
      <c r="P65" s="156"/>
      <c r="U65" s="167">
        <f>SUM(S57:S64)</f>
        <v>7480951.5100000007</v>
      </c>
      <c r="V65" s="167"/>
      <c r="W65" s="167"/>
    </row>
    <row r="66" spans="9:23" ht="12" customHeight="1" x14ac:dyDescent="0.2">
      <c r="I66" s="156" t="s">
        <v>177</v>
      </c>
      <c r="J66" s="156"/>
      <c r="K66" s="156"/>
      <c r="L66" s="156"/>
      <c r="M66" s="156"/>
      <c r="N66" s="156"/>
      <c r="O66" s="156"/>
      <c r="P66" s="156"/>
    </row>
    <row r="67" spans="9:23" ht="12" customHeight="1" thickBot="1" x14ac:dyDescent="0.25">
      <c r="I67" s="156"/>
      <c r="J67" s="156"/>
      <c r="K67" s="156"/>
      <c r="L67" s="156"/>
      <c r="M67" s="156"/>
      <c r="N67" s="156"/>
      <c r="O67" s="156"/>
      <c r="P67" s="156"/>
      <c r="U67" s="163">
        <f>U49+U55+U65</f>
        <v>8205280.0300000012</v>
      </c>
      <c r="V67" s="163"/>
      <c r="W67" s="163"/>
    </row>
    <row r="68" spans="9:23" ht="6" customHeight="1" thickTop="1" x14ac:dyDescent="0.2"/>
    <row r="69" spans="9:23" ht="12.75" customHeight="1" thickBot="1" x14ac:dyDescent="0.25">
      <c r="U69" s="163">
        <f>U67-U33</f>
        <v>0</v>
      </c>
      <c r="V69" s="163"/>
    </row>
    <row r="70" spans="9:23" ht="12.75" customHeight="1" thickTop="1" x14ac:dyDescent="0.2"/>
  </sheetData>
  <mergeCells count="101">
    <mergeCell ref="U55:W55"/>
    <mergeCell ref="U49:W49"/>
    <mergeCell ref="U48:W48"/>
    <mergeCell ref="B30:K30"/>
    <mergeCell ref="C31:F31"/>
    <mergeCell ref="H31:Q31"/>
    <mergeCell ref="C46:F46"/>
    <mergeCell ref="H46:Q46"/>
    <mergeCell ref="U54:W54"/>
    <mergeCell ref="I33:P33"/>
    <mergeCell ref="U33:W33"/>
    <mergeCell ref="A35:M35"/>
    <mergeCell ref="B36:K36"/>
    <mergeCell ref="C37:F37"/>
    <mergeCell ref="H37:Q37"/>
    <mergeCell ref="C40:F40"/>
    <mergeCell ref="C7:F7"/>
    <mergeCell ref="H7:Q7"/>
    <mergeCell ref="C8:F8"/>
    <mergeCell ref="H8:Q8"/>
    <mergeCell ref="C10:F10"/>
    <mergeCell ref="H10:Q10"/>
    <mergeCell ref="A1:X1"/>
    <mergeCell ref="A2:X2"/>
    <mergeCell ref="A3:X3"/>
    <mergeCell ref="A5:M5"/>
    <mergeCell ref="B6:K6"/>
    <mergeCell ref="C12:F12"/>
    <mergeCell ref="H12:Q12"/>
    <mergeCell ref="C42:F42"/>
    <mergeCell ref="H42:Q42"/>
    <mergeCell ref="U19:W19"/>
    <mergeCell ref="C16:F16"/>
    <mergeCell ref="C17:F17"/>
    <mergeCell ref="C18:F18"/>
    <mergeCell ref="H41:Q41"/>
    <mergeCell ref="C39:F39"/>
    <mergeCell ref="C24:F24"/>
    <mergeCell ref="H24:Q24"/>
    <mergeCell ref="C27:F27"/>
    <mergeCell ref="H27:Q27"/>
    <mergeCell ref="H28:P28"/>
    <mergeCell ref="U28:W28"/>
    <mergeCell ref="H40:Q40"/>
    <mergeCell ref="C41:F41"/>
    <mergeCell ref="C14:F14"/>
    <mergeCell ref="B21:K21"/>
    <mergeCell ref="C22:F22"/>
    <mergeCell ref="H22:Q22"/>
    <mergeCell ref="C23:F23"/>
    <mergeCell ref="H23:Q23"/>
    <mergeCell ref="C15:F15"/>
    <mergeCell ref="H15:Q15"/>
    <mergeCell ref="H19:P19"/>
    <mergeCell ref="C25:F25"/>
    <mergeCell ref="H25:Q25"/>
    <mergeCell ref="C47:F47"/>
    <mergeCell ref="H47:Q47"/>
    <mergeCell ref="H48:P48"/>
    <mergeCell ref="I49:P49"/>
    <mergeCell ref="A56:M56"/>
    <mergeCell ref="C43:F43"/>
    <mergeCell ref="H43:Q43"/>
    <mergeCell ref="C44:F44"/>
    <mergeCell ref="H44:Q44"/>
    <mergeCell ref="C45:F45"/>
    <mergeCell ref="H45:Q45"/>
    <mergeCell ref="C61:F61"/>
    <mergeCell ref="H61:Q61"/>
    <mergeCell ref="C57:F57"/>
    <mergeCell ref="H57:Q57"/>
    <mergeCell ref="A51:M51"/>
    <mergeCell ref="B52:K52"/>
    <mergeCell ref="C53:F53"/>
    <mergeCell ref="H53:Q53"/>
    <mergeCell ref="H54:P54"/>
    <mergeCell ref="I55:P55"/>
    <mergeCell ref="C11:F11"/>
    <mergeCell ref="H11:Q11"/>
    <mergeCell ref="C9:F9"/>
    <mergeCell ref="H9:Q9"/>
    <mergeCell ref="U69:V69"/>
    <mergeCell ref="C13:F13"/>
    <mergeCell ref="C26:F26"/>
    <mergeCell ref="C38:F38"/>
    <mergeCell ref="I65:P65"/>
    <mergeCell ref="U65:W65"/>
    <mergeCell ref="I66:P67"/>
    <mergeCell ref="U67:W67"/>
    <mergeCell ref="C62:F62"/>
    <mergeCell ref="H62:Q62"/>
    <mergeCell ref="C58:F58"/>
    <mergeCell ref="H58:Q58"/>
    <mergeCell ref="C63:F63"/>
    <mergeCell ref="H63:Q63"/>
    <mergeCell ref="C64:F64"/>
    <mergeCell ref="H64:Q64"/>
    <mergeCell ref="C59:F59"/>
    <mergeCell ref="H59:Q59"/>
    <mergeCell ref="C60:F60"/>
    <mergeCell ref="H60:Q60"/>
  </mergeCells>
  <pageMargins left="0.5" right="0.5" top="0.25" bottom="0.65" header="0" footer="0"/>
  <pageSetup fitToWidth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outlinePr summaryBelow="0"/>
    <pageSetUpPr autoPageBreaks="0"/>
  </sheetPr>
  <dimension ref="A1:X73"/>
  <sheetViews>
    <sheetView showGridLines="0" topLeftCell="A34" workbookViewId="0">
      <selection activeCell="Y82" sqref="Y82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0.85546875" style="75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0.7109375" style="75" customWidth="1"/>
    <col min="20" max="20" width="2.28515625" style="75" customWidth="1"/>
    <col min="21" max="21" width="1.28515625" style="75" customWidth="1"/>
    <col min="22" max="22" width="6.28515625" style="75" customWidth="1"/>
    <col min="23" max="23" width="3.140625" style="75" customWidth="1"/>
    <col min="24" max="24" width="1.28515625" style="75" customWidth="1"/>
    <col min="25" max="16384" width="5.28515625" style="75"/>
  </cols>
  <sheetData>
    <row r="1" spans="1:24" ht="9.9499999999999993" customHeight="1" x14ac:dyDescent="0.2">
      <c r="A1" s="164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</row>
    <row r="2" spans="1:24" ht="9.9499999999999993" customHeight="1" x14ac:dyDescent="0.2"/>
    <row r="3" spans="1:24" ht="12.75" customHeight="1" x14ac:dyDescent="0.2">
      <c r="A3" s="164" t="s">
        <v>721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</row>
    <row r="4" spans="1:24" ht="16.5" customHeight="1" x14ac:dyDescent="0.2">
      <c r="A4" s="165" t="s">
        <v>178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</row>
    <row r="5" spans="1:24" ht="9.9499999999999993" customHeight="1" x14ac:dyDescent="0.2"/>
    <row r="6" spans="1:24" ht="9.9499999999999993" customHeight="1" x14ac:dyDescent="0.2"/>
    <row r="7" spans="1:24" ht="9.9499999999999993" customHeight="1" x14ac:dyDescent="0.2">
      <c r="A7" s="156" t="s">
        <v>2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</row>
    <row r="8" spans="1:24" ht="9.9499999999999993" customHeight="1" x14ac:dyDescent="0.2"/>
    <row r="9" spans="1:24" ht="9.9499999999999993" customHeight="1" x14ac:dyDescent="0.2">
      <c r="B9" s="156" t="s">
        <v>3</v>
      </c>
      <c r="C9" s="156"/>
      <c r="D9" s="156"/>
      <c r="E9" s="156"/>
      <c r="F9" s="156"/>
      <c r="G9" s="156"/>
      <c r="H9" s="156"/>
      <c r="I9" s="156"/>
      <c r="J9" s="156"/>
      <c r="K9" s="156"/>
    </row>
    <row r="10" spans="1:24" ht="9.9499999999999993" customHeight="1" x14ac:dyDescent="0.2"/>
    <row r="11" spans="1:24" ht="9.9499999999999993" customHeight="1" x14ac:dyDescent="0.2">
      <c r="C11" s="158" t="s">
        <v>8</v>
      </c>
      <c r="D11" s="158"/>
      <c r="E11" s="158"/>
      <c r="F11" s="158"/>
      <c r="H11" s="158" t="s">
        <v>179</v>
      </c>
      <c r="I11" s="158"/>
      <c r="J11" s="158"/>
      <c r="K11" s="158"/>
      <c r="L11" s="158"/>
      <c r="M11" s="158"/>
      <c r="N11" s="158"/>
      <c r="O11" s="158"/>
      <c r="P11" s="158"/>
      <c r="Q11" s="158"/>
      <c r="S11" s="89">
        <v>400527.6</v>
      </c>
    </row>
    <row r="12" spans="1:24" ht="9.9499999999999993" customHeight="1" x14ac:dyDescent="0.2">
      <c r="C12" s="158" t="s">
        <v>16</v>
      </c>
      <c r="D12" s="158"/>
      <c r="E12" s="158"/>
      <c r="F12" s="158"/>
      <c r="H12" s="158" t="s">
        <v>17</v>
      </c>
      <c r="I12" s="158"/>
      <c r="J12" s="158"/>
      <c r="K12" s="158"/>
      <c r="L12" s="158"/>
      <c r="M12" s="158"/>
      <c r="N12" s="158"/>
      <c r="O12" s="158"/>
      <c r="P12" s="158"/>
      <c r="Q12" s="158"/>
      <c r="S12" s="89">
        <v>71398.2</v>
      </c>
    </row>
    <row r="13" spans="1:24" ht="9.9499999999999993" customHeight="1" x14ac:dyDescent="0.2">
      <c r="C13" s="158" t="s">
        <v>180</v>
      </c>
      <c r="D13" s="158"/>
      <c r="E13" s="158"/>
      <c r="F13" s="158"/>
      <c r="H13" s="158" t="s">
        <v>181</v>
      </c>
      <c r="I13" s="158"/>
      <c r="J13" s="158"/>
      <c r="K13" s="158"/>
      <c r="L13" s="158"/>
      <c r="M13" s="158"/>
      <c r="N13" s="158"/>
      <c r="O13" s="158"/>
      <c r="P13" s="158"/>
      <c r="Q13" s="158"/>
      <c r="S13" s="89"/>
    </row>
    <row r="14" spans="1:24" ht="9.9499999999999993" customHeight="1" x14ac:dyDescent="0.2">
      <c r="C14" s="158" t="s">
        <v>18</v>
      </c>
      <c r="D14" s="158"/>
      <c r="E14" s="158"/>
      <c r="F14" s="158"/>
      <c r="H14" s="158" t="s">
        <v>19</v>
      </c>
      <c r="I14" s="158"/>
      <c r="J14" s="158"/>
      <c r="K14" s="158"/>
      <c r="L14" s="158"/>
      <c r="M14" s="158"/>
      <c r="N14" s="158"/>
      <c r="O14" s="158"/>
      <c r="P14" s="158"/>
      <c r="Q14" s="158"/>
      <c r="S14" s="89"/>
    </row>
    <row r="15" spans="1:24" ht="9.9499999999999993" customHeight="1" x14ac:dyDescent="0.2">
      <c r="C15" s="158" t="s">
        <v>20</v>
      </c>
      <c r="D15" s="158"/>
      <c r="E15" s="158"/>
      <c r="F15" s="158"/>
      <c r="H15" s="158" t="s">
        <v>21</v>
      </c>
      <c r="I15" s="158"/>
      <c r="J15" s="158"/>
      <c r="K15" s="158"/>
      <c r="L15" s="158"/>
      <c r="M15" s="158"/>
      <c r="N15" s="158"/>
      <c r="O15" s="158"/>
      <c r="P15" s="158"/>
      <c r="Q15" s="158"/>
      <c r="S15" s="89"/>
    </row>
    <row r="16" spans="1:24" ht="9.9499999999999993" customHeight="1" x14ac:dyDescent="0.2">
      <c r="C16" s="158" t="s">
        <v>22</v>
      </c>
      <c r="D16" s="158"/>
      <c r="E16" s="158"/>
      <c r="F16" s="158"/>
      <c r="H16" s="158" t="s">
        <v>23</v>
      </c>
      <c r="I16" s="158"/>
      <c r="J16" s="158"/>
      <c r="K16" s="158"/>
      <c r="L16" s="158"/>
      <c r="M16" s="158"/>
      <c r="N16" s="158"/>
      <c r="O16" s="158"/>
      <c r="P16" s="158"/>
      <c r="Q16" s="158"/>
      <c r="S16" s="89"/>
    </row>
    <row r="17" spans="2:23" ht="9.9499999999999993" customHeight="1" x14ac:dyDescent="0.2">
      <c r="C17" s="158">
        <v>1226</v>
      </c>
      <c r="D17" s="158"/>
      <c r="E17" s="158"/>
      <c r="F17" s="158"/>
      <c r="H17" s="158" t="s">
        <v>234</v>
      </c>
      <c r="I17" s="158"/>
      <c r="J17" s="158"/>
      <c r="K17" s="158"/>
      <c r="L17" s="158"/>
      <c r="M17" s="158"/>
      <c r="N17" s="158"/>
      <c r="O17" s="158"/>
      <c r="P17" s="158"/>
      <c r="Q17" s="158"/>
      <c r="S17" s="89"/>
    </row>
    <row r="18" spans="2:23" ht="9.9499999999999993" customHeight="1" x14ac:dyDescent="0.2">
      <c r="C18" s="158" t="s">
        <v>182</v>
      </c>
      <c r="D18" s="158"/>
      <c r="E18" s="158"/>
      <c r="F18" s="158"/>
      <c r="H18" s="158" t="s">
        <v>183</v>
      </c>
      <c r="I18" s="158"/>
      <c r="J18" s="158"/>
      <c r="K18" s="158"/>
      <c r="L18" s="158"/>
      <c r="M18" s="158"/>
      <c r="N18" s="158"/>
      <c r="O18" s="158"/>
      <c r="P18" s="158"/>
      <c r="Q18" s="158"/>
      <c r="S18" s="89"/>
    </row>
    <row r="19" spans="2:23" ht="9.9499999999999993" customHeight="1" x14ac:dyDescent="0.2">
      <c r="C19" s="158" t="s">
        <v>54</v>
      </c>
      <c r="D19" s="158"/>
      <c r="E19" s="158"/>
      <c r="F19" s="158"/>
      <c r="H19" s="158" t="s">
        <v>184</v>
      </c>
      <c r="I19" s="158"/>
      <c r="J19" s="158"/>
      <c r="K19" s="158"/>
      <c r="L19" s="158"/>
      <c r="M19" s="158"/>
      <c r="N19" s="158"/>
      <c r="O19" s="158"/>
      <c r="P19" s="158"/>
      <c r="Q19" s="158"/>
      <c r="S19" s="89">
        <v>3669</v>
      </c>
    </row>
    <row r="20" spans="2:23" ht="9.9499999999999993" customHeight="1" x14ac:dyDescent="0.2">
      <c r="C20" s="158" t="s">
        <v>56</v>
      </c>
      <c r="D20" s="158"/>
      <c r="E20" s="158"/>
      <c r="F20" s="158"/>
      <c r="H20" s="158" t="s">
        <v>185</v>
      </c>
      <c r="I20" s="158"/>
      <c r="J20" s="158"/>
      <c r="K20" s="158"/>
      <c r="L20" s="158"/>
      <c r="M20" s="158"/>
      <c r="N20" s="158"/>
      <c r="O20" s="158"/>
      <c r="P20" s="158"/>
      <c r="Q20" s="158"/>
      <c r="S20" s="89">
        <v>3526.09</v>
      </c>
    </row>
    <row r="21" spans="2:23" ht="9.9499999999999993" customHeight="1" x14ac:dyDescent="0.2">
      <c r="C21" s="158">
        <v>1250</v>
      </c>
      <c r="D21" s="158"/>
      <c r="E21" s="158"/>
      <c r="F21" s="158"/>
      <c r="H21" s="158" t="s">
        <v>59</v>
      </c>
      <c r="I21" s="158"/>
      <c r="J21" s="158"/>
      <c r="K21" s="158"/>
      <c r="L21" s="158"/>
      <c r="M21" s="158"/>
      <c r="N21" s="158"/>
      <c r="O21" s="158"/>
      <c r="P21" s="158"/>
      <c r="Q21" s="158"/>
      <c r="S21" s="91"/>
    </row>
    <row r="22" spans="2:23" ht="9.9499999999999993" customHeight="1" x14ac:dyDescent="0.2"/>
    <row r="23" spans="2:23" ht="9.9499999999999993" customHeight="1" x14ac:dyDescent="0.2">
      <c r="H23" s="156" t="s">
        <v>73</v>
      </c>
      <c r="I23" s="156"/>
      <c r="J23" s="156"/>
      <c r="K23" s="156"/>
      <c r="L23" s="156"/>
      <c r="M23" s="156"/>
      <c r="N23" s="156"/>
      <c r="O23" s="156"/>
      <c r="P23" s="156"/>
      <c r="U23" s="157">
        <f>SUM(S11:S21)</f>
        <v>479120.89</v>
      </c>
      <c r="V23" s="157"/>
      <c r="W23" s="157"/>
    </row>
    <row r="24" spans="2:23" ht="9.9499999999999993" customHeight="1" x14ac:dyDescent="0.2"/>
    <row r="25" spans="2:23" ht="9.9499999999999993" customHeight="1" x14ac:dyDescent="0.2">
      <c r="B25" s="156" t="s">
        <v>74</v>
      </c>
      <c r="C25" s="156"/>
      <c r="D25" s="156"/>
      <c r="E25" s="156"/>
      <c r="F25" s="156"/>
      <c r="G25" s="156"/>
      <c r="H25" s="156"/>
      <c r="I25" s="156"/>
      <c r="J25" s="156"/>
      <c r="K25" s="156"/>
    </row>
    <row r="26" spans="2:23" ht="9.9499999999999993" customHeight="1" x14ac:dyDescent="0.2"/>
    <row r="27" spans="2:23" ht="9.9499999999999993" customHeight="1" x14ac:dyDescent="0.2">
      <c r="C27" s="158" t="s">
        <v>75</v>
      </c>
      <c r="D27" s="158"/>
      <c r="E27" s="158"/>
      <c r="F27" s="158"/>
      <c r="H27" s="158" t="s">
        <v>186</v>
      </c>
      <c r="I27" s="158"/>
      <c r="J27" s="158"/>
      <c r="K27" s="158"/>
      <c r="L27" s="158"/>
      <c r="M27" s="158"/>
      <c r="N27" s="158"/>
      <c r="O27" s="158"/>
      <c r="P27" s="158"/>
      <c r="Q27" s="158"/>
      <c r="S27" s="89">
        <v>8577.17</v>
      </c>
    </row>
    <row r="28" spans="2:23" ht="9.9499999999999993" customHeight="1" x14ac:dyDescent="0.2">
      <c r="C28" s="158" t="s">
        <v>87</v>
      </c>
      <c r="D28" s="158"/>
      <c r="E28" s="158"/>
      <c r="F28" s="158"/>
      <c r="H28" s="158" t="s">
        <v>88</v>
      </c>
      <c r="I28" s="158"/>
      <c r="J28" s="158"/>
      <c r="K28" s="158"/>
      <c r="L28" s="158"/>
      <c r="M28" s="158"/>
      <c r="N28" s="158"/>
      <c r="O28" s="158"/>
      <c r="P28" s="158"/>
      <c r="Q28" s="158"/>
      <c r="S28" s="89">
        <v>20237.79</v>
      </c>
    </row>
    <row r="29" spans="2:23" ht="9.9499999999999993" customHeight="1" x14ac:dyDescent="0.2">
      <c r="C29" s="158" t="s">
        <v>99</v>
      </c>
      <c r="D29" s="158"/>
      <c r="E29" s="158"/>
      <c r="F29" s="158"/>
      <c r="H29" s="158" t="s">
        <v>187</v>
      </c>
      <c r="I29" s="158"/>
      <c r="J29" s="158"/>
      <c r="K29" s="158"/>
      <c r="L29" s="158"/>
      <c r="M29" s="158"/>
      <c r="N29" s="158"/>
      <c r="O29" s="158"/>
      <c r="P29" s="158"/>
      <c r="Q29" s="158"/>
      <c r="S29" s="91">
        <v>-19017.96</v>
      </c>
    </row>
    <row r="30" spans="2:23" ht="9.9499999999999993" customHeight="1" x14ac:dyDescent="0.2"/>
    <row r="31" spans="2:23" ht="9.9499999999999993" customHeight="1" x14ac:dyDescent="0.2">
      <c r="H31" s="156" t="s">
        <v>103</v>
      </c>
      <c r="I31" s="156"/>
      <c r="J31" s="156"/>
      <c r="K31" s="156"/>
      <c r="L31" s="156"/>
      <c r="M31" s="156"/>
      <c r="N31" s="156"/>
      <c r="O31" s="156"/>
      <c r="P31" s="156"/>
      <c r="U31" s="160">
        <f>SUM(S27:S29)</f>
        <v>9797</v>
      </c>
      <c r="V31" s="160"/>
      <c r="W31" s="160"/>
    </row>
    <row r="32" spans="2:23" ht="9.9499999999999993" customHeight="1" x14ac:dyDescent="0.2"/>
    <row r="33" spans="1:23" ht="9.9499999999999993" customHeight="1" thickBot="1" x14ac:dyDescent="0.25">
      <c r="I33" s="156" t="s">
        <v>104</v>
      </c>
      <c r="J33" s="156"/>
      <c r="K33" s="156"/>
      <c r="L33" s="156"/>
      <c r="M33" s="156"/>
      <c r="N33" s="156"/>
      <c r="O33" s="156"/>
      <c r="P33" s="156"/>
      <c r="U33" s="163">
        <f>U23+U31</f>
        <v>488917.89</v>
      </c>
      <c r="V33" s="163"/>
      <c r="W33" s="163"/>
    </row>
    <row r="34" spans="1:23" ht="9.9499999999999993" customHeight="1" thickTop="1" x14ac:dyDescent="0.2"/>
    <row r="35" spans="1:23" ht="9.9499999999999993" customHeight="1" x14ac:dyDescent="0.2">
      <c r="A35" s="156" t="s">
        <v>105</v>
      </c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</row>
    <row r="36" spans="1:23" ht="9.9499999999999993" customHeight="1" x14ac:dyDescent="0.2"/>
    <row r="37" spans="1:23" ht="9.9499999999999993" customHeight="1" x14ac:dyDescent="0.2">
      <c r="B37" s="156" t="s">
        <v>106</v>
      </c>
      <c r="C37" s="156"/>
      <c r="D37" s="156"/>
      <c r="E37" s="156"/>
      <c r="F37" s="156"/>
      <c r="G37" s="156"/>
      <c r="H37" s="156"/>
      <c r="I37" s="156"/>
      <c r="J37" s="156"/>
      <c r="K37" s="156"/>
    </row>
    <row r="38" spans="1:23" ht="9.9499999999999993" customHeight="1" x14ac:dyDescent="0.2"/>
    <row r="39" spans="1:23" ht="9.9499999999999993" customHeight="1" x14ac:dyDescent="0.2">
      <c r="C39" s="158" t="s">
        <v>109</v>
      </c>
      <c r="D39" s="158"/>
      <c r="E39" s="158"/>
      <c r="F39" s="158"/>
      <c r="H39" s="158" t="s">
        <v>110</v>
      </c>
      <c r="I39" s="158"/>
      <c r="J39" s="158"/>
      <c r="K39" s="158"/>
      <c r="L39" s="158"/>
      <c r="M39" s="158"/>
      <c r="N39" s="158"/>
      <c r="O39" s="158"/>
      <c r="P39" s="158"/>
      <c r="Q39" s="158"/>
      <c r="S39" s="89">
        <v>34631.919999999998</v>
      </c>
    </row>
    <row r="40" spans="1:23" ht="9.9499999999999993" customHeight="1" x14ac:dyDescent="0.2">
      <c r="C40" s="158" t="s">
        <v>188</v>
      </c>
      <c r="D40" s="158"/>
      <c r="E40" s="158"/>
      <c r="F40" s="158"/>
      <c r="H40" s="158" t="s">
        <v>189</v>
      </c>
      <c r="I40" s="158"/>
      <c r="J40" s="158"/>
      <c r="K40" s="158"/>
      <c r="L40" s="158"/>
      <c r="M40" s="158"/>
      <c r="N40" s="158"/>
      <c r="O40" s="158"/>
      <c r="P40" s="158"/>
      <c r="Q40" s="158"/>
      <c r="S40" s="89"/>
    </row>
    <row r="41" spans="1:23" ht="9.9499999999999993" customHeight="1" x14ac:dyDescent="0.2">
      <c r="C41" s="158">
        <v>2175</v>
      </c>
      <c r="D41" s="158"/>
      <c r="E41" s="158"/>
      <c r="F41" s="158"/>
      <c r="H41" s="158" t="s">
        <v>118</v>
      </c>
      <c r="I41" s="158"/>
      <c r="J41" s="158"/>
      <c r="K41" s="158"/>
      <c r="L41" s="158"/>
      <c r="M41" s="158"/>
      <c r="N41" s="158"/>
      <c r="O41" s="158"/>
      <c r="P41" s="158"/>
      <c r="Q41" s="158"/>
      <c r="S41" s="89"/>
    </row>
    <row r="42" spans="1:23" ht="9.9499999999999993" customHeight="1" x14ac:dyDescent="0.2">
      <c r="C42" s="158" t="s">
        <v>121</v>
      </c>
      <c r="D42" s="158"/>
      <c r="E42" s="158"/>
      <c r="F42" s="158"/>
      <c r="H42" s="158" t="s">
        <v>190</v>
      </c>
      <c r="I42" s="158"/>
      <c r="J42" s="158"/>
      <c r="K42" s="158"/>
      <c r="L42" s="158"/>
      <c r="M42" s="158"/>
      <c r="N42" s="158"/>
      <c r="O42" s="158"/>
      <c r="P42" s="158"/>
      <c r="Q42" s="158"/>
      <c r="S42" s="89">
        <v>-6206.92</v>
      </c>
    </row>
    <row r="43" spans="1:23" ht="9.9499999999999993" customHeight="1" x14ac:dyDescent="0.2">
      <c r="C43" s="158">
        <v>2230</v>
      </c>
      <c r="D43" s="158"/>
      <c r="E43" s="158"/>
      <c r="F43" s="158"/>
      <c r="H43" s="158" t="s">
        <v>597</v>
      </c>
      <c r="I43" s="158"/>
      <c r="J43" s="158"/>
      <c r="K43" s="158"/>
      <c r="L43" s="158"/>
      <c r="M43" s="158"/>
      <c r="N43" s="158"/>
      <c r="O43" s="158"/>
      <c r="P43" s="158"/>
      <c r="Q43" s="158"/>
      <c r="S43" s="89">
        <v>9491.4</v>
      </c>
    </row>
    <row r="44" spans="1:23" ht="9.9499999999999993" customHeight="1" x14ac:dyDescent="0.2">
      <c r="C44" s="158" t="s">
        <v>129</v>
      </c>
      <c r="D44" s="158"/>
      <c r="E44" s="158"/>
      <c r="F44" s="158"/>
      <c r="H44" s="158" t="s">
        <v>191</v>
      </c>
      <c r="I44" s="158"/>
      <c r="J44" s="158"/>
      <c r="K44" s="158"/>
      <c r="L44" s="158"/>
      <c r="M44" s="158"/>
      <c r="N44" s="158"/>
      <c r="O44" s="158"/>
      <c r="P44" s="158"/>
      <c r="Q44" s="158"/>
      <c r="S44" s="89">
        <v>1843.17</v>
      </c>
    </row>
    <row r="45" spans="1:23" ht="9.9499999999999993" customHeight="1" x14ac:dyDescent="0.2">
      <c r="C45" s="158">
        <v>2241</v>
      </c>
      <c r="D45" s="158"/>
      <c r="E45" s="158"/>
      <c r="F45" s="158"/>
      <c r="H45" s="158" t="s">
        <v>584</v>
      </c>
      <c r="I45" s="158"/>
      <c r="J45" s="158"/>
      <c r="K45" s="158"/>
      <c r="L45" s="158"/>
      <c r="M45" s="158"/>
      <c r="N45" s="158"/>
      <c r="O45" s="158"/>
      <c r="P45" s="158"/>
      <c r="Q45" s="158"/>
      <c r="S45" s="89">
        <v>5327.07</v>
      </c>
    </row>
    <row r="46" spans="1:23" ht="9.9499999999999993" customHeight="1" x14ac:dyDescent="0.2">
      <c r="S46" s="89"/>
    </row>
    <row r="47" spans="1:23" ht="9.9499999999999993" customHeight="1" x14ac:dyDescent="0.2">
      <c r="C47" s="158" t="s">
        <v>131</v>
      </c>
      <c r="D47" s="158"/>
      <c r="E47" s="158"/>
      <c r="F47" s="158"/>
      <c r="H47" s="158" t="s">
        <v>192</v>
      </c>
      <c r="I47" s="158"/>
      <c r="J47" s="158"/>
      <c r="K47" s="158"/>
      <c r="L47" s="158"/>
      <c r="M47" s="158"/>
      <c r="N47" s="158"/>
      <c r="O47" s="158"/>
      <c r="P47" s="158"/>
      <c r="Q47" s="158"/>
      <c r="S47" s="89">
        <v>1542.5</v>
      </c>
    </row>
    <row r="48" spans="1:23" ht="9.9499999999999993" customHeight="1" x14ac:dyDescent="0.2">
      <c r="C48" s="158">
        <v>2400</v>
      </c>
      <c r="D48" s="158"/>
      <c r="E48" s="158"/>
      <c r="F48" s="158"/>
      <c r="H48" s="158" t="s">
        <v>205</v>
      </c>
      <c r="I48" s="158"/>
      <c r="J48" s="158"/>
      <c r="K48" s="158"/>
      <c r="L48" s="158"/>
      <c r="M48" s="158"/>
      <c r="N48" s="158"/>
      <c r="O48" s="158"/>
      <c r="P48" s="158"/>
      <c r="Q48" s="158"/>
      <c r="S48" s="89">
        <v>43330.51</v>
      </c>
    </row>
    <row r="49" spans="1:23" ht="9.9499999999999993" customHeight="1" x14ac:dyDescent="0.2">
      <c r="C49" s="158">
        <v>2401</v>
      </c>
      <c r="D49" s="158"/>
      <c r="E49" s="158"/>
      <c r="F49" s="158"/>
      <c r="H49" s="158" t="s">
        <v>575</v>
      </c>
      <c r="I49" s="158"/>
      <c r="J49" s="158"/>
      <c r="K49" s="158"/>
      <c r="L49" s="158"/>
      <c r="M49" s="158"/>
      <c r="N49" s="158"/>
      <c r="O49" s="158"/>
      <c r="P49" s="158"/>
      <c r="Q49" s="158"/>
      <c r="S49" s="79">
        <v>5000</v>
      </c>
    </row>
    <row r="50" spans="1:23" ht="9.9499999999999993" customHeight="1" x14ac:dyDescent="0.2"/>
    <row r="51" spans="1:23" ht="9.9499999999999993" customHeight="1" x14ac:dyDescent="0.2">
      <c r="H51" s="156" t="s">
        <v>148</v>
      </c>
      <c r="I51" s="156"/>
      <c r="J51" s="156"/>
      <c r="K51" s="156"/>
      <c r="L51" s="156"/>
      <c r="M51" s="156"/>
      <c r="N51" s="156"/>
      <c r="O51" s="156"/>
      <c r="P51" s="156"/>
      <c r="U51" s="157">
        <f>SUM(S39:S49)</f>
        <v>94959.65</v>
      </c>
      <c r="V51" s="157"/>
      <c r="W51" s="157"/>
    </row>
    <row r="52" spans="1:23" ht="9.9499999999999993" customHeight="1" x14ac:dyDescent="0.2"/>
    <row r="53" spans="1:23" ht="9.9499999999999993" customHeight="1" x14ac:dyDescent="0.2">
      <c r="I53" s="156" t="s">
        <v>159</v>
      </c>
      <c r="J53" s="156"/>
      <c r="K53" s="156"/>
      <c r="L53" s="156"/>
      <c r="M53" s="156"/>
      <c r="N53" s="156"/>
      <c r="O53" s="156"/>
      <c r="P53" s="156"/>
      <c r="U53" s="157">
        <f>U51</f>
        <v>94959.65</v>
      </c>
      <c r="V53" s="157"/>
      <c r="W53" s="157"/>
    </row>
    <row r="54" spans="1:23" ht="9.9499999999999993" customHeight="1" x14ac:dyDescent="0.2"/>
    <row r="55" spans="1:23" ht="9.9499999999999993" customHeight="1" x14ac:dyDescent="0.2">
      <c r="A55" s="156" t="s">
        <v>160</v>
      </c>
      <c r="B55" s="156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</row>
    <row r="56" spans="1:23" ht="9.9499999999999993" customHeight="1" x14ac:dyDescent="0.2"/>
    <row r="57" spans="1:23" ht="9.9499999999999993" customHeight="1" x14ac:dyDescent="0.2">
      <c r="C57" s="158" t="s">
        <v>165</v>
      </c>
      <c r="D57" s="158"/>
      <c r="E57" s="158"/>
      <c r="F57" s="158"/>
      <c r="H57" s="158" t="s">
        <v>166</v>
      </c>
      <c r="I57" s="158"/>
      <c r="J57" s="158"/>
      <c r="K57" s="158"/>
      <c r="L57" s="158"/>
      <c r="M57" s="158"/>
      <c r="N57" s="158"/>
      <c r="O57" s="158"/>
      <c r="P57" s="158"/>
      <c r="Q57" s="158"/>
      <c r="S57" s="89">
        <v>13131.73</v>
      </c>
    </row>
    <row r="58" spans="1:23" ht="9.9499999999999993" customHeight="1" x14ac:dyDescent="0.2">
      <c r="C58" s="158" t="s">
        <v>165</v>
      </c>
      <c r="D58" s="158"/>
      <c r="E58" s="158"/>
      <c r="F58" s="158"/>
      <c r="H58" s="158" t="s">
        <v>193</v>
      </c>
      <c r="I58" s="158"/>
      <c r="J58" s="158"/>
      <c r="K58" s="158"/>
      <c r="L58" s="158"/>
      <c r="M58" s="158"/>
      <c r="N58" s="158"/>
      <c r="O58" s="158"/>
      <c r="P58" s="158"/>
      <c r="Q58" s="158"/>
      <c r="S58" s="78">
        <v>380826.51</v>
      </c>
    </row>
    <row r="59" spans="1:23" ht="9.9499999999999993" customHeight="1" x14ac:dyDescent="0.2">
      <c r="C59" s="158">
        <v>3550</v>
      </c>
      <c r="D59" s="158"/>
      <c r="E59" s="158"/>
      <c r="F59" s="158"/>
      <c r="H59" s="158" t="s">
        <v>647</v>
      </c>
      <c r="I59" s="158"/>
      <c r="J59" s="158"/>
      <c r="K59" s="158"/>
      <c r="L59" s="158"/>
      <c r="M59" s="158"/>
      <c r="N59" s="158"/>
      <c r="O59" s="158"/>
      <c r="P59" s="158"/>
      <c r="Q59" s="158"/>
      <c r="S59" s="78"/>
    </row>
    <row r="60" spans="1:23" ht="9.9499999999999993" customHeight="1" x14ac:dyDescent="0.2">
      <c r="C60" s="158">
        <v>3551</v>
      </c>
      <c r="D60" s="158"/>
      <c r="E60" s="158"/>
      <c r="F60" s="158"/>
      <c r="H60" s="90" t="s">
        <v>648</v>
      </c>
      <c r="I60" s="90"/>
      <c r="J60" s="90"/>
      <c r="K60" s="90"/>
      <c r="L60" s="90"/>
      <c r="M60" s="90"/>
      <c r="N60" s="90"/>
      <c r="O60" s="90"/>
      <c r="P60" s="90"/>
      <c r="Q60" s="90"/>
      <c r="S60" s="78"/>
    </row>
    <row r="61" spans="1:23" ht="9.9499999999999993" customHeight="1" x14ac:dyDescent="0.2">
      <c r="C61" s="158">
        <v>3552</v>
      </c>
      <c r="D61" s="158"/>
      <c r="E61" s="158"/>
      <c r="F61" s="158"/>
      <c r="H61" s="90" t="s">
        <v>649</v>
      </c>
      <c r="I61" s="90"/>
      <c r="J61" s="90"/>
      <c r="K61" s="90"/>
      <c r="L61" s="90"/>
      <c r="M61" s="90"/>
      <c r="N61" s="90"/>
      <c r="O61" s="90"/>
      <c r="P61" s="90"/>
      <c r="Q61" s="90"/>
      <c r="S61" s="78"/>
    </row>
    <row r="62" spans="1:23" ht="9.9499999999999993" customHeight="1" x14ac:dyDescent="0.2">
      <c r="C62" s="158">
        <v>3553</v>
      </c>
      <c r="D62" s="158"/>
      <c r="E62" s="158"/>
      <c r="F62" s="158"/>
      <c r="H62" s="90" t="s">
        <v>650</v>
      </c>
      <c r="I62" s="90"/>
      <c r="J62" s="90"/>
      <c r="K62" s="90"/>
      <c r="L62" s="90"/>
      <c r="M62" s="90"/>
      <c r="N62" s="90"/>
      <c r="O62" s="90"/>
      <c r="P62" s="90"/>
      <c r="Q62" s="90"/>
      <c r="S62" s="78"/>
    </row>
    <row r="63" spans="1:23" ht="9.75" customHeight="1" x14ac:dyDescent="0.2">
      <c r="C63" s="158">
        <v>3554</v>
      </c>
      <c r="D63" s="158"/>
      <c r="E63" s="158"/>
      <c r="F63" s="158"/>
      <c r="H63" s="90" t="s">
        <v>651</v>
      </c>
      <c r="I63" s="90"/>
      <c r="J63" s="90"/>
      <c r="K63" s="90"/>
      <c r="L63" s="90"/>
      <c r="M63" s="90"/>
      <c r="N63" s="90"/>
      <c r="O63" s="90"/>
      <c r="P63" s="90"/>
      <c r="Q63" s="90"/>
      <c r="S63" s="79"/>
    </row>
    <row r="64" spans="1:23" ht="9.9499999999999993" customHeight="1" x14ac:dyDescent="0.2">
      <c r="C64" s="90"/>
      <c r="D64" s="90"/>
      <c r="E64" s="90"/>
      <c r="F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S64" s="78"/>
    </row>
    <row r="65" spans="1:23" ht="9.9499999999999993" customHeight="1" x14ac:dyDescent="0.2"/>
    <row r="66" spans="1:23" ht="9.9499999999999993" customHeight="1" x14ac:dyDescent="0.2">
      <c r="I66" s="156" t="s">
        <v>176</v>
      </c>
      <c r="J66" s="156"/>
      <c r="K66" s="156"/>
      <c r="L66" s="156"/>
      <c r="M66" s="156"/>
      <c r="N66" s="156"/>
      <c r="O66" s="156"/>
      <c r="P66" s="156"/>
      <c r="U66" s="157">
        <f>SUM(S57:S65)</f>
        <v>393958.24</v>
      </c>
      <c r="V66" s="157"/>
      <c r="W66" s="157"/>
    </row>
    <row r="67" spans="1:23" ht="9.9499999999999993" customHeight="1" x14ac:dyDescent="0.2"/>
    <row r="68" spans="1:23" ht="9.9499999999999993" customHeight="1" x14ac:dyDescent="0.2">
      <c r="I68" s="156" t="s">
        <v>177</v>
      </c>
      <c r="J68" s="156"/>
      <c r="K68" s="156"/>
      <c r="L68" s="156"/>
      <c r="M68" s="156"/>
      <c r="N68" s="156"/>
      <c r="O68" s="156"/>
      <c r="P68" s="156"/>
      <c r="U68" s="157"/>
      <c r="V68" s="157"/>
      <c r="W68" s="157"/>
    </row>
    <row r="69" spans="1:23" ht="9.9499999999999993" customHeight="1" x14ac:dyDescent="0.2">
      <c r="I69" s="156"/>
      <c r="J69" s="156"/>
      <c r="K69" s="156"/>
      <c r="L69" s="156"/>
      <c r="M69" s="156"/>
      <c r="N69" s="156"/>
      <c r="O69" s="156"/>
      <c r="P69" s="156"/>
      <c r="U69" s="157">
        <f>U53+U66</f>
        <v>488917.89</v>
      </c>
      <c r="V69" s="157"/>
      <c r="W69" s="157"/>
    </row>
    <row r="70" spans="1:23" ht="9.9499999999999993" customHeight="1" x14ac:dyDescent="0.2">
      <c r="U70" s="157"/>
      <c r="V70" s="157"/>
      <c r="W70" s="157"/>
    </row>
    <row r="71" spans="1:23" ht="6" customHeight="1" x14ac:dyDescent="0.2"/>
    <row r="72" spans="1:23" ht="12" customHeight="1" x14ac:dyDescent="0.2">
      <c r="A72" s="169"/>
      <c r="B72" s="169"/>
      <c r="C72" s="169"/>
      <c r="D72" s="169"/>
      <c r="F72" s="171"/>
      <c r="G72" s="171"/>
      <c r="H72" s="171"/>
      <c r="I72" s="171"/>
      <c r="J72" s="171"/>
      <c r="V72" s="92">
        <f>U33-U69</f>
        <v>0</v>
      </c>
      <c r="W72" s="93"/>
    </row>
    <row r="73" spans="1:23" ht="12" customHeight="1" x14ac:dyDescent="0.2">
      <c r="A73" s="169"/>
      <c r="B73" s="169"/>
      <c r="C73" s="169"/>
      <c r="D73" s="169"/>
      <c r="F73" s="170"/>
      <c r="G73" s="170"/>
      <c r="H73" s="170"/>
      <c r="I73" s="170"/>
    </row>
  </sheetData>
  <mergeCells count="87">
    <mergeCell ref="H59:Q59"/>
    <mergeCell ref="C59:F59"/>
    <mergeCell ref="C60:F60"/>
    <mergeCell ref="C61:F61"/>
    <mergeCell ref="C62:F62"/>
    <mergeCell ref="C63:F63"/>
    <mergeCell ref="C14:F14"/>
    <mergeCell ref="H14:Q14"/>
    <mergeCell ref="C15:F15"/>
    <mergeCell ref="C11:F11"/>
    <mergeCell ref="H11:Q11"/>
    <mergeCell ref="C12:F12"/>
    <mergeCell ref="H12:Q12"/>
    <mergeCell ref="C13:F13"/>
    <mergeCell ref="H13:Q13"/>
    <mergeCell ref="H15:Q15"/>
    <mergeCell ref="C16:F16"/>
    <mergeCell ref="H16:Q16"/>
    <mergeCell ref="C18:F18"/>
    <mergeCell ref="H18:Q18"/>
    <mergeCell ref="C19:F19"/>
    <mergeCell ref="A1:X1"/>
    <mergeCell ref="A3:X3"/>
    <mergeCell ref="A4:X4"/>
    <mergeCell ref="A7:M7"/>
    <mergeCell ref="B9:K9"/>
    <mergeCell ref="H19:Q19"/>
    <mergeCell ref="C17:F17"/>
    <mergeCell ref="H17:Q17"/>
    <mergeCell ref="C20:F20"/>
    <mergeCell ref="H20:Q20"/>
    <mergeCell ref="H23:P23"/>
    <mergeCell ref="U23:W23"/>
    <mergeCell ref="B25:K25"/>
    <mergeCell ref="C21:F21"/>
    <mergeCell ref="H21:Q21"/>
    <mergeCell ref="C27:F27"/>
    <mergeCell ref="H27:Q27"/>
    <mergeCell ref="C28:F28"/>
    <mergeCell ref="H28:Q28"/>
    <mergeCell ref="C29:F29"/>
    <mergeCell ref="H29:Q29"/>
    <mergeCell ref="H31:P31"/>
    <mergeCell ref="U31:W31"/>
    <mergeCell ref="I33:P33"/>
    <mergeCell ref="U33:W33"/>
    <mergeCell ref="A35:M35"/>
    <mergeCell ref="B37:K37"/>
    <mergeCell ref="C39:F39"/>
    <mergeCell ref="H39:Q39"/>
    <mergeCell ref="C40:F40"/>
    <mergeCell ref="H40:Q40"/>
    <mergeCell ref="C42:F42"/>
    <mergeCell ref="H42:Q42"/>
    <mergeCell ref="C44:F44"/>
    <mergeCell ref="H44:Q44"/>
    <mergeCell ref="C49:F49"/>
    <mergeCell ref="H49:Q49"/>
    <mergeCell ref="C43:F43"/>
    <mergeCell ref="H43:Q43"/>
    <mergeCell ref="C45:F45"/>
    <mergeCell ref="H45:Q45"/>
    <mergeCell ref="C58:F58"/>
    <mergeCell ref="H58:Q58"/>
    <mergeCell ref="U51:W51"/>
    <mergeCell ref="C47:F47"/>
    <mergeCell ref="H47:Q47"/>
    <mergeCell ref="I53:P53"/>
    <mergeCell ref="U53:W53"/>
    <mergeCell ref="C48:F48"/>
    <mergeCell ref="H48:Q48"/>
    <mergeCell ref="C41:F41"/>
    <mergeCell ref="H41:Q41"/>
    <mergeCell ref="U70:W70"/>
    <mergeCell ref="A73:D73"/>
    <mergeCell ref="F73:I73"/>
    <mergeCell ref="I66:P66"/>
    <mergeCell ref="U66:W66"/>
    <mergeCell ref="I68:P69"/>
    <mergeCell ref="A72:D72"/>
    <mergeCell ref="F72:J72"/>
    <mergeCell ref="U68:W68"/>
    <mergeCell ref="U69:W69"/>
    <mergeCell ref="A55:M55"/>
    <mergeCell ref="H51:P51"/>
    <mergeCell ref="C57:F57"/>
    <mergeCell ref="H57:Q57"/>
  </mergeCells>
  <pageMargins left="0.5" right="0.5" top="0.25" bottom="0.65" header="0" footer="0"/>
  <pageSetup fitToWidth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A2:S46"/>
  <sheetViews>
    <sheetView topLeftCell="A4" workbookViewId="0">
      <selection activeCell="J24" sqref="J24"/>
    </sheetView>
  </sheetViews>
  <sheetFormatPr defaultRowHeight="12.75" x14ac:dyDescent="0.2"/>
  <cols>
    <col min="1" max="2" width="9.140625" style="75"/>
    <col min="3" max="3" width="15.28515625" style="75" bestFit="1" customWidth="1"/>
    <col min="4" max="4" width="17.140625" style="75" bestFit="1" customWidth="1"/>
    <col min="5" max="5" width="27.140625" style="75" bestFit="1" customWidth="1"/>
    <col min="6" max="6" width="9.7109375" style="75" customWidth="1"/>
    <col min="7" max="16384" width="9.140625" style="75"/>
  </cols>
  <sheetData>
    <row r="2" spans="1:19" x14ac:dyDescent="0.2">
      <c r="A2" s="172" t="s">
        <v>709</v>
      </c>
      <c r="B2" s="173"/>
      <c r="C2" s="173"/>
      <c r="D2" s="173"/>
      <c r="E2" s="173"/>
      <c r="F2" s="174"/>
    </row>
    <row r="3" spans="1:19" x14ac:dyDescent="0.2">
      <c r="A3" s="175"/>
      <c r="B3" s="176"/>
      <c r="C3" s="176"/>
      <c r="D3" s="176"/>
      <c r="E3" s="176"/>
      <c r="F3" s="177"/>
    </row>
    <row r="4" spans="1:19" x14ac:dyDescent="0.2">
      <c r="A4" s="175"/>
      <c r="B4" s="176"/>
      <c r="C4" s="176"/>
      <c r="D4" s="176"/>
      <c r="E4" s="176"/>
      <c r="F4" s="177"/>
    </row>
    <row r="5" spans="1:19" x14ac:dyDescent="0.2">
      <c r="A5" s="178"/>
      <c r="B5" s="179"/>
      <c r="C5" s="179"/>
      <c r="D5" s="179"/>
      <c r="E5" s="179"/>
      <c r="F5" s="180"/>
    </row>
    <row r="8" spans="1:19" ht="13.5" thickBot="1" x14ac:dyDescent="0.25">
      <c r="A8" s="87"/>
      <c r="B8" s="87"/>
      <c r="C8" s="87"/>
      <c r="D8" s="87"/>
      <c r="E8" s="87"/>
      <c r="F8" s="113" t="s">
        <v>731</v>
      </c>
    </row>
    <row r="9" spans="1:19" ht="13.5" thickTop="1" x14ac:dyDescent="0.2">
      <c r="A9" s="80" t="s">
        <v>335</v>
      </c>
      <c r="B9" s="80"/>
      <c r="C9" s="80"/>
      <c r="D9" s="80"/>
      <c r="E9" s="80"/>
      <c r="F9" s="114"/>
      <c r="S9" s="75">
        <v>0</v>
      </c>
    </row>
    <row r="10" spans="1:19" x14ac:dyDescent="0.2">
      <c r="A10" s="80"/>
      <c r="B10" s="80" t="s">
        <v>3</v>
      </c>
      <c r="C10" s="80"/>
      <c r="D10" s="80"/>
      <c r="E10" s="80"/>
      <c r="F10" s="114"/>
      <c r="S10" s="75">
        <v>0</v>
      </c>
    </row>
    <row r="11" spans="1:19" x14ac:dyDescent="0.2">
      <c r="A11" s="80"/>
      <c r="B11" s="80"/>
      <c r="C11" s="80" t="s">
        <v>336</v>
      </c>
      <c r="D11" s="80"/>
      <c r="E11" s="80"/>
      <c r="F11" s="114"/>
    </row>
    <row r="12" spans="1:19" ht="13.5" thickBot="1" x14ac:dyDescent="0.25">
      <c r="A12" s="80"/>
      <c r="B12" s="80"/>
      <c r="C12" s="80"/>
      <c r="D12" s="80" t="s">
        <v>510</v>
      </c>
      <c r="E12" s="80"/>
      <c r="F12" s="115">
        <v>22465.58</v>
      </c>
    </row>
    <row r="13" spans="1:19" x14ac:dyDescent="0.2">
      <c r="A13" s="80"/>
      <c r="B13" s="80"/>
      <c r="C13" s="80" t="s">
        <v>340</v>
      </c>
      <c r="D13" s="80"/>
      <c r="E13" s="80"/>
      <c r="F13" s="114">
        <f>F12</f>
        <v>22465.58</v>
      </c>
    </row>
    <row r="14" spans="1:19" x14ac:dyDescent="0.2">
      <c r="A14" s="80"/>
      <c r="B14" s="80"/>
      <c r="C14" s="80" t="s">
        <v>511</v>
      </c>
      <c r="D14" s="80"/>
      <c r="E14" s="80"/>
      <c r="F14" s="114"/>
    </row>
    <row r="15" spans="1:19" ht="13.5" thickBot="1" x14ac:dyDescent="0.25">
      <c r="A15" s="80"/>
      <c r="B15" s="80"/>
      <c r="C15" s="80"/>
      <c r="D15" s="80" t="s">
        <v>512</v>
      </c>
      <c r="E15" s="80"/>
      <c r="F15" s="115">
        <v>862083.7</v>
      </c>
    </row>
    <row r="16" spans="1:19" x14ac:dyDescent="0.2">
      <c r="A16" s="80"/>
      <c r="B16" s="80"/>
      <c r="C16" s="80" t="s">
        <v>513</v>
      </c>
      <c r="D16" s="80"/>
      <c r="E16" s="80"/>
      <c r="F16" s="114">
        <f>F15</f>
        <v>862083.7</v>
      </c>
    </row>
    <row r="17" spans="1:6" x14ac:dyDescent="0.2">
      <c r="A17" s="80"/>
      <c r="B17" s="80"/>
      <c r="C17" s="80" t="s">
        <v>409</v>
      </c>
      <c r="D17" s="80"/>
      <c r="E17" s="80"/>
      <c r="F17" s="114"/>
    </row>
    <row r="18" spans="1:6" x14ac:dyDescent="0.2">
      <c r="A18" s="80"/>
      <c r="B18" s="80"/>
      <c r="C18" s="80"/>
      <c r="D18" s="80" t="s">
        <v>570</v>
      </c>
      <c r="E18" s="80"/>
      <c r="F18" s="114">
        <v>1027.71</v>
      </c>
    </row>
    <row r="19" spans="1:6" x14ac:dyDescent="0.2">
      <c r="A19" s="80"/>
      <c r="B19" s="80"/>
      <c r="C19" s="80"/>
      <c r="D19" s="80" t="s">
        <v>526</v>
      </c>
      <c r="E19" s="80"/>
      <c r="F19" s="114">
        <v>1228</v>
      </c>
    </row>
    <row r="20" spans="1:6" x14ac:dyDescent="0.2">
      <c r="A20" s="80"/>
      <c r="B20" s="80"/>
      <c r="C20" s="80"/>
      <c r="D20" s="80" t="s">
        <v>527</v>
      </c>
      <c r="E20" s="80"/>
      <c r="F20" s="114">
        <v>0</v>
      </c>
    </row>
    <row r="21" spans="1:6" ht="13.5" thickBot="1" x14ac:dyDescent="0.25">
      <c r="A21" s="80"/>
      <c r="B21" s="80"/>
      <c r="C21" s="80"/>
      <c r="D21" s="80" t="s">
        <v>654</v>
      </c>
      <c r="E21" s="80"/>
      <c r="F21" s="114">
        <v>0</v>
      </c>
    </row>
    <row r="22" spans="1:6" ht="13.5" thickBot="1" x14ac:dyDescent="0.25">
      <c r="A22" s="80"/>
      <c r="B22" s="80"/>
      <c r="C22" s="80" t="s">
        <v>413</v>
      </c>
      <c r="D22" s="80"/>
      <c r="E22" s="80"/>
      <c r="F22" s="116">
        <f>SUM(F18:F21)</f>
        <v>2255.71</v>
      </c>
    </row>
    <row r="23" spans="1:6" ht="13.5" thickBot="1" x14ac:dyDescent="0.25">
      <c r="A23" s="80"/>
      <c r="B23" s="80" t="s">
        <v>275</v>
      </c>
      <c r="C23" s="80"/>
      <c r="D23" s="80"/>
      <c r="E23" s="80"/>
      <c r="F23" s="116">
        <f>F13+F16+F22</f>
        <v>886804.98999999987</v>
      </c>
    </row>
    <row r="24" spans="1:6" ht="13.5" thickBot="1" x14ac:dyDescent="0.25">
      <c r="A24" s="80" t="s">
        <v>369</v>
      </c>
      <c r="B24" s="80"/>
      <c r="C24" s="80"/>
      <c r="D24" s="80"/>
      <c r="E24" s="80"/>
      <c r="F24" s="117">
        <f>F23</f>
        <v>886804.98999999987</v>
      </c>
    </row>
    <row r="25" spans="1:6" ht="13.5" thickTop="1" x14ac:dyDescent="0.2">
      <c r="A25" s="80" t="s">
        <v>370</v>
      </c>
      <c r="B25" s="80"/>
      <c r="C25" s="80"/>
      <c r="D25" s="80"/>
      <c r="E25" s="80"/>
      <c r="F25" s="114"/>
    </row>
    <row r="26" spans="1:6" x14ac:dyDescent="0.2">
      <c r="A26" s="80"/>
      <c r="B26" s="80" t="s">
        <v>105</v>
      </c>
      <c r="C26" s="80"/>
      <c r="D26" s="80"/>
      <c r="E26" s="80"/>
      <c r="F26" s="114"/>
    </row>
    <row r="27" spans="1:6" x14ac:dyDescent="0.2">
      <c r="A27" s="80"/>
      <c r="B27" s="80"/>
      <c r="C27" s="80" t="s">
        <v>106</v>
      </c>
      <c r="D27" s="80"/>
      <c r="E27" s="80"/>
      <c r="F27" s="114"/>
    </row>
    <row r="28" spans="1:6" x14ac:dyDescent="0.2">
      <c r="A28" s="80"/>
      <c r="B28" s="80"/>
      <c r="C28" s="80"/>
      <c r="D28" s="80" t="s">
        <v>449</v>
      </c>
      <c r="E28" s="80"/>
      <c r="F28" s="114"/>
    </row>
    <row r="29" spans="1:6" ht="13.5" thickBot="1" x14ac:dyDescent="0.25">
      <c r="A29" s="80"/>
      <c r="B29" s="80"/>
      <c r="C29" s="80"/>
      <c r="D29" s="80"/>
      <c r="E29" s="80" t="s">
        <v>516</v>
      </c>
      <c r="F29" s="115">
        <v>0</v>
      </c>
    </row>
    <row r="30" spans="1:6" x14ac:dyDescent="0.2">
      <c r="A30" s="80"/>
      <c r="B30" s="80"/>
      <c r="C30" s="80"/>
      <c r="D30" s="80" t="s">
        <v>451</v>
      </c>
      <c r="E30" s="80"/>
      <c r="F30" s="114">
        <f>F29</f>
        <v>0</v>
      </c>
    </row>
    <row r="31" spans="1:6" x14ac:dyDescent="0.2">
      <c r="A31" s="80"/>
      <c r="B31" s="80"/>
      <c r="C31" s="80"/>
      <c r="D31" s="80" t="s">
        <v>371</v>
      </c>
      <c r="E31" s="80"/>
      <c r="F31" s="114"/>
    </row>
    <row r="32" spans="1:6" x14ac:dyDescent="0.2">
      <c r="A32" s="80"/>
      <c r="B32" s="80"/>
      <c r="C32" s="80"/>
      <c r="D32" s="80"/>
      <c r="E32" s="80" t="s">
        <v>528</v>
      </c>
      <c r="F32" s="114">
        <v>750</v>
      </c>
    </row>
    <row r="33" spans="1:6" x14ac:dyDescent="0.2">
      <c r="A33" s="80"/>
      <c r="B33" s="80"/>
      <c r="C33" s="80"/>
      <c r="D33" s="80"/>
      <c r="E33" s="80" t="s">
        <v>573</v>
      </c>
      <c r="F33" s="114">
        <v>0</v>
      </c>
    </row>
    <row r="34" spans="1:6" x14ac:dyDescent="0.2">
      <c r="A34" s="80"/>
      <c r="B34" s="80"/>
      <c r="C34" s="80"/>
      <c r="D34" s="80"/>
      <c r="E34" s="80" t="s">
        <v>518</v>
      </c>
      <c r="F34" s="114">
        <v>435117.64</v>
      </c>
    </row>
    <row r="35" spans="1:6" x14ac:dyDescent="0.2">
      <c r="A35" s="80"/>
      <c r="B35" s="80"/>
      <c r="C35" s="80"/>
      <c r="D35" s="80"/>
      <c r="E35" s="80" t="s">
        <v>529</v>
      </c>
      <c r="F35" s="114">
        <v>2716.5</v>
      </c>
    </row>
    <row r="36" spans="1:6" ht="13.5" thickBot="1" x14ac:dyDescent="0.25">
      <c r="A36" s="80"/>
      <c r="B36" s="80"/>
      <c r="C36" s="80"/>
      <c r="D36" s="80"/>
      <c r="E36" s="80" t="s">
        <v>519</v>
      </c>
      <c r="F36" s="114">
        <v>10866.56</v>
      </c>
    </row>
    <row r="37" spans="1:6" ht="13.5" thickBot="1" x14ac:dyDescent="0.25">
      <c r="A37" s="80"/>
      <c r="B37" s="80"/>
      <c r="C37" s="80"/>
      <c r="D37" s="80" t="s">
        <v>381</v>
      </c>
      <c r="E37" s="80"/>
      <c r="F37" s="116">
        <f>F32+F34+F35+F36+F33</f>
        <v>449450.7</v>
      </c>
    </row>
    <row r="38" spans="1:6" ht="13.5" thickBot="1" x14ac:dyDescent="0.25">
      <c r="A38" s="80"/>
      <c r="B38" s="80"/>
      <c r="C38" s="80" t="s">
        <v>382</v>
      </c>
      <c r="D38" s="80"/>
      <c r="E38" s="80"/>
      <c r="F38" s="118">
        <f>F30+F37</f>
        <v>449450.7</v>
      </c>
    </row>
    <row r="39" spans="1:6" x14ac:dyDescent="0.2">
      <c r="A39" s="80"/>
      <c r="B39" s="80" t="s">
        <v>320</v>
      </c>
      <c r="C39" s="80"/>
      <c r="D39" s="80"/>
      <c r="E39" s="80"/>
      <c r="F39" s="114">
        <f>F38</f>
        <v>449450.7</v>
      </c>
    </row>
    <row r="40" spans="1:6" x14ac:dyDescent="0.2">
      <c r="A40" s="80"/>
      <c r="B40" s="80" t="s">
        <v>160</v>
      </c>
      <c r="C40" s="80"/>
      <c r="D40" s="80"/>
      <c r="E40" s="80"/>
      <c r="F40" s="114"/>
    </row>
    <row r="41" spans="1:6" x14ac:dyDescent="0.2">
      <c r="A41" s="80"/>
      <c r="B41" s="80"/>
      <c r="C41" s="80" t="s">
        <v>520</v>
      </c>
      <c r="D41" s="80"/>
      <c r="E41" s="80"/>
      <c r="F41" s="114">
        <v>425392.02</v>
      </c>
    </row>
    <row r="42" spans="1:6" ht="13.5" thickBot="1" x14ac:dyDescent="0.25">
      <c r="A42" s="80"/>
      <c r="B42" s="80"/>
      <c r="C42" s="80" t="s">
        <v>387</v>
      </c>
      <c r="D42" s="80"/>
      <c r="E42" s="80"/>
      <c r="F42" s="114">
        <v>11962.27</v>
      </c>
    </row>
    <row r="43" spans="1:6" ht="13.5" thickBot="1" x14ac:dyDescent="0.25">
      <c r="A43" s="80"/>
      <c r="B43" s="80" t="s">
        <v>331</v>
      </c>
      <c r="C43" s="80"/>
      <c r="D43" s="80"/>
      <c r="E43" s="80"/>
      <c r="F43" s="116">
        <f>F41+F42</f>
        <v>437354.29000000004</v>
      </c>
    </row>
    <row r="44" spans="1:6" ht="13.5" thickBot="1" x14ac:dyDescent="0.25">
      <c r="A44" s="80" t="s">
        <v>388</v>
      </c>
      <c r="B44" s="80"/>
      <c r="C44" s="80"/>
      <c r="D44" s="80"/>
      <c r="E44" s="80"/>
      <c r="F44" s="117">
        <f>F39+F43</f>
        <v>886804.99</v>
      </c>
    </row>
    <row r="45" spans="1:6" ht="15.75" thickTop="1" x14ac:dyDescent="0.25">
      <c r="A45" s="88"/>
      <c r="B45" s="88"/>
      <c r="C45" s="88"/>
      <c r="D45" s="88"/>
      <c r="E45" s="88"/>
      <c r="F45" s="88"/>
    </row>
    <row r="46" spans="1:6" x14ac:dyDescent="0.2">
      <c r="F46" s="119">
        <f>F24-F44</f>
        <v>0</v>
      </c>
    </row>
  </sheetData>
  <mergeCells count="1">
    <mergeCell ref="A2:F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</sheetPr>
  <dimension ref="A1:I80"/>
  <sheetViews>
    <sheetView topLeftCell="A25" zoomScaleNormal="100" workbookViewId="0">
      <selection activeCell="L39" sqref="L39"/>
    </sheetView>
  </sheetViews>
  <sheetFormatPr defaultRowHeight="12.75" x14ac:dyDescent="0.2"/>
  <cols>
    <col min="1" max="4" width="2.28515625" style="84" customWidth="1"/>
    <col min="5" max="5" width="30.28515625" style="84" bestFit="1" customWidth="1"/>
    <col min="6" max="6" width="12.28515625" style="107" bestFit="1" customWidth="1"/>
    <col min="7" max="7" width="7.140625" style="107" customWidth="1"/>
    <col min="8" max="16384" width="9.140625" style="75"/>
  </cols>
  <sheetData>
    <row r="1" spans="1:9" ht="13.5" thickBot="1" x14ac:dyDescent="0.25">
      <c r="A1" s="82"/>
      <c r="B1" s="82"/>
      <c r="C1" s="82"/>
      <c r="D1" s="82"/>
      <c r="E1" s="82"/>
      <c r="F1" s="110" t="s">
        <v>731</v>
      </c>
      <c r="G1" s="111"/>
      <c r="H1" s="112" t="s">
        <v>549</v>
      </c>
    </row>
    <row r="2" spans="1:9" ht="13.5" thickTop="1" x14ac:dyDescent="0.2">
      <c r="A2" s="81" t="s">
        <v>335</v>
      </c>
      <c r="B2" s="81"/>
      <c r="C2" s="81"/>
      <c r="D2" s="81"/>
      <c r="E2" s="81"/>
      <c r="F2" s="103"/>
    </row>
    <row r="3" spans="1:9" x14ac:dyDescent="0.2">
      <c r="A3" s="81"/>
      <c r="B3" s="81" t="s">
        <v>3</v>
      </c>
      <c r="C3" s="81"/>
      <c r="D3" s="81"/>
      <c r="E3" s="81"/>
      <c r="F3" s="103"/>
    </row>
    <row r="4" spans="1:9" x14ac:dyDescent="0.2">
      <c r="A4" s="81"/>
      <c r="B4" s="81"/>
      <c r="C4" s="81" t="s">
        <v>336</v>
      </c>
      <c r="D4" s="81"/>
      <c r="E4" s="81"/>
      <c r="F4" s="103"/>
      <c r="H4" s="181"/>
      <c r="I4" s="181"/>
    </row>
    <row r="5" spans="1:9" x14ac:dyDescent="0.2">
      <c r="A5" s="81"/>
      <c r="B5" s="81"/>
      <c r="C5" s="81"/>
      <c r="D5" s="81" t="s">
        <v>337</v>
      </c>
      <c r="E5" s="81"/>
      <c r="F5" s="103">
        <v>235</v>
      </c>
      <c r="H5" s="181"/>
      <c r="I5" s="181"/>
    </row>
    <row r="6" spans="1:9" x14ac:dyDescent="0.2">
      <c r="A6" s="81"/>
      <c r="B6" s="81"/>
      <c r="C6" s="81"/>
      <c r="D6" s="81" t="s">
        <v>338</v>
      </c>
      <c r="E6" s="81"/>
      <c r="F6" s="103">
        <v>201912.1</v>
      </c>
      <c r="H6" s="181"/>
      <c r="I6" s="181"/>
    </row>
    <row r="7" spans="1:9" ht="13.5" thickBot="1" x14ac:dyDescent="0.25">
      <c r="A7" s="81"/>
      <c r="B7" s="81"/>
      <c r="C7" s="81"/>
      <c r="D7" s="81" t="s">
        <v>339</v>
      </c>
      <c r="E7" s="81"/>
      <c r="F7" s="103">
        <v>17221.689999999999</v>
      </c>
      <c r="H7" s="181"/>
      <c r="I7" s="181"/>
    </row>
    <row r="8" spans="1:9" ht="13.5" thickBot="1" x14ac:dyDescent="0.25">
      <c r="A8" s="81"/>
      <c r="B8" s="81"/>
      <c r="C8" s="81" t="s">
        <v>340</v>
      </c>
      <c r="D8" s="81"/>
      <c r="E8" s="81"/>
      <c r="F8" s="104">
        <f>ROUND(SUM(F4:F7),5)</f>
        <v>219368.79</v>
      </c>
      <c r="H8" s="181"/>
      <c r="I8" s="181"/>
    </row>
    <row r="9" spans="1:9" x14ac:dyDescent="0.2">
      <c r="A9" s="81"/>
      <c r="B9" s="81" t="s">
        <v>275</v>
      </c>
      <c r="C9" s="81"/>
      <c r="D9" s="81"/>
      <c r="E9" s="81"/>
      <c r="F9" s="103">
        <f>ROUND(F3+F8,5)</f>
        <v>219368.79</v>
      </c>
      <c r="H9" s="181"/>
      <c r="I9" s="181"/>
    </row>
    <row r="10" spans="1:9" x14ac:dyDescent="0.2">
      <c r="A10" s="81"/>
      <c r="B10" s="81" t="s">
        <v>409</v>
      </c>
      <c r="C10" s="81"/>
      <c r="D10" s="81"/>
      <c r="E10" s="81"/>
      <c r="F10" s="103"/>
      <c r="H10" s="181"/>
      <c r="I10" s="181"/>
    </row>
    <row r="11" spans="1:9" x14ac:dyDescent="0.2">
      <c r="A11" s="81"/>
      <c r="B11" s="81"/>
      <c r="C11" s="81"/>
      <c r="D11" s="81" t="s">
        <v>661</v>
      </c>
      <c r="E11" s="81"/>
      <c r="F11" s="103">
        <v>0</v>
      </c>
      <c r="H11" s="181"/>
      <c r="I11" s="181"/>
    </row>
    <row r="12" spans="1:9" x14ac:dyDescent="0.2">
      <c r="A12" s="81"/>
      <c r="B12" s="81"/>
      <c r="C12" s="81"/>
      <c r="D12" s="81" t="s">
        <v>710</v>
      </c>
      <c r="E12" s="81"/>
      <c r="F12" s="142">
        <v>0</v>
      </c>
      <c r="H12" s="181"/>
      <c r="I12" s="181"/>
    </row>
    <row r="13" spans="1:9" ht="13.5" thickBot="1" x14ac:dyDescent="0.25">
      <c r="A13" s="81"/>
      <c r="B13" s="81"/>
      <c r="C13" s="81"/>
      <c r="D13" s="81" t="s">
        <v>662</v>
      </c>
      <c r="E13" s="81"/>
      <c r="F13" s="109">
        <v>250000</v>
      </c>
      <c r="H13" s="181"/>
      <c r="I13" s="181"/>
    </row>
    <row r="14" spans="1:9" x14ac:dyDescent="0.2">
      <c r="A14" s="81"/>
      <c r="B14" s="81"/>
      <c r="C14" s="81" t="s">
        <v>413</v>
      </c>
      <c r="D14" s="81"/>
      <c r="E14" s="81"/>
      <c r="F14" s="103">
        <f>SUM(F11:F13)</f>
        <v>250000</v>
      </c>
      <c r="H14" s="181"/>
      <c r="I14" s="181"/>
    </row>
    <row r="15" spans="1:9" x14ac:dyDescent="0.2">
      <c r="A15" s="81"/>
      <c r="B15" s="81" t="s">
        <v>341</v>
      </c>
      <c r="C15" s="81"/>
      <c r="D15" s="81"/>
      <c r="E15" s="81"/>
      <c r="F15" s="103"/>
      <c r="H15" s="181"/>
      <c r="I15" s="181"/>
    </row>
    <row r="16" spans="1:9" x14ac:dyDescent="0.2">
      <c r="A16" s="81"/>
      <c r="B16" s="81"/>
      <c r="C16" s="81" t="s">
        <v>342</v>
      </c>
      <c r="D16" s="81"/>
      <c r="E16" s="81"/>
      <c r="F16" s="103">
        <v>44183.17</v>
      </c>
    </row>
    <row r="17" spans="1:6" x14ac:dyDescent="0.2">
      <c r="A17" s="81"/>
      <c r="B17" s="81"/>
      <c r="C17" s="81" t="s">
        <v>343</v>
      </c>
      <c r="D17" s="81"/>
      <c r="E17" s="81"/>
      <c r="F17" s="103">
        <v>30402.58</v>
      </c>
    </row>
    <row r="18" spans="1:6" x14ac:dyDescent="0.2">
      <c r="A18" s="81"/>
      <c r="B18" s="81"/>
      <c r="C18" s="81" t="s">
        <v>344</v>
      </c>
      <c r="D18" s="81"/>
      <c r="E18" s="81"/>
      <c r="F18" s="103">
        <v>69208.179999999993</v>
      </c>
    </row>
    <row r="19" spans="1:6" x14ac:dyDescent="0.2">
      <c r="A19" s="81"/>
      <c r="B19" s="81"/>
      <c r="C19" s="81" t="s">
        <v>345</v>
      </c>
      <c r="D19" s="81"/>
      <c r="E19" s="81"/>
      <c r="F19" s="103">
        <v>54277.27</v>
      </c>
    </row>
    <row r="20" spans="1:6" x14ac:dyDescent="0.2">
      <c r="A20" s="81"/>
      <c r="B20" s="81"/>
      <c r="C20" s="81" t="s">
        <v>346</v>
      </c>
      <c r="D20" s="81"/>
      <c r="E20" s="81"/>
      <c r="F20" s="103">
        <v>30406.89</v>
      </c>
    </row>
    <row r="21" spans="1:6" x14ac:dyDescent="0.2">
      <c r="A21" s="81"/>
      <c r="B21" s="81"/>
      <c r="C21" s="81" t="s">
        <v>347</v>
      </c>
      <c r="D21" s="81"/>
      <c r="E21" s="81"/>
      <c r="F21" s="103">
        <v>24019.25</v>
      </c>
    </row>
    <row r="22" spans="1:6" x14ac:dyDescent="0.2">
      <c r="A22" s="81"/>
      <c r="B22" s="81"/>
      <c r="C22" s="81" t="s">
        <v>348</v>
      </c>
      <c r="D22" s="81"/>
      <c r="E22" s="81"/>
      <c r="F22" s="103">
        <v>246490.68</v>
      </c>
    </row>
    <row r="23" spans="1:6" x14ac:dyDescent="0.2">
      <c r="A23" s="81"/>
      <c r="B23" s="81"/>
      <c r="C23" s="81" t="s">
        <v>349</v>
      </c>
      <c r="D23" s="81"/>
      <c r="E23" s="81"/>
      <c r="F23" s="103">
        <v>458729.25</v>
      </c>
    </row>
    <row r="24" spans="1:6" x14ac:dyDescent="0.2">
      <c r="A24" s="81"/>
      <c r="B24" s="81"/>
      <c r="C24" s="81" t="s">
        <v>350</v>
      </c>
      <c r="D24" s="81"/>
      <c r="E24" s="81"/>
      <c r="F24" s="103">
        <v>40054.61</v>
      </c>
    </row>
    <row r="25" spans="1:6" x14ac:dyDescent="0.2">
      <c r="A25" s="81"/>
      <c r="B25" s="81"/>
      <c r="C25" s="81" t="s">
        <v>351</v>
      </c>
      <c r="D25" s="81"/>
      <c r="E25" s="81"/>
      <c r="F25" s="103">
        <v>71762.38</v>
      </c>
    </row>
    <row r="26" spans="1:6" x14ac:dyDescent="0.2">
      <c r="A26" s="81"/>
      <c r="B26" s="81"/>
      <c r="C26" s="81" t="s">
        <v>352</v>
      </c>
      <c r="D26" s="81"/>
      <c r="E26" s="81"/>
      <c r="F26" s="103">
        <v>993000</v>
      </c>
    </row>
    <row r="27" spans="1:6" x14ac:dyDescent="0.2">
      <c r="A27" s="81"/>
      <c r="B27" s="81"/>
      <c r="C27" s="81" t="s">
        <v>353</v>
      </c>
      <c r="D27" s="81"/>
      <c r="E27" s="81"/>
      <c r="F27" s="103">
        <v>22740.47</v>
      </c>
    </row>
    <row r="28" spans="1:6" x14ac:dyDescent="0.2">
      <c r="A28" s="81"/>
      <c r="B28" s="81"/>
      <c r="C28" s="81" t="s">
        <v>354</v>
      </c>
      <c r="D28" s="81"/>
      <c r="E28" s="81"/>
      <c r="F28" s="103">
        <v>144153.57999999999</v>
      </c>
    </row>
    <row r="29" spans="1:6" x14ac:dyDescent="0.2">
      <c r="A29" s="81"/>
      <c r="B29" s="81"/>
      <c r="C29" s="81" t="s">
        <v>355</v>
      </c>
      <c r="D29" s="81"/>
      <c r="E29" s="81"/>
      <c r="F29" s="103">
        <v>1095847.6499999999</v>
      </c>
    </row>
    <row r="30" spans="1:6" x14ac:dyDescent="0.2">
      <c r="A30" s="81"/>
      <c r="B30" s="81"/>
      <c r="C30" s="81" t="s">
        <v>356</v>
      </c>
      <c r="D30" s="81"/>
      <c r="E30" s="81"/>
      <c r="F30" s="103">
        <v>16428</v>
      </c>
    </row>
    <row r="31" spans="1:6" x14ac:dyDescent="0.2">
      <c r="A31" s="81"/>
      <c r="B31" s="81"/>
      <c r="C31" s="81" t="s">
        <v>357</v>
      </c>
      <c r="D31" s="81"/>
      <c r="E31" s="81"/>
      <c r="F31" s="103">
        <v>17892.39</v>
      </c>
    </row>
    <row r="32" spans="1:6" x14ac:dyDescent="0.2">
      <c r="A32" s="81"/>
      <c r="B32" s="81"/>
      <c r="C32" s="81" t="s">
        <v>358</v>
      </c>
      <c r="D32" s="81"/>
      <c r="E32" s="81"/>
      <c r="F32" s="103">
        <v>107880.06</v>
      </c>
    </row>
    <row r="33" spans="1:7" x14ac:dyDescent="0.2">
      <c r="A33" s="81"/>
      <c r="B33" s="81"/>
      <c r="C33" s="81" t="s">
        <v>359</v>
      </c>
      <c r="D33" s="81"/>
      <c r="E33" s="81"/>
      <c r="F33" s="103">
        <v>6029.69</v>
      </c>
    </row>
    <row r="34" spans="1:7" x14ac:dyDescent="0.2">
      <c r="A34" s="81"/>
      <c r="B34" s="81"/>
      <c r="C34" s="81" t="s">
        <v>360</v>
      </c>
      <c r="D34" s="81"/>
      <c r="E34" s="81"/>
      <c r="F34" s="103">
        <v>62029.53</v>
      </c>
    </row>
    <row r="35" spans="1:7" x14ac:dyDescent="0.2">
      <c r="A35" s="81"/>
      <c r="B35" s="81"/>
      <c r="C35" s="81" t="s">
        <v>361</v>
      </c>
      <c r="D35" s="81"/>
      <c r="E35" s="81"/>
      <c r="F35" s="103">
        <v>186350.3</v>
      </c>
    </row>
    <row r="36" spans="1:7" x14ac:dyDescent="0.2">
      <c r="A36" s="81"/>
      <c r="B36" s="81"/>
      <c r="C36" s="81" t="s">
        <v>362</v>
      </c>
      <c r="D36" s="81"/>
      <c r="E36" s="81"/>
      <c r="F36" s="103">
        <v>4474</v>
      </c>
    </row>
    <row r="37" spans="1:7" x14ac:dyDescent="0.2">
      <c r="A37" s="81"/>
      <c r="B37" s="81"/>
      <c r="C37" s="81" t="s">
        <v>671</v>
      </c>
      <c r="D37" s="81"/>
      <c r="E37" s="81"/>
      <c r="F37" s="103">
        <v>25212.82</v>
      </c>
    </row>
    <row r="38" spans="1:7" x14ac:dyDescent="0.2">
      <c r="A38" s="81"/>
      <c r="B38" s="81"/>
      <c r="C38" s="81" t="s">
        <v>363</v>
      </c>
      <c r="D38" s="81"/>
      <c r="E38" s="81"/>
      <c r="F38" s="103">
        <v>25005.61</v>
      </c>
    </row>
    <row r="39" spans="1:7" x14ac:dyDescent="0.2">
      <c r="A39" s="81"/>
      <c r="B39" s="81"/>
      <c r="C39" s="81" t="s">
        <v>613</v>
      </c>
      <c r="D39" s="81"/>
      <c r="E39" s="81"/>
      <c r="F39" s="103">
        <v>229685.82</v>
      </c>
    </row>
    <row r="40" spans="1:7" x14ac:dyDescent="0.2">
      <c r="A40" s="81"/>
      <c r="B40" s="81"/>
      <c r="C40" s="81" t="s">
        <v>660</v>
      </c>
      <c r="D40" s="81"/>
      <c r="E40" s="86"/>
      <c r="F40" s="103">
        <v>3505.19</v>
      </c>
    </row>
    <row r="41" spans="1:7" x14ac:dyDescent="0.2">
      <c r="A41" s="81"/>
      <c r="B41" s="81"/>
      <c r="C41" s="81" t="s">
        <v>364</v>
      </c>
      <c r="D41" s="81"/>
      <c r="E41" s="81"/>
      <c r="F41" s="103">
        <v>188141.96</v>
      </c>
    </row>
    <row r="42" spans="1:7" ht="13.5" thickBot="1" x14ac:dyDescent="0.25">
      <c r="A42" s="81"/>
      <c r="B42" s="81"/>
      <c r="C42" s="81" t="s">
        <v>365</v>
      </c>
      <c r="D42" s="81"/>
      <c r="E42" s="81"/>
      <c r="F42" s="109">
        <v>-2571177.9500000002</v>
      </c>
    </row>
    <row r="43" spans="1:7" x14ac:dyDescent="0.2">
      <c r="A43" s="81"/>
      <c r="B43" s="81" t="s">
        <v>366</v>
      </c>
      <c r="C43" s="81"/>
      <c r="D43" s="81"/>
      <c r="E43" s="81"/>
      <c r="F43" s="103">
        <f>ROUND(SUM(F15:F42),5)</f>
        <v>1626733.38</v>
      </c>
    </row>
    <row r="44" spans="1:7" x14ac:dyDescent="0.2">
      <c r="A44" s="81"/>
      <c r="B44" s="81" t="s">
        <v>218</v>
      </c>
      <c r="C44" s="81"/>
      <c r="D44" s="81"/>
      <c r="E44" s="81"/>
      <c r="F44" s="103"/>
    </row>
    <row r="45" spans="1:7" x14ac:dyDescent="0.2">
      <c r="A45" s="81"/>
      <c r="B45" s="81"/>
      <c r="C45" s="81" t="s">
        <v>396</v>
      </c>
      <c r="D45" s="81"/>
      <c r="E45" s="81"/>
      <c r="F45" s="103">
        <v>0</v>
      </c>
    </row>
    <row r="46" spans="1:7" ht="13.5" thickBot="1" x14ac:dyDescent="0.25">
      <c r="A46" s="81"/>
      <c r="B46" s="81"/>
      <c r="C46" s="81" t="s">
        <v>367</v>
      </c>
      <c r="D46" s="81"/>
      <c r="E46" s="81"/>
      <c r="F46" s="103">
        <v>18779.09</v>
      </c>
    </row>
    <row r="47" spans="1:7" ht="13.5" thickBot="1" x14ac:dyDescent="0.25">
      <c r="A47" s="81"/>
      <c r="B47" s="81" t="s">
        <v>368</v>
      </c>
      <c r="C47" s="81"/>
      <c r="D47" s="81"/>
      <c r="E47" s="81"/>
      <c r="F47" s="105">
        <f>ROUND(SUM(F44:F46),5)</f>
        <v>18779.09</v>
      </c>
    </row>
    <row r="48" spans="1:7" ht="13.5" thickBot="1" x14ac:dyDescent="0.25">
      <c r="A48" s="83" t="s">
        <v>369</v>
      </c>
      <c r="B48" s="83"/>
      <c r="C48" s="83"/>
      <c r="D48" s="83"/>
      <c r="E48" s="83"/>
      <c r="F48" s="106">
        <f>ROUND(F2+F9+F43+F47+F14,5)</f>
        <v>2114881.2599999998</v>
      </c>
      <c r="G48" s="100"/>
    </row>
    <row r="49" spans="1:6" ht="13.5" thickTop="1" x14ac:dyDescent="0.2">
      <c r="A49" s="81" t="s">
        <v>370</v>
      </c>
      <c r="B49" s="81"/>
      <c r="C49" s="81"/>
      <c r="D49" s="81"/>
      <c r="E49" s="81"/>
      <c r="F49" s="103"/>
    </row>
    <row r="50" spans="1:6" x14ac:dyDescent="0.2">
      <c r="A50" s="81"/>
      <c r="B50" s="81" t="s">
        <v>105</v>
      </c>
      <c r="C50" s="81"/>
      <c r="D50" s="81"/>
      <c r="E50" s="81"/>
      <c r="F50" s="103"/>
    </row>
    <row r="51" spans="1:6" x14ac:dyDescent="0.2">
      <c r="A51" s="81"/>
      <c r="B51" s="81"/>
      <c r="C51" s="81" t="s">
        <v>106</v>
      </c>
      <c r="D51" s="81"/>
      <c r="E51" s="81"/>
      <c r="F51" s="103"/>
    </row>
    <row r="52" spans="1:6" x14ac:dyDescent="0.2">
      <c r="A52" s="81"/>
      <c r="B52" s="81"/>
      <c r="C52" s="81"/>
      <c r="D52" s="81" t="s">
        <v>371</v>
      </c>
      <c r="E52" s="81"/>
      <c r="F52" s="103"/>
    </row>
    <row r="53" spans="1:6" x14ac:dyDescent="0.2">
      <c r="A53" s="81"/>
      <c r="B53" s="81"/>
      <c r="C53" s="81"/>
      <c r="D53" s="81"/>
      <c r="E53" s="81" t="s">
        <v>614</v>
      </c>
      <c r="F53" s="103"/>
    </row>
    <row r="54" spans="1:6" x14ac:dyDescent="0.2">
      <c r="A54" s="81"/>
      <c r="B54" s="81"/>
      <c r="C54" s="81"/>
      <c r="D54" s="81"/>
      <c r="E54" s="81" t="s">
        <v>372</v>
      </c>
      <c r="F54" s="103"/>
    </row>
    <row r="55" spans="1:6" x14ac:dyDescent="0.2">
      <c r="A55" s="81"/>
      <c r="B55" s="81"/>
      <c r="C55" s="81"/>
      <c r="D55" s="81"/>
      <c r="E55" s="81" t="s">
        <v>373</v>
      </c>
      <c r="F55" s="103">
        <v>1500</v>
      </c>
    </row>
    <row r="56" spans="1:6" x14ac:dyDescent="0.2">
      <c r="A56" s="81"/>
      <c r="B56" s="81"/>
      <c r="C56" s="81"/>
      <c r="D56" s="81"/>
      <c r="E56" s="81" t="s">
        <v>374</v>
      </c>
      <c r="F56" s="103"/>
    </row>
    <row r="57" spans="1:6" x14ac:dyDescent="0.2">
      <c r="A57" s="81"/>
      <c r="B57" s="81"/>
      <c r="C57" s="81"/>
      <c r="D57" s="81"/>
      <c r="E57" s="81" t="s">
        <v>592</v>
      </c>
      <c r="F57" s="103">
        <v>2250</v>
      </c>
    </row>
    <row r="58" spans="1:6" x14ac:dyDescent="0.2">
      <c r="A58" s="81"/>
      <c r="B58" s="81"/>
      <c r="C58" s="81"/>
      <c r="D58" s="81"/>
      <c r="E58" s="81" t="s">
        <v>375</v>
      </c>
      <c r="F58" s="103">
        <v>134.61000000000001</v>
      </c>
    </row>
    <row r="59" spans="1:6" x14ac:dyDescent="0.2">
      <c r="A59" s="81"/>
      <c r="B59" s="81"/>
      <c r="C59" s="81"/>
      <c r="D59" s="81"/>
      <c r="E59" s="81" t="s">
        <v>376</v>
      </c>
      <c r="F59" s="103">
        <v>3750</v>
      </c>
    </row>
    <row r="60" spans="1:6" x14ac:dyDescent="0.2">
      <c r="A60" s="81"/>
      <c r="B60" s="81"/>
      <c r="C60" s="81"/>
      <c r="D60" s="81"/>
      <c r="E60" s="81" t="s">
        <v>530</v>
      </c>
      <c r="F60" s="103">
        <v>5076.54</v>
      </c>
    </row>
    <row r="61" spans="1:6" x14ac:dyDescent="0.2">
      <c r="A61" s="81"/>
      <c r="B61" s="81"/>
      <c r="C61" s="81"/>
      <c r="D61" s="81"/>
      <c r="E61" s="81" t="s">
        <v>377</v>
      </c>
      <c r="F61" s="103"/>
    </row>
    <row r="62" spans="1:6" x14ac:dyDescent="0.2">
      <c r="A62" s="81"/>
      <c r="B62" s="81"/>
      <c r="C62" s="81"/>
      <c r="D62" s="81"/>
      <c r="E62" s="81" t="s">
        <v>378</v>
      </c>
      <c r="F62" s="103">
        <v>1017646.13</v>
      </c>
    </row>
    <row r="63" spans="1:6" x14ac:dyDescent="0.2">
      <c r="A63" s="81"/>
      <c r="B63" s="81"/>
      <c r="C63" s="81"/>
      <c r="D63" s="81"/>
      <c r="E63" s="81" t="s">
        <v>379</v>
      </c>
      <c r="F63" s="103">
        <v>62294.02</v>
      </c>
    </row>
    <row r="64" spans="1:6" x14ac:dyDescent="0.2">
      <c r="A64" s="81"/>
      <c r="B64" s="81"/>
      <c r="C64" s="81"/>
      <c r="D64" s="81"/>
      <c r="E64" s="81" t="s">
        <v>380</v>
      </c>
      <c r="F64" s="103">
        <v>14237.73</v>
      </c>
    </row>
    <row r="65" spans="1:7" ht="13.5" thickBot="1" x14ac:dyDescent="0.25">
      <c r="A65" s="81"/>
      <c r="B65" s="81"/>
      <c r="C65" s="81"/>
      <c r="D65" s="81"/>
      <c r="E65" s="81" t="s">
        <v>616</v>
      </c>
      <c r="F65" s="103"/>
    </row>
    <row r="66" spans="1:7" ht="13.5" thickBot="1" x14ac:dyDescent="0.25">
      <c r="A66" s="81"/>
      <c r="B66" s="81"/>
      <c r="C66" s="81"/>
      <c r="D66" s="81" t="s">
        <v>381</v>
      </c>
      <c r="E66" s="81"/>
      <c r="F66" s="104">
        <f>ROUND(SUM(F52:F65),5)</f>
        <v>1106889.03</v>
      </c>
    </row>
    <row r="67" spans="1:7" x14ac:dyDescent="0.2">
      <c r="A67" s="81"/>
      <c r="B67" s="81"/>
      <c r="C67" s="81" t="s">
        <v>382</v>
      </c>
      <c r="D67" s="81"/>
      <c r="E67" s="81"/>
      <c r="F67" s="103">
        <f>ROUND(F51+F66,5)</f>
        <v>1106889.03</v>
      </c>
    </row>
    <row r="68" spans="1:7" x14ac:dyDescent="0.2">
      <c r="A68" s="81"/>
      <c r="B68" s="81"/>
      <c r="C68" s="81" t="s">
        <v>149</v>
      </c>
      <c r="D68" s="81"/>
      <c r="E68" s="81"/>
      <c r="F68" s="103"/>
    </row>
    <row r="69" spans="1:7" x14ac:dyDescent="0.2">
      <c r="A69" s="81"/>
      <c r="B69" s="81"/>
      <c r="C69" s="81"/>
      <c r="D69" s="81" t="s">
        <v>383</v>
      </c>
      <c r="E69" s="81"/>
      <c r="F69" s="103">
        <v>1038675.03</v>
      </c>
    </row>
    <row r="70" spans="1:7" ht="13.5" thickBot="1" x14ac:dyDescent="0.25">
      <c r="A70" s="81"/>
      <c r="B70" s="81"/>
      <c r="C70" s="81"/>
      <c r="D70" s="81" t="s">
        <v>384</v>
      </c>
      <c r="E70" s="81"/>
      <c r="F70" s="103">
        <v>1086025.01</v>
      </c>
    </row>
    <row r="71" spans="1:7" ht="13.5" thickBot="1" x14ac:dyDescent="0.25">
      <c r="A71" s="81"/>
      <c r="B71" s="81"/>
      <c r="C71" s="81" t="s">
        <v>319</v>
      </c>
      <c r="D71" s="81"/>
      <c r="E71" s="81"/>
      <c r="F71" s="104">
        <f>ROUND(SUM(F68:F70),5)</f>
        <v>2124700.04</v>
      </c>
    </row>
    <row r="72" spans="1:7" x14ac:dyDescent="0.2">
      <c r="A72" s="81"/>
      <c r="B72" s="81" t="s">
        <v>320</v>
      </c>
      <c r="C72" s="81"/>
      <c r="D72" s="81"/>
      <c r="E72" s="81"/>
      <c r="F72" s="103">
        <f>ROUND(F50+F67+F71,5)</f>
        <v>3231589.07</v>
      </c>
    </row>
    <row r="73" spans="1:7" x14ac:dyDescent="0.2">
      <c r="A73" s="81"/>
      <c r="B73" s="81" t="s">
        <v>160</v>
      </c>
      <c r="C73" s="81"/>
      <c r="D73" s="81"/>
      <c r="E73" s="81"/>
      <c r="F73" s="103"/>
    </row>
    <row r="74" spans="1:7" x14ac:dyDescent="0.2">
      <c r="A74" s="81"/>
      <c r="B74" s="81"/>
      <c r="C74" s="81" t="s">
        <v>385</v>
      </c>
      <c r="D74" s="81"/>
      <c r="E74" s="81"/>
      <c r="F74" s="103">
        <v>25000.03</v>
      </c>
    </row>
    <row r="75" spans="1:7" x14ac:dyDescent="0.2">
      <c r="A75" s="81"/>
      <c r="B75" s="81"/>
      <c r="C75" s="81" t="s">
        <v>386</v>
      </c>
      <c r="D75" s="81"/>
      <c r="E75" s="81"/>
      <c r="F75" s="103">
        <v>-1189372.3600000001</v>
      </c>
    </row>
    <row r="76" spans="1:7" ht="13.5" thickBot="1" x14ac:dyDescent="0.25">
      <c r="A76" s="81"/>
      <c r="B76" s="81"/>
      <c r="C76" s="81" t="s">
        <v>387</v>
      </c>
      <c r="D76" s="81"/>
      <c r="E76" s="81"/>
      <c r="F76" s="103">
        <v>47664.52</v>
      </c>
    </row>
    <row r="77" spans="1:7" ht="13.5" thickBot="1" x14ac:dyDescent="0.25">
      <c r="A77" s="81"/>
      <c r="B77" s="81" t="s">
        <v>331</v>
      </c>
      <c r="C77" s="81"/>
      <c r="D77" s="81"/>
      <c r="E77" s="81"/>
      <c r="F77" s="105">
        <f>ROUND(SUM(F73:F76),5)</f>
        <v>-1116707.81</v>
      </c>
    </row>
    <row r="78" spans="1:7" ht="13.5" thickBot="1" x14ac:dyDescent="0.25">
      <c r="A78" s="83" t="s">
        <v>388</v>
      </c>
      <c r="B78" s="83"/>
      <c r="C78" s="83"/>
      <c r="D78" s="83"/>
      <c r="E78" s="83"/>
      <c r="F78" s="106">
        <f>ROUND(F49+F72+F77,5)</f>
        <v>2114881.2599999998</v>
      </c>
      <c r="G78" s="100"/>
    </row>
    <row r="79" spans="1:7" ht="13.5" thickTop="1" x14ac:dyDescent="0.2"/>
    <row r="80" spans="1:7" x14ac:dyDescent="0.2">
      <c r="E80" s="85" t="s">
        <v>392</v>
      </c>
      <c r="F80" s="108">
        <f>F48-F78</f>
        <v>0</v>
      </c>
    </row>
  </sheetData>
  <mergeCells count="1">
    <mergeCell ref="H4:I15"/>
  </mergeCells>
  <pageMargins left="0.7" right="0.7" top="0.75" bottom="0.75" header="0.3" footer="0.3"/>
  <pageSetup orientation="portrait" r:id="rId1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</sheetPr>
  <dimension ref="A1:S110"/>
  <sheetViews>
    <sheetView topLeftCell="A70" workbookViewId="0">
      <selection activeCell="L107" sqref="L107"/>
    </sheetView>
  </sheetViews>
  <sheetFormatPr defaultRowHeight="12.75" x14ac:dyDescent="0.2"/>
  <cols>
    <col min="1" max="4" width="9.140625" style="75"/>
    <col min="5" max="5" width="31.140625" style="75" bestFit="1" customWidth="1"/>
    <col min="6" max="6" width="10.85546875" style="75" bestFit="1" customWidth="1"/>
    <col min="7" max="16384" width="9.140625" style="75"/>
  </cols>
  <sheetData>
    <row r="1" spans="1:19" x14ac:dyDescent="0.2">
      <c r="A1" s="100"/>
      <c r="B1" s="100"/>
      <c r="C1" s="100"/>
      <c r="D1" s="100"/>
      <c r="E1" s="100"/>
      <c r="F1" s="107"/>
    </row>
    <row r="2" spans="1:19" x14ac:dyDescent="0.2">
      <c r="A2" s="100"/>
      <c r="B2" s="182" t="s">
        <v>407</v>
      </c>
      <c r="C2" s="182"/>
      <c r="D2" s="182"/>
      <c r="E2" s="182"/>
      <c r="F2" s="182"/>
    </row>
    <row r="3" spans="1:19" x14ac:dyDescent="0.2">
      <c r="A3" s="100"/>
      <c r="B3" s="182"/>
      <c r="C3" s="182"/>
      <c r="D3" s="182"/>
      <c r="E3" s="182"/>
      <c r="F3" s="182"/>
    </row>
    <row r="4" spans="1:19" x14ac:dyDescent="0.2">
      <c r="A4" s="100"/>
      <c r="B4" s="100"/>
      <c r="C4" s="100"/>
      <c r="D4" s="100"/>
      <c r="E4" s="100"/>
      <c r="F4" s="107"/>
    </row>
    <row r="5" spans="1:19" ht="13.5" thickBot="1" x14ac:dyDescent="0.25">
      <c r="A5" s="101"/>
      <c r="B5" s="101"/>
      <c r="C5" s="101"/>
      <c r="D5" s="101"/>
      <c r="E5" s="101"/>
      <c r="F5" s="102" t="s">
        <v>731</v>
      </c>
    </row>
    <row r="6" spans="1:19" ht="13.5" thickTop="1" x14ac:dyDescent="0.2">
      <c r="A6" s="83" t="s">
        <v>335</v>
      </c>
      <c r="B6" s="83"/>
      <c r="C6" s="83"/>
      <c r="D6" s="83"/>
      <c r="E6" s="83"/>
      <c r="F6" s="103"/>
    </row>
    <row r="7" spans="1:19" x14ac:dyDescent="0.2">
      <c r="A7" s="83"/>
      <c r="B7" s="83" t="s">
        <v>3</v>
      </c>
      <c r="C7" s="83"/>
      <c r="D7" s="83"/>
      <c r="E7" s="83"/>
      <c r="F7" s="103"/>
    </row>
    <row r="8" spans="1:19" x14ac:dyDescent="0.2">
      <c r="A8" s="83"/>
      <c r="B8" s="83"/>
      <c r="C8" s="83" t="s">
        <v>336</v>
      </c>
      <c r="D8" s="83"/>
      <c r="E8" s="83"/>
      <c r="F8" s="103"/>
    </row>
    <row r="9" spans="1:19" ht="13.5" thickBot="1" x14ac:dyDescent="0.25">
      <c r="A9" s="83"/>
      <c r="B9" s="83"/>
      <c r="C9" s="83"/>
      <c r="D9" s="83" t="s">
        <v>408</v>
      </c>
      <c r="E9" s="83"/>
      <c r="F9" s="109">
        <v>516029.67</v>
      </c>
      <c r="S9" s="75">
        <v>0</v>
      </c>
    </row>
    <row r="10" spans="1:19" x14ac:dyDescent="0.2">
      <c r="A10" s="83"/>
      <c r="B10" s="83"/>
      <c r="C10" s="83" t="s">
        <v>340</v>
      </c>
      <c r="D10" s="83"/>
      <c r="E10" s="83"/>
      <c r="F10" s="103">
        <f>ROUND(SUM(F8:F9),5)</f>
        <v>516029.67</v>
      </c>
      <c r="S10" s="75">
        <v>0</v>
      </c>
    </row>
    <row r="11" spans="1:19" x14ac:dyDescent="0.2">
      <c r="A11" s="83"/>
      <c r="B11" s="83"/>
      <c r="C11" s="83" t="s">
        <v>409</v>
      </c>
      <c r="D11" s="83"/>
      <c r="E11" s="83"/>
      <c r="F11" s="103"/>
    </row>
    <row r="12" spans="1:19" x14ac:dyDescent="0.2">
      <c r="A12" s="83"/>
      <c r="B12" s="83"/>
      <c r="C12" s="83"/>
      <c r="D12" s="83" t="s">
        <v>411</v>
      </c>
      <c r="E12" s="83"/>
      <c r="F12" s="103">
        <v>1148319.03</v>
      </c>
    </row>
    <row r="13" spans="1:19" x14ac:dyDescent="0.2">
      <c r="A13" s="83"/>
      <c r="B13" s="83"/>
      <c r="C13" s="83"/>
      <c r="D13" s="83" t="s">
        <v>569</v>
      </c>
      <c r="E13" s="83"/>
      <c r="F13" s="103">
        <v>535900</v>
      </c>
    </row>
    <row r="14" spans="1:19" x14ac:dyDescent="0.2">
      <c r="A14" s="83"/>
      <c r="B14" s="83"/>
      <c r="C14" s="83"/>
      <c r="D14" s="83" t="s">
        <v>576</v>
      </c>
      <c r="E14" s="83"/>
      <c r="F14" s="103">
        <v>10000</v>
      </c>
    </row>
    <row r="15" spans="1:19" x14ac:dyDescent="0.2">
      <c r="A15" s="83"/>
      <c r="B15" s="83"/>
      <c r="C15" s="83"/>
      <c r="D15" s="83" t="s">
        <v>412</v>
      </c>
      <c r="E15" s="83"/>
      <c r="F15" s="103">
        <v>0</v>
      </c>
    </row>
    <row r="16" spans="1:19" ht="13.5" thickBot="1" x14ac:dyDescent="0.25">
      <c r="A16" s="83"/>
      <c r="B16" s="83"/>
      <c r="C16" s="83"/>
      <c r="D16" s="83" t="s">
        <v>670</v>
      </c>
      <c r="E16" s="83"/>
      <c r="F16" s="103">
        <v>0</v>
      </c>
    </row>
    <row r="17" spans="1:6" ht="13.5" thickBot="1" x14ac:dyDescent="0.25">
      <c r="A17" s="83"/>
      <c r="B17" s="83"/>
      <c r="C17" s="83" t="s">
        <v>413</v>
      </c>
      <c r="D17" s="83"/>
      <c r="E17" s="83"/>
      <c r="F17" s="104">
        <f>ROUND(SUM(F11:F16),5)</f>
        <v>1694219.03</v>
      </c>
    </row>
    <row r="18" spans="1:6" x14ac:dyDescent="0.2">
      <c r="A18" s="83"/>
      <c r="B18" s="83" t="s">
        <v>275</v>
      </c>
      <c r="C18" s="83"/>
      <c r="D18" s="83"/>
      <c r="E18" s="83"/>
      <c r="F18" s="103">
        <f>ROUND(F7+F10+F17,5)</f>
        <v>2210248.7000000002</v>
      </c>
    </row>
    <row r="19" spans="1:6" x14ac:dyDescent="0.2">
      <c r="A19" s="83"/>
      <c r="B19" s="83" t="s">
        <v>341</v>
      </c>
      <c r="C19" s="83"/>
      <c r="D19" s="83"/>
      <c r="E19" s="83"/>
      <c r="F19" s="103"/>
    </row>
    <row r="20" spans="1:6" x14ac:dyDescent="0.2">
      <c r="A20" s="83"/>
      <c r="B20" s="83"/>
      <c r="C20" s="83" t="s">
        <v>414</v>
      </c>
      <c r="D20" s="83"/>
      <c r="E20" s="83"/>
      <c r="F20" s="103">
        <v>9453</v>
      </c>
    </row>
    <row r="21" spans="1:6" x14ac:dyDescent="0.2">
      <c r="A21" s="83"/>
      <c r="B21" s="83"/>
      <c r="C21" s="83" t="s">
        <v>415</v>
      </c>
      <c r="D21" s="83"/>
      <c r="E21" s="83"/>
      <c r="F21" s="103">
        <v>8820</v>
      </c>
    </row>
    <row r="22" spans="1:6" x14ac:dyDescent="0.2">
      <c r="A22" s="83"/>
      <c r="B22" s="83"/>
      <c r="C22" s="83" t="s">
        <v>416</v>
      </c>
      <c r="D22" s="83"/>
      <c r="E22" s="83"/>
      <c r="F22" s="103">
        <v>600963.01</v>
      </c>
    </row>
    <row r="23" spans="1:6" x14ac:dyDescent="0.2">
      <c r="A23" s="83"/>
      <c r="B23" s="83"/>
      <c r="C23" s="83" t="s">
        <v>417</v>
      </c>
      <c r="D23" s="83"/>
      <c r="E23" s="83"/>
      <c r="F23" s="103">
        <v>-1584754.88</v>
      </c>
    </row>
    <row r="24" spans="1:6" x14ac:dyDescent="0.2">
      <c r="A24" s="83"/>
      <c r="B24" s="83"/>
      <c r="C24" s="83" t="s">
        <v>419</v>
      </c>
      <c r="D24" s="83"/>
      <c r="E24" s="83"/>
      <c r="F24" s="103">
        <v>158820</v>
      </c>
    </row>
    <row r="25" spans="1:6" ht="13.5" thickBot="1" x14ac:dyDescent="0.25">
      <c r="A25" s="83"/>
      <c r="B25" s="83"/>
      <c r="C25" s="83" t="s">
        <v>420</v>
      </c>
      <c r="D25" s="83"/>
      <c r="E25" s="83"/>
      <c r="F25" s="109">
        <v>950000</v>
      </c>
    </row>
    <row r="26" spans="1:6" x14ac:dyDescent="0.2">
      <c r="A26" s="83"/>
      <c r="B26" s="83" t="s">
        <v>366</v>
      </c>
      <c r="C26" s="83"/>
      <c r="D26" s="83"/>
      <c r="E26" s="83"/>
      <c r="F26" s="103">
        <f>ROUND(SUM(F19:F25),5)</f>
        <v>143301.13</v>
      </c>
    </row>
    <row r="27" spans="1:6" x14ac:dyDescent="0.2">
      <c r="A27" s="83"/>
      <c r="B27" s="83" t="s">
        <v>218</v>
      </c>
      <c r="C27" s="83"/>
      <c r="D27" s="83"/>
      <c r="E27" s="83"/>
      <c r="F27" s="103"/>
    </row>
    <row r="28" spans="1:6" x14ac:dyDescent="0.2">
      <c r="A28" s="83"/>
      <c r="B28" s="83"/>
      <c r="C28" s="83" t="s">
        <v>422</v>
      </c>
      <c r="D28" s="83"/>
      <c r="E28" s="83"/>
      <c r="F28" s="103"/>
    </row>
    <row r="29" spans="1:6" x14ac:dyDescent="0.2">
      <c r="A29" s="83"/>
      <c r="B29" s="83"/>
      <c r="C29" s="83"/>
      <c r="D29" s="83" t="s">
        <v>423</v>
      </c>
      <c r="E29" s="83"/>
      <c r="F29" s="103">
        <v>201952.97</v>
      </c>
    </row>
    <row r="30" spans="1:6" x14ac:dyDescent="0.2">
      <c r="A30" s="83"/>
      <c r="B30" s="83"/>
      <c r="C30" s="83"/>
      <c r="D30" s="83" t="s">
        <v>424</v>
      </c>
      <c r="E30" s="83"/>
      <c r="F30" s="103">
        <v>36739.96</v>
      </c>
    </row>
    <row r="31" spans="1:6" x14ac:dyDescent="0.2">
      <c r="A31" s="83"/>
      <c r="B31" s="83"/>
      <c r="C31" s="83"/>
      <c r="D31" s="83" t="s">
        <v>425</v>
      </c>
      <c r="E31" s="83"/>
      <c r="F31" s="103">
        <v>204583.12</v>
      </c>
    </row>
    <row r="32" spans="1:6" x14ac:dyDescent="0.2">
      <c r="A32" s="83"/>
      <c r="B32" s="83"/>
      <c r="C32" s="83"/>
      <c r="D32" s="83" t="s">
        <v>426</v>
      </c>
      <c r="E32" s="83"/>
      <c r="F32" s="103">
        <v>160786.65</v>
      </c>
    </row>
    <row r="33" spans="1:6" x14ac:dyDescent="0.2">
      <c r="A33" s="83"/>
      <c r="B33" s="83"/>
      <c r="C33" s="83"/>
      <c r="D33" s="83" t="s">
        <v>427</v>
      </c>
      <c r="E33" s="83"/>
      <c r="F33" s="103">
        <v>469887.67</v>
      </c>
    </row>
    <row r="34" spans="1:6" x14ac:dyDescent="0.2">
      <c r="A34" s="83"/>
      <c r="B34" s="83"/>
      <c r="C34" s="83"/>
      <c r="D34" s="83" t="s">
        <v>428</v>
      </c>
      <c r="E34" s="83"/>
      <c r="F34" s="103">
        <v>142493.89000000001</v>
      </c>
    </row>
    <row r="35" spans="1:6" x14ac:dyDescent="0.2">
      <c r="A35" s="83"/>
      <c r="B35" s="83"/>
      <c r="C35" s="83"/>
      <c r="D35" s="83" t="s">
        <v>429</v>
      </c>
      <c r="E35" s="83"/>
      <c r="F35" s="103">
        <v>7801.94</v>
      </c>
    </row>
    <row r="36" spans="1:6" x14ac:dyDescent="0.2">
      <c r="A36" s="83"/>
      <c r="B36" s="83"/>
      <c r="C36" s="83"/>
      <c r="D36" s="83" t="s">
        <v>430</v>
      </c>
      <c r="E36" s="83"/>
      <c r="F36" s="103">
        <v>71525.64</v>
      </c>
    </row>
    <row r="37" spans="1:6" x14ac:dyDescent="0.2">
      <c r="A37" s="83"/>
      <c r="B37" s="83"/>
      <c r="C37" s="83"/>
      <c r="D37" s="83" t="s">
        <v>431</v>
      </c>
      <c r="E37" s="83"/>
      <c r="F37" s="103">
        <v>103280.98</v>
      </c>
    </row>
    <row r="38" spans="1:6" x14ac:dyDescent="0.2">
      <c r="A38" s="83"/>
      <c r="B38" s="83"/>
      <c r="C38" s="83"/>
      <c r="D38" s="83" t="s">
        <v>432</v>
      </c>
      <c r="E38" s="83"/>
      <c r="F38" s="103">
        <v>83943.52</v>
      </c>
    </row>
    <row r="39" spans="1:6" x14ac:dyDescent="0.2">
      <c r="A39" s="83"/>
      <c r="B39" s="83"/>
      <c r="C39" s="83"/>
      <c r="D39" s="83" t="s">
        <v>433</v>
      </c>
      <c r="E39" s="83"/>
      <c r="F39" s="103">
        <v>58496.39</v>
      </c>
    </row>
    <row r="40" spans="1:6" x14ac:dyDescent="0.2">
      <c r="A40" s="83"/>
      <c r="B40" s="83"/>
      <c r="C40" s="83"/>
      <c r="D40" s="83" t="s">
        <v>434</v>
      </c>
      <c r="E40" s="83"/>
      <c r="F40" s="103">
        <v>145647.73000000001</v>
      </c>
    </row>
    <row r="41" spans="1:6" x14ac:dyDescent="0.2">
      <c r="A41" s="83"/>
      <c r="B41" s="83"/>
      <c r="C41" s="83"/>
      <c r="D41" s="83" t="s">
        <v>435</v>
      </c>
      <c r="E41" s="83"/>
      <c r="F41" s="103">
        <v>81424.679999999993</v>
      </c>
    </row>
    <row r="42" spans="1:6" x14ac:dyDescent="0.2">
      <c r="A42" s="83"/>
      <c r="B42" s="83"/>
      <c r="C42" s="83"/>
      <c r="D42" s="83" t="s">
        <v>436</v>
      </c>
      <c r="E42" s="83"/>
      <c r="F42" s="103">
        <v>248197.36</v>
      </c>
    </row>
    <row r="43" spans="1:6" x14ac:dyDescent="0.2">
      <c r="A43" s="83"/>
      <c r="B43" s="83"/>
      <c r="C43" s="83"/>
      <c r="D43" s="83" t="s">
        <v>437</v>
      </c>
      <c r="E43" s="83"/>
      <c r="F43" s="103">
        <v>169409.85</v>
      </c>
    </row>
    <row r="44" spans="1:6" x14ac:dyDescent="0.2">
      <c r="A44" s="83"/>
      <c r="B44" s="83"/>
      <c r="C44" s="83"/>
      <c r="D44" s="83" t="s">
        <v>438</v>
      </c>
      <c r="E44" s="83"/>
      <c r="F44" s="103">
        <v>120783.21</v>
      </c>
    </row>
    <row r="45" spans="1:6" x14ac:dyDescent="0.2">
      <c r="A45" s="83"/>
      <c r="B45" s="83"/>
      <c r="C45" s="83"/>
      <c r="D45" s="83" t="s">
        <v>439</v>
      </c>
      <c r="E45" s="83"/>
      <c r="F45" s="103">
        <v>33508.339999999997</v>
      </c>
    </row>
    <row r="46" spans="1:6" x14ac:dyDescent="0.2">
      <c r="A46" s="83"/>
      <c r="B46" s="83"/>
      <c r="C46" s="83"/>
      <c r="D46" s="83" t="s">
        <v>440</v>
      </c>
      <c r="E46" s="83"/>
      <c r="F46" s="103">
        <v>5233</v>
      </c>
    </row>
    <row r="47" spans="1:6" x14ac:dyDescent="0.2">
      <c r="A47" s="83"/>
      <c r="B47" s="83"/>
      <c r="C47" s="83"/>
      <c r="D47" s="83" t="s">
        <v>441</v>
      </c>
      <c r="E47" s="83"/>
      <c r="F47" s="103">
        <v>1720.66</v>
      </c>
    </row>
    <row r="48" spans="1:6" x14ac:dyDescent="0.2">
      <c r="A48" s="83"/>
      <c r="B48" s="83"/>
      <c r="C48" s="83"/>
      <c r="D48" s="83" t="s">
        <v>442</v>
      </c>
      <c r="E48" s="83"/>
      <c r="F48" s="103">
        <v>201770.28</v>
      </c>
    </row>
    <row r="49" spans="1:6" x14ac:dyDescent="0.2">
      <c r="A49" s="83"/>
      <c r="B49" s="83"/>
      <c r="C49" s="83"/>
      <c r="D49" s="83" t="s">
        <v>443</v>
      </c>
      <c r="E49" s="83"/>
      <c r="F49" s="103">
        <v>120197.47</v>
      </c>
    </row>
    <row r="50" spans="1:6" x14ac:dyDescent="0.2">
      <c r="A50" s="83"/>
      <c r="B50" s="83"/>
      <c r="C50" s="83"/>
      <c r="D50" s="83" t="s">
        <v>444</v>
      </c>
      <c r="E50" s="83"/>
      <c r="F50" s="103">
        <v>113478.17</v>
      </c>
    </row>
    <row r="51" spans="1:6" x14ac:dyDescent="0.2">
      <c r="A51" s="83"/>
      <c r="B51" s="83"/>
      <c r="C51" s="83"/>
      <c r="D51" s="83" t="s">
        <v>445</v>
      </c>
      <c r="E51" s="83"/>
      <c r="F51" s="103">
        <v>13985.85</v>
      </c>
    </row>
    <row r="52" spans="1:6" x14ac:dyDescent="0.2">
      <c r="A52" s="83"/>
      <c r="B52" s="83"/>
      <c r="C52" s="83"/>
      <c r="D52" s="83" t="s">
        <v>446</v>
      </c>
      <c r="E52" s="83"/>
      <c r="F52" s="103">
        <v>10153.42</v>
      </c>
    </row>
    <row r="53" spans="1:6" ht="13.5" thickBot="1" x14ac:dyDescent="0.25">
      <c r="A53" s="83"/>
      <c r="B53" s="83"/>
      <c r="C53" s="83"/>
      <c r="D53" s="83" t="s">
        <v>447</v>
      </c>
      <c r="E53" s="83"/>
      <c r="F53" s="103">
        <v>275583.8</v>
      </c>
    </row>
    <row r="54" spans="1:6" ht="13.5" thickBot="1" x14ac:dyDescent="0.25">
      <c r="A54" s="83"/>
      <c r="B54" s="83"/>
      <c r="C54" s="83" t="s">
        <v>448</v>
      </c>
      <c r="D54" s="83"/>
      <c r="E54" s="83"/>
      <c r="F54" s="105">
        <f>ROUND(SUM(F28:F53),5)</f>
        <v>3082586.55</v>
      </c>
    </row>
    <row r="55" spans="1:6" ht="13.5" thickBot="1" x14ac:dyDescent="0.25">
      <c r="A55" s="83"/>
      <c r="B55" s="83" t="s">
        <v>368</v>
      </c>
      <c r="C55" s="83"/>
      <c r="D55" s="83"/>
      <c r="E55" s="83"/>
      <c r="F55" s="105">
        <f>ROUND(F27+F54,5)</f>
        <v>3082586.55</v>
      </c>
    </row>
    <row r="56" spans="1:6" ht="13.5" thickBot="1" x14ac:dyDescent="0.25">
      <c r="A56" s="83" t="s">
        <v>369</v>
      </c>
      <c r="B56" s="83"/>
      <c r="C56" s="83"/>
      <c r="D56" s="83"/>
      <c r="E56" s="83"/>
      <c r="F56" s="106">
        <f>ROUND(F6+F18+F26+F55,5)</f>
        <v>5436136.3799999999</v>
      </c>
    </row>
    <row r="57" spans="1:6" ht="13.5" thickTop="1" x14ac:dyDescent="0.2">
      <c r="A57" s="83" t="s">
        <v>370</v>
      </c>
      <c r="B57" s="83"/>
      <c r="C57" s="83"/>
      <c r="D57" s="83"/>
      <c r="E57" s="83"/>
      <c r="F57" s="103"/>
    </row>
    <row r="58" spans="1:6" x14ac:dyDescent="0.2">
      <c r="A58" s="83"/>
      <c r="B58" s="83" t="s">
        <v>105</v>
      </c>
      <c r="C58" s="83"/>
      <c r="D58" s="83"/>
      <c r="E58" s="83"/>
      <c r="F58" s="103"/>
    </row>
    <row r="59" spans="1:6" x14ac:dyDescent="0.2">
      <c r="A59" s="83"/>
      <c r="B59" s="83"/>
      <c r="C59" s="83" t="s">
        <v>106</v>
      </c>
      <c r="D59" s="83"/>
      <c r="E59" s="83"/>
      <c r="F59" s="103"/>
    </row>
    <row r="60" spans="1:6" x14ac:dyDescent="0.2">
      <c r="A60" s="83"/>
      <c r="B60" s="83"/>
      <c r="C60" s="83"/>
      <c r="D60" s="83" t="s">
        <v>371</v>
      </c>
      <c r="E60" s="83"/>
      <c r="F60" s="103"/>
    </row>
    <row r="61" spans="1:6" x14ac:dyDescent="0.2">
      <c r="A61" s="83"/>
      <c r="B61" s="83"/>
      <c r="C61" s="83"/>
      <c r="D61" s="83"/>
      <c r="E61" s="83" t="s">
        <v>652</v>
      </c>
      <c r="F61" s="103">
        <v>0</v>
      </c>
    </row>
    <row r="62" spans="1:6" x14ac:dyDescent="0.2">
      <c r="A62" s="83"/>
      <c r="B62" s="83"/>
      <c r="C62" s="83"/>
      <c r="D62" s="83"/>
      <c r="E62" s="83" t="s">
        <v>472</v>
      </c>
      <c r="F62" s="103">
        <v>3225</v>
      </c>
    </row>
    <row r="63" spans="1:6" ht="13.5" thickBot="1" x14ac:dyDescent="0.25">
      <c r="A63" s="83"/>
      <c r="B63" s="83"/>
      <c r="C63" s="83"/>
      <c r="D63" s="83"/>
      <c r="E63" s="83" t="s">
        <v>453</v>
      </c>
      <c r="F63" s="103">
        <v>105033.46</v>
      </c>
    </row>
    <row r="64" spans="1:6" ht="13.5" thickBot="1" x14ac:dyDescent="0.25">
      <c r="A64" s="83"/>
      <c r="B64" s="83"/>
      <c r="C64" s="83"/>
      <c r="D64" s="83" t="s">
        <v>381</v>
      </c>
      <c r="E64" s="83"/>
      <c r="F64" s="104">
        <f>ROUND(SUM(F60:F63),5)</f>
        <v>108258.46</v>
      </c>
    </row>
    <row r="65" spans="1:6" x14ac:dyDescent="0.2">
      <c r="A65" s="83"/>
      <c r="B65" s="83"/>
      <c r="C65" s="83" t="s">
        <v>382</v>
      </c>
      <c r="D65" s="83"/>
      <c r="E65" s="83"/>
      <c r="F65" s="103">
        <f>ROUND(F59+F64,5)</f>
        <v>108258.46</v>
      </c>
    </row>
    <row r="66" spans="1:6" x14ac:dyDescent="0.2">
      <c r="A66" s="83"/>
      <c r="B66" s="83"/>
      <c r="C66" s="83" t="s">
        <v>149</v>
      </c>
      <c r="D66" s="83"/>
      <c r="E66" s="83"/>
      <c r="F66" s="103"/>
    </row>
    <row r="67" spans="1:6" ht="13.5" thickBot="1" x14ac:dyDescent="0.25">
      <c r="A67" s="83"/>
      <c r="B67" s="83"/>
      <c r="C67" s="83"/>
      <c r="D67" s="83" t="s">
        <v>455</v>
      </c>
      <c r="E67" s="83"/>
      <c r="F67" s="103">
        <v>247750</v>
      </c>
    </row>
    <row r="68" spans="1:6" ht="13.5" thickBot="1" x14ac:dyDescent="0.25">
      <c r="A68" s="83"/>
      <c r="B68" s="83"/>
      <c r="C68" s="83" t="s">
        <v>319</v>
      </c>
      <c r="D68" s="83"/>
      <c r="E68" s="83"/>
      <c r="F68" s="104">
        <f>ROUND(SUM(F66:F67),5)</f>
        <v>247750</v>
      </c>
    </row>
    <row r="69" spans="1:6" x14ac:dyDescent="0.2">
      <c r="A69" s="83"/>
      <c r="B69" s="83" t="s">
        <v>320</v>
      </c>
      <c r="C69" s="83"/>
      <c r="D69" s="83"/>
      <c r="E69" s="83"/>
      <c r="F69" s="103">
        <f>ROUND(F58+F65+F68,5)</f>
        <v>356008.46</v>
      </c>
    </row>
    <row r="70" spans="1:6" x14ac:dyDescent="0.2">
      <c r="A70" s="83"/>
      <c r="B70" s="83" t="s">
        <v>160</v>
      </c>
      <c r="C70" s="83"/>
      <c r="D70" s="83"/>
      <c r="E70" s="83"/>
      <c r="F70" s="103"/>
    </row>
    <row r="71" spans="1:6" x14ac:dyDescent="0.2">
      <c r="A71" s="83"/>
      <c r="B71" s="83"/>
      <c r="C71" s="83" t="s">
        <v>456</v>
      </c>
      <c r="D71" s="83"/>
      <c r="E71" s="83"/>
      <c r="F71" s="103"/>
    </row>
    <row r="72" spans="1:6" x14ac:dyDescent="0.2">
      <c r="A72" s="83"/>
      <c r="B72" s="83"/>
      <c r="C72" s="83"/>
      <c r="D72" s="83" t="s">
        <v>457</v>
      </c>
      <c r="E72" s="83"/>
      <c r="F72" s="103">
        <v>0</v>
      </c>
    </row>
    <row r="73" spans="1:6" x14ac:dyDescent="0.2">
      <c r="A73" s="83"/>
      <c r="B73" s="83"/>
      <c r="C73" s="83"/>
      <c r="D73" s="83" t="s">
        <v>458</v>
      </c>
      <c r="E73" s="83"/>
      <c r="F73" s="103">
        <v>0</v>
      </c>
    </row>
    <row r="74" spans="1:6" x14ac:dyDescent="0.2">
      <c r="A74" s="83"/>
      <c r="B74" s="83"/>
      <c r="C74" s="83"/>
      <c r="D74" s="83" t="s">
        <v>459</v>
      </c>
      <c r="E74" s="83"/>
      <c r="F74" s="103">
        <v>0</v>
      </c>
    </row>
    <row r="75" spans="1:6" x14ac:dyDescent="0.2">
      <c r="A75" s="83"/>
      <c r="B75" s="83"/>
      <c r="C75" s="83"/>
      <c r="D75" s="83" t="s">
        <v>460</v>
      </c>
      <c r="E75" s="83"/>
      <c r="F75" s="103">
        <v>0</v>
      </c>
    </row>
    <row r="76" spans="1:6" ht="13.5" thickBot="1" x14ac:dyDescent="0.25">
      <c r="A76" s="83"/>
      <c r="B76" s="83"/>
      <c r="C76" s="83"/>
      <c r="D76" s="83" t="s">
        <v>461</v>
      </c>
      <c r="E76" s="83"/>
      <c r="F76" s="109">
        <v>0</v>
      </c>
    </row>
    <row r="77" spans="1:6" x14ac:dyDescent="0.2">
      <c r="A77" s="83"/>
      <c r="B77" s="83"/>
      <c r="C77" s="83" t="s">
        <v>462</v>
      </c>
      <c r="D77" s="83"/>
      <c r="E77" s="83"/>
      <c r="F77" s="103">
        <f>ROUND(SUM(F71:F76),5)</f>
        <v>0</v>
      </c>
    </row>
    <row r="78" spans="1:6" x14ac:dyDescent="0.2">
      <c r="A78" s="83"/>
      <c r="B78" s="83"/>
      <c r="C78" s="83" t="s">
        <v>463</v>
      </c>
      <c r="D78" s="83"/>
      <c r="E78" s="83"/>
      <c r="F78" s="103"/>
    </row>
    <row r="79" spans="1:6" x14ac:dyDescent="0.2">
      <c r="A79" s="83"/>
      <c r="B79" s="83"/>
      <c r="C79" s="83"/>
      <c r="D79" s="83" t="s">
        <v>464</v>
      </c>
      <c r="E79" s="83"/>
      <c r="F79" s="103">
        <v>1662905.87</v>
      </c>
    </row>
    <row r="80" spans="1:6" x14ac:dyDescent="0.2">
      <c r="A80" s="83"/>
      <c r="B80" s="83"/>
      <c r="C80" s="83"/>
      <c r="D80" s="83" t="s">
        <v>465</v>
      </c>
      <c r="E80" s="83"/>
      <c r="F80" s="103">
        <v>1662896.87</v>
      </c>
    </row>
    <row r="81" spans="1:6" x14ac:dyDescent="0.2">
      <c r="A81" s="83"/>
      <c r="B81" s="83"/>
      <c r="C81" s="83"/>
      <c r="D81" s="83" t="s">
        <v>466</v>
      </c>
      <c r="E81" s="83"/>
      <c r="F81" s="103">
        <v>1662914.87</v>
      </c>
    </row>
    <row r="82" spans="1:6" x14ac:dyDescent="0.2">
      <c r="A82" s="83"/>
      <c r="B82" s="83"/>
      <c r="C82" s="83"/>
      <c r="D82" s="83" t="s">
        <v>467</v>
      </c>
      <c r="E82" s="83"/>
      <c r="F82" s="103">
        <v>19732.41</v>
      </c>
    </row>
    <row r="83" spans="1:6" ht="13.5" thickBot="1" x14ac:dyDescent="0.25">
      <c r="A83" s="83"/>
      <c r="B83" s="83"/>
      <c r="C83" s="83"/>
      <c r="D83" s="83" t="s">
        <v>468</v>
      </c>
      <c r="E83" s="83"/>
      <c r="F83" s="109">
        <v>18346.169999999998</v>
      </c>
    </row>
    <row r="84" spans="1:6" x14ac:dyDescent="0.2">
      <c r="A84" s="83"/>
      <c r="B84" s="83"/>
      <c r="C84" s="83" t="s">
        <v>469</v>
      </c>
      <c r="D84" s="83"/>
      <c r="E84" s="83"/>
      <c r="F84" s="103">
        <f>ROUND(SUM(F78:F83),5)</f>
        <v>5026796.1900000004</v>
      </c>
    </row>
    <row r="85" spans="1:6" x14ac:dyDescent="0.2">
      <c r="A85" s="83"/>
      <c r="B85" s="83"/>
      <c r="C85" s="83" t="s">
        <v>470</v>
      </c>
      <c r="D85" s="83"/>
      <c r="E85" s="83"/>
      <c r="F85" s="103">
        <v>0</v>
      </c>
    </row>
    <row r="86" spans="1:6" x14ac:dyDescent="0.2">
      <c r="A86" s="83"/>
      <c r="B86" s="83"/>
      <c r="C86" s="83" t="s">
        <v>580</v>
      </c>
      <c r="D86" s="83"/>
      <c r="E86" s="83"/>
      <c r="F86" s="103"/>
    </row>
    <row r="87" spans="1:6" x14ac:dyDescent="0.2">
      <c r="A87" s="83"/>
      <c r="B87" s="83"/>
      <c r="C87" s="83"/>
      <c r="D87" s="83" t="s">
        <v>581</v>
      </c>
      <c r="E87" s="83"/>
      <c r="F87" s="103">
        <v>0</v>
      </c>
    </row>
    <row r="88" spans="1:6" x14ac:dyDescent="0.2">
      <c r="A88" s="83"/>
      <c r="B88" s="83"/>
      <c r="C88" s="83"/>
      <c r="D88" s="83" t="s">
        <v>582</v>
      </c>
      <c r="E88" s="83"/>
      <c r="F88" s="103">
        <v>0</v>
      </c>
    </row>
    <row r="89" spans="1:6" x14ac:dyDescent="0.2">
      <c r="A89" s="83"/>
      <c r="B89" s="83"/>
      <c r="C89" s="83"/>
      <c r="D89" s="83" t="s">
        <v>583</v>
      </c>
      <c r="E89" s="83"/>
      <c r="F89" s="103">
        <v>0</v>
      </c>
    </row>
    <row r="90" spans="1:6" x14ac:dyDescent="0.2">
      <c r="A90" s="83"/>
      <c r="B90" s="83"/>
      <c r="C90" s="83" t="s">
        <v>471</v>
      </c>
      <c r="D90" s="83"/>
      <c r="E90" s="83"/>
      <c r="F90" s="103">
        <v>2988.06</v>
      </c>
    </row>
    <row r="91" spans="1:6" ht="13.5" thickBot="1" x14ac:dyDescent="0.25">
      <c r="A91" s="83"/>
      <c r="B91" s="83"/>
      <c r="C91" s="83" t="s">
        <v>387</v>
      </c>
      <c r="D91" s="83"/>
      <c r="E91" s="83"/>
      <c r="F91" s="103">
        <v>50343.67</v>
      </c>
    </row>
    <row r="92" spans="1:6" ht="13.5" thickBot="1" x14ac:dyDescent="0.25">
      <c r="A92" s="83"/>
      <c r="B92" s="83" t="s">
        <v>331</v>
      </c>
      <c r="C92" s="83"/>
      <c r="D92" s="83"/>
      <c r="E92" s="83"/>
      <c r="F92" s="105">
        <f>ROUND(F70+F77+SUM(F84:F91),5)</f>
        <v>5080127.92</v>
      </c>
    </row>
    <row r="93" spans="1:6" ht="13.5" thickBot="1" x14ac:dyDescent="0.25">
      <c r="A93" s="83" t="s">
        <v>388</v>
      </c>
      <c r="B93" s="83"/>
      <c r="C93" s="83"/>
      <c r="D93" s="83"/>
      <c r="E93" s="83"/>
      <c r="F93" s="106">
        <f>ROUND(F57+F69+F92,5)</f>
        <v>5436136.3799999999</v>
      </c>
    </row>
    <row r="94" spans="1:6" ht="13.5" thickTop="1" x14ac:dyDescent="0.2">
      <c r="A94" s="100"/>
      <c r="B94" s="100"/>
      <c r="C94" s="100"/>
      <c r="D94" s="100"/>
      <c r="E94" s="100"/>
      <c r="F94" s="107"/>
    </row>
    <row r="95" spans="1:6" x14ac:dyDescent="0.2">
      <c r="A95" s="100"/>
      <c r="B95" s="100"/>
      <c r="C95" s="100"/>
      <c r="D95" s="100"/>
      <c r="E95" s="100"/>
      <c r="F95" s="108">
        <f>F93-F56</f>
        <v>0</v>
      </c>
    </row>
    <row r="96" spans="1:6" x14ac:dyDescent="0.2">
      <c r="A96" s="100"/>
      <c r="B96" s="100"/>
      <c r="C96" s="100"/>
      <c r="D96" s="100"/>
      <c r="E96" s="100"/>
      <c r="F96" s="107"/>
    </row>
    <row r="97" spans="1:6" x14ac:dyDescent="0.2">
      <c r="A97" s="100"/>
      <c r="B97" s="100"/>
      <c r="C97" s="100"/>
      <c r="D97" s="100"/>
      <c r="E97" s="100"/>
      <c r="F97" s="107"/>
    </row>
    <row r="98" spans="1:6" x14ac:dyDescent="0.2">
      <c r="A98" s="100"/>
      <c r="B98" s="100"/>
      <c r="C98" s="100"/>
      <c r="D98" s="100"/>
      <c r="E98" s="100"/>
      <c r="F98" s="107"/>
    </row>
    <row r="99" spans="1:6" x14ac:dyDescent="0.2">
      <c r="A99" s="100"/>
      <c r="B99" s="100"/>
      <c r="C99" s="100"/>
      <c r="D99" s="100"/>
      <c r="E99" s="100"/>
      <c r="F99" s="107"/>
    </row>
    <row r="100" spans="1:6" x14ac:dyDescent="0.2">
      <c r="A100" s="100"/>
      <c r="B100" s="100"/>
      <c r="C100" s="100"/>
      <c r="D100" s="100"/>
      <c r="E100" s="100"/>
      <c r="F100" s="107"/>
    </row>
    <row r="101" spans="1:6" x14ac:dyDescent="0.2">
      <c r="A101" s="100"/>
      <c r="B101" s="100"/>
      <c r="C101" s="100"/>
      <c r="D101" s="100"/>
      <c r="E101" s="100"/>
      <c r="F101" s="107"/>
    </row>
    <row r="102" spans="1:6" x14ac:dyDescent="0.2">
      <c r="A102" s="100"/>
      <c r="B102" s="100"/>
      <c r="C102" s="100"/>
      <c r="D102" s="100"/>
      <c r="E102" s="100"/>
      <c r="F102" s="107"/>
    </row>
    <row r="103" spans="1:6" x14ac:dyDescent="0.2">
      <c r="A103" s="100"/>
      <c r="B103" s="100"/>
      <c r="C103" s="100"/>
      <c r="D103" s="100"/>
      <c r="E103" s="100"/>
      <c r="F103" s="107"/>
    </row>
    <row r="104" spans="1:6" x14ac:dyDescent="0.2">
      <c r="A104" s="100"/>
      <c r="B104" s="100"/>
      <c r="C104" s="100"/>
      <c r="D104" s="100"/>
      <c r="E104" s="100"/>
      <c r="F104" s="107"/>
    </row>
    <row r="105" spans="1:6" x14ac:dyDescent="0.2">
      <c r="A105" s="100"/>
      <c r="B105" s="100"/>
      <c r="C105" s="100"/>
      <c r="D105" s="100"/>
      <c r="E105" s="100"/>
      <c r="F105" s="107"/>
    </row>
    <row r="106" spans="1:6" x14ac:dyDescent="0.2">
      <c r="A106" s="100"/>
      <c r="B106" s="100"/>
      <c r="C106" s="100"/>
      <c r="D106" s="100"/>
      <c r="E106" s="100"/>
      <c r="F106" s="107"/>
    </row>
    <row r="107" spans="1:6" x14ac:dyDescent="0.2">
      <c r="A107" s="100"/>
      <c r="B107" s="100"/>
      <c r="C107" s="100"/>
      <c r="D107" s="100"/>
      <c r="E107" s="100"/>
      <c r="F107" s="107"/>
    </row>
    <row r="108" spans="1:6" x14ac:dyDescent="0.2">
      <c r="A108" s="100"/>
      <c r="B108" s="100"/>
      <c r="C108" s="100"/>
      <c r="D108" s="100"/>
      <c r="E108" s="100"/>
      <c r="F108" s="107"/>
    </row>
    <row r="109" spans="1:6" x14ac:dyDescent="0.2">
      <c r="A109" s="100"/>
      <c r="B109" s="100"/>
      <c r="C109" s="100"/>
      <c r="D109" s="100"/>
      <c r="E109" s="100"/>
      <c r="F109" s="107"/>
    </row>
    <row r="110" spans="1:6" x14ac:dyDescent="0.2">
      <c r="A110" s="100"/>
      <c r="B110" s="100"/>
      <c r="C110" s="100"/>
      <c r="D110" s="100"/>
      <c r="E110" s="100"/>
      <c r="F110" s="107"/>
    </row>
  </sheetData>
  <mergeCells count="1">
    <mergeCell ref="B2:F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</sheetPr>
  <dimension ref="A2:S72"/>
  <sheetViews>
    <sheetView topLeftCell="A31" zoomScaleNormal="100" workbookViewId="0">
      <selection activeCell="J64" sqref="J64"/>
    </sheetView>
  </sheetViews>
  <sheetFormatPr defaultRowHeight="12.75" x14ac:dyDescent="0.2"/>
  <cols>
    <col min="1" max="2" width="2.28515625" style="100" customWidth="1"/>
    <col min="3" max="3" width="29.140625" style="100" bestFit="1" customWidth="1"/>
    <col min="4" max="4" width="2.28515625" style="100" customWidth="1"/>
    <col min="5" max="5" width="12.28515625" style="107" bestFit="1" customWidth="1"/>
    <col min="6" max="16384" width="9.140625" style="75"/>
  </cols>
  <sheetData>
    <row r="2" spans="1:19" x14ac:dyDescent="0.2">
      <c r="B2" s="182" t="s">
        <v>502</v>
      </c>
      <c r="C2" s="182"/>
      <c r="D2" s="182"/>
      <c r="E2" s="182"/>
    </row>
    <row r="3" spans="1:19" x14ac:dyDescent="0.2">
      <c r="B3" s="182"/>
      <c r="C3" s="182"/>
      <c r="D3" s="182"/>
      <c r="E3" s="182"/>
    </row>
    <row r="5" spans="1:19" ht="13.5" thickBot="1" x14ac:dyDescent="0.25">
      <c r="A5" s="101"/>
      <c r="B5" s="101"/>
      <c r="C5" s="101"/>
      <c r="D5" s="101"/>
      <c r="E5" s="102" t="s">
        <v>731</v>
      </c>
    </row>
    <row r="6" spans="1:19" ht="13.5" thickTop="1" x14ac:dyDescent="0.2">
      <c r="A6" s="83" t="s">
        <v>335</v>
      </c>
      <c r="B6" s="83"/>
      <c r="C6" s="83"/>
      <c r="D6" s="83"/>
      <c r="E6" s="103"/>
    </row>
    <row r="7" spans="1:19" x14ac:dyDescent="0.2">
      <c r="A7" s="83"/>
      <c r="B7" s="83" t="s">
        <v>3</v>
      </c>
      <c r="C7" s="83"/>
      <c r="D7" s="83"/>
      <c r="E7" s="103"/>
    </row>
    <row r="8" spans="1:19" x14ac:dyDescent="0.2">
      <c r="A8" s="83"/>
      <c r="B8" s="83"/>
      <c r="C8" s="83" t="s">
        <v>336</v>
      </c>
      <c r="D8" s="83"/>
      <c r="E8" s="103"/>
    </row>
    <row r="9" spans="1:19" ht="13.5" thickBot="1" x14ac:dyDescent="0.25">
      <c r="A9" s="83"/>
      <c r="B9" s="83"/>
      <c r="C9" s="83" t="s">
        <v>481</v>
      </c>
      <c r="E9" s="103">
        <v>134223.62</v>
      </c>
      <c r="S9" s="75">
        <v>0</v>
      </c>
    </row>
    <row r="10" spans="1:19" ht="13.5" thickBot="1" x14ac:dyDescent="0.25">
      <c r="A10" s="83"/>
      <c r="B10" s="83"/>
      <c r="C10" s="83" t="s">
        <v>340</v>
      </c>
      <c r="D10" s="83"/>
      <c r="E10" s="104">
        <f>ROUND(SUM(E8:E9),5)</f>
        <v>134223.62</v>
      </c>
      <c r="S10" s="75">
        <v>0</v>
      </c>
    </row>
    <row r="11" spans="1:19" x14ac:dyDescent="0.2">
      <c r="A11" s="83"/>
      <c r="B11" s="83"/>
      <c r="C11" s="83"/>
      <c r="D11" s="83"/>
      <c r="E11" s="103"/>
    </row>
    <row r="12" spans="1:19" x14ac:dyDescent="0.2">
      <c r="A12" s="83"/>
      <c r="B12" s="83"/>
      <c r="C12" s="83" t="s">
        <v>550</v>
      </c>
      <c r="D12" s="83"/>
      <c r="E12" s="103"/>
    </row>
    <row r="13" spans="1:19" x14ac:dyDescent="0.2">
      <c r="A13" s="83"/>
      <c r="B13" s="83"/>
      <c r="C13" s="83" t="s">
        <v>551</v>
      </c>
      <c r="E13" s="103">
        <v>50000</v>
      </c>
    </row>
    <row r="14" spans="1:19" x14ac:dyDescent="0.2">
      <c r="A14" s="83"/>
      <c r="B14" s="83"/>
      <c r="C14" s="83" t="s">
        <v>571</v>
      </c>
      <c r="E14" s="103">
        <f>750000+18750</f>
        <v>768750</v>
      </c>
      <c r="G14" s="75" t="s">
        <v>572</v>
      </c>
    </row>
    <row r="15" spans="1:19" x14ac:dyDescent="0.2">
      <c r="A15" s="83"/>
      <c r="B15" s="83"/>
      <c r="C15" s="83" t="s">
        <v>653</v>
      </c>
      <c r="E15" s="103"/>
    </row>
    <row r="16" spans="1:19" ht="13.5" thickBot="1" x14ac:dyDescent="0.25">
      <c r="A16" s="83"/>
      <c r="B16" s="83"/>
      <c r="C16" s="83" t="s">
        <v>672</v>
      </c>
      <c r="E16" s="103"/>
    </row>
    <row r="17" spans="1:5" ht="13.5" thickBot="1" x14ac:dyDescent="0.25">
      <c r="A17" s="83"/>
      <c r="B17" s="83"/>
      <c r="C17" s="83" t="s">
        <v>340</v>
      </c>
      <c r="D17" s="83"/>
      <c r="E17" s="104">
        <f>ROUND(SUM(E13:E16),5)</f>
        <v>818750</v>
      </c>
    </row>
    <row r="18" spans="1:5" x14ac:dyDescent="0.2">
      <c r="A18" s="83"/>
      <c r="B18" s="83"/>
      <c r="C18" s="83"/>
      <c r="D18" s="83"/>
      <c r="E18" s="103"/>
    </row>
    <row r="19" spans="1:5" x14ac:dyDescent="0.2">
      <c r="A19" s="83"/>
      <c r="B19" s="83" t="s">
        <v>275</v>
      </c>
      <c r="C19" s="83"/>
      <c r="D19" s="83"/>
      <c r="E19" s="103">
        <f>E10+E17</f>
        <v>952973.62</v>
      </c>
    </row>
    <row r="20" spans="1:5" x14ac:dyDescent="0.2">
      <c r="A20" s="83"/>
      <c r="B20" s="83" t="s">
        <v>341</v>
      </c>
      <c r="C20" s="83"/>
      <c r="D20" s="83"/>
      <c r="E20" s="103"/>
    </row>
    <row r="21" spans="1:5" x14ac:dyDescent="0.2">
      <c r="A21" s="83"/>
      <c r="B21" s="83"/>
      <c r="C21" s="83" t="s">
        <v>482</v>
      </c>
      <c r="D21" s="83"/>
      <c r="E21" s="103">
        <v>-999499.71</v>
      </c>
    </row>
    <row r="22" spans="1:5" x14ac:dyDescent="0.2">
      <c r="A22" s="83"/>
      <c r="B22" s="83"/>
      <c r="C22" s="83" t="s">
        <v>483</v>
      </c>
      <c r="D22" s="83"/>
      <c r="E22" s="103">
        <v>-9394.2000000000007</v>
      </c>
    </row>
    <row r="23" spans="1:5" x14ac:dyDescent="0.2">
      <c r="A23" s="83"/>
      <c r="B23" s="83"/>
      <c r="C23" s="83" t="s">
        <v>484</v>
      </c>
      <c r="D23" s="83"/>
      <c r="E23" s="103">
        <v>-119711.25</v>
      </c>
    </row>
    <row r="24" spans="1:5" x14ac:dyDescent="0.2">
      <c r="A24" s="83"/>
      <c r="B24" s="83"/>
      <c r="C24" s="83" t="s">
        <v>485</v>
      </c>
      <c r="D24" s="83"/>
      <c r="E24" s="103">
        <v>-180955.5</v>
      </c>
    </row>
    <row r="25" spans="1:5" x14ac:dyDescent="0.2">
      <c r="A25" s="83"/>
      <c r="B25" s="83"/>
      <c r="C25" s="83" t="s">
        <v>639</v>
      </c>
      <c r="D25" s="83"/>
      <c r="E25" s="103">
        <v>0</v>
      </c>
    </row>
    <row r="26" spans="1:5" x14ac:dyDescent="0.2">
      <c r="A26" s="83"/>
      <c r="B26" s="83"/>
      <c r="C26" s="83" t="s">
        <v>486</v>
      </c>
      <c r="D26" s="83"/>
      <c r="E26" s="103">
        <v>6396505.0499999998</v>
      </c>
    </row>
    <row r="27" spans="1:5" x14ac:dyDescent="0.2">
      <c r="A27" s="83"/>
      <c r="B27" s="83"/>
      <c r="C27" s="83" t="s">
        <v>504</v>
      </c>
      <c r="D27" s="83"/>
      <c r="E27" s="103">
        <v>13912.32</v>
      </c>
    </row>
    <row r="28" spans="1:5" x14ac:dyDescent="0.2">
      <c r="A28" s="83"/>
      <c r="B28" s="83"/>
      <c r="C28" s="83" t="s">
        <v>487</v>
      </c>
      <c r="D28" s="83"/>
      <c r="E28" s="103">
        <v>9394.19</v>
      </c>
    </row>
    <row r="29" spans="1:5" x14ac:dyDescent="0.2">
      <c r="A29" s="83"/>
      <c r="B29" s="83"/>
      <c r="C29" s="83" t="s">
        <v>488</v>
      </c>
      <c r="D29" s="83"/>
      <c r="E29" s="103">
        <v>1898482.76</v>
      </c>
    </row>
    <row r="30" spans="1:5" x14ac:dyDescent="0.2">
      <c r="A30" s="83"/>
      <c r="B30" s="83"/>
      <c r="C30" s="83" t="s">
        <v>489</v>
      </c>
      <c r="D30" s="83"/>
      <c r="E30" s="103">
        <v>152311.53</v>
      </c>
    </row>
    <row r="31" spans="1:5" x14ac:dyDescent="0.2">
      <c r="A31" s="83"/>
      <c r="B31" s="83"/>
      <c r="C31" s="83" t="s">
        <v>490</v>
      </c>
      <c r="D31" s="83"/>
      <c r="E31" s="103">
        <v>230237.91</v>
      </c>
    </row>
    <row r="32" spans="1:5" ht="13.5" thickBot="1" x14ac:dyDescent="0.25">
      <c r="A32" s="83"/>
      <c r="B32" s="83"/>
      <c r="C32" s="83" t="s">
        <v>578</v>
      </c>
      <c r="D32" s="83"/>
      <c r="E32" s="103">
        <v>0</v>
      </c>
    </row>
    <row r="33" spans="1:5" ht="13.5" thickBot="1" x14ac:dyDescent="0.25">
      <c r="A33" s="83"/>
      <c r="B33" s="83" t="s">
        <v>366</v>
      </c>
      <c r="C33" s="83"/>
      <c r="D33" s="83"/>
      <c r="E33" s="105">
        <f>ROUND(SUM(E20:E32),5)</f>
        <v>7391283.0999999996</v>
      </c>
    </row>
    <row r="34" spans="1:5" ht="13.5" thickBot="1" x14ac:dyDescent="0.25">
      <c r="A34" s="83" t="s">
        <v>369</v>
      </c>
      <c r="B34" s="83"/>
      <c r="C34" s="83"/>
      <c r="D34" s="83"/>
      <c r="E34" s="106">
        <f>ROUND(E6+E19+E33,5)</f>
        <v>8344256.7199999997</v>
      </c>
    </row>
    <row r="35" spans="1:5" ht="13.5" thickTop="1" x14ac:dyDescent="0.2">
      <c r="A35" s="83" t="s">
        <v>370</v>
      </c>
      <c r="B35" s="83"/>
      <c r="C35" s="83"/>
      <c r="D35" s="83"/>
      <c r="E35" s="103"/>
    </row>
    <row r="36" spans="1:5" x14ac:dyDescent="0.2">
      <c r="A36" s="83"/>
      <c r="B36" s="83" t="s">
        <v>105</v>
      </c>
      <c r="C36" s="83"/>
      <c r="D36" s="83"/>
      <c r="E36" s="103"/>
    </row>
    <row r="37" spans="1:5" x14ac:dyDescent="0.2">
      <c r="A37" s="83"/>
      <c r="B37" s="83"/>
      <c r="C37" s="83" t="s">
        <v>106</v>
      </c>
      <c r="D37" s="83"/>
      <c r="E37" s="103"/>
    </row>
    <row r="38" spans="1:5" x14ac:dyDescent="0.2">
      <c r="A38" s="83"/>
      <c r="B38" s="83"/>
      <c r="C38" s="83" t="s">
        <v>371</v>
      </c>
      <c r="D38" s="83"/>
      <c r="E38" s="103"/>
    </row>
    <row r="39" spans="1:5" x14ac:dyDescent="0.2">
      <c r="A39" s="83"/>
      <c r="B39" s="83"/>
      <c r="C39" s="83" t="s">
        <v>640</v>
      </c>
      <c r="D39" s="83"/>
      <c r="E39" s="103">
        <v>0</v>
      </c>
    </row>
    <row r="40" spans="1:5" x14ac:dyDescent="0.2">
      <c r="A40" s="83"/>
      <c r="B40" s="83"/>
      <c r="C40" s="83" t="s">
        <v>641</v>
      </c>
      <c r="D40" s="83"/>
      <c r="E40" s="103">
        <v>0</v>
      </c>
    </row>
    <row r="41" spans="1:5" x14ac:dyDescent="0.2">
      <c r="A41" s="83"/>
      <c r="B41" s="83"/>
      <c r="C41" s="83" t="s">
        <v>642</v>
      </c>
      <c r="D41" s="83"/>
      <c r="E41" s="103">
        <v>0</v>
      </c>
    </row>
    <row r="42" spans="1:5" x14ac:dyDescent="0.2">
      <c r="A42" s="83"/>
      <c r="B42" s="83"/>
      <c r="C42" s="83" t="s">
        <v>643</v>
      </c>
      <c r="D42" s="83"/>
      <c r="E42" s="103">
        <v>0</v>
      </c>
    </row>
    <row r="43" spans="1:5" x14ac:dyDescent="0.2">
      <c r="A43" s="83"/>
      <c r="B43" s="83"/>
      <c r="C43" s="83" t="s">
        <v>627</v>
      </c>
      <c r="D43" s="83"/>
      <c r="E43" s="103">
        <v>999.99</v>
      </c>
    </row>
    <row r="44" spans="1:5" x14ac:dyDescent="0.2">
      <c r="A44" s="83"/>
      <c r="B44" s="83"/>
      <c r="C44" s="83" t="s">
        <v>491</v>
      </c>
      <c r="E44" s="103">
        <v>0</v>
      </c>
    </row>
    <row r="45" spans="1:5" x14ac:dyDescent="0.2">
      <c r="A45" s="83"/>
      <c r="B45" s="83"/>
      <c r="C45" s="83" t="s">
        <v>579</v>
      </c>
      <c r="E45" s="103">
        <v>6322.32</v>
      </c>
    </row>
    <row r="46" spans="1:5" ht="13.5" thickBot="1" x14ac:dyDescent="0.25">
      <c r="A46" s="83"/>
      <c r="B46" s="83"/>
      <c r="C46" s="83" t="s">
        <v>492</v>
      </c>
      <c r="E46" s="103">
        <v>0</v>
      </c>
    </row>
    <row r="47" spans="1:5" ht="13.5" thickBot="1" x14ac:dyDescent="0.25">
      <c r="A47" s="83"/>
      <c r="B47" s="83"/>
      <c r="C47" s="83" t="s">
        <v>381</v>
      </c>
      <c r="D47" s="83"/>
      <c r="E47" s="104">
        <f>ROUND(SUM(E38:E46),5)</f>
        <v>7322.31</v>
      </c>
    </row>
    <row r="48" spans="1:5" x14ac:dyDescent="0.2">
      <c r="A48" s="83"/>
      <c r="B48" s="83"/>
      <c r="C48" s="83" t="s">
        <v>382</v>
      </c>
      <c r="D48" s="83"/>
      <c r="E48" s="103">
        <f>ROUND(E37+E47,5)</f>
        <v>7322.31</v>
      </c>
    </row>
    <row r="49" spans="1:5" x14ac:dyDescent="0.2">
      <c r="A49" s="83"/>
      <c r="B49" s="83"/>
      <c r="C49" s="83" t="s">
        <v>149</v>
      </c>
      <c r="D49" s="83"/>
      <c r="E49" s="103"/>
    </row>
    <row r="50" spans="1:5" x14ac:dyDescent="0.2">
      <c r="A50" s="83"/>
      <c r="B50" s="83"/>
      <c r="C50" s="83" t="s">
        <v>493</v>
      </c>
      <c r="D50" s="83"/>
      <c r="E50" s="103">
        <v>0</v>
      </c>
    </row>
    <row r="51" spans="1:5" x14ac:dyDescent="0.2">
      <c r="A51" s="83"/>
      <c r="B51" s="83"/>
      <c r="C51" s="83" t="s">
        <v>494</v>
      </c>
      <c r="D51" s="83"/>
      <c r="E51" s="103">
        <v>0</v>
      </c>
    </row>
    <row r="52" spans="1:5" x14ac:dyDescent="0.2">
      <c r="A52" s="83"/>
      <c r="B52" s="83"/>
      <c r="C52" s="83" t="s">
        <v>495</v>
      </c>
      <c r="D52" s="83"/>
      <c r="E52" s="103">
        <v>0</v>
      </c>
    </row>
    <row r="53" spans="1:5" ht="13.5" thickBot="1" x14ac:dyDescent="0.25">
      <c r="A53" s="83"/>
      <c r="B53" s="83"/>
      <c r="C53" s="83" t="s">
        <v>496</v>
      </c>
      <c r="D53" s="83"/>
      <c r="E53" s="103">
        <v>0</v>
      </c>
    </row>
    <row r="54" spans="1:5" ht="13.5" thickBot="1" x14ac:dyDescent="0.25">
      <c r="A54" s="83"/>
      <c r="B54" s="83"/>
      <c r="C54" s="83" t="s">
        <v>319</v>
      </c>
      <c r="D54" s="83"/>
      <c r="E54" s="104">
        <f>ROUND(SUM(E49:E53),5)</f>
        <v>0</v>
      </c>
    </row>
    <row r="55" spans="1:5" x14ac:dyDescent="0.2">
      <c r="A55" s="83"/>
      <c r="B55" s="83" t="s">
        <v>320</v>
      </c>
      <c r="C55" s="83"/>
      <c r="D55" s="83"/>
      <c r="E55" s="103">
        <f>ROUND(E36+E48+E54,5)</f>
        <v>7322.31</v>
      </c>
    </row>
    <row r="56" spans="1:5" x14ac:dyDescent="0.2">
      <c r="A56" s="83"/>
      <c r="B56" s="83" t="s">
        <v>160</v>
      </c>
      <c r="C56" s="83"/>
      <c r="D56" s="83"/>
      <c r="E56" s="103"/>
    </row>
    <row r="57" spans="1:5" x14ac:dyDescent="0.2">
      <c r="A57" s="83"/>
      <c r="B57" s="83"/>
      <c r="C57" s="83" t="s">
        <v>505</v>
      </c>
      <c r="D57" s="83"/>
      <c r="E57" s="103">
        <v>200125.23</v>
      </c>
    </row>
    <row r="58" spans="1:5" x14ac:dyDescent="0.2">
      <c r="A58" s="83"/>
      <c r="B58" s="83"/>
      <c r="C58" s="83" t="s">
        <v>726</v>
      </c>
      <c r="D58" s="83"/>
      <c r="E58" s="103">
        <v>819710</v>
      </c>
    </row>
    <row r="59" spans="1:5" x14ac:dyDescent="0.2">
      <c r="A59" s="83"/>
      <c r="B59" s="83"/>
      <c r="C59" s="83" t="s">
        <v>727</v>
      </c>
      <c r="D59" s="83"/>
      <c r="E59" s="103">
        <v>1781746</v>
      </c>
    </row>
    <row r="60" spans="1:5" x14ac:dyDescent="0.2">
      <c r="A60" s="83"/>
      <c r="B60" s="83"/>
      <c r="C60" s="83" t="s">
        <v>728</v>
      </c>
      <c r="D60" s="83"/>
      <c r="E60" s="103">
        <v>1781746</v>
      </c>
    </row>
    <row r="61" spans="1:5" x14ac:dyDescent="0.2">
      <c r="A61" s="83"/>
      <c r="B61" s="83"/>
      <c r="C61" s="83" t="s">
        <v>729</v>
      </c>
      <c r="D61" s="83"/>
      <c r="E61" s="103">
        <v>855953</v>
      </c>
    </row>
    <row r="62" spans="1:5" x14ac:dyDescent="0.2">
      <c r="A62" s="83"/>
      <c r="B62" s="83"/>
      <c r="C62" s="83" t="s">
        <v>730</v>
      </c>
      <c r="D62" s="83"/>
      <c r="E62" s="103">
        <v>686847</v>
      </c>
    </row>
    <row r="63" spans="1:5" x14ac:dyDescent="0.2">
      <c r="A63" s="83"/>
      <c r="B63" s="83"/>
      <c r="C63" s="83" t="s">
        <v>497</v>
      </c>
      <c r="D63" s="83"/>
      <c r="E63" s="103">
        <v>691658.71</v>
      </c>
    </row>
    <row r="64" spans="1:5" x14ac:dyDescent="0.2">
      <c r="A64" s="83"/>
      <c r="B64" s="83"/>
      <c r="C64" s="83" t="s">
        <v>498</v>
      </c>
      <c r="D64" s="83"/>
      <c r="E64" s="103">
        <v>38643.300000000003</v>
      </c>
    </row>
    <row r="65" spans="1:5" x14ac:dyDescent="0.2">
      <c r="A65" s="83"/>
      <c r="B65" s="83"/>
      <c r="C65" s="83" t="s">
        <v>499</v>
      </c>
      <c r="D65" s="83"/>
      <c r="E65" s="103">
        <v>38642.300000000003</v>
      </c>
    </row>
    <row r="66" spans="1:5" x14ac:dyDescent="0.2">
      <c r="A66" s="83"/>
      <c r="B66" s="83"/>
      <c r="C66" s="83" t="s">
        <v>500</v>
      </c>
      <c r="D66" s="83"/>
      <c r="E66" s="103">
        <v>691659.03</v>
      </c>
    </row>
    <row r="67" spans="1:5" x14ac:dyDescent="0.2">
      <c r="A67" s="83"/>
      <c r="B67" s="83"/>
      <c r="C67" s="83" t="s">
        <v>501</v>
      </c>
      <c r="D67" s="83"/>
      <c r="E67" s="103">
        <v>691655.59</v>
      </c>
    </row>
    <row r="68" spans="1:5" ht="13.5" thickBot="1" x14ac:dyDescent="0.25">
      <c r="A68" s="83"/>
      <c r="B68" s="83"/>
      <c r="C68" s="83" t="s">
        <v>387</v>
      </c>
      <c r="D68" s="83"/>
      <c r="E68" s="103">
        <v>58548.25</v>
      </c>
    </row>
    <row r="69" spans="1:5" ht="13.5" thickBot="1" x14ac:dyDescent="0.25">
      <c r="A69" s="83"/>
      <c r="B69" s="83" t="s">
        <v>331</v>
      </c>
      <c r="C69" s="83"/>
      <c r="D69" s="83"/>
      <c r="E69" s="105">
        <f>SUM(E57:E68)</f>
        <v>8336934.4100000001</v>
      </c>
    </row>
    <row r="70" spans="1:5" ht="13.5" thickBot="1" x14ac:dyDescent="0.25">
      <c r="A70" s="83" t="s">
        <v>388</v>
      </c>
      <c r="B70" s="83"/>
      <c r="C70" s="83"/>
      <c r="D70" s="83"/>
      <c r="E70" s="106">
        <f>ROUND(E35+E55+E69,5)</f>
        <v>8344256.7199999997</v>
      </c>
    </row>
    <row r="71" spans="1:5" ht="13.5" thickTop="1" x14ac:dyDescent="0.2"/>
    <row r="72" spans="1:5" x14ac:dyDescent="0.2">
      <c r="E72" s="108">
        <f>E34-E70</f>
        <v>0</v>
      </c>
    </row>
  </sheetData>
  <mergeCells count="1">
    <mergeCell ref="B2:E3"/>
  </mergeCells>
  <pageMargins left="0.7" right="0.7" top="0.75" bottom="0.75" header="0.3" footer="0.3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5</vt:i4>
      </vt:variant>
    </vt:vector>
  </HeadingPairs>
  <TitlesOfParts>
    <vt:vector size="21" baseType="lpstr">
      <vt:lpstr>Consolidated Summary Balance  </vt:lpstr>
      <vt:lpstr>Consolidated Balance Sheet</vt:lpstr>
      <vt:lpstr>CNT</vt:lpstr>
      <vt:lpstr>DEP</vt:lpstr>
      <vt:lpstr>BPM</vt:lpstr>
      <vt:lpstr>Lending</vt:lpstr>
      <vt:lpstr>BSC</vt:lpstr>
      <vt:lpstr>Oliari Co</vt:lpstr>
      <vt:lpstr>722 Bedford St</vt:lpstr>
      <vt:lpstr>CNT 12.31.18</vt:lpstr>
      <vt:lpstr>BPM 12.31.18</vt:lpstr>
      <vt:lpstr>DEP 12.31.18</vt:lpstr>
      <vt:lpstr>BSC 12.31.18</vt:lpstr>
      <vt:lpstr>Oliari Co 12.31.18</vt:lpstr>
      <vt:lpstr>722 Bedford St 12.31.18</vt:lpstr>
      <vt:lpstr>CNT Lending 12.31.18</vt:lpstr>
      <vt:lpstr>'722 Bedford St'!Print_Area</vt:lpstr>
      <vt:lpstr>'Consolidated Balance Sheet'!Print_Area</vt:lpstr>
      <vt:lpstr>'Consolidated Summary Balance  '!Print_Area</vt:lpstr>
      <vt:lpstr>'Consolidated Balance Sheet'!Print_Titles</vt:lpstr>
      <vt:lpstr>'Consolidated Summary Balance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Reports</dc:title>
  <dc:creator>Crystal Decisions</dc:creator>
  <dc:description>Powered by Crystal</dc:description>
  <cp:lastModifiedBy>Mark Pezza</cp:lastModifiedBy>
  <cp:lastPrinted>2020-04-27T18:14:32Z</cp:lastPrinted>
  <dcterms:created xsi:type="dcterms:W3CDTF">2018-05-14T12:52:26Z</dcterms:created>
  <dcterms:modified xsi:type="dcterms:W3CDTF">2020-04-30T20:38:36Z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01734361CD07C3C85B968AA4B2781C480C131A4BF1DCCE0484255B1E26629C81B55773BCD7EAA9F49A25F2929B0B134356747CB8D9898B794EB3A723CE67760DAAB9D96C6E986B2F3ED798C51F9014D70F91F3E1D969C8FB4877B91828343F2A97E0888377C1B95EFF0B9C9C0BC383676EC8CBCD45F39448DB300F14D745AE6</vt:lpwstr>
  </property>
  <property fmtid="{D5CDD505-2E9C-101B-9397-08002B2CF9AE}" pid="3" name="Business Objects Context Information1">
    <vt:lpwstr>7E88E11BC868769FA2CB071E283A6417D345F767DC6E0ADE704F2D9B7D5F1F4C5CFDFA4349956A9A36A913E0F784C246F7AF47FB11CBBEEF01E662F073A4E49C383206818E25D6B14A226ACBDA405B20F8315A05B6E9E134131E786D5F4A136FDE70930B1A4027C1BCAC273C479FA3B394DF2BA346AC0042EDF8BF80D1300AC</vt:lpwstr>
  </property>
  <property fmtid="{D5CDD505-2E9C-101B-9397-08002B2CF9AE}" pid="4" name="Business Objects Context Information2">
    <vt:lpwstr>9A13D206621A59F51D46FCA2CFA9B6FBADE430EAF816C0E463ED613E1EE0CC5D0CF9B1C71D2AD2487A838D96D0327B8697156E64F756630BCC9E49C4482CE51136340FB50C80776B3D1BE255B090B8194D6974E923F035F636CDBBFA63BD4C45AC09DA00EA7FA58F2D9DDE7812B3EC9BDA0CCFAEFC9313FE2F9A9DE3C21BEC0</vt:lpwstr>
  </property>
  <property fmtid="{D5CDD505-2E9C-101B-9397-08002B2CF9AE}" pid="5" name="Business Objects Context Information3">
    <vt:lpwstr>BFC0EDDE3339D936F9BB9300113713C95CFAD00809B16D5263E54D0636905FE33E66B29015F59935750E66815F9CE15A43E7500CBE91884DFA7F7D40F21AFB92DAFE5AA3AAEB703A979A5B24C9E9EE1A09C8F14458C7F3CAA76A7E24C3B6438D050E205B617A4B7949AF288AAB3122D8673656B8B4323977C35C76D1561BE4A</vt:lpwstr>
  </property>
  <property fmtid="{D5CDD505-2E9C-101B-9397-08002B2CF9AE}" pid="6" name="Business Objects Context Information4">
    <vt:lpwstr>7A253874BB238577064B8A13621A04003B24F9A35024777C45EC7CB105837BA2858D7DCA6239D2626278AD854C5DA899170D132C4E5838F4BE609CB49DC180D854CEFC429B9ECC1563CDB4E8A5951F4B6B6A76EFA0F862792F2A389C69D3412888B97204E4F99296DCAF2F6812AA3364A8B6A4A8465B1C0CAF762583E457C86</vt:lpwstr>
  </property>
  <property fmtid="{D5CDD505-2E9C-101B-9397-08002B2CF9AE}" pid="7" name="Business Objects Context Information5">
    <vt:lpwstr>B5CBC88BA5423415912F0C28ABD5AC219726EDEAEE8C6440BFE494F880E4BF57E26283880CEEF99E1B0EA16FCE7A3AE147B9CC1B6961F7A44F28A4103E8263DAE9BEA2497F639C517C109DF9D3D8A72A06A11D7ED7919DC0FB36AD86A9F810E26977B36CD805811F7EE1CDFCE9C3F429D709931577284DCBAC6729103794A93</vt:lpwstr>
  </property>
  <property fmtid="{D5CDD505-2E9C-101B-9397-08002B2CF9AE}" pid="8" name="Business Objects Context Information6">
    <vt:lpwstr>2EB6BD0B1CB2CFA6717DDD14A5FBB996C027AD7BD2E1B0457341DF4491F891A681E9443A35DC052A2A5D5515902E72AF067FCE7E36E863310D6B90820E500DEA45BB2093</vt:lpwstr>
  </property>
</Properties>
</file>