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0\"/>
    </mc:Choice>
  </mc:AlternateContent>
  <xr:revisionPtr revIDLastSave="0" documentId="13_ncr:1_{4B2A345C-D360-4F3D-8D32-46AFC7375FC5}" xr6:coauthVersionLast="45" xr6:coauthVersionMax="45" xr10:uidLastSave="{00000000-0000-0000-0000-000000000000}"/>
  <bookViews>
    <workbookView xWindow="-120" yWindow="-120" windowWidth="29040" windowHeight="16440" tabRatio="900" activeTab="1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</externalReferences>
  <definedNames>
    <definedName name="_xlnm.Print_Area" localSheetId="8">'722 Bedford St'!$A$1:$F$70</definedName>
    <definedName name="_xlnm.Print_Area" localSheetId="1">'Consolidated Balance Sheet'!$A$5:$AP$140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9" i="7" l="1"/>
  <c r="L159" i="7"/>
  <c r="J159" i="7"/>
  <c r="H159" i="7"/>
  <c r="F159" i="7"/>
  <c r="D159" i="7"/>
  <c r="N156" i="7"/>
  <c r="L156" i="7"/>
  <c r="J156" i="7"/>
  <c r="H156" i="7"/>
  <c r="F156" i="7"/>
  <c r="D156" i="7"/>
  <c r="B156" i="7"/>
  <c r="E14" i="14"/>
  <c r="F13" i="11"/>
  <c r="AP16" i="12" l="1"/>
  <c r="AN16" i="12"/>
  <c r="AL16" i="12"/>
  <c r="AJ16" i="12"/>
  <c r="AH16" i="12"/>
  <c r="AF16" i="12"/>
  <c r="AD16" i="12"/>
  <c r="AB16" i="12"/>
  <c r="Z16" i="12"/>
  <c r="X16" i="12"/>
  <c r="V16" i="12"/>
  <c r="T16" i="12"/>
  <c r="R16" i="12"/>
  <c r="N16" i="12"/>
  <c r="L16" i="12"/>
  <c r="J16" i="12"/>
  <c r="H16" i="12"/>
  <c r="F16" i="12"/>
  <c r="D16" i="12"/>
  <c r="B16" i="12"/>
  <c r="R44" i="7"/>
  <c r="R32" i="7"/>
  <c r="X61" i="12"/>
  <c r="AF44" i="7"/>
  <c r="AF64" i="7"/>
  <c r="AF68" i="7"/>
  <c r="AF141" i="7" s="1"/>
  <c r="AJ59" i="7"/>
  <c r="AN59" i="7" s="1"/>
  <c r="AP59" i="7" s="1"/>
  <c r="AJ58" i="7"/>
  <c r="AL59" i="7"/>
  <c r="AH59" i="7"/>
  <c r="AF59" i="7"/>
  <c r="P59" i="7"/>
  <c r="AH13" i="7"/>
  <c r="AN13" i="7" s="1"/>
  <c r="AP13" i="7" s="1"/>
  <c r="AF13" i="7"/>
  <c r="AJ13" i="7"/>
  <c r="P13" i="7"/>
  <c r="P16" i="12" l="1"/>
  <c r="AL13" i="7"/>
  <c r="AF97" i="7"/>
  <c r="AJ97" i="7" s="1"/>
  <c r="H97" i="7"/>
  <c r="P97" i="7" s="1"/>
  <c r="AH97" i="7" s="1"/>
  <c r="F38" i="17"/>
  <c r="AN97" i="7" l="1"/>
  <c r="AP97" i="7" s="1"/>
  <c r="AL97" i="7"/>
  <c r="AF117" i="7"/>
  <c r="AJ117" i="7" s="1"/>
  <c r="B117" i="7"/>
  <c r="P117" i="7" s="1"/>
  <c r="AH117" i="7" s="1"/>
  <c r="AP108" i="7"/>
  <c r="AF108" i="7"/>
  <c r="AJ108" i="7" s="1"/>
  <c r="B108" i="7"/>
  <c r="P108" i="7" s="1"/>
  <c r="AH108" i="7" s="1"/>
  <c r="B61" i="7"/>
  <c r="U140" i="1"/>
  <c r="U129" i="1"/>
  <c r="AL117" i="7" l="1"/>
  <c r="AN117" i="7"/>
  <c r="AP117" i="7" s="1"/>
  <c r="AL108" i="7"/>
  <c r="R18" i="12"/>
  <c r="R20" i="12"/>
  <c r="R56" i="12" l="1"/>
  <c r="B56" i="7" l="1"/>
  <c r="N130" i="7"/>
  <c r="F56" i="7" l="1"/>
  <c r="P56" i="7" s="1"/>
  <c r="AH56" i="7" s="1"/>
  <c r="AF56" i="7"/>
  <c r="AJ56" i="7" s="1"/>
  <c r="AN56" i="7" l="1"/>
  <c r="AP56" i="7" s="1"/>
  <c r="AL56" i="7"/>
  <c r="B29" i="7"/>
  <c r="B10" i="7"/>
  <c r="AF60" i="7" l="1"/>
  <c r="N60" i="7"/>
  <c r="P60" i="7" s="1"/>
  <c r="AH60" i="7" s="1"/>
  <c r="AF79" i="7"/>
  <c r="AJ79" i="7" s="1"/>
  <c r="B79" i="7"/>
  <c r="P79" i="7" s="1"/>
  <c r="AH79" i="7" s="1"/>
  <c r="AL60" i="7" l="1"/>
  <c r="AN60" i="7"/>
  <c r="AP60" i="7" s="1"/>
  <c r="AN79" i="7"/>
  <c r="AP79" i="7" s="1"/>
  <c r="AL79" i="7"/>
  <c r="AD25" i="12"/>
  <c r="AB25" i="12"/>
  <c r="Z25" i="12"/>
  <c r="X25" i="12"/>
  <c r="V25" i="12"/>
  <c r="T25" i="12"/>
  <c r="R25" i="12"/>
  <c r="R64" i="7"/>
  <c r="AD55" i="12"/>
  <c r="AB55" i="12"/>
  <c r="Z55" i="12"/>
  <c r="X55" i="12"/>
  <c r="V55" i="12"/>
  <c r="T55" i="12"/>
  <c r="R5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19" i="12"/>
  <c r="AB17" i="12"/>
  <c r="Z17" i="12"/>
  <c r="X17" i="12"/>
  <c r="V17" i="12"/>
  <c r="T17" i="12"/>
  <c r="R17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1" i="7" l="1"/>
  <c r="J41" i="7" l="1"/>
  <c r="F36" i="15" l="1"/>
  <c r="S18" i="6"/>
  <c r="AK112" i="7"/>
  <c r="AI112" i="7"/>
  <c r="P72" i="7"/>
  <c r="AH72" i="7" s="1"/>
  <c r="AF72" i="7" l="1"/>
  <c r="AJ72" i="7" s="1"/>
  <c r="AL72" i="7" s="1"/>
  <c r="F37" i="15"/>
  <c r="U117" i="4"/>
  <c r="F9" i="7" l="1"/>
  <c r="F92" i="10" l="1"/>
  <c r="F24" i="15"/>
  <c r="U43" i="5" l="1"/>
  <c r="N11" i="7" l="1"/>
  <c r="B96" i="7"/>
  <c r="B87" i="7"/>
  <c r="AF96" i="7" l="1"/>
  <c r="AJ96" i="7" s="1"/>
  <c r="F96" i="7"/>
  <c r="P96" i="7" s="1"/>
  <c r="AH96" i="7" s="1"/>
  <c r="AN96" i="7" l="1"/>
  <c r="AP96" i="7" s="1"/>
  <c r="AL96" i="7"/>
  <c r="F10" i="9"/>
  <c r="AF131" i="7" l="1"/>
  <c r="AF132" i="7"/>
  <c r="AF133" i="7"/>
  <c r="AF134" i="7"/>
  <c r="AF135" i="7"/>
  <c r="AF136" i="7"/>
  <c r="AF137" i="7"/>
  <c r="AF81" i="7"/>
  <c r="AF87" i="7"/>
  <c r="AF95" i="7"/>
  <c r="AF107" i="7"/>
  <c r="AF109" i="7"/>
  <c r="AF110" i="7"/>
  <c r="AF58" i="7"/>
  <c r="AF61" i="7"/>
  <c r="AF40" i="7"/>
  <c r="AF26" i="7"/>
  <c r="AJ26" i="7" s="1"/>
  <c r="B88" i="7" l="1"/>
  <c r="B75" i="7"/>
  <c r="F75" i="7"/>
  <c r="U45" i="6" l="1"/>
  <c r="AF29" i="7"/>
  <c r="AJ29" i="7" s="1"/>
  <c r="AF28" i="7"/>
  <c r="AJ28" i="7" s="1"/>
  <c r="AF31" i="7"/>
  <c r="AJ31" i="7" s="1"/>
  <c r="U58" i="4"/>
  <c r="J58" i="7" l="1"/>
  <c r="N9" i="7"/>
  <c r="E17" i="14"/>
  <c r="F17" i="11"/>
  <c r="F23" i="16" l="1"/>
  <c r="U129" i="4"/>
  <c r="B58" i="7" l="1"/>
  <c r="P58" i="7" s="1"/>
  <c r="AH58" i="7" s="1"/>
  <c r="AN58" i="7" s="1"/>
  <c r="AP58" i="7" s="1"/>
  <c r="B105" i="7"/>
  <c r="U142" i="1"/>
  <c r="U59" i="1"/>
  <c r="AL58" i="7" l="1"/>
  <c r="J62" i="7"/>
  <c r="J14" i="7"/>
  <c r="J11" i="7"/>
  <c r="F43" i="8"/>
  <c r="F14" i="8"/>
  <c r="F37" i="16" l="1"/>
  <c r="F43" i="9"/>
  <c r="AF30" i="7"/>
  <c r="AJ30" i="7" s="1"/>
  <c r="N41" i="7" l="1"/>
  <c r="L105" i="7"/>
  <c r="L149" i="7" s="1"/>
  <c r="D19" i="7"/>
  <c r="D134" i="7"/>
  <c r="D137" i="7"/>
  <c r="D136" i="7"/>
  <c r="D135" i="7"/>
  <c r="D133" i="7"/>
  <c r="U66" i="2"/>
  <c r="F18" i="10" l="1"/>
  <c r="AF100" i="7"/>
  <c r="AF106" i="7"/>
  <c r="N63" i="7" l="1"/>
  <c r="N95" i="7"/>
  <c r="E69" i="14"/>
  <c r="E33" i="14"/>
  <c r="F89" i="7"/>
  <c r="B89" i="7"/>
  <c r="B132" i="7"/>
  <c r="AP109" i="7"/>
  <c r="AJ109" i="7"/>
  <c r="B109" i="7"/>
  <c r="P109" i="7" s="1"/>
  <c r="AH109" i="7" s="1"/>
  <c r="U155" i="1"/>
  <c r="U157" i="1" s="1"/>
  <c r="AL109" i="7" l="1"/>
  <c r="AF111" i="7"/>
  <c r="F41" i="7" l="1"/>
  <c r="U48" i="3"/>
  <c r="U19" i="3"/>
  <c r="D14" i="7"/>
  <c r="U23" i="2"/>
  <c r="N94" i="7" l="1"/>
  <c r="AP29" i="7"/>
  <c r="P29" i="7"/>
  <c r="AH29" i="7" s="1"/>
  <c r="AP28" i="7"/>
  <c r="B28" i="7"/>
  <c r="P28" i="7" s="1"/>
  <c r="AH28" i="7" s="1"/>
  <c r="AJ110" i="7"/>
  <c r="AP110" i="7"/>
  <c r="B110" i="7"/>
  <c r="P110" i="7" s="1"/>
  <c r="AH110" i="7" s="1"/>
  <c r="AL28" i="7" l="1"/>
  <c r="AL29" i="7"/>
  <c r="AL110" i="7"/>
  <c r="AJ87" i="7"/>
  <c r="J87" i="7"/>
  <c r="P87" i="7" s="1"/>
  <c r="AH87" i="7" s="1"/>
  <c r="J105" i="7"/>
  <c r="F66" i="8"/>
  <c r="AN87" i="7" l="1"/>
  <c r="AP87" i="7" s="1"/>
  <c r="AL87" i="7"/>
  <c r="F71" i="10" l="1"/>
  <c r="J74" i="7"/>
  <c r="N55" i="12" l="1"/>
  <c r="AJ95" i="7"/>
  <c r="P95" i="7"/>
  <c r="AH95" i="7" s="1"/>
  <c r="N39" i="12" l="1"/>
  <c r="AN95" i="7"/>
  <c r="AP95" i="7" s="1"/>
  <c r="AL95" i="7"/>
  <c r="U20" i="5" l="1"/>
  <c r="AJ61" i="7"/>
  <c r="P61" i="7"/>
  <c r="AH61" i="7" s="1"/>
  <c r="AF27" i="7"/>
  <c r="AJ27" i="7" s="1"/>
  <c r="AF99" i="7"/>
  <c r="AF98" i="7"/>
  <c r="AF93" i="7"/>
  <c r="AF92" i="7"/>
  <c r="AL61" i="7" l="1"/>
  <c r="AN61" i="7"/>
  <c r="AP61" i="7" s="1"/>
  <c r="D82" i="7"/>
  <c r="H74" i="7" l="1"/>
  <c r="B76" i="7" l="1"/>
  <c r="AF104" i="7" l="1"/>
  <c r="AF73" i="7" l="1"/>
  <c r="F32" i="7"/>
  <c r="AJ81" i="7" l="1"/>
  <c r="B81" i="7"/>
  <c r="P81" i="7" s="1"/>
  <c r="AH81" i="7" s="1"/>
  <c r="B30" i="7"/>
  <c r="AL81" i="7" l="1"/>
  <c r="AN81" i="7"/>
  <c r="AP81" i="7" s="1"/>
  <c r="D88" i="7"/>
  <c r="L42" i="12" l="1"/>
  <c r="N20" i="12"/>
  <c r="L20" i="12"/>
  <c r="J20" i="12"/>
  <c r="H20" i="12"/>
  <c r="F20" i="12"/>
  <c r="D20" i="12"/>
  <c r="AF20" i="12" l="1"/>
  <c r="AJ20" i="12" s="1"/>
  <c r="AF20" i="7"/>
  <c r="AJ20" i="7" s="1"/>
  <c r="F29" i="10" l="1"/>
  <c r="B80" i="7" l="1"/>
  <c r="AP107" i="7"/>
  <c r="AJ107" i="7"/>
  <c r="B107" i="7"/>
  <c r="P107" i="7" s="1"/>
  <c r="AH107" i="7" s="1"/>
  <c r="B40" i="7"/>
  <c r="P40" i="7" s="1"/>
  <c r="AH40" i="7" s="1"/>
  <c r="AJ40" i="7"/>
  <c r="B11" i="7"/>
  <c r="B148" i="7" s="1"/>
  <c r="B23" i="7"/>
  <c r="B7" i="7"/>
  <c r="AL107" i="7" l="1"/>
  <c r="AP40" i="7"/>
  <c r="AL40" i="7"/>
  <c r="F11" i="7"/>
  <c r="D90" i="7" l="1"/>
  <c r="L137" i="7" l="1"/>
  <c r="L136" i="7"/>
  <c r="L135" i="7"/>
  <c r="N105" i="7" l="1"/>
  <c r="N55" i="7"/>
  <c r="N42" i="12" l="1"/>
  <c r="N149" i="7"/>
  <c r="C148" i="7"/>
  <c r="E148" i="7"/>
  <c r="G148" i="7"/>
  <c r="H148" i="7"/>
  <c r="I148" i="7"/>
  <c r="J148" i="7"/>
  <c r="K148" i="7"/>
  <c r="M148" i="7"/>
  <c r="C149" i="7"/>
  <c r="E149" i="7"/>
  <c r="G149" i="7"/>
  <c r="I149" i="7"/>
  <c r="K149" i="7"/>
  <c r="M149" i="7"/>
  <c r="D105" i="7"/>
  <c r="D149" i="7" s="1"/>
  <c r="D42" i="12" l="1"/>
  <c r="D74" i="7" l="1"/>
  <c r="D76" i="7"/>
  <c r="D84" i="7"/>
  <c r="U51" i="2" l="1"/>
  <c r="N148" i="7" l="1"/>
  <c r="H105" i="7"/>
  <c r="H149" i="7" s="1"/>
  <c r="F148" i="7"/>
  <c r="H42" i="12" l="1"/>
  <c r="AF130" i="7" l="1"/>
  <c r="F130" i="7"/>
  <c r="H38" i="7" l="1"/>
  <c r="H41" i="7"/>
  <c r="F22" i="17"/>
  <c r="F31" i="16" l="1"/>
  <c r="F13" i="16"/>
  <c r="AP26" i="7" l="1"/>
  <c r="AP31" i="7"/>
  <c r="AP30" i="7"/>
  <c r="AP27" i="7"/>
  <c r="V32" i="7"/>
  <c r="P31" i="7"/>
  <c r="AH31" i="7" s="1"/>
  <c r="AL31" i="7" l="1"/>
  <c r="F105" i="7"/>
  <c r="F149" i="7" s="1"/>
  <c r="U54" i="3"/>
  <c r="U55" i="3" s="1"/>
  <c r="F42" i="12" l="1"/>
  <c r="F43" i="16"/>
  <c r="F38" i="16"/>
  <c r="F39" i="16" s="1"/>
  <c r="F16" i="16"/>
  <c r="N14" i="12"/>
  <c r="L128" i="7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30" i="7"/>
  <c r="AJ130" i="7"/>
  <c r="B37" i="12"/>
  <c r="B130" i="7"/>
  <c r="B55" i="12" s="1"/>
  <c r="B74" i="7"/>
  <c r="B57" i="7"/>
  <c r="P57" i="7" s="1"/>
  <c r="AH57" i="7" s="1"/>
  <c r="B55" i="7"/>
  <c r="B52" i="7"/>
  <c r="B49" i="7"/>
  <c r="P49" i="7" s="1"/>
  <c r="AH49" i="7" s="1"/>
  <c r="B48" i="7"/>
  <c r="P48" i="7" s="1"/>
  <c r="P30" i="7"/>
  <c r="AH30" i="7" s="1"/>
  <c r="B9" i="7"/>
  <c r="B12" i="7"/>
  <c r="B38" i="7"/>
  <c r="B35" i="7"/>
  <c r="B26" i="7"/>
  <c r="P26" i="7" s="1"/>
  <c r="AH26" i="7" s="1"/>
  <c r="H153" i="7"/>
  <c r="H154" i="7" s="1"/>
  <c r="D129" i="7"/>
  <c r="D128" i="7"/>
  <c r="H82" i="7"/>
  <c r="H38" i="12" s="1"/>
  <c r="F129" i="7"/>
  <c r="F128" i="7"/>
  <c r="F74" i="7"/>
  <c r="F10" i="7"/>
  <c r="F13" i="12" s="1"/>
  <c r="J42" i="12"/>
  <c r="J116" i="7"/>
  <c r="J47" i="12" s="1"/>
  <c r="J126" i="7"/>
  <c r="J53" i="12" s="1"/>
  <c r="J88" i="7"/>
  <c r="H128" i="7"/>
  <c r="H129" i="7"/>
  <c r="H84" i="7"/>
  <c r="H39" i="12" s="1"/>
  <c r="F44" i="17"/>
  <c r="F30" i="17"/>
  <c r="F16" i="17"/>
  <c r="H9" i="7" s="1"/>
  <c r="H12" i="12" s="1"/>
  <c r="F13" i="17"/>
  <c r="H7" i="7" s="1"/>
  <c r="H10" i="12" s="1"/>
  <c r="F38" i="9"/>
  <c r="F60" i="9"/>
  <c r="F61" i="9" s="1"/>
  <c r="U78" i="4"/>
  <c r="F77" i="11"/>
  <c r="AD56" i="12"/>
  <c r="AD53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32" i="7"/>
  <c r="AH132" i="7" s="1"/>
  <c r="P115" i="7"/>
  <c r="AH115" i="7" s="1"/>
  <c r="P76" i="7"/>
  <c r="AH76" i="7" s="1"/>
  <c r="P89" i="7"/>
  <c r="AH89" i="7" s="1"/>
  <c r="N42" i="7"/>
  <c r="N21" i="12" s="1"/>
  <c r="P23" i="7"/>
  <c r="AH23" i="7" s="1"/>
  <c r="N129" i="7"/>
  <c r="N128" i="7"/>
  <c r="N120" i="7"/>
  <c r="N119" i="7"/>
  <c r="N118" i="7"/>
  <c r="N116" i="7"/>
  <c r="N153" i="7"/>
  <c r="N62" i="7"/>
  <c r="N47" i="7"/>
  <c r="N32" i="7"/>
  <c r="AD32" i="7"/>
  <c r="AD44" i="7" s="1"/>
  <c r="AJ111" i="7"/>
  <c r="AJ92" i="7"/>
  <c r="AJ93" i="7"/>
  <c r="AJ98" i="7"/>
  <c r="AJ99" i="7"/>
  <c r="AJ100" i="7"/>
  <c r="AJ106" i="7"/>
  <c r="AJ73" i="7"/>
  <c r="AD46" i="12"/>
  <c r="AD42" i="7"/>
  <c r="AD14" i="12"/>
  <c r="E54" i="14"/>
  <c r="E47" i="14"/>
  <c r="E48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4" i="7"/>
  <c r="L39" i="12" s="1"/>
  <c r="L103" i="7"/>
  <c r="L41" i="12" s="1"/>
  <c r="L38" i="12"/>
  <c r="L63" i="7"/>
  <c r="L32" i="7"/>
  <c r="J32" i="7"/>
  <c r="H32" i="7"/>
  <c r="AB42" i="7"/>
  <c r="AB32" i="7"/>
  <c r="L42" i="7"/>
  <c r="L21" i="12" s="1"/>
  <c r="F84" i="11"/>
  <c r="F68" i="11"/>
  <c r="L116" i="7" s="1"/>
  <c r="L47" i="12" s="1"/>
  <c r="F64" i="11"/>
  <c r="F65" i="11" s="1"/>
  <c r="F54" i="11"/>
  <c r="F55" i="11" s="1"/>
  <c r="F26" i="11"/>
  <c r="L11" i="7"/>
  <c r="L148" i="7" s="1"/>
  <c r="F10" i="11"/>
  <c r="L7" i="7" s="1"/>
  <c r="L10" i="12" s="1"/>
  <c r="F85" i="10"/>
  <c r="F76" i="10"/>
  <c r="F65" i="10"/>
  <c r="F57" i="10"/>
  <c r="F58" i="10" s="1"/>
  <c r="F10" i="10"/>
  <c r="B66" i="7"/>
  <c r="P66" i="7" s="1"/>
  <c r="AH66" i="7" s="1"/>
  <c r="B104" i="7"/>
  <c r="B137" i="7"/>
  <c r="B136" i="7"/>
  <c r="B135" i="7"/>
  <c r="B131" i="7"/>
  <c r="P131" i="7" s="1"/>
  <c r="AH131" i="7" s="1"/>
  <c r="B129" i="7"/>
  <c r="B128" i="7"/>
  <c r="B159" i="7" s="1"/>
  <c r="B127" i="7"/>
  <c r="P127" i="7" s="1"/>
  <c r="AH127" i="7" s="1"/>
  <c r="B126" i="7"/>
  <c r="B53" i="12" s="1"/>
  <c r="B120" i="7"/>
  <c r="B119" i="7"/>
  <c r="B118" i="7"/>
  <c r="B116" i="7"/>
  <c r="B111" i="7"/>
  <c r="P111" i="7" s="1"/>
  <c r="AH111" i="7" s="1"/>
  <c r="B106" i="7"/>
  <c r="B102" i="7"/>
  <c r="B40" i="12" s="1"/>
  <c r="B100" i="7"/>
  <c r="B99" i="7"/>
  <c r="P99" i="7" s="1"/>
  <c r="AH99" i="7" s="1"/>
  <c r="B98" i="7"/>
  <c r="P98" i="7" s="1"/>
  <c r="AH98" i="7" s="1"/>
  <c r="B93" i="7"/>
  <c r="P93" i="7" s="1"/>
  <c r="AH93" i="7" s="1"/>
  <c r="B92" i="7"/>
  <c r="P92" i="7" s="1"/>
  <c r="AH92" i="7" s="1"/>
  <c r="B91" i="7"/>
  <c r="P91" i="7" s="1"/>
  <c r="AH91" i="7" s="1"/>
  <c r="B90" i="7"/>
  <c r="B86" i="7"/>
  <c r="B85" i="7"/>
  <c r="P85" i="7" s="1"/>
  <c r="AH85" i="7" s="1"/>
  <c r="B84" i="7"/>
  <c r="B83" i="7"/>
  <c r="B82" i="7"/>
  <c r="B78" i="7"/>
  <c r="B77" i="7"/>
  <c r="B73" i="7"/>
  <c r="B35" i="12" s="1"/>
  <c r="B14" i="7"/>
  <c r="P14" i="7" s="1"/>
  <c r="AH14" i="7" s="1"/>
  <c r="J39" i="7"/>
  <c r="AJ137" i="7"/>
  <c r="AJ132" i="7"/>
  <c r="AF120" i="7"/>
  <c r="AF119" i="7"/>
  <c r="AF118" i="7"/>
  <c r="AF102" i="7"/>
  <c r="AF90" i="7"/>
  <c r="AF84" i="7"/>
  <c r="R112" i="7"/>
  <c r="U144" i="4"/>
  <c r="U131" i="4"/>
  <c r="U75" i="4"/>
  <c r="P134" i="7"/>
  <c r="AH134" i="7" s="1"/>
  <c r="P133" i="7"/>
  <c r="AH133" i="7" s="1"/>
  <c r="F126" i="7"/>
  <c r="F53" i="12" s="1"/>
  <c r="F94" i="7"/>
  <c r="F90" i="7"/>
  <c r="F88" i="7"/>
  <c r="F86" i="7"/>
  <c r="F82" i="7"/>
  <c r="F38" i="12" s="1"/>
  <c r="F77" i="7"/>
  <c r="F55" i="7"/>
  <c r="F35" i="7"/>
  <c r="AJ134" i="7"/>
  <c r="AJ133" i="7"/>
  <c r="V53" i="12"/>
  <c r="U28" i="3"/>
  <c r="U33" i="3" s="1"/>
  <c r="U49" i="3"/>
  <c r="U65" i="3"/>
  <c r="U56" i="6"/>
  <c r="U46" i="6"/>
  <c r="U27" i="6"/>
  <c r="U19" i="6"/>
  <c r="U26" i="5"/>
  <c r="U51" i="5"/>
  <c r="U44" i="5"/>
  <c r="D101" i="7"/>
  <c r="P101" i="7" s="1"/>
  <c r="AH101" i="7" s="1"/>
  <c r="D36" i="12"/>
  <c r="U31" i="2"/>
  <c r="Z53" i="12"/>
  <c r="Z46" i="12"/>
  <c r="Z42" i="7"/>
  <c r="F71" i="9"/>
  <c r="F65" i="9"/>
  <c r="F11" i="9"/>
  <c r="J129" i="7"/>
  <c r="J128" i="7"/>
  <c r="J7" i="7"/>
  <c r="J10" i="12" s="1"/>
  <c r="J80" i="7"/>
  <c r="J103" i="7"/>
  <c r="J90" i="7"/>
  <c r="J94" i="7"/>
  <c r="J82" i="7"/>
  <c r="J38" i="12" s="1"/>
  <c r="J78" i="7"/>
  <c r="J75" i="7"/>
  <c r="J63" i="7"/>
  <c r="J153" i="7" s="1"/>
  <c r="J154" i="7" s="1"/>
  <c r="J157" i="7" s="1"/>
  <c r="J35" i="7"/>
  <c r="Z32" i="7"/>
  <c r="Z44" i="7" s="1"/>
  <c r="X32" i="7"/>
  <c r="F77" i="8"/>
  <c r="F71" i="8"/>
  <c r="F67" i="8"/>
  <c r="F47" i="8"/>
  <c r="F8" i="8"/>
  <c r="F9" i="8" s="1"/>
  <c r="AP92" i="7"/>
  <c r="AP93" i="7"/>
  <c r="AP98" i="7"/>
  <c r="AP99" i="7"/>
  <c r="AP100" i="7"/>
  <c r="AP106" i="7"/>
  <c r="AP111" i="7"/>
  <c r="X121" i="7"/>
  <c r="AF55" i="7"/>
  <c r="AF50" i="7"/>
  <c r="AF49" i="7"/>
  <c r="F50" i="7"/>
  <c r="F52" i="7"/>
  <c r="F47" i="7"/>
  <c r="D52" i="7"/>
  <c r="D47" i="7"/>
  <c r="B62" i="7"/>
  <c r="B54" i="7"/>
  <c r="P54" i="7" s="1"/>
  <c r="AH54" i="7" s="1"/>
  <c r="B53" i="7"/>
  <c r="P53" i="7" s="1"/>
  <c r="AH53" i="7" s="1"/>
  <c r="B51" i="7"/>
  <c r="P51" i="7" s="1"/>
  <c r="AH51" i="7" s="1"/>
  <c r="B50" i="7"/>
  <c r="X64" i="7"/>
  <c r="X42" i="7"/>
  <c r="V121" i="7"/>
  <c r="T121" i="7"/>
  <c r="H121" i="7"/>
  <c r="F121" i="7"/>
  <c r="D121" i="7"/>
  <c r="AF23" i="7"/>
  <c r="AJ23" i="7" s="1"/>
  <c r="AF25" i="7"/>
  <c r="AJ25" i="7" s="1"/>
  <c r="AF24" i="7"/>
  <c r="AJ24" i="7" s="1"/>
  <c r="AF22" i="7"/>
  <c r="AJ22" i="7" s="1"/>
  <c r="AF19" i="7"/>
  <c r="AJ19" i="7" s="1"/>
  <c r="AF18" i="7"/>
  <c r="AJ18" i="7" s="1"/>
  <c r="H64" i="7"/>
  <c r="H25" i="12" s="1"/>
  <c r="F63" i="7"/>
  <c r="D63" i="7"/>
  <c r="D153" i="7" s="1"/>
  <c r="D154" i="7" s="1"/>
  <c r="B63" i="7"/>
  <c r="B27" i="7"/>
  <c r="D41" i="7"/>
  <c r="F38" i="7"/>
  <c r="D38" i="7"/>
  <c r="B37" i="7"/>
  <c r="P37" i="7" s="1"/>
  <c r="AH37" i="7" s="1"/>
  <c r="B36" i="7"/>
  <c r="B34" i="7"/>
  <c r="P34" i="7" s="1"/>
  <c r="AH34" i="7" s="1"/>
  <c r="F14" i="12"/>
  <c r="D11" i="7"/>
  <c r="D148" i="7" s="1"/>
  <c r="D17" i="7"/>
  <c r="D16" i="7"/>
  <c r="D15" i="7"/>
  <c r="B24" i="7"/>
  <c r="P24" i="7" s="1"/>
  <c r="AH24" i="7" s="1"/>
  <c r="B22" i="7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B16" i="7"/>
  <c r="B15" i="7"/>
  <c r="F8" i="7"/>
  <c r="F11" i="12" s="1"/>
  <c r="D8" i="7"/>
  <c r="D11" i="12" s="1"/>
  <c r="B8" i="7"/>
  <c r="F7" i="7"/>
  <c r="D7" i="7"/>
  <c r="D10" i="12" s="1"/>
  <c r="B10" i="12"/>
  <c r="U53" i="2"/>
  <c r="B25" i="7"/>
  <c r="B19" i="12" s="1"/>
  <c r="U81" i="1"/>
  <c r="U84" i="1" s="1"/>
  <c r="U160" i="1" s="1"/>
  <c r="B47" i="7"/>
  <c r="B47" i="12" l="1"/>
  <c r="B39" i="12"/>
  <c r="B18" i="12"/>
  <c r="X44" i="7"/>
  <c r="AB44" i="7"/>
  <c r="L62" i="7"/>
  <c r="P62" i="7" s="1"/>
  <c r="AH62" i="7" s="1"/>
  <c r="AF21" i="7"/>
  <c r="AJ21" i="7" s="1"/>
  <c r="AL21" i="7" s="1"/>
  <c r="T112" i="7"/>
  <c r="V112" i="7"/>
  <c r="X43" i="12"/>
  <c r="X112" i="7"/>
  <c r="AB112" i="7"/>
  <c r="Z112" i="7"/>
  <c r="AF47" i="7"/>
  <c r="AJ47" i="7" s="1"/>
  <c r="F39" i="12"/>
  <c r="AF16" i="7"/>
  <c r="AJ16" i="7" s="1"/>
  <c r="AF52" i="7"/>
  <c r="AJ52" i="7" s="1"/>
  <c r="AF89" i="7"/>
  <c r="AJ89" i="7" s="1"/>
  <c r="AL89" i="7" s="1"/>
  <c r="AF12" i="12"/>
  <c r="AJ12" i="12" s="1"/>
  <c r="AF9" i="7"/>
  <c r="AJ9" i="7" s="1"/>
  <c r="AF103" i="7"/>
  <c r="AJ103" i="7" s="1"/>
  <c r="AF37" i="12"/>
  <c r="AJ37" i="12" s="1"/>
  <c r="AF80" i="7"/>
  <c r="AJ80" i="7" s="1"/>
  <c r="AF91" i="7"/>
  <c r="AJ91" i="7" s="1"/>
  <c r="AF78" i="7"/>
  <c r="AJ78" i="7" s="1"/>
  <c r="Z47" i="12"/>
  <c r="Z48" i="12" s="1"/>
  <c r="AF116" i="7"/>
  <c r="AF115" i="7"/>
  <c r="AJ115" i="7" s="1"/>
  <c r="AN115" i="7" s="1"/>
  <c r="AP115" i="7" s="1"/>
  <c r="U58" i="6"/>
  <c r="AF77" i="7"/>
  <c r="AJ77" i="7" s="1"/>
  <c r="AF86" i="7"/>
  <c r="AJ86" i="7" s="1"/>
  <c r="AF94" i="7"/>
  <c r="AJ94" i="7" s="1"/>
  <c r="AF75" i="7"/>
  <c r="AJ75" i="7" s="1"/>
  <c r="AF88" i="7"/>
  <c r="AJ88" i="7" s="1"/>
  <c r="AF38" i="7"/>
  <c r="AJ38" i="7" s="1"/>
  <c r="AF13" i="12"/>
  <c r="AJ13" i="12" s="1"/>
  <c r="AF10" i="7"/>
  <c r="AJ10" i="7" s="1"/>
  <c r="AF74" i="7"/>
  <c r="AF41" i="7"/>
  <c r="AJ41" i="7" s="1"/>
  <c r="AF35" i="7"/>
  <c r="AJ35" i="7" s="1"/>
  <c r="AF11" i="7"/>
  <c r="AJ11" i="7" s="1"/>
  <c r="AF128" i="7"/>
  <c r="AJ128" i="7" s="1"/>
  <c r="AF101" i="7"/>
  <c r="AJ101" i="7" s="1"/>
  <c r="AF76" i="7"/>
  <c r="AJ76" i="7" s="1"/>
  <c r="AF17" i="7"/>
  <c r="AJ17" i="7" s="1"/>
  <c r="AF51" i="7"/>
  <c r="AJ51" i="7" s="1"/>
  <c r="AF127" i="7"/>
  <c r="AJ127" i="7" s="1"/>
  <c r="AF48" i="7"/>
  <c r="AJ48" i="7" s="1"/>
  <c r="AF53" i="7"/>
  <c r="AJ53" i="7" s="1"/>
  <c r="AF54" i="7"/>
  <c r="AJ54" i="7" s="1"/>
  <c r="R53" i="12"/>
  <c r="AF53" i="12" s="1"/>
  <c r="AJ53" i="12" s="1"/>
  <c r="AF126" i="7"/>
  <c r="AJ126" i="7" s="1"/>
  <c r="AF85" i="7"/>
  <c r="AJ85" i="7" s="1"/>
  <c r="AF83" i="7"/>
  <c r="AJ83" i="7" s="1"/>
  <c r="AF38" i="12"/>
  <c r="AJ38" i="12" s="1"/>
  <c r="AF82" i="7"/>
  <c r="AJ82" i="7" s="1"/>
  <c r="R29" i="12"/>
  <c r="AF29" i="12" s="1"/>
  <c r="AJ29" i="12" s="1"/>
  <c r="AF66" i="7"/>
  <c r="AJ66" i="7" s="1"/>
  <c r="AL66" i="7" s="1"/>
  <c r="AF26" i="12"/>
  <c r="AJ26" i="12" s="1"/>
  <c r="AF63" i="7"/>
  <c r="AJ63" i="7" s="1"/>
  <c r="AF57" i="7"/>
  <c r="AF15" i="12"/>
  <c r="AJ15" i="12" s="1"/>
  <c r="AF12" i="7"/>
  <c r="AJ12" i="7" s="1"/>
  <c r="AF17" i="12"/>
  <c r="AJ17" i="12" s="1"/>
  <c r="AF14" i="7"/>
  <c r="AJ14" i="7" s="1"/>
  <c r="AN14" i="7" s="1"/>
  <c r="AP14" i="7" s="1"/>
  <c r="AF39" i="7"/>
  <c r="AJ39" i="7" s="1"/>
  <c r="AF37" i="7"/>
  <c r="AJ37" i="7" s="1"/>
  <c r="AF36" i="7"/>
  <c r="AJ36" i="7" s="1"/>
  <c r="AF34" i="7"/>
  <c r="AF15" i="7"/>
  <c r="AF8" i="7"/>
  <c r="AJ8" i="7" s="1"/>
  <c r="F48" i="8"/>
  <c r="D32" i="7"/>
  <c r="X68" i="7"/>
  <c r="AD10" i="12"/>
  <c r="AD22" i="12" s="1"/>
  <c r="Z22" i="12"/>
  <c r="P22" i="7"/>
  <c r="AH22" i="7" s="1"/>
  <c r="AL22" i="7" s="1"/>
  <c r="B32" i="7"/>
  <c r="B26" i="12"/>
  <c r="B153" i="7"/>
  <c r="J37" i="12"/>
  <c r="P37" i="12" s="1"/>
  <c r="AH37" i="12" s="1"/>
  <c r="J149" i="7"/>
  <c r="F44" i="16"/>
  <c r="AF7" i="7"/>
  <c r="AJ7" i="7" s="1"/>
  <c r="F19" i="10"/>
  <c r="F59" i="10" s="1"/>
  <c r="P83" i="7"/>
  <c r="AH83" i="7" s="1"/>
  <c r="E55" i="14"/>
  <c r="E70" i="14" s="1"/>
  <c r="J39" i="12"/>
  <c r="F44" i="9"/>
  <c r="J42" i="7"/>
  <c r="J21" i="12" s="1"/>
  <c r="J22" i="12" s="1"/>
  <c r="U54" i="5"/>
  <c r="L48" i="12"/>
  <c r="L26" i="12"/>
  <c r="L153" i="7"/>
  <c r="L154" i="7" s="1"/>
  <c r="L157" i="7" s="1"/>
  <c r="U147" i="4"/>
  <c r="B36" i="12"/>
  <c r="B11" i="12"/>
  <c r="P11" i="12" s="1"/>
  <c r="AH11" i="12" s="1"/>
  <c r="F97" i="10"/>
  <c r="F38" i="15"/>
  <c r="F45" i="15" s="1"/>
  <c r="F55" i="15" s="1"/>
  <c r="AL92" i="7"/>
  <c r="B149" i="7"/>
  <c r="B42" i="12"/>
  <c r="P36" i="7"/>
  <c r="AH36" i="7" s="1"/>
  <c r="B20" i="12"/>
  <c r="F72" i="10"/>
  <c r="F77" i="10" s="1"/>
  <c r="P100" i="7"/>
  <c r="AH100" i="7" s="1"/>
  <c r="AL100" i="7" s="1"/>
  <c r="F92" i="11"/>
  <c r="L129" i="7"/>
  <c r="P129" i="7" s="1"/>
  <c r="AH129" i="7" s="1"/>
  <c r="AJ104" i="7"/>
  <c r="AB64" i="7"/>
  <c r="P148" i="7"/>
  <c r="F72" i="8"/>
  <c r="F78" i="8" s="1"/>
  <c r="F69" i="11"/>
  <c r="AL98" i="7"/>
  <c r="N154" i="7"/>
  <c r="N157" i="7" s="1"/>
  <c r="AN23" i="7"/>
  <c r="AP23" i="7" s="1"/>
  <c r="J138" i="7"/>
  <c r="T48" i="12"/>
  <c r="AJ118" i="7"/>
  <c r="AC22" i="12"/>
  <c r="P10" i="7"/>
  <c r="AH10" i="7" s="1"/>
  <c r="F64" i="7"/>
  <c r="F42" i="7"/>
  <c r="F21" i="12" s="1"/>
  <c r="P103" i="7"/>
  <c r="AH103" i="7" s="1"/>
  <c r="AJ119" i="7"/>
  <c r="Z64" i="7"/>
  <c r="Z27" i="12" s="1"/>
  <c r="F10" i="12"/>
  <c r="F54" i="12"/>
  <c r="J41" i="12"/>
  <c r="P41" i="12" s="1"/>
  <c r="AH41" i="12" s="1"/>
  <c r="N7" i="7"/>
  <c r="N10" i="12" s="1"/>
  <c r="N22" i="12" s="1"/>
  <c r="E19" i="14"/>
  <c r="E34" i="14" s="1"/>
  <c r="U27" i="5"/>
  <c r="B14" i="12"/>
  <c r="U67" i="3"/>
  <c r="D54" i="12"/>
  <c r="D57" i="12" s="1"/>
  <c r="D39" i="12"/>
  <c r="P94" i="7"/>
  <c r="AH94" i="7" s="1"/>
  <c r="U33" i="2"/>
  <c r="F39" i="17"/>
  <c r="F40" i="17" s="1"/>
  <c r="F45" i="17" s="1"/>
  <c r="H54" i="12"/>
  <c r="H57" i="12" s="1"/>
  <c r="P86" i="7"/>
  <c r="AH86" i="7" s="1"/>
  <c r="L14" i="12"/>
  <c r="L22" i="12" s="1"/>
  <c r="N43" i="12"/>
  <c r="AB121" i="7"/>
  <c r="L121" i="7"/>
  <c r="U28" i="6"/>
  <c r="D48" i="12"/>
  <c r="L112" i="7"/>
  <c r="F18" i="11"/>
  <c r="F56" i="11" s="1"/>
  <c r="F23" i="17"/>
  <c r="F24" i="17" s="1"/>
  <c r="P39" i="7"/>
  <c r="AH39" i="7" s="1"/>
  <c r="P120" i="7"/>
  <c r="AH120" i="7" s="1"/>
  <c r="N54" i="12"/>
  <c r="N57" i="12" s="1"/>
  <c r="F24" i="16"/>
  <c r="F25" i="16" s="1"/>
  <c r="N112" i="7"/>
  <c r="P73" i="7"/>
  <c r="AH73" i="7" s="1"/>
  <c r="AL73" i="7" s="1"/>
  <c r="J64" i="7"/>
  <c r="J25" i="12" s="1"/>
  <c r="AJ136" i="7"/>
  <c r="P116" i="7"/>
  <c r="AH116" i="7" s="1"/>
  <c r="F48" i="12"/>
  <c r="F66" i="9"/>
  <c r="F72" i="9" s="1"/>
  <c r="H42" i="7"/>
  <c r="H21" i="12" s="1"/>
  <c r="H22" i="12" s="1"/>
  <c r="H138" i="7"/>
  <c r="D138" i="7"/>
  <c r="U80" i="4"/>
  <c r="R68" i="7"/>
  <c r="AJ90" i="7"/>
  <c r="V54" i="12"/>
  <c r="Z54" i="12"/>
  <c r="Z57" i="12" s="1"/>
  <c r="AD138" i="7"/>
  <c r="F25" i="15"/>
  <c r="T64" i="7"/>
  <c r="T27" i="12" s="1"/>
  <c r="J121" i="7"/>
  <c r="AB48" i="12"/>
  <c r="D42" i="7"/>
  <c r="D21" i="12" s="1"/>
  <c r="R42" i="7"/>
  <c r="R21" i="12" s="1"/>
  <c r="R22" i="12" s="1"/>
  <c r="X138" i="7"/>
  <c r="P102" i="7"/>
  <c r="AH102" i="7" s="1"/>
  <c r="P16" i="7"/>
  <c r="AH16" i="7" s="1"/>
  <c r="AJ120" i="7"/>
  <c r="AF35" i="12"/>
  <c r="AJ35" i="12" s="1"/>
  <c r="J48" i="12"/>
  <c r="X48" i="12"/>
  <c r="L43" i="12"/>
  <c r="H27" i="12"/>
  <c r="V48" i="12"/>
  <c r="N47" i="12"/>
  <c r="N48" i="12" s="1"/>
  <c r="T138" i="7"/>
  <c r="P35" i="7"/>
  <c r="AH35" i="7" s="1"/>
  <c r="T42" i="7"/>
  <c r="AL111" i="7"/>
  <c r="P137" i="7"/>
  <c r="AH137" i="7" s="1"/>
  <c r="J112" i="7"/>
  <c r="L44" i="7"/>
  <c r="T32" i="7"/>
  <c r="AJ50" i="7"/>
  <c r="R121" i="7"/>
  <c r="V56" i="12"/>
  <c r="AL93" i="7"/>
  <c r="H157" i="7"/>
  <c r="AL30" i="7"/>
  <c r="D64" i="7"/>
  <c r="D25" i="12" s="1"/>
  <c r="AD54" i="12"/>
  <c r="AD57" i="12" s="1"/>
  <c r="D26" i="12"/>
  <c r="H112" i="7"/>
  <c r="H123" i="7" s="1"/>
  <c r="AF19" i="12"/>
  <c r="AJ19" i="12" s="1"/>
  <c r="P15" i="7"/>
  <c r="AH15" i="7" s="1"/>
  <c r="AN19" i="7"/>
  <c r="AP19" i="7" s="1"/>
  <c r="D14" i="12"/>
  <c r="P38" i="7"/>
  <c r="AH38" i="7" s="1"/>
  <c r="V64" i="7"/>
  <c r="V27" i="12" s="1"/>
  <c r="Z138" i="7"/>
  <c r="P104" i="7"/>
  <c r="AH104" i="7" s="1"/>
  <c r="P126" i="7"/>
  <c r="AH126" i="7" s="1"/>
  <c r="N138" i="7"/>
  <c r="X54" i="12"/>
  <c r="X57" i="12" s="1"/>
  <c r="P12" i="7"/>
  <c r="AH12" i="7" s="1"/>
  <c r="B15" i="12"/>
  <c r="P15" i="12" s="1"/>
  <c r="AH15" i="12" s="1"/>
  <c r="AL23" i="7"/>
  <c r="AL20" i="7"/>
  <c r="P75" i="7"/>
  <c r="AH75" i="7" s="1"/>
  <c r="J36" i="12"/>
  <c r="V138" i="7"/>
  <c r="AF40" i="12"/>
  <c r="AJ40" i="12" s="1"/>
  <c r="AJ102" i="7"/>
  <c r="AA22" i="12"/>
  <c r="X27" i="12"/>
  <c r="P105" i="7"/>
  <c r="AH105" i="7" s="1"/>
  <c r="P9" i="7"/>
  <c r="AH9" i="7" s="1"/>
  <c r="Z121" i="7"/>
  <c r="H43" i="12"/>
  <c r="T54" i="12"/>
  <c r="T57" i="12" s="1"/>
  <c r="P41" i="7"/>
  <c r="AH41" i="7" s="1"/>
  <c r="F153" i="7"/>
  <c r="F154" i="7" s="1"/>
  <c r="F157" i="7" s="1"/>
  <c r="F26" i="12"/>
  <c r="AN132" i="7"/>
  <c r="AP132" i="7" s="1"/>
  <c r="AL132" i="7"/>
  <c r="P84" i="7"/>
  <c r="AH84" i="7" s="1"/>
  <c r="P136" i="7"/>
  <c r="AH136" i="7" s="1"/>
  <c r="Y22" i="12"/>
  <c r="W22" i="12"/>
  <c r="AD64" i="7"/>
  <c r="P13" i="12"/>
  <c r="AH13" i="12" s="1"/>
  <c r="H48" i="12"/>
  <c r="V42" i="7"/>
  <c r="V44" i="7" s="1"/>
  <c r="P46" i="12"/>
  <c r="AH46" i="12" s="1"/>
  <c r="P19" i="12"/>
  <c r="AH19" i="12" s="1"/>
  <c r="AJ135" i="7"/>
  <c r="N26" i="12"/>
  <c r="R46" i="12"/>
  <c r="R54" i="12"/>
  <c r="P78" i="7"/>
  <c r="AH78" i="7" s="1"/>
  <c r="N121" i="7"/>
  <c r="P55" i="12"/>
  <c r="AH55" i="12" s="1"/>
  <c r="AL55" i="12" s="1"/>
  <c r="R47" i="12"/>
  <c r="P118" i="7"/>
  <c r="AH118" i="7" s="1"/>
  <c r="AE22" i="12"/>
  <c r="AL19" i="7"/>
  <c r="P8" i="7"/>
  <c r="AH8" i="7" s="1"/>
  <c r="P77" i="7"/>
  <c r="AH77" i="7" s="1"/>
  <c r="P90" i="7"/>
  <c r="AH90" i="7" s="1"/>
  <c r="P130" i="7"/>
  <c r="AH130" i="7" s="1"/>
  <c r="AL130" i="7" s="1"/>
  <c r="P52" i="7"/>
  <c r="AH52" i="7" s="1"/>
  <c r="P25" i="7"/>
  <c r="F138" i="7"/>
  <c r="F56" i="12"/>
  <c r="P50" i="7"/>
  <c r="AH50" i="7" s="1"/>
  <c r="AN133" i="7"/>
  <c r="AP133" i="7" s="1"/>
  <c r="AL133" i="7"/>
  <c r="AL134" i="7"/>
  <c r="AN134" i="7"/>
  <c r="AP134" i="7" s="1"/>
  <c r="P47" i="7"/>
  <c r="AH47" i="7" s="1"/>
  <c r="P63" i="7"/>
  <c r="AH63" i="7" s="1"/>
  <c r="P55" i="7"/>
  <c r="AH55" i="7" s="1"/>
  <c r="P88" i="7"/>
  <c r="AH88" i="7" s="1"/>
  <c r="P82" i="7"/>
  <c r="AH82" i="7" s="1"/>
  <c r="F112" i="7"/>
  <c r="F123" i="7" s="1"/>
  <c r="F36" i="12"/>
  <c r="U69" i="2"/>
  <c r="P128" i="7"/>
  <c r="AN20" i="7"/>
  <c r="AP20" i="7" s="1"/>
  <c r="P11" i="7"/>
  <c r="AH11" i="7" s="1"/>
  <c r="B17" i="12"/>
  <c r="P17" i="12" s="1"/>
  <c r="AH17" i="12" s="1"/>
  <c r="AN24" i="7"/>
  <c r="AP24" i="7" s="1"/>
  <c r="AL24" i="7"/>
  <c r="B64" i="7"/>
  <c r="B25" i="12" s="1"/>
  <c r="P80" i="7"/>
  <c r="AH80" i="7" s="1"/>
  <c r="B56" i="12"/>
  <c r="B42" i="7"/>
  <c r="AH48" i="7"/>
  <c r="AL18" i="7"/>
  <c r="AN18" i="7"/>
  <c r="AP18" i="7" s="1"/>
  <c r="B112" i="7"/>
  <c r="B138" i="7"/>
  <c r="B54" i="12"/>
  <c r="B29" i="12"/>
  <c r="P29" i="12" s="1"/>
  <c r="AH29" i="12" s="1"/>
  <c r="P74" i="7"/>
  <c r="AH74" i="7" s="1"/>
  <c r="P135" i="7"/>
  <c r="AH135" i="7" s="1"/>
  <c r="B12" i="12"/>
  <c r="P12" i="12" s="1"/>
  <c r="AH12" i="12" s="1"/>
  <c r="B121" i="7"/>
  <c r="P119" i="7"/>
  <c r="J54" i="12"/>
  <c r="J57" i="12" s="1"/>
  <c r="J26" i="12"/>
  <c r="P27" i="7"/>
  <c r="AJ84" i="7"/>
  <c r="AJ49" i="7"/>
  <c r="AD47" i="12"/>
  <c r="AD121" i="7"/>
  <c r="D112" i="7"/>
  <c r="P17" i="7"/>
  <c r="AH17" i="7" s="1"/>
  <c r="D18" i="12"/>
  <c r="AJ55" i="7"/>
  <c r="P35" i="12"/>
  <c r="P53" i="12"/>
  <c r="AJ131" i="7"/>
  <c r="R138" i="7"/>
  <c r="P106" i="7"/>
  <c r="AH106" i="7" s="1"/>
  <c r="AL106" i="7" s="1"/>
  <c r="B38" i="12"/>
  <c r="AL99" i="7"/>
  <c r="AL26" i="7"/>
  <c r="P40" i="12"/>
  <c r="AH40" i="12" s="1"/>
  <c r="N64" i="7"/>
  <c r="D157" i="7"/>
  <c r="T44" i="7" l="1"/>
  <c r="L64" i="7"/>
  <c r="L25" i="12" s="1"/>
  <c r="L27" i="12" s="1"/>
  <c r="L31" i="12" s="1"/>
  <c r="B21" i="12"/>
  <c r="P21" i="12" s="1"/>
  <c r="AH21" i="12" s="1"/>
  <c r="B44" i="7"/>
  <c r="B68" i="7" s="1"/>
  <c r="AF41" i="12"/>
  <c r="AJ41" i="12" s="1"/>
  <c r="AN41" i="12" s="1"/>
  <c r="AP41" i="12" s="1"/>
  <c r="AH112" i="7"/>
  <c r="AD43" i="12"/>
  <c r="AD112" i="7"/>
  <c r="AD140" i="7" s="1"/>
  <c r="V60" i="6"/>
  <c r="AB43" i="12"/>
  <c r="AB50" i="12" s="1"/>
  <c r="AF105" i="7"/>
  <c r="AJ105" i="7" s="1"/>
  <c r="AN105" i="7" s="1"/>
  <c r="AP105" i="7" s="1"/>
  <c r="V150" i="4"/>
  <c r="AF14" i="12"/>
  <c r="AJ14" i="12" s="1"/>
  <c r="AF11" i="12"/>
  <c r="AJ11" i="12" s="1"/>
  <c r="AN11" i="12" s="1"/>
  <c r="AP11" i="12" s="1"/>
  <c r="AN22" i="7"/>
  <c r="AP22" i="7" s="1"/>
  <c r="AH42" i="7"/>
  <c r="AH27" i="7"/>
  <c r="AL27" i="7" s="1"/>
  <c r="AH25" i="7"/>
  <c r="AL25" i="7" s="1"/>
  <c r="X22" i="12"/>
  <c r="X31" i="12" s="1"/>
  <c r="AF62" i="7"/>
  <c r="AJ62" i="7" s="1"/>
  <c r="AN62" i="7" s="1"/>
  <c r="AP62" i="7" s="1"/>
  <c r="AF121" i="7"/>
  <c r="AL91" i="7"/>
  <c r="AN91" i="7"/>
  <c r="AP91" i="7" s="1"/>
  <c r="AL101" i="7"/>
  <c r="AN101" i="7"/>
  <c r="AP101" i="7" s="1"/>
  <c r="AN76" i="7"/>
  <c r="AP76" i="7" s="1"/>
  <c r="AL76" i="7"/>
  <c r="AN53" i="7"/>
  <c r="AP53" i="7" s="1"/>
  <c r="AL53" i="7"/>
  <c r="AN127" i="7"/>
  <c r="AP127" i="7" s="1"/>
  <c r="AL127" i="7"/>
  <c r="AN54" i="7"/>
  <c r="AP54" i="7" s="1"/>
  <c r="AL54" i="7"/>
  <c r="AL51" i="7"/>
  <c r="AN51" i="7"/>
  <c r="AP51" i="7" s="1"/>
  <c r="AN85" i="7"/>
  <c r="AP85" i="7" s="1"/>
  <c r="AL85" i="7"/>
  <c r="AN83" i="7"/>
  <c r="AP83" i="7" s="1"/>
  <c r="AJ57" i="7"/>
  <c r="AN37" i="7"/>
  <c r="AP37" i="7" s="1"/>
  <c r="AL37" i="7"/>
  <c r="AN36" i="7"/>
  <c r="AP36" i="7" s="1"/>
  <c r="AF42" i="7"/>
  <c r="AJ34" i="7"/>
  <c r="AL34" i="7" s="1"/>
  <c r="AJ15" i="7"/>
  <c r="AJ32" i="7" s="1"/>
  <c r="AF32" i="7"/>
  <c r="AB22" i="12"/>
  <c r="AB68" i="7"/>
  <c r="T68" i="7"/>
  <c r="AL83" i="7"/>
  <c r="J44" i="7"/>
  <c r="J68" i="7" s="1"/>
  <c r="P20" i="12"/>
  <c r="AH20" i="12" s="1"/>
  <c r="N44" i="7"/>
  <c r="N68" i="7" s="1"/>
  <c r="F98" i="10"/>
  <c r="L138" i="7"/>
  <c r="L140" i="7" s="1"/>
  <c r="L50" i="12"/>
  <c r="P149" i="7"/>
  <c r="P150" i="7" s="1"/>
  <c r="AN21" i="7"/>
  <c r="AP21" i="7" s="1"/>
  <c r="AL36" i="7"/>
  <c r="L123" i="7"/>
  <c r="AN66" i="7"/>
  <c r="AP66" i="7" s="1"/>
  <c r="F44" i="7"/>
  <c r="F68" i="7" s="1"/>
  <c r="F93" i="11"/>
  <c r="F95" i="11" s="1"/>
  <c r="J140" i="7"/>
  <c r="J142" i="7" s="1"/>
  <c r="AL86" i="7"/>
  <c r="AB123" i="7"/>
  <c r="B154" i="7"/>
  <c r="B157" i="7" s="1"/>
  <c r="B164" i="7" s="1"/>
  <c r="P153" i="7"/>
  <c r="AL118" i="7"/>
  <c r="AN104" i="7"/>
  <c r="AP104" i="7" s="1"/>
  <c r="F57" i="15"/>
  <c r="AL136" i="7"/>
  <c r="L54" i="12"/>
  <c r="L57" i="12" s="1"/>
  <c r="L59" i="12" s="1"/>
  <c r="AN80" i="7"/>
  <c r="AP80" i="7" s="1"/>
  <c r="AN103" i="7"/>
  <c r="AP103" i="7" s="1"/>
  <c r="P10" i="12"/>
  <c r="AH10" i="12" s="1"/>
  <c r="F22" i="12"/>
  <c r="P7" i="7"/>
  <c r="AH7" i="7" s="1"/>
  <c r="H31" i="12"/>
  <c r="AL103" i="7"/>
  <c r="AN39" i="7"/>
  <c r="AP39" i="7" s="1"/>
  <c r="AL39" i="7"/>
  <c r="AN10" i="7"/>
  <c r="AP10" i="7" s="1"/>
  <c r="T140" i="7"/>
  <c r="F57" i="12"/>
  <c r="AN120" i="7"/>
  <c r="AP120" i="7" s="1"/>
  <c r="Z31" i="12"/>
  <c r="R123" i="7"/>
  <c r="AL88" i="7"/>
  <c r="AL17" i="12"/>
  <c r="AN35" i="7"/>
  <c r="AP35" i="7" s="1"/>
  <c r="AN89" i="7"/>
  <c r="AP89" i="7" s="1"/>
  <c r="AN126" i="7"/>
  <c r="AP126" i="7" s="1"/>
  <c r="Z68" i="7"/>
  <c r="V56" i="5"/>
  <c r="AL104" i="7"/>
  <c r="AN86" i="7"/>
  <c r="AP86" i="7" s="1"/>
  <c r="V72" i="2"/>
  <c r="J123" i="7"/>
  <c r="E72" i="14"/>
  <c r="N123" i="7"/>
  <c r="F46" i="16"/>
  <c r="F74" i="9"/>
  <c r="AL12" i="7"/>
  <c r="AN90" i="7"/>
  <c r="AP90" i="7" s="1"/>
  <c r="AL10" i="7"/>
  <c r="AL14" i="7"/>
  <c r="U69" i="3"/>
  <c r="D43" i="12"/>
  <c r="D50" i="12" s="1"/>
  <c r="AL94" i="7"/>
  <c r="D27" i="12"/>
  <c r="F47" i="17"/>
  <c r="H44" i="7"/>
  <c r="H68" i="7" s="1"/>
  <c r="P14" i="12"/>
  <c r="AH14" i="12" s="1"/>
  <c r="AH128" i="7"/>
  <c r="AH138" i="7" s="1"/>
  <c r="AL126" i="7"/>
  <c r="AN136" i="7"/>
  <c r="AP136" i="7" s="1"/>
  <c r="AN9" i="7"/>
  <c r="AP9" i="7" s="1"/>
  <c r="P56" i="12"/>
  <c r="AH56" i="12" s="1"/>
  <c r="Z140" i="7"/>
  <c r="J43" i="12"/>
  <c r="J50" i="12" s="1"/>
  <c r="X50" i="12"/>
  <c r="F43" i="12"/>
  <c r="F50" i="12" s="1"/>
  <c r="AN88" i="7"/>
  <c r="AP88" i="7" s="1"/>
  <c r="V57" i="12"/>
  <c r="AN50" i="7"/>
  <c r="AP50" i="7" s="1"/>
  <c r="AL35" i="7"/>
  <c r="AL16" i="7"/>
  <c r="AN8" i="7"/>
  <c r="AP8" i="7" s="1"/>
  <c r="Z43" i="12"/>
  <c r="Z50" i="12" s="1"/>
  <c r="AN78" i="7"/>
  <c r="AP78" i="7" s="1"/>
  <c r="AL120" i="7"/>
  <c r="AN16" i="7"/>
  <c r="AP16" i="7" s="1"/>
  <c r="P32" i="7"/>
  <c r="AN15" i="12"/>
  <c r="AP15" i="12" s="1"/>
  <c r="AL15" i="12"/>
  <c r="AL9" i="7"/>
  <c r="AL115" i="7"/>
  <c r="D44" i="7"/>
  <c r="D68" i="7" s="1"/>
  <c r="AL78" i="7"/>
  <c r="AN19" i="12"/>
  <c r="AP19" i="12" s="1"/>
  <c r="AL102" i="7"/>
  <c r="AL75" i="7"/>
  <c r="AN38" i="7"/>
  <c r="AP38" i="7" s="1"/>
  <c r="N59" i="12"/>
  <c r="T22" i="12"/>
  <c r="T31" i="12" s="1"/>
  <c r="AN94" i="7"/>
  <c r="AP94" i="7" s="1"/>
  <c r="AL63" i="7"/>
  <c r="AL41" i="7"/>
  <c r="D22" i="12"/>
  <c r="AN118" i="7"/>
  <c r="AP118" i="7" s="1"/>
  <c r="AL38" i="7"/>
  <c r="P36" i="12"/>
  <c r="AH36" i="12" s="1"/>
  <c r="AL11" i="7"/>
  <c r="AL82" i="7"/>
  <c r="H140" i="7"/>
  <c r="AL19" i="12"/>
  <c r="N50" i="12"/>
  <c r="AF18" i="12"/>
  <c r="AJ18" i="12" s="1"/>
  <c r="AN63" i="7"/>
  <c r="AP63" i="7" s="1"/>
  <c r="H50" i="12"/>
  <c r="H59" i="12"/>
  <c r="AN102" i="7"/>
  <c r="AP102" i="7" s="1"/>
  <c r="V68" i="7"/>
  <c r="AN75" i="7"/>
  <c r="AP75" i="7" s="1"/>
  <c r="AL12" i="12"/>
  <c r="AN12" i="7"/>
  <c r="AP12" i="7" s="1"/>
  <c r="AN41" i="7"/>
  <c r="AP41" i="7" s="1"/>
  <c r="AL8" i="7"/>
  <c r="AF46" i="12"/>
  <c r="AJ46" i="12" s="1"/>
  <c r="R48" i="12"/>
  <c r="N140" i="7"/>
  <c r="N142" i="7" s="1"/>
  <c r="Z123" i="7"/>
  <c r="P42" i="12"/>
  <c r="AH42" i="12" s="1"/>
  <c r="AD68" i="7"/>
  <c r="AD27" i="12"/>
  <c r="AD31" i="12" s="1"/>
  <c r="P26" i="12"/>
  <c r="AH26" i="12" s="1"/>
  <c r="AL26" i="12" s="1"/>
  <c r="R140" i="7"/>
  <c r="R61" i="12" s="1"/>
  <c r="AL13" i="12"/>
  <c r="T43" i="12"/>
  <c r="T59" i="12" s="1"/>
  <c r="P42" i="7"/>
  <c r="AN135" i="7"/>
  <c r="AP135" i="7" s="1"/>
  <c r="AN47" i="7"/>
  <c r="AP47" i="7" s="1"/>
  <c r="X123" i="7"/>
  <c r="X140" i="7"/>
  <c r="X141" i="7" s="1"/>
  <c r="AL90" i="7"/>
  <c r="AN52" i="7"/>
  <c r="AP52" i="7" s="1"/>
  <c r="AL52" i="7"/>
  <c r="AH64" i="7"/>
  <c r="AL47" i="7"/>
  <c r="P64" i="7"/>
  <c r="AL50" i="7"/>
  <c r="AN55" i="7"/>
  <c r="AP55" i="7" s="1"/>
  <c r="P39" i="12"/>
  <c r="AH39" i="12" s="1"/>
  <c r="AL135" i="7"/>
  <c r="F140" i="7"/>
  <c r="F142" i="7" s="1"/>
  <c r="AN82" i="7"/>
  <c r="AP82" i="7" s="1"/>
  <c r="AN11" i="7"/>
  <c r="AP11" i="7" s="1"/>
  <c r="B57" i="12"/>
  <c r="AL80" i="7"/>
  <c r="AN17" i="12"/>
  <c r="AP17" i="12" s="1"/>
  <c r="P138" i="7"/>
  <c r="B48" i="12"/>
  <c r="P47" i="12"/>
  <c r="AH119" i="7"/>
  <c r="P121" i="7"/>
  <c r="B123" i="7"/>
  <c r="B140" i="7"/>
  <c r="AL48" i="7"/>
  <c r="AN48" i="7"/>
  <c r="AP48" i="7" s="1"/>
  <c r="F80" i="8"/>
  <c r="J27" i="12"/>
  <c r="J31" i="12" s="1"/>
  <c r="N25" i="12"/>
  <c r="N27" i="12" s="1"/>
  <c r="N31" i="12" s="1"/>
  <c r="AF56" i="12"/>
  <c r="AJ56" i="12" s="1"/>
  <c r="R57" i="12"/>
  <c r="AL84" i="7"/>
  <c r="AN84" i="7"/>
  <c r="AP84" i="7" s="1"/>
  <c r="V43" i="12"/>
  <c r="AF36" i="12"/>
  <c r="AN13" i="12"/>
  <c r="AP13" i="12" s="1"/>
  <c r="AL40" i="12"/>
  <c r="AN40" i="12"/>
  <c r="AP40" i="12" s="1"/>
  <c r="P38" i="12"/>
  <c r="AH38" i="12" s="1"/>
  <c r="B43" i="12"/>
  <c r="AN131" i="7"/>
  <c r="AP131" i="7" s="1"/>
  <c r="AL131" i="7"/>
  <c r="AJ116" i="7"/>
  <c r="P112" i="7"/>
  <c r="AL37" i="12"/>
  <c r="AN37" i="12"/>
  <c r="AP37" i="12" s="1"/>
  <c r="T123" i="7"/>
  <c r="AB27" i="12"/>
  <c r="AL137" i="7"/>
  <c r="AN137" i="7"/>
  <c r="AP137" i="7" s="1"/>
  <c r="D140" i="7"/>
  <c r="D123" i="7"/>
  <c r="X59" i="12"/>
  <c r="AH35" i="12"/>
  <c r="AL17" i="7"/>
  <c r="AN17" i="7"/>
  <c r="AP17" i="7" s="1"/>
  <c r="AL77" i="7"/>
  <c r="AN77" i="7"/>
  <c r="AP77" i="7" s="1"/>
  <c r="V123" i="7"/>
  <c r="V140" i="7"/>
  <c r="F25" i="12"/>
  <c r="F27" i="12" s="1"/>
  <c r="AH53" i="12"/>
  <c r="B27" i="12"/>
  <c r="AD48" i="12"/>
  <c r="AF47" i="12"/>
  <c r="AN49" i="7"/>
  <c r="AP49" i="7" s="1"/>
  <c r="AL49" i="7"/>
  <c r="AN29" i="12"/>
  <c r="AP29" i="12" s="1"/>
  <c r="AL29" i="12"/>
  <c r="AF39" i="12"/>
  <c r="AJ39" i="12" s="1"/>
  <c r="R43" i="12"/>
  <c r="AJ74" i="7"/>
  <c r="P18" i="12"/>
  <c r="AH18" i="12" s="1"/>
  <c r="AL55" i="7"/>
  <c r="L68" i="7" l="1"/>
  <c r="B22" i="12"/>
  <c r="B31" i="12" s="1"/>
  <c r="AF42" i="12"/>
  <c r="AJ42" i="12" s="1"/>
  <c r="AN42" i="12" s="1"/>
  <c r="AP42" i="12" s="1"/>
  <c r="AL41" i="12"/>
  <c r="P44" i="7"/>
  <c r="P68" i="7" s="1"/>
  <c r="AJ112" i="7"/>
  <c r="AN112" i="7" s="1"/>
  <c r="AP112" i="7" s="1"/>
  <c r="AF112" i="7"/>
  <c r="AF123" i="7" s="1"/>
  <c r="AN15" i="7"/>
  <c r="AP15" i="7" s="1"/>
  <c r="AL11" i="12"/>
  <c r="AD123" i="7"/>
  <c r="AN25" i="7"/>
  <c r="AP25" i="7" s="1"/>
  <c r="AL105" i="7"/>
  <c r="AL14" i="12"/>
  <c r="AH32" i="7"/>
  <c r="AH44" i="7" s="1"/>
  <c r="AL15" i="7"/>
  <c r="AL32" i="7" s="1"/>
  <c r="AB31" i="12"/>
  <c r="AF10" i="12"/>
  <c r="AJ10" i="12" s="1"/>
  <c r="AN10" i="12" s="1"/>
  <c r="AP10" i="12" s="1"/>
  <c r="AF129" i="7"/>
  <c r="AF138" i="7" s="1"/>
  <c r="AJ42" i="7"/>
  <c r="AN42" i="7" s="1"/>
  <c r="AP42" i="7" s="1"/>
  <c r="AL57" i="7"/>
  <c r="AN57" i="7"/>
  <c r="AP57" i="7" s="1"/>
  <c r="AN7" i="7"/>
  <c r="AP7" i="7" s="1"/>
  <c r="B141" i="7"/>
  <c r="J141" i="7"/>
  <c r="H61" i="12"/>
  <c r="F100" i="10"/>
  <c r="R141" i="7"/>
  <c r="D141" i="7"/>
  <c r="D142" i="7"/>
  <c r="N61" i="12"/>
  <c r="L61" i="12"/>
  <c r="AN20" i="12"/>
  <c r="AP20" i="12" s="1"/>
  <c r="AL20" i="12"/>
  <c r="B142" i="7"/>
  <c r="V141" i="7"/>
  <c r="Z141" i="7"/>
  <c r="V61" i="12"/>
  <c r="T141" i="7"/>
  <c r="T61" i="12"/>
  <c r="T62" i="12" s="1"/>
  <c r="X62" i="12"/>
  <c r="Z61" i="12"/>
  <c r="AD61" i="12"/>
  <c r="L142" i="7"/>
  <c r="H142" i="7"/>
  <c r="H141" i="7"/>
  <c r="R59" i="12"/>
  <c r="R50" i="12"/>
  <c r="AB54" i="12"/>
  <c r="AB57" i="12" s="1"/>
  <c r="AB59" i="12" s="1"/>
  <c r="AB138" i="7"/>
  <c r="AB140" i="7" s="1"/>
  <c r="AJ64" i="7"/>
  <c r="AN64" i="7" s="1"/>
  <c r="AP64" i="7" s="1"/>
  <c r="AL62" i="7"/>
  <c r="P54" i="12"/>
  <c r="AH54" i="12" s="1"/>
  <c r="AH57" i="12" s="1"/>
  <c r="D31" i="12"/>
  <c r="F31" i="12"/>
  <c r="AL7" i="7"/>
  <c r="H60" i="12"/>
  <c r="X60" i="12"/>
  <c r="F141" i="7"/>
  <c r="N141" i="7"/>
  <c r="D59" i="12"/>
  <c r="J59" i="12"/>
  <c r="J61" i="12" s="1"/>
  <c r="N60" i="12"/>
  <c r="F59" i="12"/>
  <c r="AN14" i="12"/>
  <c r="AP14" i="12" s="1"/>
  <c r="AL128" i="7"/>
  <c r="AN128" i="7"/>
  <c r="AP128" i="7" s="1"/>
  <c r="L63" i="12"/>
  <c r="AL42" i="7"/>
  <c r="L141" i="7"/>
  <c r="T60" i="12"/>
  <c r="Z59" i="12"/>
  <c r="AN26" i="12"/>
  <c r="AP26" i="12" s="1"/>
  <c r="T50" i="12"/>
  <c r="L60" i="12"/>
  <c r="H63" i="12"/>
  <c r="N63" i="12"/>
  <c r="AN46" i="12"/>
  <c r="AP46" i="12" s="1"/>
  <c r="AL46" i="12"/>
  <c r="AD141" i="7"/>
  <c r="AF21" i="12"/>
  <c r="V22" i="12"/>
  <c r="V31" i="12" s="1"/>
  <c r="B50" i="12"/>
  <c r="P43" i="12"/>
  <c r="P123" i="7"/>
  <c r="B59" i="12"/>
  <c r="B60" i="12" s="1"/>
  <c r="AL119" i="7"/>
  <c r="AN119" i="7"/>
  <c r="AP119" i="7" s="1"/>
  <c r="AH121" i="7"/>
  <c r="AH140" i="7" s="1"/>
  <c r="P48" i="12"/>
  <c r="AH47" i="12"/>
  <c r="AH48" i="12" s="1"/>
  <c r="AH22" i="12"/>
  <c r="P140" i="7"/>
  <c r="P142" i="7" s="1"/>
  <c r="AN74" i="7"/>
  <c r="AP74" i="7" s="1"/>
  <c r="AL74" i="7"/>
  <c r="AN18" i="12"/>
  <c r="AP18" i="12" s="1"/>
  <c r="AL18" i="12"/>
  <c r="AN39" i="12"/>
  <c r="AP39" i="12" s="1"/>
  <c r="AL39" i="12"/>
  <c r="AF48" i="12"/>
  <c r="AJ47" i="12"/>
  <c r="B28" i="12"/>
  <c r="AL35" i="12"/>
  <c r="AH43" i="12"/>
  <c r="P22" i="12"/>
  <c r="AL116" i="7"/>
  <c r="AJ121" i="7"/>
  <c r="AN116" i="7"/>
  <c r="AP116" i="7" s="1"/>
  <c r="AJ36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R60" i="12" l="1"/>
  <c r="AL42" i="12"/>
  <c r="AF43" i="12"/>
  <c r="AF50" i="12" s="1"/>
  <c r="R62" i="12"/>
  <c r="AL44" i="7"/>
  <c r="AL112" i="7"/>
  <c r="AF140" i="7"/>
  <c r="AN32" i="7"/>
  <c r="AP32" i="7" s="1"/>
  <c r="AL10" i="12"/>
  <c r="AJ44" i="7"/>
  <c r="AJ68" i="7" s="1"/>
  <c r="AJ129" i="7"/>
  <c r="AL64" i="7"/>
  <c r="D61" i="12"/>
  <c r="F61" i="12"/>
  <c r="B61" i="12"/>
  <c r="Z62" i="12"/>
  <c r="V62" i="12"/>
  <c r="AD62" i="12"/>
  <c r="AD60" i="12"/>
  <c r="AB141" i="7"/>
  <c r="AB61" i="12"/>
  <c r="AB62" i="12" s="1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21" i="7"/>
  <c r="AH123" i="7"/>
  <c r="P141" i="7"/>
  <c r="P50" i="12"/>
  <c r="AH59" i="12"/>
  <c r="AF27" i="12"/>
  <c r="AJ25" i="12"/>
  <c r="AJ27" i="12" s="1"/>
  <c r="AN36" i="12"/>
  <c r="AP36" i="12" s="1"/>
  <c r="AL36" i="12"/>
  <c r="AL43" i="12" s="1"/>
  <c r="AJ43" i="12"/>
  <c r="AH50" i="12"/>
  <c r="AN121" i="7"/>
  <c r="AP121" i="7" s="1"/>
  <c r="AJ123" i="7"/>
  <c r="AQ22" i="12"/>
  <c r="AH25" i="12"/>
  <c r="P27" i="12"/>
  <c r="P31" i="12" s="1"/>
  <c r="AQ44" i="7"/>
  <c r="AH68" i="7"/>
  <c r="AH141" i="7" s="1"/>
  <c r="AJ48" i="12"/>
  <c r="AL47" i="12"/>
  <c r="AL48" i="12" s="1"/>
  <c r="AN47" i="12"/>
  <c r="AP47" i="12" s="1"/>
  <c r="AF44" i="12" l="1"/>
  <c r="AN44" i="7"/>
  <c r="AP44" i="7" s="1"/>
  <c r="AL129" i="7"/>
  <c r="AL138" i="7" s="1"/>
  <c r="AL140" i="7" s="1"/>
  <c r="AN129" i="7"/>
  <c r="AP129" i="7" s="1"/>
  <c r="AJ138" i="7"/>
  <c r="AL68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L59" i="12" s="1"/>
  <c r="AN123" i="7"/>
  <c r="AP123" i="7" s="1"/>
  <c r="AL123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L50" i="12"/>
  <c r="AN48" i="12"/>
  <c r="AP48" i="12" s="1"/>
  <c r="AN68" i="7"/>
  <c r="AP68" i="7" s="1"/>
  <c r="AH27" i="12"/>
  <c r="AL25" i="12"/>
  <c r="AL27" i="12" s="1"/>
  <c r="AN25" i="12"/>
  <c r="AP25" i="12" s="1"/>
  <c r="AN43" i="12"/>
  <c r="AP43" i="12" s="1"/>
  <c r="AN138" i="7" l="1"/>
  <c r="AP138" i="7" s="1"/>
  <c r="AJ140" i="7"/>
  <c r="AL62" i="12"/>
  <c r="AL141" i="7"/>
  <c r="AJ31" i="12"/>
  <c r="AJ60" i="12" s="1"/>
  <c r="AF60" i="12"/>
  <c r="AL31" i="12"/>
  <c r="AL60" i="12" s="1"/>
  <c r="AN27" i="12"/>
  <c r="AP27" i="12" s="1"/>
  <c r="AH31" i="12"/>
  <c r="AH60" i="12" s="1"/>
  <c r="AP59" i="12"/>
  <c r="AJ141" i="7" l="1"/>
  <c r="AN140" i="7"/>
  <c r="AN31" i="12"/>
  <c r="AN141" i="7" l="1"/>
  <c r="AP140" i="7"/>
  <c r="AP141" i="7" s="1"/>
  <c r="AP31" i="12"/>
  <c r="AP60" i="12" s="1"/>
  <c r="AN60" i="12"/>
  <c r="P156" i="7" l="1"/>
</calcChain>
</file>

<file path=xl/sharedStrings.xml><?xml version="1.0" encoding="utf-8"?>
<sst xmlns="http://schemas.openxmlformats.org/spreadsheetml/2006/main" count="1884" uniqueCount="746">
  <si>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</si>
  <si>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</si>
  <si>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</si>
  <si>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</si>
  <si>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</si>
  <si>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</si>
  <si>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</si>
  <si>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</si>
  <si>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</si>
  <si>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</si>
  <si>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</si>
  <si>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</si>
  <si>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</si>
  <si>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</si>
  <si>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</si>
  <si>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</si>
  <si>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</si>
  <si>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</si>
  <si>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</si>
  <si>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</si>
  <si>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</si>
  <si>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</si>
  <si>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</si>
  <si>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</si>
  <si>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</si>
  <si>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</si>
  <si>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</si>
  <si>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</si>
  <si>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</si>
  <si>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</si>
  <si>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</si>
  <si>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</si>
  <si>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</si>
  <si>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</si>
  <si>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</si>
  <si>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</si>
  <si>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</si>
  <si>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</si>
  <si>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</si>
  <si>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</si>
  <si>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</si>
  <si>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</si>
  <si>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</si>
  <si>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</si>
  <si>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</si>
  <si>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</si>
  <si>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</si>
  <si>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</si>
  <si>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</si>
  <si>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</si>
  <si>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</si>
  <si>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</si>
  <si>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</si>
  <si>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</si>
  <si>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</si>
  <si>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</si>
  <si>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</si>
  <si>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</si>
  <si>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</si>
  <si>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</si>
  <si>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</si>
  <si>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</si>
  <si>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</si>
  <si>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</si>
  <si>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</si>
  <si>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</si>
  <si>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</si>
  <si>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</si>
  <si>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</si>
  <si>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</si>
  <si>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</si>
  <si>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</si>
  <si>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</si>
  <si>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</si>
  <si>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</si>
  <si>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</si>
  <si>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</si>
  <si>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</si>
  <si>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</si>
  <si>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</si>
  <si>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</si>
  <si>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</si>
  <si>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</si>
  <si>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</si>
  <si>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</si>
  <si>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</si>
  <si>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</si>
  <si>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</si>
  <si>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</si>
  <si>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</si>
  <si>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</si>
  <si>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</si>
  <si>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</si>
  <si>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</si>
  <si>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</si>
  <si>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</si>
  <si>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</si>
  <si>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</si>
  <si>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</si>
  <si>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</si>
  <si>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</si>
  <si>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</si>
  <si>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</si>
  <si>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</si>
  <si>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</si>
  <si>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</si>
  <si>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</si>
  <si>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</si>
  <si>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</si>
  <si>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</si>
  <si>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</si>
  <si>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</si>
  <si>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</si>
  <si>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</si>
  <si>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</si>
  <si>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</si>
  <si>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</si>
  <si>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</si>
  <si>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</si>
  <si>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</si>
  <si>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</si>
  <si>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</si>
  <si>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</si>
  <si>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</si>
  <si>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</si>
  <si>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</si>
  <si>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</si>
  <si>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</si>
  <si>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</si>
  <si>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</si>
  <si>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</si>
  <si>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</si>
  <si>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</si>
  <si>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</si>
  <si>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</si>
  <si>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</si>
  <si>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</si>
  <si>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</si>
  <si>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</si>
  <si>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</si>
  <si>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</si>
  <si>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</si>
  <si>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</si>
  <si>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</si>
  <si>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</si>
  <si>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</si>
  <si>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</si>
  <si>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</si>
  <si>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</si>
  <si>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</si>
  <si>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</si>
  <si>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</si>
  <si>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</si>
  <si>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</si>
  <si>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</si>
  <si>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</si>
  <si>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</si>
  <si>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</si>
  <si>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</si>
  <si>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</si>
  <si>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</si>
  <si>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</si>
  <si>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</si>
  <si>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</si>
  <si>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</si>
  <si>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</si>
  <si>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</si>
  <si>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</si>
  <si>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</si>
  <si>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</si>
  <si>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</si>
  <si>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</si>
  <si>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</si>
  <si>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</si>
  <si>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</si>
  <si>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</si>
  <si>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</si>
  <si>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</si>
  <si>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</si>
  <si>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</si>
  <si>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</si>
  <si>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</si>
  <si>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</si>
  <si>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</si>
  <si>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</si>
  <si>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</si>
  <si>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</si>
  <si>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</si>
  <si>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</si>
  <si>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</si>
  <si>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</si>
  <si>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</si>
  <si>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</si>
  <si>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</si>
  <si>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</si>
  <si>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</si>
  <si>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</si>
  <si>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</si>
  <si>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</si>
  <si>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</si>
  <si>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</si>
  <si>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</si>
  <si>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</si>
  <si>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</si>
  <si>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</si>
  <si>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</si>
  <si>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</si>
  <si>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</si>
  <si>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</si>
  <si>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</si>
  <si>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</si>
  <si>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</si>
  <si>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</si>
  <si>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</si>
  <si>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</si>
  <si>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</si>
  <si>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</si>
  <si>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</si>
  <si>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</si>
  <si>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</si>
  <si>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</si>
  <si>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</si>
  <si>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</si>
  <si>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</si>
  <si>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</si>
  <si>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</si>
  <si>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</si>
  <si>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</si>
  <si>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</si>
  <si>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</si>
  <si>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</si>
  <si>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</si>
  <si>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</si>
  <si>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</si>
  <si>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</si>
  <si>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</si>
  <si>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</si>
  <si>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</si>
  <si>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</si>
  <si>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</si>
  <si>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</si>
  <si>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</si>
  <si>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</si>
  <si>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</si>
  <si>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</si>
  <si>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</si>
  <si>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</si>
  <si>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</si>
  <si>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</si>
  <si>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</si>
  <si>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</si>
  <si>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</si>
  <si>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</si>
  <si>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</si>
  <si>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</si>
  <si>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</si>
  <si>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</si>
  <si>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</si>
  <si>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</si>
  <si>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</si>
  <si>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</si>
  <si>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</si>
  <si>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</si>
  <si>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</si>
  <si>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</si>
  <si>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</si>
  <si>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</si>
  <si>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</si>
  <si>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</si>
  <si>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</si>
  <si>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</si>
  <si>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</si>
  <si>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</si>
  <si>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</si>
  <si>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</si>
  <si>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</si>
  <si>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</si>
  <si>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</si>
  <si>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</si>
  <si>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</si>
  <si>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</si>
  <si>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</si>
  <si>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</si>
  <si>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</si>
  <si>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</si>
  <si>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</si>
  <si>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</si>
  <si>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</si>
  <si>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</si>
  <si>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</si>
  <si>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</si>
  <si>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</si>
  <si>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</si>
  <si>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</si>
  <si>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</si>
  <si>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</si>
  <si>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</si>
  <si>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</si>
  <si>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</si>
  <si>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</si>
  <si>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</si>
  <si>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</si>
  <si>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</si>
  <si>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</si>
  <si>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</si>
  <si>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</si>
  <si>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</si>
  <si>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</si>
  <si>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</si>
  <si>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</si>
  <si>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</si>
  <si>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</si>
  <si>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</si>
  <si>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</si>
  <si>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</si>
  <si>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</si>
  <si>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</si>
  <si>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</si>
  <si>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</si>
  <si>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</si>
  <si>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</si>
  <si>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</si>
  <si>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</si>
  <si>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</si>
  <si>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</si>
  <si>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</si>
  <si>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</si>
  <si>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</si>
  <si>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</si>
  <si>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</si>
  <si>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</si>
  <si>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</si>
  <si>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</si>
  <si>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</si>
  <si>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</si>
  <si>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</si>
  <si>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</si>
  <si>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</si>
  <si>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</si>
  <si>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</si>
  <si>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</si>
  <si>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</si>
  <si>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</si>
  <si>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</si>
  <si>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</si>
  <si>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</si>
  <si>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</si>
  <si>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</si>
  <si>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</si>
  <si>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</si>
  <si>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</si>
  <si>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</si>
  <si>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</si>
  <si>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</si>
  <si>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</si>
  <si>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</si>
  <si>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</si>
  <si>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</si>
  <si>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</si>
  <si>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</si>
  <si>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</si>
  <si>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</si>
  <si>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</si>
  <si>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</si>
  <si>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</si>
  <si>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</si>
  <si>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</si>
  <si>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</si>
  <si>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</si>
  <si>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</si>
  <si>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</si>
  <si>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</si>
  <si>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</si>
  <si>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</si>
  <si>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</si>
  <si>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</si>
  <si>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</si>
  <si>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</si>
  <si>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</si>
  <si>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</si>
  <si>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</si>
  <si>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</si>
  <si>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</si>
  <si>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</si>
  <si>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</si>
  <si>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</si>
  <si>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</si>
  <si>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</si>
  <si>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</si>
  <si>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</si>
  <si>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</si>
  <si>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</si>
  <si>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</si>
  <si>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</si>
  <si>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</si>
  <si>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</si>
  <si>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</si>
  <si>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</si>
  <si>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</si>
  <si>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</si>
  <si>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</si>
  <si>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</si>
  <si>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</si>
  <si>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</si>
  <si>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</si>
  <si>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</si>
  <si>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</si>
  <si>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</si>
  <si>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</si>
  <si>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</si>
  <si>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</si>
  <si>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</si>
  <si>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</si>
  <si>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</si>
  <si>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</si>
  <si>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</si>
  <si>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</si>
  <si>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</si>
  <si>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</si>
  <si>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</si>
  <si>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</si>
  <si>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</si>
  <si>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</si>
  <si>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</si>
  <si>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</si>
  <si>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</si>
  <si>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</si>
  <si>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</si>
  <si>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</si>
  <si>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</si>
  <si>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</si>
  <si>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</si>
  <si>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</si>
  <si>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</si>
  <si>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</si>
  <si>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</si>
  <si>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</si>
  <si>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</si>
  <si>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</si>
  <si>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</si>
  <si>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</si>
  <si>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</si>
  <si>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</si>
  <si>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</si>
  <si>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</si>
  <si>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</si>
  <si>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</si>
  <si>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</si>
  <si>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</si>
  <si>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</si>
  <si>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</si>
  <si>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</si>
  <si>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</si>
  <si>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</si>
  <si>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</si>
  <si>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</si>
  <si>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</si>
  <si>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</si>
  <si>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</si>
  <si>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</si>
  <si>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</si>
  <si>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</si>
  <si>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</si>
  <si>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</si>
  <si>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</si>
  <si>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</si>
  <si>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</si>
  <si>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</si>
  <si>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</si>
  <si>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</si>
  <si>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</si>
  <si>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</si>
  <si>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</si>
  <si>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</si>
  <si>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</si>
  <si>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</si>
  <si>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</si>
  <si>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</si>
  <si>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</si>
  <si>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</si>
  <si>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</si>
  <si>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</si>
  <si>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</si>
  <si>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</si>
  <si>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</si>
  <si>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</si>
  <si>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</si>
  <si>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</si>
  <si>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</si>
  <si>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</si>
  <si>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</si>
  <si>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</si>
  <si>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</si>
  <si>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</si>
  <si>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</si>
  <si>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</si>
  <si>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</si>
  <si>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</si>
  <si>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</si>
  <si>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</si>
  <si>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</si>
  <si>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</si>
  <si>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</si>
  <si>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</si>
  <si>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</si>
  <si>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</si>
  <si>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</si>
  <si>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</si>
  <si>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</si>
  <si>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</si>
  <si>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</si>
  <si>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</si>
  <si>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</si>
  <si>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</si>
  <si>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</si>
  <si>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</si>
  <si>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</si>
  <si>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</si>
  <si>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</si>
  <si>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</si>
  <si>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</si>
  <si>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</si>
  <si>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</si>
  <si>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</si>
  <si>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</si>
  <si>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</si>
  <si>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</si>
  <si>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</si>
  <si>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</si>
  <si>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</si>
  <si>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</si>
  <si>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</si>
  <si>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</si>
  <si>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</si>
  <si>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</si>
  <si>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</si>
  <si>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</si>
  <si>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</si>
  <si>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</si>
  <si>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</si>
  <si>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</si>
  <si>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</si>
  <si>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</si>
  <si>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</si>
  <si>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</si>
  <si>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</si>
  <si>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</si>
  <si>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</si>
  <si>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</si>
  <si>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</si>
  <si>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</si>
  <si>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</si>
  <si>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</si>
  <si>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</si>
  <si>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</si>
  <si>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</si>
  <si>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</si>
  <si>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</si>
  <si>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</si>
  <si>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</si>
  <si>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</si>
  <si>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</si>
  <si>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</si>
  <si>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</si>
  <si>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</si>
  <si>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</si>
  <si>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</si>
  <si>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</si>
  <si>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</si>
  <si>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</si>
  <si>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</si>
  <si>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</si>
  <si>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</si>
  <si>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</si>
  <si>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</si>
  <si>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</si>
  <si>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</si>
  <si>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</si>
  <si>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</si>
  <si>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</si>
  <si>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</si>
  <si>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</si>
  <si>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</si>
  <si>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</si>
  <si>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</si>
  <si>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</si>
  <si>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</si>
  <si>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</si>
  <si>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</si>
  <si>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</si>
  <si>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</si>
  <si>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</si>
  <si>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</si>
  <si>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</si>
  <si>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</si>
  <si>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</si>
  <si>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</si>
  <si>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</si>
  <si>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</si>
  <si>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</si>
  <si>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</si>
  <si>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</si>
  <si>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</si>
  <si>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</si>
  <si>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</si>
  <si>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</si>
  <si>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</si>
  <si>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</si>
  <si>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</si>
  <si>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</si>
  <si>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</si>
  <si>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</si>
  <si>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</si>
  <si>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</si>
  <si>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</si>
  <si>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</si>
  <si>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</si>
  <si>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</si>
  <si>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</si>
  <si>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</si>
  <si>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</si>
  <si>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</si>
  <si>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</si>
  <si>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</si>
  <si>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</si>
  <si>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</si>
  <si>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</si>
  <si>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</si>
  <si>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</si>
  <si>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</si>
  <si>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</si>
  <si>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</si>
  <si>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</si>
  <si>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</si>
  <si>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</si>
  <si>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</si>
  <si>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</si>
  <si>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</si>
  <si>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</si>
  <si>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</si>
  <si>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</si>
  <si>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</si>
  <si>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</si>
  <si>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</si>
  <si>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</si>
  <si>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</si>
  <si>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</si>
  <si>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</si>
  <si>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</si>
  <si>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</si>
  <si>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</si>
  <si>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</si>
  <si>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</si>
  <si>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</si>
  <si>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</si>
  <si>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</si>
  <si>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</si>
  <si>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</si>
  <si>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</si>
  <si>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</si>
  <si>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</si>
  <si>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</si>
  <si>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</si>
  <si>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</si>
  <si>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</si>
  <si>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</si>
  <si>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</si>
  <si>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</si>
  <si>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</si>
  <si>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</si>
  <si>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</si>
  <si>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</si>
  <si>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</si>
  <si>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</si>
  <si>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</si>
  <si>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</si>
  <si>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</si>
  <si>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</si>
  <si>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</si>
  <si>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</si>
  <si>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</si>
  <si>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</si>
  <si>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</si>
  <si>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</si>
  <si>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</si>
  <si>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</si>
  <si>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</si>
  <si>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</si>
  <si>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</si>
  <si>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</si>
  <si>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</si>
  <si>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</si>
  <si>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</si>
  <si>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</si>
  <si>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</si>
  <si>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</si>
  <si>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</si>
  <si>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</si>
  <si>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</si>
  <si>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</si>
  <si>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</si>
  <si>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</si>
  <si>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</si>
  <si>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</si>
  <si>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</si>
  <si>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</si>
  <si>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</si>
  <si>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</si>
  <si>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</si>
  <si>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</si>
  <si>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</si>
  <si>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</si>
  <si>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</si>
  <si>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</si>
  <si>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</si>
  <si>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</si>
  <si>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</si>
  <si>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</si>
  <si>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</si>
  <si>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</si>
  <si>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</si>
  <si>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</si>
  <si>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</si>
  <si>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</si>
  <si>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</si>
  <si>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</si>
  <si>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</si>
  <si>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As of 4/30/2020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</si>
  <si>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</si>
  <si>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</si>
  <si>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</si>
  <si>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</si>
  <si>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</si>
  <si>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</si>
  <si>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</si>
  <si>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As of 5/31/2020</t>
  </si>
  <si>
    <t>5/31/20</t>
  </si>
  <si>
    <t>CNT Lending 5/31/2020</t>
  </si>
  <si>
    <t>2250 - Accrued Commisions</t>
  </si>
  <si>
    <t xml:space="preserve">     Accrued Expenses - Commissions</t>
  </si>
  <si>
    <t>As of 6/30/2020</t>
  </si>
  <si>
    <t>As of 6/30/2019</t>
  </si>
  <si>
    <t>For Period 6/30/2020 &amp; 6/30/2019</t>
  </si>
  <si>
    <t xml:space="preserve">     Due from Stockholders</t>
  </si>
  <si>
    <t xml:space="preserve">     Due from Stockholder</t>
  </si>
  <si>
    <t xml:space="preserve">     Deposits on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</si>
</sst>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06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7" fontId="13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4" fillId="0" borderId="0" xfId="0" quotePrefix="1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9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left" vertical="top"/>
    </xf>
    <xf numFmtId="164" fontId="4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Fill="1" applyAlignment="1">
      <alignment horizontal="left" vertical="top" wrapText="1" readingOrder="1"/>
    </xf>
    <xf numFmtId="0" fontId="25" fillId="0" borderId="0" xfId="0" applyFont="1" applyFill="1" applyAlignment="1">
      <alignment horizontal="left" vertical="top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June%20-%20Combined%20Profit%20&amp;%20L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0-2019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5">
          <cell r="B65">
            <v>644318.15</v>
          </cell>
          <cell r="C65">
            <v>2509.7400000000002</v>
          </cell>
          <cell r="D65">
            <v>81414.080000000002</v>
          </cell>
          <cell r="E65">
            <v>0</v>
          </cell>
          <cell r="F65">
            <v>50463.049999999996</v>
          </cell>
          <cell r="G65">
            <v>55509.62</v>
          </cell>
          <cell r="H65">
            <v>87278.52</v>
          </cell>
        </row>
        <row r="177">
          <cell r="B177">
            <v>24047943.850001927</v>
          </cell>
          <cell r="D177">
            <v>1552479.9000000001</v>
          </cell>
          <cell r="E177">
            <v>22713.120000000003</v>
          </cell>
          <cell r="F177">
            <v>-32217.290000000008</v>
          </cell>
          <cell r="G177">
            <v>85664.17</v>
          </cell>
          <cell r="H177">
            <v>116426.5</v>
          </cell>
        </row>
        <row r="180">
          <cell r="C180">
            <v>-5267.5900000007532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8" activePane="bottomLeft" state="frozen"/>
      <selection activeCell="D162" sqref="D162"/>
      <selection pane="bottomLeft" activeCell="B70" sqref="B70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53" t="s">
        <v>480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42" ht="24.95" customHeight="1" x14ac:dyDescent="0.2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1:42" ht="24.95" customHeight="1" x14ac:dyDescent="0.2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</row>
    <row r="4" spans="1:42" s="29" customFormat="1" ht="31.5" x14ac:dyDescent="0.2">
      <c r="A4" s="152" t="s">
        <v>474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 t="s">
        <v>474</v>
      </c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 t="s">
        <v>474</v>
      </c>
      <c r="AH4" s="152"/>
      <c r="AI4" s="152"/>
      <c r="AJ4" s="152"/>
      <c r="AK4" s="152"/>
      <c r="AL4" s="152"/>
      <c r="AM4" s="152"/>
      <c r="AN4" s="152"/>
      <c r="AO4" s="37"/>
      <c r="AP4" s="28"/>
    </row>
    <row r="5" spans="1:42" s="29" customFormat="1" ht="31.5" x14ac:dyDescent="0.2">
      <c r="A5" s="152" t="s">
        <v>718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4">
        <v>43555</v>
      </c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 t="s">
        <v>251</v>
      </c>
      <c r="AH5" s="152"/>
      <c r="AI5" s="152"/>
      <c r="AJ5" s="152"/>
      <c r="AK5" s="152"/>
      <c r="AL5" s="152"/>
      <c r="AM5" s="152"/>
      <c r="AN5" s="152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52" t="s">
        <v>719</v>
      </c>
      <c r="AH6" s="152"/>
      <c r="AI6" s="152"/>
      <c r="AJ6" s="152"/>
      <c r="AK6" s="152"/>
      <c r="AL6" s="152"/>
      <c r="AM6" s="152"/>
      <c r="AN6" s="152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709</v>
      </c>
      <c r="AM7" s="36"/>
      <c r="AN7" s="36" t="s">
        <v>710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11485935.83</v>
      </c>
      <c r="C10" s="12"/>
      <c r="D10" s="12">
        <f>'Consolidated Balance Sheet'!D7</f>
        <v>56979.62</v>
      </c>
      <c r="E10" s="12"/>
      <c r="F10" s="12">
        <f>'Consolidated Balance Sheet'!F7</f>
        <v>834584.21</v>
      </c>
      <c r="G10" s="12"/>
      <c r="H10" s="12">
        <f>'Consolidated Balance Sheet'!H7</f>
        <v>1918.79</v>
      </c>
      <c r="I10" s="12"/>
      <c r="J10" s="12">
        <f>'Consolidated Balance Sheet'!J7</f>
        <v>177431.18000000002</v>
      </c>
      <c r="K10" s="12"/>
      <c r="L10" s="12">
        <f>'Consolidated Balance Sheet'!L7</f>
        <v>62482.7</v>
      </c>
      <c r="N10" s="12">
        <f>'Consolidated Balance Sheet'!N7</f>
        <v>72795.11</v>
      </c>
      <c r="P10" s="12">
        <f>SUM(B10:N10)</f>
        <v>12692127.439999998</v>
      </c>
      <c r="Q10" s="11" t="s">
        <v>246</v>
      </c>
      <c r="R10" s="54">
        <f>'Consolidated Balance Sheet'!R7</f>
        <v>-641642.91999999993</v>
      </c>
      <c r="S10" s="12"/>
      <c r="T10" s="54">
        <f>'Consolidated Balance Sheet'!T7</f>
        <v>945699.43</v>
      </c>
      <c r="U10" s="12"/>
      <c r="V10" s="54">
        <f>'Consolidated Balance Sheet'!V7</f>
        <v>453961.41</v>
      </c>
      <c r="W10" s="12"/>
      <c r="X10" s="54">
        <f>'Consolidated Balance Sheet'!X7</f>
        <v>4910.3</v>
      </c>
      <c r="Y10" s="12"/>
      <c r="Z10" s="54">
        <f>'Consolidated Balance Sheet'!Z7</f>
        <v>218686.17</v>
      </c>
      <c r="AA10" s="12"/>
      <c r="AB10" s="54">
        <f>'Consolidated Balance Sheet'!AB7</f>
        <v>235099.79</v>
      </c>
      <c r="AC10" s="12">
        <f>'Consolidated Balance Sheet'!AC7</f>
        <v>0</v>
      </c>
      <c r="AD10" s="54">
        <f>'Consolidated Balance Sheet'!AD7</f>
        <v>71252.12</v>
      </c>
      <c r="AE10" s="12">
        <f>'Consolidated Balance Sheet'!AE7</f>
        <v>0</v>
      </c>
      <c r="AF10" s="12">
        <f>SUM(R10:AD10)</f>
        <v>1287966.3000000003</v>
      </c>
      <c r="AG10" s="11" t="s">
        <v>246</v>
      </c>
      <c r="AH10" s="12">
        <f>P10</f>
        <v>12692127.439999998</v>
      </c>
      <c r="AI10" s="12"/>
      <c r="AJ10" s="12">
        <f>AF10</f>
        <v>1287966.3000000003</v>
      </c>
      <c r="AK10" s="12"/>
      <c r="AL10" s="12">
        <f t="shared" ref="AL10:AL19" si="0">AH10-AJ10</f>
        <v>11404161.139999997</v>
      </c>
      <c r="AM10" s="12"/>
      <c r="AN10" s="13">
        <f>AH10/AJ10</f>
        <v>9.8543940474218896</v>
      </c>
      <c r="AO10" s="13"/>
      <c r="AP10" s="14">
        <f t="shared" ref="AP10:AP19" si="1">AN10-1</f>
        <v>8.8543940474218896</v>
      </c>
    </row>
    <row r="11" spans="1:42" s="9" customFormat="1" ht="24.95" customHeight="1" x14ac:dyDescent="0.2">
      <c r="A11" s="9" t="s">
        <v>247</v>
      </c>
      <c r="B11" s="12">
        <f>'Consolidated Balance Sheet'!B8</f>
        <v>67881480.700000003</v>
      </c>
      <c r="C11" s="12"/>
      <c r="D11" s="12">
        <f>'Consolidated Balance Sheet'!D8</f>
        <v>9086.7999999999993</v>
      </c>
      <c r="E11" s="12"/>
      <c r="F11" s="12">
        <f>'Consolidated Balance Sheet'!F8</f>
        <v>8625.5300000000007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67899193.030000001</v>
      </c>
      <c r="Q11" s="9" t="s">
        <v>247</v>
      </c>
      <c r="R11" s="54">
        <f>'Consolidated Balance Sheet'!R8</f>
        <v>16046579.359999999</v>
      </c>
      <c r="S11" s="12"/>
      <c r="T11" s="54">
        <f>'Consolidated Balance Sheet'!T8</f>
        <v>368563.05</v>
      </c>
      <c r="U11" s="12"/>
      <c r="V11" s="54">
        <f>'Consolidated Balance Sheet'!V8</f>
        <v>1285.81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16416428.220000001</v>
      </c>
      <c r="AG11" s="9" t="s">
        <v>247</v>
      </c>
      <c r="AH11" s="12">
        <f t="shared" ref="AH11:AH19" si="4">P11</f>
        <v>67899193.030000001</v>
      </c>
      <c r="AI11" s="12"/>
      <c r="AJ11" s="12">
        <f t="shared" ref="AJ11:AJ19" si="5">AF11</f>
        <v>16416428.220000001</v>
      </c>
      <c r="AK11" s="12"/>
      <c r="AL11" s="12">
        <f t="shared" si="0"/>
        <v>51482764.810000002</v>
      </c>
      <c r="AM11" s="12"/>
      <c r="AN11" s="13">
        <f>AH11/AJ11</f>
        <v>4.1360515283878234</v>
      </c>
      <c r="AO11" s="13"/>
      <c r="AP11" s="14">
        <f t="shared" si="1"/>
        <v>3.1360515283878234</v>
      </c>
    </row>
    <row r="12" spans="1:42" s="9" customFormat="1" ht="24.95" customHeight="1" x14ac:dyDescent="0.2">
      <c r="A12" s="9" t="s">
        <v>254</v>
      </c>
      <c r="B12" s="12">
        <f>'Consolidated Balance Sheet'!B9</f>
        <v>117215.29</v>
      </c>
      <c r="C12" s="12"/>
      <c r="D12" s="12">
        <f>'Consolidated Balance Sheet'!D9</f>
        <v>0</v>
      </c>
      <c r="E12" s="12"/>
      <c r="F12" s="12">
        <f>'Consolidated Balance Sheet'!F9</f>
        <v>3361.66</v>
      </c>
      <c r="G12" s="12"/>
      <c r="H12" s="12">
        <f>'Consolidated Balance Sheet'!H9</f>
        <v>932709.95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1053286.8999999999</v>
      </c>
      <c r="Q12" s="9" t="s">
        <v>254</v>
      </c>
      <c r="R12" s="54">
        <f>'Consolidated Balance Sheet'!R9</f>
        <v>98654.52</v>
      </c>
      <c r="S12" s="12"/>
      <c r="T12" s="54">
        <f>'Consolidated Balance Sheet'!T9</f>
        <v>0</v>
      </c>
      <c r="U12" s="12"/>
      <c r="V12" s="54">
        <f>'Consolidated Balance Sheet'!V9</f>
        <v>0</v>
      </c>
      <c r="W12" s="12"/>
      <c r="X12" s="54">
        <f>'Consolidated Balance Sheet'!X9</f>
        <v>694083.7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9414.33</v>
      </c>
      <c r="AE12" s="12">
        <f>'Consolidated Balance Sheet'!AE9</f>
        <v>0</v>
      </c>
      <c r="AF12" s="12">
        <f t="shared" si="3"/>
        <v>802152.54999999993</v>
      </c>
      <c r="AG12" s="9" t="s">
        <v>254</v>
      </c>
      <c r="AH12" s="12">
        <f t="shared" si="4"/>
        <v>1053286.8999999999</v>
      </c>
      <c r="AI12" s="12"/>
      <c r="AJ12" s="12">
        <f t="shared" si="5"/>
        <v>802152.54999999993</v>
      </c>
      <c r="AK12" s="12"/>
      <c r="AL12" s="12">
        <f t="shared" si="0"/>
        <v>251134.34999999998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Sheet'!B10</f>
        <v>2340</v>
      </c>
      <c r="C13" s="12"/>
      <c r="D13" s="12">
        <f>'Consolidated Balance Sheet'!D10</f>
        <v>0</v>
      </c>
      <c r="E13" s="12"/>
      <c r="F13" s="12">
        <f>'Consolidated Balance Sheet'!F10</f>
        <v>205126.01</v>
      </c>
      <c r="G13" s="12"/>
      <c r="H13" s="12">
        <f>'Consolidated Balance Sheet'!H10</f>
        <v>0</v>
      </c>
      <c r="I13" s="12"/>
      <c r="J13" s="12">
        <f>'Consolidated Balance Sheet'!J10</f>
        <v>0</v>
      </c>
      <c r="K13" s="12"/>
      <c r="L13" s="12">
        <f>'Consolidated Balance Sheet'!L10</f>
        <v>0</v>
      </c>
      <c r="N13" s="12">
        <f>'Consolidated Balance Sheet'!N10</f>
        <v>0</v>
      </c>
      <c r="P13" s="12">
        <f t="shared" si="2"/>
        <v>207466.01</v>
      </c>
      <c r="Q13" s="9" t="s">
        <v>255</v>
      </c>
      <c r="R13" s="54">
        <f>'Consolidated Balance Sheet'!R10</f>
        <v>0</v>
      </c>
      <c r="S13" s="12"/>
      <c r="T13" s="54">
        <f>'Consolidated Balance Sheet'!T10</f>
        <v>0</v>
      </c>
      <c r="U13" s="12"/>
      <c r="V13" s="54">
        <f>'Consolidated Balance Sheet'!V10</f>
        <v>138482.41999999998</v>
      </c>
      <c r="W13" s="12"/>
      <c r="X13" s="54">
        <f>'Consolidated Balance Sheet'!X10</f>
        <v>0</v>
      </c>
      <c r="Y13" s="12"/>
      <c r="Z13" s="54">
        <f>'Consolidated Balance Sheet'!Z10</f>
        <v>0</v>
      </c>
      <c r="AA13" s="12"/>
      <c r="AB13" s="54">
        <f>'Consolidated Balance Sheet'!AB10</f>
        <v>0</v>
      </c>
      <c r="AC13" s="12"/>
      <c r="AD13" s="54">
        <f>'Consolidated Balance Sheet'!AD10</f>
        <v>0</v>
      </c>
      <c r="AE13" s="12"/>
      <c r="AF13" s="12">
        <f t="shared" si="3"/>
        <v>138482.41999999998</v>
      </c>
      <c r="AG13" s="9" t="s">
        <v>255</v>
      </c>
      <c r="AH13" s="12">
        <f t="shared" si="4"/>
        <v>207466.01</v>
      </c>
      <c r="AI13" s="12"/>
      <c r="AJ13" s="12">
        <f t="shared" si="5"/>
        <v>138482.41999999998</v>
      </c>
      <c r="AK13" s="12"/>
      <c r="AL13" s="12">
        <f t="shared" si="0"/>
        <v>68983.590000000026</v>
      </c>
      <c r="AM13" s="12"/>
      <c r="AN13" s="13">
        <f t="shared" ref="AN13:AN22" si="6">AH13/AJ13</f>
        <v>1.4981396916662781</v>
      </c>
      <c r="AO13" s="13"/>
      <c r="AP13" s="14">
        <f t="shared" si="1"/>
        <v>0.49813969166627814</v>
      </c>
    </row>
    <row r="14" spans="1:42" s="9" customFormat="1" ht="24.95" customHeight="1" x14ac:dyDescent="0.2">
      <c r="A14" s="9" t="s">
        <v>256</v>
      </c>
      <c r="B14" s="12">
        <f>'Consolidated Balance Sheet'!B11</f>
        <v>559113.94999999995</v>
      </c>
      <c r="C14" s="12"/>
      <c r="D14" s="12">
        <f>'Consolidated Balance Sheet'!D11</f>
        <v>300000</v>
      </c>
      <c r="E14" s="12"/>
      <c r="F14" s="12">
        <f>'Consolidated Balance Sheet'!F11</f>
        <v>6847313.5199999996</v>
      </c>
      <c r="G14" s="12"/>
      <c r="H14" s="12">
        <f>'Consolidated Balance Sheet'!H11</f>
        <v>0</v>
      </c>
      <c r="I14" s="12"/>
      <c r="J14" s="12">
        <f>'Consolidated Balance Sheet'!J11</f>
        <v>200000</v>
      </c>
      <c r="K14" s="12"/>
      <c r="L14" s="12">
        <f>'Consolidated Balance Sheet'!L11</f>
        <v>2211548.09</v>
      </c>
      <c r="N14" s="12">
        <f>'Consolidated Balance Sheet'!N11</f>
        <v>630930</v>
      </c>
      <c r="P14" s="12">
        <f t="shared" si="2"/>
        <v>10748905.559999999</v>
      </c>
      <c r="Q14" s="9" t="s">
        <v>256</v>
      </c>
      <c r="R14" s="54">
        <f>'Consolidated Balance Sheet'!R11</f>
        <v>540909.42999999993</v>
      </c>
      <c r="S14" s="12"/>
      <c r="T14" s="54">
        <f>'Consolidated Balance Sheet'!T11</f>
        <v>480000</v>
      </c>
      <c r="U14" s="12"/>
      <c r="V14" s="54">
        <f>'Consolidated Balance Sheet'!V11</f>
        <v>4900000</v>
      </c>
      <c r="W14" s="12"/>
      <c r="X14" s="54">
        <f>'Consolidated Balance Sheet'!X11</f>
        <v>0</v>
      </c>
      <c r="Y14" s="12"/>
      <c r="Z14" s="54">
        <f>'Consolidated Balance Sheet'!Z11</f>
        <v>250000</v>
      </c>
      <c r="AA14" s="12"/>
      <c r="AB14" s="54">
        <f>'Consolidated Balance Sheet'!AB11</f>
        <v>1732038.14</v>
      </c>
      <c r="AC14" s="12"/>
      <c r="AD14" s="54">
        <f>'Consolidated Balance Sheet'!AD11</f>
        <v>32500</v>
      </c>
      <c r="AE14" s="12"/>
      <c r="AF14" s="12">
        <f t="shared" si="3"/>
        <v>7935447.5699999994</v>
      </c>
      <c r="AG14" s="9" t="s">
        <v>256</v>
      </c>
      <c r="AH14" s="12">
        <f t="shared" si="4"/>
        <v>10748905.559999999</v>
      </c>
      <c r="AI14" s="12"/>
      <c r="AJ14" s="12">
        <f t="shared" si="5"/>
        <v>7935447.5699999994</v>
      </c>
      <c r="AK14" s="12"/>
      <c r="AL14" s="12">
        <f t="shared" si="0"/>
        <v>2813457.9899999993</v>
      </c>
      <c r="AM14" s="12"/>
      <c r="AN14" s="13">
        <f t="shared" si="6"/>
        <v>1.3545430758860144</v>
      </c>
      <c r="AO14" s="13"/>
      <c r="AP14" s="14">
        <f t="shared" si="1"/>
        <v>0.35454307588601441</v>
      </c>
    </row>
    <row r="15" spans="1:42" s="9" customFormat="1" ht="24.95" customHeight="1" x14ac:dyDescent="0.2">
      <c r="A15" s="9" t="s">
        <v>257</v>
      </c>
      <c r="B15" s="12">
        <f>'Consolidated Balance Sheet'!B12</f>
        <v>7538844.9699999988</v>
      </c>
      <c r="C15" s="12"/>
      <c r="D15" s="12">
        <f>'Consolidated Balance Sheet'!D12</f>
        <v>0</v>
      </c>
      <c r="E15" s="12"/>
      <c r="F15" s="12">
        <f>'Consolidated Balance Sheet'!F12</f>
        <v>0</v>
      </c>
      <c r="G15" s="12"/>
      <c r="H15" s="12">
        <f>'Consolidated Balance Sheet'!H12</f>
        <v>0</v>
      </c>
      <c r="I15" s="12"/>
      <c r="J15" s="12">
        <f>'Consolidated Balance Sheet'!J12</f>
        <v>0</v>
      </c>
      <c r="K15" s="12"/>
      <c r="L15" s="12">
        <f>'Consolidated Balance Sheet'!L12</f>
        <v>0</v>
      </c>
      <c r="N15" s="12">
        <f>'Consolidated Balance Sheet'!N12</f>
        <v>0</v>
      </c>
      <c r="P15" s="12">
        <f t="shared" si="2"/>
        <v>7538844.9699999988</v>
      </c>
      <c r="Q15" s="9" t="s">
        <v>257</v>
      </c>
      <c r="R15" s="54">
        <f>'Consolidated Balance Sheet'!R12</f>
        <v>-224065.9</v>
      </c>
      <c r="S15" s="12"/>
      <c r="T15" s="54">
        <f>'Consolidated Balance Sheet'!T12</f>
        <v>0</v>
      </c>
      <c r="U15" s="12"/>
      <c r="V15" s="54">
        <f>'Consolidated Balance Sheet'!V12</f>
        <v>0</v>
      </c>
      <c r="W15" s="12"/>
      <c r="X15" s="54">
        <f>'Consolidated Balance Sheet'!X12</f>
        <v>0</v>
      </c>
      <c r="Y15" s="12"/>
      <c r="Z15" s="54">
        <f>'Consolidated Balance Sheet'!Z12</f>
        <v>0</v>
      </c>
      <c r="AA15" s="12"/>
      <c r="AB15" s="54">
        <f>'Consolidated Balance Sheet'!AB12</f>
        <v>0</v>
      </c>
      <c r="AC15" s="12"/>
      <c r="AD15" s="54">
        <f>'Consolidated Balance Sheet'!AD12</f>
        <v>0</v>
      </c>
      <c r="AE15" s="12"/>
      <c r="AF15" s="12">
        <f t="shared" si="3"/>
        <v>-224065.9</v>
      </c>
      <c r="AG15" s="9" t="s">
        <v>257</v>
      </c>
      <c r="AH15" s="12">
        <f t="shared" si="4"/>
        <v>7538844.9699999988</v>
      </c>
      <c r="AI15" s="12"/>
      <c r="AJ15" s="12">
        <f t="shared" si="5"/>
        <v>-224065.9</v>
      </c>
      <c r="AK15" s="12"/>
      <c r="AL15" s="12">
        <f t="shared" si="0"/>
        <v>7762910.8699999992</v>
      </c>
      <c r="AM15" s="12"/>
      <c r="AN15" s="13">
        <f t="shared" si="6"/>
        <v>-33.645659468933019</v>
      </c>
      <c r="AO15" s="13"/>
      <c r="AP15" s="14">
        <f t="shared" si="1"/>
        <v>-34.645659468933019</v>
      </c>
    </row>
    <row r="16" spans="1:42" s="9" customFormat="1" ht="24.95" customHeight="1" x14ac:dyDescent="0.2">
      <c r="A16" s="9" t="s">
        <v>744</v>
      </c>
      <c r="B16" s="12">
        <f>'Consolidated Balance Sheet'!B13</f>
        <v>0</v>
      </c>
      <c r="C16" s="12"/>
      <c r="D16" s="12">
        <f>'Consolidated Balance Sheet'!D13</f>
        <v>0</v>
      </c>
      <c r="E16" s="12"/>
      <c r="F16" s="12">
        <f>'Consolidated Balance Sheet'!F13</f>
        <v>0</v>
      </c>
      <c r="G16" s="12"/>
      <c r="H16" s="12">
        <f>'Consolidated Balance Sheet'!H13</f>
        <v>0</v>
      </c>
      <c r="I16" s="12"/>
      <c r="J16" s="12">
        <f>'Consolidated Balance Sheet'!J13</f>
        <v>0</v>
      </c>
      <c r="K16" s="12"/>
      <c r="L16" s="12">
        <f>'Consolidated Balance Sheet'!L13</f>
        <v>0</v>
      </c>
      <c r="N16" s="12">
        <f>'Consolidated Balance Sheet'!N13</f>
        <v>0</v>
      </c>
      <c r="P16" s="12">
        <f t="shared" si="2"/>
        <v>0</v>
      </c>
      <c r="Q16" s="9" t="s">
        <v>744</v>
      </c>
      <c r="R16" s="54">
        <f>'Consolidated Balance Sheet'!R13</f>
        <v>271177.68</v>
      </c>
      <c r="S16" s="12"/>
      <c r="T16" s="54">
        <f>'Consolidated Balance Sheet'!T13</f>
        <v>0</v>
      </c>
      <c r="U16" s="12"/>
      <c r="V16" s="54">
        <f>'Consolidated Balance Sheet'!V13</f>
        <v>0</v>
      </c>
      <c r="W16" s="12"/>
      <c r="X16" s="54">
        <f>'Consolidated Balance Sheet'!X13</f>
        <v>0</v>
      </c>
      <c r="Y16" s="12"/>
      <c r="Z16" s="54">
        <f>'Consolidated Balance Sheet'!Z13</f>
        <v>0</v>
      </c>
      <c r="AA16" s="12"/>
      <c r="AB16" s="54">
        <f>'Consolidated Balance Sheet'!AB13</f>
        <v>0</v>
      </c>
      <c r="AC16" s="12"/>
      <c r="AD16" s="54">
        <f>'Consolidated Balance Sheet'!AD13</f>
        <v>0</v>
      </c>
      <c r="AE16" s="12"/>
      <c r="AF16" s="12">
        <f t="shared" si="3"/>
        <v>271177.68</v>
      </c>
      <c r="AG16" s="9" t="s">
        <v>744</v>
      </c>
      <c r="AH16" s="12">
        <f t="shared" si="4"/>
        <v>0</v>
      </c>
      <c r="AI16" s="12"/>
      <c r="AJ16" s="12">
        <f t="shared" si="5"/>
        <v>271177.68</v>
      </c>
      <c r="AK16" s="12"/>
      <c r="AL16" s="12">
        <f t="shared" si="0"/>
        <v>-271177.68</v>
      </c>
      <c r="AM16" s="12"/>
      <c r="AN16" s="13">
        <f t="shared" si="6"/>
        <v>0</v>
      </c>
      <c r="AO16" s="13"/>
      <c r="AP16" s="14">
        <f t="shared" si="1"/>
        <v>-1</v>
      </c>
    </row>
    <row r="17" spans="1:43" s="9" customFormat="1" ht="24.95" customHeight="1" x14ac:dyDescent="0.2">
      <c r="A17" s="15" t="s">
        <v>258</v>
      </c>
      <c r="B17" s="12">
        <f>'Consolidated Balance Sheet'!B14</f>
        <v>-1547959.67</v>
      </c>
      <c r="C17" s="12"/>
      <c r="D17" s="12">
        <f>'Consolidated Balance Sheet'!D14</f>
        <v>0</v>
      </c>
      <c r="E17" s="12"/>
      <c r="F17" s="12">
        <f>'Consolidated Balance Sheet'!F14</f>
        <v>0</v>
      </c>
      <c r="G17" s="12"/>
      <c r="H17" s="12">
        <f>'Consolidated Balance Sheet'!H14</f>
        <v>0</v>
      </c>
      <c r="I17" s="12"/>
      <c r="J17" s="12">
        <f>'Consolidated Balance Sheet'!J14</f>
        <v>0</v>
      </c>
      <c r="K17" s="12"/>
      <c r="L17" s="12">
        <f>'Consolidated Balance Sheet'!L14</f>
        <v>0</v>
      </c>
      <c r="M17" s="12"/>
      <c r="N17" s="12">
        <f>'Consolidated Balance Sheet'!N14</f>
        <v>0</v>
      </c>
      <c r="O17" s="12"/>
      <c r="P17" s="12">
        <f t="shared" si="2"/>
        <v>-1547959.67</v>
      </c>
      <c r="Q17" s="15" t="s">
        <v>258</v>
      </c>
      <c r="R17" s="54">
        <f>'Consolidated Balance Sheet'!R14</f>
        <v>353812.02</v>
      </c>
      <c r="S17" s="12"/>
      <c r="T17" s="54">
        <f>'Consolidated Balance Sheet'!T14</f>
        <v>0</v>
      </c>
      <c r="U17" s="12"/>
      <c r="V17" s="54">
        <f>'Consolidated Balance Sheet'!V14</f>
        <v>0</v>
      </c>
      <c r="W17" s="12"/>
      <c r="X17" s="54">
        <f>'Consolidated Balance Sheet'!X14</f>
        <v>0</v>
      </c>
      <c r="Y17" s="12"/>
      <c r="Z17" s="54">
        <f>'Consolidated Balance Sheet'!Z14</f>
        <v>1070</v>
      </c>
      <c r="AA17" s="12"/>
      <c r="AB17" s="54">
        <f>'Consolidated Balance Sheet'!AB14</f>
        <v>0</v>
      </c>
      <c r="AC17" s="12"/>
      <c r="AD17" s="54">
        <f>'Consolidated Balance Sheet'!AD14</f>
        <v>0</v>
      </c>
      <c r="AE17" s="12"/>
      <c r="AF17" s="12">
        <f t="shared" si="3"/>
        <v>354882.02</v>
      </c>
      <c r="AG17" s="15" t="s">
        <v>258</v>
      </c>
      <c r="AH17" s="12">
        <f t="shared" si="4"/>
        <v>-1547959.67</v>
      </c>
      <c r="AI17" s="12"/>
      <c r="AJ17" s="12">
        <f t="shared" si="5"/>
        <v>354882.02</v>
      </c>
      <c r="AK17" s="12"/>
      <c r="AL17" s="12">
        <f t="shared" si="0"/>
        <v>-1902841.69</v>
      </c>
      <c r="AM17" s="12"/>
      <c r="AN17" s="13">
        <f t="shared" si="6"/>
        <v>-4.3618993996934528</v>
      </c>
      <c r="AO17" s="13"/>
      <c r="AP17" s="14">
        <f t="shared" si="1"/>
        <v>-5.3618993996934528</v>
      </c>
    </row>
    <row r="18" spans="1:43" s="9" customFormat="1" ht="24.95" customHeight="1" x14ac:dyDescent="0.2">
      <c r="A18" s="9" t="s">
        <v>475</v>
      </c>
      <c r="B18" s="12">
        <f>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Sheet'!B26+'Consolidated Balance Sheet'!B27+'Consolidated Balance Sheet'!B30+CNT!S52+CNT!S54+CNT!S53</f>
        <v>-8592645.3799999673</v>
      </c>
      <c r="C18" s="12"/>
      <c r="D18" s="12">
        <f>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Sheet'!D26+'Consolidated Balance Sheet'!D27+'Consolidated Balance Sheet'!D30</f>
        <v>0</v>
      </c>
      <c r="E18" s="12"/>
      <c r="F18" s="12">
        <f>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Sheet'!F26+'Consolidated Balance Sheet'!F27+'Consolidated Balance Sheet'!F30</f>
        <v>0</v>
      </c>
      <c r="G18" s="12"/>
      <c r="H18" s="12">
        <f>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Sheet'!H26+'Consolidated Balance Sheet'!H27+'Consolidated Balance Sheet'!H30</f>
        <v>0</v>
      </c>
      <c r="I18" s="12"/>
      <c r="J18" s="12">
        <f>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Sheet'!J26+'Consolidated Balance Sheet'!J27+'Consolidated Balance Sheet'!J30</f>
        <v>0</v>
      </c>
      <c r="K18" s="12"/>
      <c r="L18" s="12">
        <f>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Sheet'!L26+'Consolidated Balance Sheet'!L27+'Consolidated Balance Sheet'!L30</f>
        <v>0</v>
      </c>
      <c r="N18" s="12">
        <f>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Sheet'!N26+'Consolidated Balance Sheet'!N27+'Consolidated Balance Sheet'!N30</f>
        <v>0</v>
      </c>
      <c r="P18" s="12">
        <f t="shared" si="2"/>
        <v>-8592645.3799999673</v>
      </c>
      <c r="Q18" s="9" t="s">
        <v>475</v>
      </c>
      <c r="R18" s="54">
        <f>SUM('Consolidated Balance Sheet'!R15:R24)+SUM('Consolidated Balance Sheet'!R26:R31)</f>
        <v>16936577.719999976</v>
      </c>
      <c r="S18" s="12"/>
      <c r="T18" s="54">
        <f>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Sheet'!T26+'Consolidated Balance Sheet'!T27+'Consolidated Balance Sheet'!T30</f>
        <v>27683.29</v>
      </c>
      <c r="U18" s="12"/>
      <c r="V18" s="54">
        <f>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Sheet'!V26+'Consolidated Balance Sheet'!V27+'Consolidated Balance Sheet'!V30</f>
        <v>0</v>
      </c>
      <c r="W18" s="12"/>
      <c r="X18" s="54">
        <f>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Sheet'!X26+'Consolidated Balance Sheet'!X27+'Consolidated Balance Sheet'!X30</f>
        <v>0</v>
      </c>
      <c r="Y18" s="12"/>
      <c r="Z18" s="54">
        <f>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Sheet'!Z26+'Consolidated Balance Sheet'!Z27+'Consolidated Balance Sheet'!Z30</f>
        <v>0</v>
      </c>
      <c r="AA18" s="12"/>
      <c r="AB18" s="54">
        <f>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Sheet'!AB26+'Consolidated Balance Sheet'!AB27+'Consolidated Balance Sheet'!AB30</f>
        <v>0</v>
      </c>
      <c r="AC18" s="12"/>
      <c r="AD18" s="54">
        <f>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Sheet'!AD26+'Consolidated Balance Sheet'!AD27+'Consolidated Balance Sheet'!AD30</f>
        <v>0</v>
      </c>
      <c r="AE18" s="12"/>
      <c r="AF18" s="12">
        <f t="shared" si="3"/>
        <v>16964261.009999976</v>
      </c>
      <c r="AG18" s="9" t="s">
        <v>475</v>
      </c>
      <c r="AH18" s="12">
        <f t="shared" si="4"/>
        <v>-8592645.3799999673</v>
      </c>
      <c r="AI18" s="12"/>
      <c r="AJ18" s="12">
        <f t="shared" si="5"/>
        <v>16964261.009999976</v>
      </c>
      <c r="AK18" s="12"/>
      <c r="AL18" s="12">
        <f t="shared" si="0"/>
        <v>-25556906.389999941</v>
      </c>
      <c r="AM18" s="12"/>
      <c r="AN18" s="13">
        <f t="shared" si="6"/>
        <v>-0.50651457053949089</v>
      </c>
      <c r="AO18" s="13"/>
      <c r="AP18" s="14">
        <f t="shared" si="1"/>
        <v>-1.5065145705394909</v>
      </c>
    </row>
    <row r="19" spans="1:43" s="9" customFormat="1" ht="24.95" customHeight="1" x14ac:dyDescent="0.2">
      <c r="A19" s="9" t="s">
        <v>594</v>
      </c>
      <c r="B19" s="12">
        <f>'Consolidated Balance Sheet'!B25</f>
        <v>-30081777.469999999</v>
      </c>
      <c r="C19" s="12"/>
      <c r="D19" s="12">
        <f>'Consolidated Balance Sheet'!D25</f>
        <v>0</v>
      </c>
      <c r="E19" s="12"/>
      <c r="F19" s="12">
        <f>'Consolidated Balance Sheet'!F25</f>
        <v>0</v>
      </c>
      <c r="G19" s="12"/>
      <c r="H19" s="12">
        <f>'Consolidated Balance Sheet'!H25</f>
        <v>0</v>
      </c>
      <c r="I19" s="12"/>
      <c r="J19" s="12">
        <f>'Consolidated Balance Sheet'!J25</f>
        <v>0</v>
      </c>
      <c r="K19" s="12"/>
      <c r="L19" s="12">
        <f>'Consolidated Balance Sheet'!L25</f>
        <v>0</v>
      </c>
      <c r="N19" s="12">
        <f>'Consolidated Balance Sheet'!N25</f>
        <v>0</v>
      </c>
      <c r="P19" s="12">
        <f t="shared" si="2"/>
        <v>-30081777.469999999</v>
      </c>
      <c r="Q19" s="9" t="s">
        <v>594</v>
      </c>
      <c r="R19" s="54">
        <f>'Consolidated Balance Sheet'!R25</f>
        <v>-20471810.41</v>
      </c>
      <c r="S19" s="12"/>
      <c r="T19" s="54">
        <f>'Consolidated Balance Sheet'!T25</f>
        <v>0</v>
      </c>
      <c r="U19" s="12"/>
      <c r="V19" s="54">
        <f>'Consolidated Balance Sheet'!V25</f>
        <v>0</v>
      </c>
      <c r="W19" s="12"/>
      <c r="X19" s="54">
        <f>'Consolidated Balance Sheet'!X25</f>
        <v>0</v>
      </c>
      <c r="Y19" s="12"/>
      <c r="Z19" s="54">
        <f>'Consolidated Balance Sheet'!Z25</f>
        <v>0</v>
      </c>
      <c r="AA19" s="12"/>
      <c r="AB19" s="54">
        <f>'Consolidated Balance Sheet'!AB25</f>
        <v>0</v>
      </c>
      <c r="AC19" s="12"/>
      <c r="AD19" s="54">
        <f>'Consolidated Balance Sheet'!AD25</f>
        <v>0</v>
      </c>
      <c r="AE19" s="12"/>
      <c r="AF19" s="12">
        <f t="shared" si="3"/>
        <v>-20471810.41</v>
      </c>
      <c r="AG19" s="9" t="s">
        <v>594</v>
      </c>
      <c r="AH19" s="12">
        <f t="shared" si="4"/>
        <v>-30081777.469999999</v>
      </c>
      <c r="AI19" s="12"/>
      <c r="AJ19" s="12">
        <f t="shared" si="5"/>
        <v>-20471810.41</v>
      </c>
      <c r="AK19" s="12"/>
      <c r="AL19" s="12">
        <f t="shared" si="0"/>
        <v>-9609967.0599999987</v>
      </c>
      <c r="AM19" s="12"/>
      <c r="AN19" s="13">
        <f t="shared" si="6"/>
        <v>1.4694243873666275</v>
      </c>
      <c r="AO19" s="13"/>
      <c r="AP19" s="14">
        <f t="shared" si="1"/>
        <v>0.4694243873666275</v>
      </c>
    </row>
    <row r="20" spans="1:43" s="9" customFormat="1" ht="24.95" customHeight="1" x14ac:dyDescent="0.2">
      <c r="A20" s="9" t="s">
        <v>270</v>
      </c>
      <c r="B20" s="12">
        <f>'Consolidated Balance Sheet'!B36</f>
        <v>22577970.039999999</v>
      </c>
      <c r="C20" s="12"/>
      <c r="D20" s="12">
        <f>'Consolidated Balance Sheet'!D26</f>
        <v>0</v>
      </c>
      <c r="E20" s="12"/>
      <c r="F20" s="12">
        <f>'Consolidated Balance Sheet'!F26</f>
        <v>0</v>
      </c>
      <c r="G20" s="12"/>
      <c r="H20" s="12">
        <f>'Consolidated Balance Sheet'!H26</f>
        <v>0</v>
      </c>
      <c r="I20" s="12"/>
      <c r="J20" s="12">
        <f>'Consolidated Balance Sheet'!J26</f>
        <v>0</v>
      </c>
      <c r="K20" s="12"/>
      <c r="L20" s="12">
        <f>'Consolidated Balance Sheet'!L26</f>
        <v>0</v>
      </c>
      <c r="N20" s="12">
        <f>'Consolidated Balance Sheet'!N26</f>
        <v>0</v>
      </c>
      <c r="P20" s="12">
        <f>SUM(B20:N20)</f>
        <v>22577970.039999999</v>
      </c>
      <c r="Q20" s="9" t="s">
        <v>270</v>
      </c>
      <c r="R20" s="54">
        <f>'Consolidated Balance Sheet'!R36</f>
        <v>8632538.2699999996</v>
      </c>
      <c r="S20" s="12"/>
      <c r="T20" s="54">
        <f>'Consolidated Balance Sheet'!T36</f>
        <v>0</v>
      </c>
      <c r="U20" s="12"/>
      <c r="V20" s="54">
        <f>'Consolidated Balance Sheet'!V36</f>
        <v>0</v>
      </c>
      <c r="W20" s="12"/>
      <c r="X20" s="54">
        <f>'Consolidated Balance Sheet'!X36</f>
        <v>0</v>
      </c>
      <c r="Y20" s="12"/>
      <c r="Z20" s="54">
        <f>'Consolidated Balance Sheet'!Z36</f>
        <v>0</v>
      </c>
      <c r="AA20" s="12"/>
      <c r="AB20" s="54">
        <f>'Consolidated Balance Sheet'!AB36</f>
        <v>0</v>
      </c>
      <c r="AC20" s="12"/>
      <c r="AD20" s="54">
        <f>'Consolidated Balance Sheet'!AD36</f>
        <v>0</v>
      </c>
      <c r="AE20" s="12"/>
      <c r="AF20" s="12">
        <f t="shared" ref="AF20" si="7">SUM(R20:AD20)</f>
        <v>8632538.2699999996</v>
      </c>
      <c r="AG20" s="9" t="s">
        <v>270</v>
      </c>
      <c r="AH20" s="12">
        <f t="shared" ref="AH20" si="8">P20</f>
        <v>22577970.039999999</v>
      </c>
      <c r="AI20" s="12"/>
      <c r="AJ20" s="12">
        <f t="shared" ref="AJ20" si="9">AF20</f>
        <v>8632538.2699999996</v>
      </c>
      <c r="AK20" s="12"/>
      <c r="AL20" s="12">
        <f t="shared" ref="AL20" si="10">AH20-AJ20</f>
        <v>13945431.77</v>
      </c>
      <c r="AM20" s="12"/>
      <c r="AN20" s="13">
        <f t="shared" ref="AN20" si="11">AH20/AJ20</f>
        <v>2.6154497476673222</v>
      </c>
      <c r="AO20" s="13"/>
      <c r="AP20" s="14">
        <f t="shared" ref="AP20" si="12">AN20-1</f>
        <v>1.6154497476673222</v>
      </c>
    </row>
    <row r="21" spans="1:43" s="9" customFormat="1" ht="24.95" customHeight="1" x14ac:dyDescent="0.2">
      <c r="A21" s="9" t="s">
        <v>274</v>
      </c>
      <c r="B21" s="16">
        <f>'Consolidated Balance Sheet'!B42-'Consolidated Balance Sheet'!B36</f>
        <v>644936.48000000045</v>
      </c>
      <c r="C21" s="16"/>
      <c r="D21" s="16">
        <f>'Consolidated Balance Sheet'!D42</f>
        <v>3669</v>
      </c>
      <c r="E21" s="16"/>
      <c r="F21" s="16">
        <f>'Consolidated Balance Sheet'!F42</f>
        <v>124212.83</v>
      </c>
      <c r="G21" s="16"/>
      <c r="H21" s="16">
        <f>'Consolidated Balance Sheet'!H42</f>
        <v>2653</v>
      </c>
      <c r="I21" s="16"/>
      <c r="J21" s="16">
        <f>'Consolidated Balance Sheet'!J42</f>
        <v>10833.34</v>
      </c>
      <c r="K21" s="16"/>
      <c r="L21" s="16">
        <f>'Consolidated Balance Sheet'!L42</f>
        <v>0</v>
      </c>
      <c r="M21" s="16"/>
      <c r="N21" s="16">
        <f>'Consolidated Balance Sheet'!N42</f>
        <v>775.02</v>
      </c>
      <c r="O21" s="16"/>
      <c r="P21" s="16">
        <f t="shared" si="2"/>
        <v>787079.67000000039</v>
      </c>
      <c r="Q21" s="9" t="s">
        <v>274</v>
      </c>
      <c r="R21" s="55">
        <f>'Consolidated Balance Sheet'!R42-'Consolidated Balance Sheet'!R36</f>
        <v>637512.74000000022</v>
      </c>
      <c r="S21" s="16"/>
      <c r="T21" s="55">
        <f>'Consolidated Balance Sheet'!T34+'Consolidated Balance Sheet'!T35+'Consolidated Balance Sheet'!T37+'Consolidated Balance Sheet'!T38+'Consolidated Balance Sheet'!T39+'Consolidated Balance Sheet'!T40+'Consolidated Balance Sheet'!T41</f>
        <v>10261.060000000001</v>
      </c>
      <c r="U21" s="16"/>
      <c r="V21" s="55">
        <f>'Consolidated Balance Sheet'!V34+'Consolidated Balance Sheet'!V35+'Consolidated Balance Sheet'!V37+'Consolidated Balance Sheet'!V38+'Consolidated Balance Sheet'!V39+'Consolidated Balance Sheet'!V40+'Consolidated Balance Sheet'!V41</f>
        <v>180224.77000000002</v>
      </c>
      <c r="W21" s="16"/>
      <c r="X21" s="55">
        <f>'Consolidated Balance Sheet'!X34+'Consolidated Balance Sheet'!X35+'Consolidated Balance Sheet'!X37+'Consolidated Balance Sheet'!X38+'Consolidated Balance Sheet'!X39+'Consolidated Balance Sheet'!X40+'Consolidated Balance Sheet'!X41</f>
        <v>2633</v>
      </c>
      <c r="Y21" s="16"/>
      <c r="Z21" s="55">
        <f>'Consolidated Balance Sheet'!Z34+'Consolidated Balance Sheet'!Z35+'Consolidated Balance Sheet'!Z37+'Consolidated Balance Sheet'!Z38+'Consolidated Balance Sheet'!Z39+'Consolidated Balance Sheet'!Z40+'Consolidated Balance Sheet'!Z41</f>
        <v>10050.65</v>
      </c>
      <c r="AA21" s="16"/>
      <c r="AB21" s="55">
        <f>'Consolidated Balance Sheet'!AB34+'Consolidated Balance Sheet'!AB35+'Consolidated Balance Sheet'!AB37+'Consolidated Balance Sheet'!AB38+'Consolidated Balance Sheet'!AB39+'Consolidated Balance Sheet'!AB40+'Consolidated Balance Sheet'!AB41</f>
        <v>0</v>
      </c>
      <c r="AC21" s="16"/>
      <c r="AD21" s="55">
        <f>'Consolidated Balance Sheet'!AD34+'Consolidated Balance Sheet'!AD35+'Consolidated Balance Sheet'!AD37+'Consolidated Balance Sheet'!AD38+'Consolidated Balance Sheet'!AD39+'Consolidated Balance Sheet'!AD40+'Consolidated Balance Sheet'!AD41</f>
        <v>2250</v>
      </c>
      <c r="AE21" s="16"/>
      <c r="AF21" s="16">
        <f t="shared" si="3"/>
        <v>842932.22000000032</v>
      </c>
      <c r="AG21" s="9" t="s">
        <v>274</v>
      </c>
      <c r="AH21" s="16">
        <f>P21</f>
        <v>787079.67000000039</v>
      </c>
      <c r="AI21" s="16"/>
      <c r="AJ21" s="16">
        <f>AF21</f>
        <v>842932.22000000032</v>
      </c>
      <c r="AK21" s="16"/>
      <c r="AL21" s="16">
        <f>AH21-AJ21</f>
        <v>-55852.54999999993</v>
      </c>
      <c r="AM21" s="12"/>
      <c r="AN21" s="13">
        <f t="shared" si="6"/>
        <v>0.93374016477861066</v>
      </c>
      <c r="AO21" s="13"/>
      <c r="AP21" s="14">
        <f>AN21-1</f>
        <v>-6.625983522138934E-2</v>
      </c>
    </row>
    <row r="22" spans="1:43" s="9" customFormat="1" ht="24.95" customHeight="1" x14ac:dyDescent="0.2">
      <c r="A22" s="20" t="s">
        <v>275</v>
      </c>
      <c r="B22" s="12">
        <f>SUM(B10:B21)</f>
        <v>70585454.740000054</v>
      </c>
      <c r="C22" s="12"/>
      <c r="D22" s="12">
        <f>SUM(D10:D21)</f>
        <v>369735.42</v>
      </c>
      <c r="E22" s="12"/>
      <c r="F22" s="12">
        <f>SUM(F10:F21)</f>
        <v>8023223.7599999998</v>
      </c>
      <c r="G22" s="12"/>
      <c r="H22" s="12">
        <f>SUM(H10:H21)</f>
        <v>937281.74</v>
      </c>
      <c r="I22" s="12"/>
      <c r="J22" s="12">
        <f>SUM(J10:J21)</f>
        <v>388264.52000000008</v>
      </c>
      <c r="K22" s="12"/>
      <c r="L22" s="12">
        <f>SUM(L10:L21)</f>
        <v>2274030.79</v>
      </c>
      <c r="M22" s="12"/>
      <c r="N22" s="12">
        <f>SUM(N10:N21)</f>
        <v>704500.13</v>
      </c>
      <c r="O22" s="12"/>
      <c r="P22" s="12">
        <f>SUM(P10:P21)</f>
        <v>83282491.100000039</v>
      </c>
      <c r="Q22" s="20" t="s">
        <v>275</v>
      </c>
      <c r="R22" s="54">
        <f>SUM(R10:R21)</f>
        <v>22180242.509999976</v>
      </c>
      <c r="S22" s="12"/>
      <c r="T22" s="54">
        <f>SUM(T10:T21)</f>
        <v>1832206.83</v>
      </c>
      <c r="U22" s="12"/>
      <c r="V22" s="54">
        <f t="shared" ref="V22:AF22" si="13">SUM(V10:V21)</f>
        <v>5673954.4100000001</v>
      </c>
      <c r="W22" s="12">
        <f t="shared" si="13"/>
        <v>0</v>
      </c>
      <c r="X22" s="54">
        <f t="shared" si="13"/>
        <v>701627</v>
      </c>
      <c r="Y22" s="12">
        <f t="shared" si="13"/>
        <v>0</v>
      </c>
      <c r="Z22" s="54">
        <f t="shared" si="13"/>
        <v>479806.82000000007</v>
      </c>
      <c r="AA22" s="12">
        <f t="shared" si="13"/>
        <v>0</v>
      </c>
      <c r="AB22" s="54">
        <f t="shared" si="13"/>
        <v>1967137.93</v>
      </c>
      <c r="AC22" s="12">
        <f t="shared" si="13"/>
        <v>0</v>
      </c>
      <c r="AD22" s="54">
        <f t="shared" si="13"/>
        <v>115416.45</v>
      </c>
      <c r="AE22" s="12">
        <f t="shared" si="13"/>
        <v>0</v>
      </c>
      <c r="AF22" s="12">
        <f t="shared" si="13"/>
        <v>32950391.949999973</v>
      </c>
      <c r="AG22" s="20" t="s">
        <v>275</v>
      </c>
      <c r="AH22" s="12">
        <f>SUM(AH10:AH21)</f>
        <v>83282491.100000039</v>
      </c>
      <c r="AI22" s="12"/>
      <c r="AJ22" s="12">
        <f>SUM(AJ10:AJ21)</f>
        <v>32950391.949999973</v>
      </c>
      <c r="AK22" s="12"/>
      <c r="AL22" s="12">
        <f>SUM(AL10:AL21)</f>
        <v>50332099.150000066</v>
      </c>
      <c r="AM22" s="12"/>
      <c r="AN22" s="13">
        <f t="shared" si="6"/>
        <v>2.527511394291627</v>
      </c>
      <c r="AO22" s="13"/>
      <c r="AP22" s="14">
        <f>AN22-1</f>
        <v>1.527511394291627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276</v>
      </c>
      <c r="B24" s="12"/>
      <c r="C24" s="12"/>
      <c r="D24" s="12"/>
      <c r="E24" s="12"/>
      <c r="F24" s="12"/>
      <c r="G24" s="12"/>
      <c r="P24" s="10"/>
      <c r="Q24" s="8" t="s">
        <v>276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276</v>
      </c>
      <c r="AN24" s="10"/>
      <c r="AO24" s="10"/>
      <c r="AP24" s="19"/>
    </row>
    <row r="25" spans="1:43" s="9" customFormat="1" ht="24.95" customHeight="1" x14ac:dyDescent="0.2">
      <c r="A25" s="9" t="s">
        <v>476</v>
      </c>
      <c r="B25" s="12">
        <f>'Consolidated Balance Sheet'!B64+-'Consolidated Balance Sheet'!B63</f>
        <v>18215485.18</v>
      </c>
      <c r="C25" s="12"/>
      <c r="D25" s="12">
        <f>'Consolidated Balance Sheet'!D64+-'Consolidated Balance Sheet'!D63</f>
        <v>28814.959999999999</v>
      </c>
      <c r="E25" s="12"/>
      <c r="F25" s="12">
        <f>'Consolidated Balance Sheet'!F64+-'Consolidated Balance Sheet'!F63</f>
        <v>1646042.1400000001</v>
      </c>
      <c r="G25" s="12"/>
      <c r="H25" s="12">
        <f>'Consolidated Balance Sheet'!H64+-'Consolidated Balance Sheet'!H63</f>
        <v>0</v>
      </c>
      <c r="I25" s="12"/>
      <c r="J25" s="12">
        <f>'Consolidated Balance Sheet'!J64+-'Consolidated Balance Sheet'!J63</f>
        <v>4202772.2299999995</v>
      </c>
      <c r="K25" s="12"/>
      <c r="L25" s="12">
        <f>'Consolidated Balance Sheet'!L64+-'Consolidated Balance Sheet'!L63</f>
        <v>4810642.5599999996</v>
      </c>
      <c r="N25" s="12">
        <f>'Consolidated Balance Sheet'!N64+-'Consolidated Balance Sheet'!N63</f>
        <v>9190825.9700000007</v>
      </c>
      <c r="P25" s="12">
        <f>SUM(B25:N25)</f>
        <v>38094583.039999999</v>
      </c>
      <c r="Q25" s="9" t="s">
        <v>476</v>
      </c>
      <c r="R25" s="54">
        <f>SUM('Consolidated Balance Sheet'!R47:R62)</f>
        <v>17566113.440000001</v>
      </c>
      <c r="S25" s="12"/>
      <c r="T25" s="54">
        <f>SUM('Consolidated Balance Sheet'!T47:T62)</f>
        <v>28814.959999999999</v>
      </c>
      <c r="U25" s="12"/>
      <c r="V25" s="54">
        <f>SUM('Consolidated Balance Sheet'!V47:V62)</f>
        <v>1054605.6400000001</v>
      </c>
      <c r="W25" s="12"/>
      <c r="X25" s="54">
        <f>SUM('Consolidated Balance Sheet'!X47:X62)</f>
        <v>0</v>
      </c>
      <c r="Y25" s="12"/>
      <c r="Z25" s="54">
        <f>SUM('Consolidated Balance Sheet'!Z47:Z62)</f>
        <v>4120662.3399999994</v>
      </c>
      <c r="AA25" s="12"/>
      <c r="AB25" s="54">
        <f>SUM('Consolidated Balance Sheet'!AB47:AB62)</f>
        <v>4810642.5599999996</v>
      </c>
      <c r="AC25" s="12"/>
      <c r="AD25" s="54">
        <f>SUM('Consolidated Balance Sheet'!AD47:AD62)</f>
        <v>9244680.4399999995</v>
      </c>
      <c r="AE25" s="12"/>
      <c r="AF25" s="12">
        <f>SUM(R25:AD25)</f>
        <v>36825519.380000003</v>
      </c>
      <c r="AG25" s="9" t="s">
        <v>476</v>
      </c>
      <c r="AH25" s="12">
        <f>P25</f>
        <v>38094583.039999999</v>
      </c>
      <c r="AI25" s="12"/>
      <c r="AJ25" s="12">
        <f>AF25</f>
        <v>36825519.380000003</v>
      </c>
      <c r="AK25" s="12"/>
      <c r="AL25" s="12">
        <f>AH25-AJ25</f>
        <v>1269063.6599999964</v>
      </c>
      <c r="AM25" s="12"/>
      <c r="AN25" s="13">
        <f t="shared" ref="AN25:AN31" si="14">AH25/AJ25</f>
        <v>1.0344615278037117</v>
      </c>
      <c r="AO25" s="13"/>
      <c r="AP25" s="14">
        <f t="shared" ref="AP25:AP31" si="15">AN25-1</f>
        <v>3.44615278037117E-2</v>
      </c>
    </row>
    <row r="26" spans="1:43" s="9" customFormat="1" ht="24.95" customHeight="1" x14ac:dyDescent="0.2">
      <c r="A26" s="9" t="s">
        <v>522</v>
      </c>
      <c r="B26" s="16">
        <f>'Consolidated Balance Sheet'!B63</f>
        <v>-9653813.2599999998</v>
      </c>
      <c r="C26" s="16"/>
      <c r="D26" s="16">
        <f>'Consolidated Balance Sheet'!D63</f>
        <v>-20272.830000000002</v>
      </c>
      <c r="E26" s="16"/>
      <c r="F26" s="16">
        <f>'Consolidated Balance Sheet'!F63</f>
        <v>-879190.39</v>
      </c>
      <c r="G26" s="16"/>
      <c r="H26" s="16">
        <f>'Consolidated Balance Sheet'!H63</f>
        <v>0</v>
      </c>
      <c r="I26" s="16"/>
      <c r="J26" s="16">
        <f>'Consolidated Balance Sheet'!J63</f>
        <v>-2596398.91</v>
      </c>
      <c r="K26" s="16"/>
      <c r="L26" s="16">
        <f>'Consolidated Balance Sheet'!L63</f>
        <v>-1612508.68</v>
      </c>
      <c r="M26" s="17"/>
      <c r="N26" s="16">
        <f>'Consolidated Balance Sheet'!N63</f>
        <v>-1353199.92</v>
      </c>
      <c r="O26" s="17"/>
      <c r="P26" s="16">
        <f>SUM(B26:N26)</f>
        <v>-16115383.99</v>
      </c>
      <c r="Q26" s="9" t="s">
        <v>522</v>
      </c>
      <c r="R26" s="55">
        <f>'Consolidated Balance Sheet'!R63</f>
        <v>-8419041.9900000002</v>
      </c>
      <c r="S26" s="16"/>
      <c r="T26" s="55">
        <f>'Consolidated Balance Sheet'!T63</f>
        <v>-15253.35</v>
      </c>
      <c r="U26" s="16"/>
      <c r="V26" s="55">
        <f>'Consolidated Balance Sheet'!V63</f>
        <v>-667722.04</v>
      </c>
      <c r="W26" s="16"/>
      <c r="X26" s="55">
        <f>'Consolidated Balance Sheet'!X63</f>
        <v>0</v>
      </c>
      <c r="Y26" s="16"/>
      <c r="Z26" s="55">
        <f>'Consolidated Balance Sheet'!Z63</f>
        <v>-2492369.29</v>
      </c>
      <c r="AA26" s="16"/>
      <c r="AB26" s="55">
        <f>'Consolidated Balance Sheet'!AB63</f>
        <v>-1501736.47</v>
      </c>
      <c r="AC26" s="16"/>
      <c r="AD26" s="55">
        <f>'Consolidated Balance Sheet'!AD63</f>
        <v>-1204770.52</v>
      </c>
      <c r="AE26" s="16"/>
      <c r="AF26" s="16">
        <f>SUM(R26:AD26)</f>
        <v>-14300893.659999998</v>
      </c>
      <c r="AG26" s="9" t="s">
        <v>522</v>
      </c>
      <c r="AH26" s="16">
        <f>P26</f>
        <v>-16115383.99</v>
      </c>
      <c r="AI26" s="16"/>
      <c r="AJ26" s="16">
        <f>AF26</f>
        <v>-14300893.659999998</v>
      </c>
      <c r="AK26" s="16"/>
      <c r="AL26" s="16">
        <f>AH26-AJ26</f>
        <v>-1814490.3300000019</v>
      </c>
      <c r="AM26" s="12"/>
      <c r="AN26" s="13">
        <f t="shared" si="14"/>
        <v>1.1268795064937223</v>
      </c>
      <c r="AO26" s="13"/>
      <c r="AP26" s="14">
        <f t="shared" si="15"/>
        <v>0.12687950649372226</v>
      </c>
    </row>
    <row r="27" spans="1:43" s="9" customFormat="1" ht="24.95" customHeight="1" x14ac:dyDescent="0.2">
      <c r="A27" s="20" t="s">
        <v>334</v>
      </c>
      <c r="B27" s="12">
        <f>SUM(B25:B26)</f>
        <v>8561671.9199999999</v>
      </c>
      <c r="C27" s="12"/>
      <c r="D27" s="12">
        <f>SUM(D25:D26)</f>
        <v>8542.1299999999974</v>
      </c>
      <c r="E27" s="12"/>
      <c r="F27" s="12">
        <f>SUM(F25:F26)</f>
        <v>766851.75000000012</v>
      </c>
      <c r="G27" s="12"/>
      <c r="H27" s="12">
        <f>SUM(H25:H26)</f>
        <v>0</v>
      </c>
      <c r="I27" s="12"/>
      <c r="J27" s="12">
        <f>SUM(J25:J26)</f>
        <v>1606373.3199999994</v>
      </c>
      <c r="K27" s="12"/>
      <c r="L27" s="12">
        <f>SUM(L25:L26)</f>
        <v>3198133.88</v>
      </c>
      <c r="M27" s="12"/>
      <c r="N27" s="12">
        <f>SUM(N25:N26)</f>
        <v>7837626.0500000007</v>
      </c>
      <c r="O27" s="12"/>
      <c r="P27" s="12">
        <f>SUM(P25:P26)</f>
        <v>21979199.049999997</v>
      </c>
      <c r="Q27" s="20" t="s">
        <v>334</v>
      </c>
      <c r="R27" s="54">
        <f>SUM(R25:R26)</f>
        <v>9147071.4500000011</v>
      </c>
      <c r="S27" s="12"/>
      <c r="T27" s="54">
        <f>SUM(T25:T26)</f>
        <v>13561.609999999999</v>
      </c>
      <c r="U27" s="12"/>
      <c r="V27" s="54">
        <f>SUM(V25:V26)</f>
        <v>386883.60000000009</v>
      </c>
      <c r="W27" s="12"/>
      <c r="X27" s="54">
        <f>SUM(X25:X26)</f>
        <v>0</v>
      </c>
      <c r="Y27" s="12"/>
      <c r="Z27" s="54">
        <f>SUM(Z25:Z26)</f>
        <v>1628293.0499999993</v>
      </c>
      <c r="AA27" s="12"/>
      <c r="AB27" s="54">
        <f>SUM(AB25:AB26)</f>
        <v>3308906.09</v>
      </c>
      <c r="AC27" s="12"/>
      <c r="AD27" s="54">
        <f>SUM(AD25:AD26)</f>
        <v>8039909.9199999999</v>
      </c>
      <c r="AE27" s="12"/>
      <c r="AF27" s="12">
        <f>SUM(AF25:AF26)</f>
        <v>22524625.720000006</v>
      </c>
      <c r="AG27" s="20" t="s">
        <v>334</v>
      </c>
      <c r="AH27" s="22">
        <f>SUM(AH25:AH26)</f>
        <v>21979199.049999997</v>
      </c>
      <c r="AI27" s="22"/>
      <c r="AJ27" s="22">
        <f>SUM(AJ25:AJ26)</f>
        <v>22524625.720000006</v>
      </c>
      <c r="AK27" s="22"/>
      <c r="AL27" s="22">
        <f>SUM(AL25:AL26)</f>
        <v>-545426.67000000551</v>
      </c>
      <c r="AM27" s="22"/>
      <c r="AN27" s="13">
        <f t="shared" si="14"/>
        <v>0.97578531706674643</v>
      </c>
      <c r="AO27" s="13"/>
      <c r="AP27" s="14">
        <f t="shared" si="15"/>
        <v>-2.4214682933253573E-2</v>
      </c>
    </row>
    <row r="28" spans="1:43" s="9" customFormat="1" ht="24.95" customHeight="1" x14ac:dyDescent="0.2">
      <c r="A28" s="20"/>
      <c r="B28" s="12">
        <f>B27-'Consolidated Balance Sheet'!B64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406</v>
      </c>
      <c r="B29" s="12">
        <f>'Consolidated Balance Sheet'!B66</f>
        <v>0</v>
      </c>
      <c r="C29" s="12"/>
      <c r="D29" s="12">
        <f>'Consolidated Balance Sheet'!D66</f>
        <v>0</v>
      </c>
      <c r="E29" s="12"/>
      <c r="F29" s="12">
        <f>'Consolidated Balance Sheet'!F66</f>
        <v>0</v>
      </c>
      <c r="G29" s="12"/>
      <c r="H29" s="12">
        <f>'Consolidated Balance Sheet'!H66</f>
        <v>0</v>
      </c>
      <c r="I29" s="12"/>
      <c r="J29" s="12">
        <f>'Consolidated Balance Sheet'!J66</f>
        <v>0</v>
      </c>
      <c r="K29" s="12"/>
      <c r="L29" s="12">
        <f>'Consolidated Balance Sheet'!L66</f>
        <v>0</v>
      </c>
      <c r="M29" s="12"/>
      <c r="N29" s="12">
        <f>'Consolidated Balance Sheet'!N66</f>
        <v>0</v>
      </c>
      <c r="O29" s="12"/>
      <c r="P29" s="12">
        <f>SUM(B29:N29)</f>
        <v>0</v>
      </c>
      <c r="Q29" s="9" t="s">
        <v>406</v>
      </c>
      <c r="R29" s="54">
        <f>'Consolidated Balance Sheet'!R66</f>
        <v>0</v>
      </c>
      <c r="S29" s="12"/>
      <c r="T29" s="54">
        <f>'Consolidated Balance Sheet'!T66</f>
        <v>0</v>
      </c>
      <c r="U29" s="12"/>
      <c r="V29" s="54">
        <f>'Consolidated Balance Sheet'!V66</f>
        <v>0</v>
      </c>
      <c r="W29" s="12"/>
      <c r="X29" s="54">
        <f>'Consolidated Balance Sheet'!X66</f>
        <v>0</v>
      </c>
      <c r="Y29" s="12"/>
      <c r="Z29" s="54">
        <f>'Consolidated Balance Sheet'!Z66</f>
        <v>0</v>
      </c>
      <c r="AA29" s="12"/>
      <c r="AB29" s="54">
        <f>'Consolidated Balance Sheet'!AB66</f>
        <v>0</v>
      </c>
      <c r="AC29" s="12"/>
      <c r="AD29" s="54">
        <f>'Consolidated Balance Sheet'!AD66</f>
        <v>0</v>
      </c>
      <c r="AE29" s="12"/>
      <c r="AF29" s="12">
        <f>SUM(R29:AD29)</f>
        <v>0</v>
      </c>
      <c r="AG29" s="9" t="s">
        <v>406</v>
      </c>
      <c r="AH29" s="22">
        <f>P29</f>
        <v>0</v>
      </c>
      <c r="AI29" s="12"/>
      <c r="AJ29" s="12">
        <f>AF29</f>
        <v>0</v>
      </c>
      <c r="AK29" s="12"/>
      <c r="AL29" s="22">
        <f>AH29-AJ29</f>
        <v>0</v>
      </c>
      <c r="AM29" s="12"/>
      <c r="AN29" s="13" t="e">
        <f t="shared" si="14"/>
        <v>#DIV/0!</v>
      </c>
      <c r="AO29" s="13"/>
      <c r="AP29" s="14" t="e">
        <f t="shared" si="15"/>
        <v>#DIV/0!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289</v>
      </c>
      <c r="B31" s="23">
        <f>B29+B27+B22</f>
        <v>79147126.660000056</v>
      </c>
      <c r="C31" s="23"/>
      <c r="D31" s="23">
        <f>SUM(D27,D22,D29)</f>
        <v>378277.55</v>
      </c>
      <c r="E31" s="23"/>
      <c r="F31" s="23">
        <f>SUM(F27,F22,F29)</f>
        <v>8790075.5099999998</v>
      </c>
      <c r="G31" s="23"/>
      <c r="H31" s="23">
        <f>SUM(H27,H22,H29)</f>
        <v>937281.74</v>
      </c>
      <c r="I31" s="23"/>
      <c r="J31" s="23">
        <f>SUM(J27,J22,J29)</f>
        <v>1994637.8399999994</v>
      </c>
      <c r="K31" s="23"/>
      <c r="L31" s="23">
        <f>SUM(L27,L22,L29)</f>
        <v>5472164.6699999999</v>
      </c>
      <c r="M31" s="23"/>
      <c r="N31" s="23">
        <f>SUM(N27,N22,N29)</f>
        <v>8542126.1800000016</v>
      </c>
      <c r="O31" s="23"/>
      <c r="P31" s="23">
        <f>SUM(P27,P22,P29)</f>
        <v>105261690.15000004</v>
      </c>
      <c r="Q31" s="8" t="s">
        <v>289</v>
      </c>
      <c r="R31" s="57">
        <f>SUM(R27,R22,R29)</f>
        <v>31327313.959999979</v>
      </c>
      <c r="S31" s="23"/>
      <c r="T31" s="57">
        <f>SUM(T27,T22,T29)</f>
        <v>1845768.4400000002</v>
      </c>
      <c r="U31" s="23"/>
      <c r="V31" s="57">
        <f>SUM(V27,V22,V29)</f>
        <v>6060838.0099999998</v>
      </c>
      <c r="W31" s="23"/>
      <c r="X31" s="57">
        <f>SUM(X27,X22,X29)</f>
        <v>701627</v>
      </c>
      <c r="Y31" s="23"/>
      <c r="Z31" s="57">
        <f>SUM(Z27,Z22,Z29)</f>
        <v>2108099.8699999992</v>
      </c>
      <c r="AA31" s="23"/>
      <c r="AB31" s="57">
        <f>SUM(AB27,AB22,AB29)</f>
        <v>5276044.0199999996</v>
      </c>
      <c r="AC31" s="23"/>
      <c r="AD31" s="57">
        <f>SUM(AD27,AD22,AD29)</f>
        <v>8155326.3700000001</v>
      </c>
      <c r="AE31" s="23"/>
      <c r="AF31" s="23">
        <f>SUM(AF27,AF22,AF29)</f>
        <v>55475017.669999979</v>
      </c>
      <c r="AG31" s="8" t="s">
        <v>289</v>
      </c>
      <c r="AH31" s="23">
        <f>SUM(AH27,AH22,AH29)</f>
        <v>105261690.15000004</v>
      </c>
      <c r="AI31" s="23"/>
      <c r="AJ31" s="23">
        <f>SUM(AJ27,AJ22,AJ29)</f>
        <v>55475017.669999979</v>
      </c>
      <c r="AK31" s="23"/>
      <c r="AL31" s="23">
        <f>SUM(AL27,AL22,AL29)</f>
        <v>49786672.480000064</v>
      </c>
      <c r="AM31" s="25"/>
      <c r="AN31" s="13">
        <f t="shared" si="14"/>
        <v>1.8974611378433848</v>
      </c>
      <c r="AO31" s="13"/>
      <c r="AP31" s="14">
        <f t="shared" si="15"/>
        <v>0.89746113784338477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290</v>
      </c>
      <c r="B34" s="12"/>
      <c r="C34" s="12"/>
      <c r="D34" s="12"/>
      <c r="E34" s="12"/>
      <c r="F34" s="12"/>
      <c r="G34" s="12"/>
      <c r="P34" s="10"/>
      <c r="Q34" s="8" t="s">
        <v>290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290</v>
      </c>
      <c r="AP34" s="19"/>
    </row>
    <row r="35" spans="1:42" s="9" customFormat="1" ht="24.95" customHeight="1" x14ac:dyDescent="0.2">
      <c r="A35" s="9" t="s">
        <v>291</v>
      </c>
      <c r="B35" s="12">
        <f>'Consolidated Balance Sheet'!B73</f>
        <v>0</v>
      </c>
      <c r="C35" s="12"/>
      <c r="D35" s="12">
        <f>'Consolidated Balance Sheet'!D73</f>
        <v>0</v>
      </c>
      <c r="E35" s="12"/>
      <c r="F35" s="12">
        <f>'Consolidated Balance Sheet'!F73</f>
        <v>0</v>
      </c>
      <c r="G35" s="12"/>
      <c r="H35" s="12">
        <f>'Consolidated Balance Sheet'!H73</f>
        <v>0</v>
      </c>
      <c r="I35" s="12"/>
      <c r="J35" s="12">
        <f>'Consolidated Balance Sheet'!J73</f>
        <v>0</v>
      </c>
      <c r="K35" s="12"/>
      <c r="L35" s="12">
        <f>'Consolidated Balance Sheet'!L73</f>
        <v>0</v>
      </c>
      <c r="M35" s="12"/>
      <c r="N35" s="12">
        <f>'Consolidated Balance Sheet'!N73</f>
        <v>0</v>
      </c>
      <c r="O35" s="12"/>
      <c r="P35" s="12">
        <f>SUM(B35:N35)</f>
        <v>0</v>
      </c>
      <c r="Q35" s="9" t="s">
        <v>291</v>
      </c>
      <c r="R35" s="54">
        <v>1946824.41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1946824.41</v>
      </c>
      <c r="AG35" s="9" t="s">
        <v>291</v>
      </c>
      <c r="AH35" s="12">
        <f>P35</f>
        <v>0</v>
      </c>
      <c r="AI35" s="12"/>
      <c r="AJ35" s="12">
        <f>AF35</f>
        <v>1946824.41</v>
      </c>
      <c r="AK35" s="12"/>
      <c r="AL35" s="12">
        <f t="shared" ref="AL35:AL42" si="16">AH35-AJ35</f>
        <v>-1946824.41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292</v>
      </c>
      <c r="B36" s="12">
        <f>'Consolidated Balance Sheet'!B74+'Consolidated Balance Sheet'!B75+'Consolidated Balance Sheet'!B76+'Consolidated Balance Sheet'!B77+'Consolidated Balance Sheet'!B78+CNT!S98</f>
        <v>28625774.960000001</v>
      </c>
      <c r="C36" s="12"/>
      <c r="D36" s="12">
        <f>'Consolidated Balance Sheet'!D74+'Consolidated Balance Sheet'!D75+'Consolidated Balance Sheet'!D76+'Consolidated Balance Sheet'!D77+'Consolidated Balance Sheet'!D78</f>
        <v>0</v>
      </c>
      <c r="E36" s="12"/>
      <c r="F36" s="12">
        <f>'Consolidated Balance Sheet'!F74+'Consolidated Balance Sheet'!F75+'Consolidated Balance Sheet'!F76+'Consolidated Balance Sheet'!F77+'Consolidated Balance Sheet'!F78</f>
        <v>22158.969999999998</v>
      </c>
      <c r="G36" s="12"/>
      <c r="H36" s="12">
        <f>'Consolidated Balance Sheet'!H74+'Consolidated Balance Sheet'!H75+'Consolidated Balance Sheet'!H76+'Consolidated Balance Sheet'!H77+'Consolidated Balance Sheet'!H78</f>
        <v>0</v>
      </c>
      <c r="I36" s="12"/>
      <c r="J36" s="12">
        <f>'Consolidated Balance Sheet'!J74+'Consolidated Balance Sheet'!J75+'Consolidated Balance Sheet'!J76+'Consolidated Balance Sheet'!J77+'Consolidated Balance Sheet'!J78</f>
        <v>3249.99</v>
      </c>
      <c r="K36" s="12"/>
      <c r="L36" s="12">
        <f>'Consolidated Balance Sheet'!L74+'Consolidated Balance Sheet'!L75+'Consolidated Balance Sheet'!L76+'Consolidated Balance Sheet'!L77+'Consolidated Balance Sheet'!L78</f>
        <v>0</v>
      </c>
      <c r="N36" s="12">
        <f>'Consolidated Balance Sheet'!N74+'Consolidated Balance Sheet'!N75+'Consolidated Balance Sheet'!N76+'Consolidated Balance Sheet'!N77+'Consolidated Balance Sheet'!N78</f>
        <v>0</v>
      </c>
      <c r="P36" s="12">
        <f t="shared" ref="P36:P42" si="18">SUM(B36:N36)</f>
        <v>28651183.919999998</v>
      </c>
      <c r="Q36" s="9" t="s">
        <v>292</v>
      </c>
      <c r="R36" s="54">
        <v>6698245.7000000002</v>
      </c>
      <c r="S36" s="12"/>
      <c r="T36" s="54">
        <v>978254.50999999989</v>
      </c>
      <c r="U36" s="12"/>
      <c r="V36" s="54">
        <v>138.32</v>
      </c>
      <c r="W36" s="12"/>
      <c r="X36" s="54">
        <v>0</v>
      </c>
      <c r="Y36" s="12"/>
      <c r="Z36" s="54">
        <v>3153.84</v>
      </c>
      <c r="AA36" s="12"/>
      <c r="AB36" s="54">
        <v>0</v>
      </c>
      <c r="AC36" s="12"/>
      <c r="AD36" s="54">
        <v>0</v>
      </c>
      <c r="AE36" s="12"/>
      <c r="AF36" s="12">
        <f t="shared" ref="AF36:AF42" si="19">SUM(R36:AD36)</f>
        <v>7679792.3700000001</v>
      </c>
      <c r="AG36" s="9" t="s">
        <v>292</v>
      </c>
      <c r="AH36" s="12">
        <f t="shared" ref="AH36:AH42" si="20">P36</f>
        <v>28651183.919999998</v>
      </c>
      <c r="AI36" s="12"/>
      <c r="AJ36" s="12">
        <f t="shared" ref="AJ36:AJ42" si="21">AF36</f>
        <v>7679792.3700000001</v>
      </c>
      <c r="AK36" s="12"/>
      <c r="AL36" s="12">
        <f t="shared" si="16"/>
        <v>20971391.549999997</v>
      </c>
      <c r="AM36" s="12"/>
      <c r="AN36" s="13">
        <f t="shared" ref="AN36:AN43" si="22">AH36/AJ36</f>
        <v>3.7307237669499647</v>
      </c>
      <c r="AO36" s="13"/>
      <c r="AP36" s="14">
        <f t="shared" si="17"/>
        <v>2.7307237669499647</v>
      </c>
    </row>
    <row r="37" spans="1:42" s="9" customFormat="1" ht="24.95" customHeight="1" x14ac:dyDescent="0.2">
      <c r="A37" s="9" t="s">
        <v>390</v>
      </c>
      <c r="B37" s="12">
        <f>'Consolidated Balance Sheet'!B80</f>
        <v>0</v>
      </c>
      <c r="C37" s="12"/>
      <c r="D37" s="12">
        <f>'Consolidated Balance Sheet'!D80</f>
        <v>0</v>
      </c>
      <c r="E37" s="12"/>
      <c r="F37" s="12">
        <f>'Consolidated Balance Sheet'!F80</f>
        <v>0</v>
      </c>
      <c r="G37" s="12"/>
      <c r="H37" s="12">
        <f>'Consolidated Balance Sheet'!H80</f>
        <v>0</v>
      </c>
      <c r="I37" s="12"/>
      <c r="J37" s="12">
        <f>'Consolidated Balance Sheet'!J80</f>
        <v>41702.239999999998</v>
      </c>
      <c r="K37" s="12"/>
      <c r="L37" s="12">
        <f>'Consolidated Balance Sheet'!L80</f>
        <v>0</v>
      </c>
      <c r="N37" s="12">
        <f>'Consolidated Balance Sheet'!N80</f>
        <v>0</v>
      </c>
      <c r="P37" s="12">
        <f t="shared" si="18"/>
        <v>41702.239999999998</v>
      </c>
      <c r="Q37" s="9" t="s">
        <v>390</v>
      </c>
      <c r="R37" s="54">
        <v>0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40334.269999999997</v>
      </c>
      <c r="AA37" s="12"/>
      <c r="AB37" s="54">
        <v>0</v>
      </c>
      <c r="AC37" s="12"/>
      <c r="AD37" s="54">
        <v>0</v>
      </c>
      <c r="AE37" s="12"/>
      <c r="AF37" s="12">
        <f t="shared" si="19"/>
        <v>40334.269999999997</v>
      </c>
      <c r="AG37" s="9" t="s">
        <v>390</v>
      </c>
      <c r="AH37" s="12">
        <f t="shared" si="20"/>
        <v>41702.239999999998</v>
      </c>
      <c r="AI37" s="12"/>
      <c r="AJ37" s="12">
        <f t="shared" si="21"/>
        <v>40334.269999999997</v>
      </c>
      <c r="AK37" s="12"/>
      <c r="AL37" s="12">
        <f t="shared" si="16"/>
        <v>1367.9700000000012</v>
      </c>
      <c r="AM37" s="12"/>
      <c r="AN37" s="13">
        <f t="shared" si="22"/>
        <v>1.0339158239383037</v>
      </c>
      <c r="AO37" s="13"/>
      <c r="AP37" s="14">
        <f t="shared" si="17"/>
        <v>3.3915823938303724E-2</v>
      </c>
    </row>
    <row r="38" spans="1:42" s="9" customFormat="1" ht="24.95" customHeight="1" x14ac:dyDescent="0.2">
      <c r="A38" s="9" t="s">
        <v>297</v>
      </c>
      <c r="B38" s="12">
        <f>'Consolidated Balance Sheet'!B82+'Consolidated Balance Sheet'!B106</f>
        <v>9590919.6400000006</v>
      </c>
      <c r="C38" s="12"/>
      <c r="D38" s="12">
        <f>'Consolidated Balance Sheet'!D82</f>
        <v>0</v>
      </c>
      <c r="E38" s="12"/>
      <c r="F38" s="12">
        <f>'Consolidated Balance Sheet'!F82</f>
        <v>354103.58</v>
      </c>
      <c r="G38" s="12"/>
      <c r="H38" s="12">
        <f>'Consolidated Balance Sheet'!H82</f>
        <v>16266.93</v>
      </c>
      <c r="I38" s="12"/>
      <c r="J38" s="12">
        <f>'Consolidated Balance Sheet'!J82</f>
        <v>0</v>
      </c>
      <c r="K38" s="12"/>
      <c r="L38" s="12">
        <f>'Consolidated Balance Sheet'!L82</f>
        <v>0</v>
      </c>
      <c r="N38" s="12">
        <f>'Consolidated Balance Sheet'!N82</f>
        <v>0</v>
      </c>
      <c r="P38" s="12">
        <f t="shared" si="18"/>
        <v>9961290.1500000004</v>
      </c>
      <c r="Q38" s="9" t="s">
        <v>297</v>
      </c>
      <c r="R38" s="54">
        <v>4383851.3600000003</v>
      </c>
      <c r="S38" s="12"/>
      <c r="T38" s="54">
        <v>0</v>
      </c>
      <c r="U38" s="12"/>
      <c r="V38" s="54">
        <v>294690.53000000003</v>
      </c>
      <c r="W38" s="12"/>
      <c r="X38" s="54">
        <v>14898.04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9"/>
        <v>4693439.9300000006</v>
      </c>
      <c r="AG38" s="9" t="s">
        <v>297</v>
      </c>
      <c r="AH38" s="12">
        <f t="shared" si="20"/>
        <v>9961290.1500000004</v>
      </c>
      <c r="AI38" s="12"/>
      <c r="AJ38" s="12">
        <f t="shared" si="21"/>
        <v>4693439.9300000006</v>
      </c>
      <c r="AK38" s="12"/>
      <c r="AL38" s="12">
        <f t="shared" si="16"/>
        <v>5267850.22</v>
      </c>
      <c r="AM38" s="12"/>
      <c r="AN38" s="13">
        <f t="shared" si="22"/>
        <v>2.1223857764383913</v>
      </c>
      <c r="AO38" s="13"/>
      <c r="AP38" s="14">
        <f t="shared" si="17"/>
        <v>1.1223857764383913</v>
      </c>
    </row>
    <row r="39" spans="1:42" s="9" customFormat="1" ht="24.95" customHeight="1" x14ac:dyDescent="0.2">
      <c r="A39" s="9" t="s">
        <v>477</v>
      </c>
      <c r="B39" s="12">
        <f>'Consolidated Balance Sheet'!B83+'Consolidated Balance Sheet'!B84+'Consolidated Balance Sheet'!B85+'Consolidated Balance Sheet'!B86+'Consolidated Balance Sheet'!B88+'Consolidated Balance Sheet'!B89+'Consolidated Balance Sheet'!B90+'Consolidated Balance Sheet'!B91+'Consolidated Balance Sheet'!B92+'Consolidated Balance Sheet'!B93+'Consolidated Balance Sheet'!B94+'Consolidated Balance Sheet'!B98+'Consolidated Balance Sheet'!B99+'Consolidated Balance Sheet'!B101+'Consolidated Balance Sheet'!B111+'Consolidated Balance Sheet'!B100+'Consolidated Balance Sheet'!B107+'Consolidated Balance Sheet'!B110+'Consolidated Balance Sheet'!B109+'Consolidated Balance Sheet'!B87+'Consolidated Balance Sheet'!B96+CNT!S94+'Consolidated Balance Sheet'!B108</f>
        <v>4030193.03</v>
      </c>
      <c r="C39" s="12"/>
      <c r="D39" s="12">
        <f>'Consolidated Balance Sheet'!D83+'Consolidated Balance Sheet'!D84+'Consolidated Balance Sheet'!D85+'Consolidated Balance Sheet'!D86+'Consolidated Balance Sheet'!D88+'Consolidated Balance Sheet'!D89+'Consolidated Balance Sheet'!D90+'Consolidated Balance Sheet'!D91+'Consolidated Balance Sheet'!D92+'Consolidated Balance Sheet'!D93+'Consolidated Balance Sheet'!D94+'Consolidated Balance Sheet'!D98+'Consolidated Balance Sheet'!D99+'Consolidated Balance Sheet'!D101+'Consolidated Balance Sheet'!D111+'Consolidated Balance Sheet'!D100</f>
        <v>-4414.08</v>
      </c>
      <c r="E39" s="12"/>
      <c r="F39" s="12">
        <f>'Consolidated Balance Sheet'!F83+'Consolidated Balance Sheet'!F84+'Consolidated Balance Sheet'!F85+'Consolidated Balance Sheet'!F86+'Consolidated Balance Sheet'!F88+'Consolidated Balance Sheet'!F89+'Consolidated Balance Sheet'!F90+'Consolidated Balance Sheet'!F91+'Consolidated Balance Sheet'!F92+'Consolidated Balance Sheet'!F93+'Consolidated Balance Sheet'!F94+'Consolidated Balance Sheet'!F98+'Consolidated Balance Sheet'!F99+'Consolidated Balance Sheet'!F101+'Consolidated Balance Sheet'!F111+'Consolidated Balance Sheet'!F100+'Consolidated Balance Sheet'!F96</f>
        <v>81475.61</v>
      </c>
      <c r="G39" s="12"/>
      <c r="H39" s="12">
        <f>'Consolidated Balance Sheet'!H83+'Consolidated Balance Sheet'!H84+'Consolidated Balance Sheet'!H85+'Consolidated Balance Sheet'!H86+'Consolidated Balance Sheet'!H88+'Consolidated Balance Sheet'!H89+'Consolidated Balance Sheet'!H90+'Consolidated Balance Sheet'!H91+'Consolidated Balance Sheet'!H92+'Consolidated Balance Sheet'!H93+'Consolidated Balance Sheet'!H94+'Consolidated Balance Sheet'!H98+'Consolidated Balance Sheet'!H99+'Consolidated Balance Sheet'!H101+'Consolidated Balance Sheet'!H111+'Consolidated Balance Sheet'!H100+'Consolidated Balance Sheet'!H97</f>
        <v>398.86</v>
      </c>
      <c r="I39" s="12"/>
      <c r="J39" s="12">
        <f>'Consolidated Balance Sheet'!J83+'Consolidated Balance Sheet'!J84+'Consolidated Balance Sheet'!J85+'Consolidated Balance Sheet'!J86+'Consolidated Balance Sheet'!J88+'Consolidated Balance Sheet'!J89+'Consolidated Balance Sheet'!J90+'Consolidated Balance Sheet'!J91+'Consolidated Balance Sheet'!J92+'Consolidated Balance Sheet'!J93+'Consolidated Balance Sheet'!J94+'Consolidated Balance Sheet'!J98+'Consolidated Balance Sheet'!J99+'Consolidated Balance Sheet'!J101+'Consolidated Balance Sheet'!J111+'Consolidated Balance Sheet'!J100+'Consolidated Balance Sheet'!J87</f>
        <v>14068.560000000001</v>
      </c>
      <c r="K39" s="12"/>
      <c r="L39" s="12">
        <f>'Consolidated Balance Sheet'!L83+'Consolidated Balance Sheet'!L84+'Consolidated Balance Sheet'!L85+'Consolidated Balance Sheet'!L86+'Consolidated Balance Sheet'!L88+'Consolidated Balance Sheet'!L89+'Consolidated Balance Sheet'!L90+'Consolidated Balance Sheet'!L91+'Consolidated Balance Sheet'!L92+'Consolidated Balance Sheet'!L93+'Consolidated Balance Sheet'!L94+'Consolidated Balance Sheet'!L98+'Consolidated Balance Sheet'!L99+'Consolidated Balance Sheet'!L101+'Consolidated Balance Sheet'!L111+'Consolidated Balance Sheet'!L100</f>
        <v>1350</v>
      </c>
      <c r="N39" s="12">
        <f>'Consolidated Balance Sheet'!N83+'Consolidated Balance Sheet'!N84+'Consolidated Balance Sheet'!N85+'Consolidated Balance Sheet'!N86+'Consolidated Balance Sheet'!N88+'Consolidated Balance Sheet'!N89+'Consolidated Balance Sheet'!N90+'Consolidated Balance Sheet'!N91+'Consolidated Balance Sheet'!N92+'Consolidated Balance Sheet'!N93+'Consolidated Balance Sheet'!N94+'Consolidated Balance Sheet'!N98+'Consolidated Balance Sheet'!N99+'Consolidated Balance Sheet'!N101+'Consolidated Balance Sheet'!N111+'Consolidated Balance Sheet'!N100+'Consolidated Balance Sheet'!N95</f>
        <v>0</v>
      </c>
      <c r="P39" s="12">
        <f t="shared" si="18"/>
        <v>4123071.9799999995</v>
      </c>
      <c r="Q39" s="9" t="s">
        <v>477</v>
      </c>
      <c r="R39" s="54">
        <v>662325.10000000009</v>
      </c>
      <c r="S39" s="12"/>
      <c r="T39" s="54">
        <v>68952.710000000006</v>
      </c>
      <c r="U39" s="12"/>
      <c r="V39" s="54">
        <v>93590.849999999991</v>
      </c>
      <c r="W39" s="12"/>
      <c r="X39" s="54">
        <v>0</v>
      </c>
      <c r="Y39" s="12"/>
      <c r="Z39" s="54">
        <v>13066.880000000001</v>
      </c>
      <c r="AA39" s="12"/>
      <c r="AB39" s="54">
        <v>675</v>
      </c>
      <c r="AC39" s="12"/>
      <c r="AD39" s="54">
        <v>772203.23</v>
      </c>
      <c r="AE39" s="12"/>
      <c r="AF39" s="12">
        <f t="shared" si="19"/>
        <v>1610813.77</v>
      </c>
      <c r="AG39" s="9" t="s">
        <v>477</v>
      </c>
      <c r="AH39" s="12">
        <f t="shared" si="20"/>
        <v>4123071.9799999995</v>
      </c>
      <c r="AI39" s="12"/>
      <c r="AJ39" s="12">
        <f t="shared" si="21"/>
        <v>1610813.77</v>
      </c>
      <c r="AK39" s="12"/>
      <c r="AL39" s="12">
        <f t="shared" si="16"/>
        <v>2512258.2099999995</v>
      </c>
      <c r="AM39" s="12"/>
      <c r="AN39" s="13">
        <f t="shared" si="22"/>
        <v>2.5596205202541813</v>
      </c>
      <c r="AO39" s="13"/>
      <c r="AP39" s="14">
        <f t="shared" si="17"/>
        <v>1.5596205202541813</v>
      </c>
    </row>
    <row r="40" spans="1:42" s="9" customFormat="1" ht="24.95" customHeight="1" x14ac:dyDescent="0.2">
      <c r="A40" s="9" t="s">
        <v>308</v>
      </c>
      <c r="B40" s="12">
        <f>'Consolidated Balance Sheet'!B102</f>
        <v>132276.25</v>
      </c>
      <c r="C40" s="12"/>
      <c r="D40" s="12">
        <f>'Consolidated Balance Sheet'!D102</f>
        <v>0</v>
      </c>
      <c r="E40" s="12"/>
      <c r="F40" s="12">
        <f>'Consolidated Balance Sheet'!F102</f>
        <v>0</v>
      </c>
      <c r="G40" s="12"/>
      <c r="H40" s="12">
        <f>'Consolidated Balance Sheet'!H102</f>
        <v>0</v>
      </c>
      <c r="I40" s="12"/>
      <c r="J40" s="12">
        <f>'Consolidated Balance Sheet'!J102</f>
        <v>0</v>
      </c>
      <c r="K40" s="12"/>
      <c r="L40" s="12">
        <f>'Consolidated Balance Sheet'!L102</f>
        <v>0</v>
      </c>
      <c r="N40" s="12">
        <f>'Consolidated Balance Sheet'!N102</f>
        <v>0</v>
      </c>
      <c r="P40" s="12">
        <f t="shared" si="18"/>
        <v>132276.25</v>
      </c>
      <c r="Q40" s="9" t="s">
        <v>308</v>
      </c>
      <c r="R40" s="54">
        <v>119284.99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9"/>
        <v>119284.99</v>
      </c>
      <c r="AG40" s="9" t="s">
        <v>308</v>
      </c>
      <c r="AH40" s="12">
        <f t="shared" si="20"/>
        <v>132276.25</v>
      </c>
      <c r="AI40" s="12"/>
      <c r="AJ40" s="12">
        <f t="shared" si="21"/>
        <v>119284.99</v>
      </c>
      <c r="AK40" s="12"/>
      <c r="AL40" s="12">
        <f t="shared" si="16"/>
        <v>12991.259999999995</v>
      </c>
      <c r="AM40" s="12"/>
      <c r="AN40" s="13">
        <f t="shared" si="22"/>
        <v>1.1089094277494596</v>
      </c>
      <c r="AO40" s="13"/>
      <c r="AP40" s="14">
        <f t="shared" si="17"/>
        <v>0.10890942774945955</v>
      </c>
    </row>
    <row r="41" spans="1:42" s="9" customFormat="1" ht="24.95" customHeight="1" x14ac:dyDescent="0.2">
      <c r="A41" s="9" t="s">
        <v>389</v>
      </c>
      <c r="B41" s="12">
        <f>'Consolidated Balance Sheet'!B103</f>
        <v>0</v>
      </c>
      <c r="C41" s="12"/>
      <c r="D41" s="12">
        <f>'Consolidated Balance Sheet'!D103</f>
        <v>0</v>
      </c>
      <c r="E41" s="12"/>
      <c r="F41" s="12">
        <f>'Consolidated Balance Sheet'!F103</f>
        <v>0</v>
      </c>
      <c r="G41" s="12"/>
      <c r="H41" s="12">
        <f>'Consolidated Balance Sheet'!H103</f>
        <v>0</v>
      </c>
      <c r="I41" s="12"/>
      <c r="J41" s="12">
        <f>'Consolidated Balance Sheet'!J103</f>
        <v>1035822.26</v>
      </c>
      <c r="K41" s="12"/>
      <c r="L41" s="12">
        <f>'Consolidated Balance Sheet'!L103</f>
        <v>107616.25</v>
      </c>
      <c r="N41" s="12">
        <f>'Consolidated Balance Sheet'!N103</f>
        <v>0</v>
      </c>
      <c r="P41" s="12">
        <f t="shared" si="18"/>
        <v>1143438.51</v>
      </c>
      <c r="Q41" s="9" t="s">
        <v>389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963117.74</v>
      </c>
      <c r="AA41" s="12"/>
      <c r="AB41" s="54">
        <v>97285.09</v>
      </c>
      <c r="AC41" s="12"/>
      <c r="AD41" s="54">
        <v>0</v>
      </c>
      <c r="AE41" s="12"/>
      <c r="AF41" s="12">
        <f t="shared" si="19"/>
        <v>1060402.83</v>
      </c>
      <c r="AG41" s="9" t="s">
        <v>389</v>
      </c>
      <c r="AH41" s="12">
        <f>P41</f>
        <v>1143438.51</v>
      </c>
      <c r="AI41" s="12"/>
      <c r="AJ41" s="12">
        <f t="shared" si="21"/>
        <v>1060402.83</v>
      </c>
      <c r="AK41" s="12"/>
      <c r="AL41" s="12">
        <f t="shared" si="16"/>
        <v>83035.679999999935</v>
      </c>
      <c r="AM41" s="12"/>
      <c r="AN41" s="13">
        <f t="shared" si="22"/>
        <v>1.0783057887538832</v>
      </c>
      <c r="AO41" s="13"/>
      <c r="AP41" s="14">
        <f t="shared" si="17"/>
        <v>7.8305788753883165E-2</v>
      </c>
    </row>
    <row r="42" spans="1:42" s="9" customFormat="1" ht="24.95" customHeight="1" x14ac:dyDescent="0.2">
      <c r="A42" s="9" t="s">
        <v>596</v>
      </c>
      <c r="B42" s="16">
        <f>'Consolidated Balance Sheet'!B105+'Consolidated Balance Sheet'!B104</f>
        <v>8871759.1699999999</v>
      </c>
      <c r="C42" s="16"/>
      <c r="D42" s="16">
        <f>'Consolidated Balance Sheet'!D105+'Consolidated Balance Sheet'!D104</f>
        <v>7132.71</v>
      </c>
      <c r="E42" s="16"/>
      <c r="F42" s="16">
        <f>'Consolidated Balance Sheet'!F105+'Consolidated Balance Sheet'!F104</f>
        <v>132713.58000000002</v>
      </c>
      <c r="G42" s="16"/>
      <c r="H42" s="16">
        <f>'Consolidated Balance Sheet'!H105+'Consolidated Balance Sheet'!H104</f>
        <v>472510.81</v>
      </c>
      <c r="I42" s="16"/>
      <c r="J42" s="16">
        <f>'Consolidated Balance Sheet'!J105+'Consolidated Balance Sheet'!J104</f>
        <v>1057781.82</v>
      </c>
      <c r="K42" s="16"/>
      <c r="L42" s="16">
        <f>'Consolidated Balance Sheet'!L105+'Consolidated Balance Sheet'!L104</f>
        <v>0</v>
      </c>
      <c r="M42" s="17"/>
      <c r="N42" s="16">
        <f>'Consolidated Balance Sheet'!N105+'Consolidated Balance Sheet'!N104</f>
        <v>147313.51999999999</v>
      </c>
      <c r="O42" s="17"/>
      <c r="P42" s="16">
        <f t="shared" si="18"/>
        <v>10689211.610000001</v>
      </c>
      <c r="Q42" s="9" t="s">
        <v>596</v>
      </c>
      <c r="R42" s="55">
        <v>6155450</v>
      </c>
      <c r="S42" s="16"/>
      <c r="T42" s="55">
        <v>85505.01</v>
      </c>
      <c r="U42" s="16"/>
      <c r="V42" s="55">
        <v>202354.48</v>
      </c>
      <c r="W42" s="16"/>
      <c r="X42" s="55">
        <v>278707.85000000003</v>
      </c>
      <c r="Y42" s="16"/>
      <c r="Z42" s="55">
        <v>1173081.9100000001</v>
      </c>
      <c r="AA42" s="16"/>
      <c r="AB42" s="55">
        <v>0</v>
      </c>
      <c r="AC42" s="16"/>
      <c r="AD42" s="55">
        <v>0</v>
      </c>
      <c r="AE42" s="16"/>
      <c r="AF42" s="16">
        <f t="shared" si="19"/>
        <v>7895099.25</v>
      </c>
      <c r="AG42" s="9" t="s">
        <v>596</v>
      </c>
      <c r="AH42" s="16">
        <f t="shared" si="20"/>
        <v>10689211.610000001</v>
      </c>
      <c r="AI42" s="16"/>
      <c r="AJ42" s="16">
        <f t="shared" si="21"/>
        <v>7895099.25</v>
      </c>
      <c r="AK42" s="16"/>
      <c r="AL42" s="16">
        <f t="shared" si="16"/>
        <v>2794112.3600000013</v>
      </c>
      <c r="AM42" s="12"/>
      <c r="AN42" s="13">
        <f t="shared" si="22"/>
        <v>1.3539046529402403</v>
      </c>
      <c r="AO42" s="13"/>
      <c r="AP42" s="14">
        <f t="shared" si="17"/>
        <v>0.35390465294024032</v>
      </c>
    </row>
    <row r="43" spans="1:42" s="9" customFormat="1" ht="24.95" customHeight="1" x14ac:dyDescent="0.2">
      <c r="A43" s="20" t="s">
        <v>382</v>
      </c>
      <c r="B43" s="12">
        <f>SUM(B35:B42)</f>
        <v>51250923.050000004</v>
      </c>
      <c r="C43" s="12"/>
      <c r="D43" s="12">
        <f>SUM(D35:D42)</f>
        <v>2718.63</v>
      </c>
      <c r="E43" s="12"/>
      <c r="F43" s="12">
        <f>SUM(F35:F42)</f>
        <v>590451.74</v>
      </c>
      <c r="G43" s="12"/>
      <c r="H43" s="12">
        <f>SUM(H35:H42)</f>
        <v>489176.6</v>
      </c>
      <c r="I43" s="12"/>
      <c r="J43" s="12">
        <f>SUM(J35:J42)</f>
        <v>2152624.87</v>
      </c>
      <c r="K43" s="12"/>
      <c r="L43" s="12">
        <f>SUM(L35:L42)</f>
        <v>108966.25</v>
      </c>
      <c r="M43" s="12"/>
      <c r="N43" s="12">
        <f>SUM(N35:N42)</f>
        <v>147313.51999999999</v>
      </c>
      <c r="O43" s="12"/>
      <c r="P43" s="12">
        <f>SUM(P35:P42)</f>
        <v>54742174.659999989</v>
      </c>
      <c r="Q43" s="20" t="s">
        <v>382</v>
      </c>
      <c r="R43" s="54">
        <f>SUM(R35:R42)</f>
        <v>19965981.559999999</v>
      </c>
      <c r="S43" s="12"/>
      <c r="T43" s="54">
        <f>SUM(T35:T42)</f>
        <v>1132712.2299999997</v>
      </c>
      <c r="U43" s="12"/>
      <c r="V43" s="54">
        <f>SUM(V35:V42)</f>
        <v>590774.18000000005</v>
      </c>
      <c r="W43" s="12"/>
      <c r="X43" s="54">
        <f>SUM(X35:X42)</f>
        <v>293605.89</v>
      </c>
      <c r="Y43" s="12"/>
      <c r="Z43" s="54">
        <f>SUM(Z35:Z42)</f>
        <v>2192754.64</v>
      </c>
      <c r="AA43" s="12"/>
      <c r="AB43" s="54">
        <f>SUM(AB35:AB42)</f>
        <v>97960.09</v>
      </c>
      <c r="AC43" s="12"/>
      <c r="AD43" s="54">
        <f>SUM(AD35:AD42)</f>
        <v>772203.23</v>
      </c>
      <c r="AE43" s="12"/>
      <c r="AF43" s="12">
        <f>SUM(AF35:AF42)</f>
        <v>25045991.82</v>
      </c>
      <c r="AG43" s="20" t="s">
        <v>382</v>
      </c>
      <c r="AH43" s="12">
        <f>SUM(AH35:AH42)</f>
        <v>54742174.659999989</v>
      </c>
      <c r="AI43" s="12"/>
      <c r="AJ43" s="12">
        <f>SUM(AJ35:AJ42)</f>
        <v>25045991.82</v>
      </c>
      <c r="AK43" s="12"/>
      <c r="AL43" s="12">
        <f>SUM(AL35:AL42)</f>
        <v>29696182.839999996</v>
      </c>
      <c r="AM43" s="22"/>
      <c r="AN43" s="13">
        <f t="shared" si="22"/>
        <v>2.1856660759701545</v>
      </c>
      <c r="AO43" s="13"/>
      <c r="AP43" s="14">
        <f t="shared" si="17"/>
        <v>1.1856660759701545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Sheet'!AF112-AF43</f>
        <v>0</v>
      </c>
      <c r="AN44" s="13"/>
      <c r="AO44" s="13"/>
      <c r="AP44" s="19"/>
    </row>
    <row r="45" spans="1:42" s="9" customFormat="1" ht="24.95" customHeight="1" x14ac:dyDescent="0.2">
      <c r="A45" s="8" t="s">
        <v>313</v>
      </c>
      <c r="B45" s="12"/>
      <c r="C45" s="12"/>
      <c r="D45" s="12"/>
      <c r="E45" s="12"/>
      <c r="F45" s="12"/>
      <c r="G45" s="12"/>
      <c r="P45" s="10"/>
      <c r="Q45" s="8" t="s">
        <v>313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313</v>
      </c>
      <c r="AN45" s="10"/>
      <c r="AO45" s="10"/>
      <c r="AP45" s="19"/>
    </row>
    <row r="46" spans="1:42" s="9" customFormat="1" ht="24.95" customHeight="1" x14ac:dyDescent="0.2">
      <c r="A46" s="9" t="s">
        <v>314</v>
      </c>
      <c r="B46" s="12">
        <f>'Consolidated Balance Sheet'!B115</f>
        <v>0</v>
      </c>
      <c r="C46" s="12"/>
      <c r="D46" s="12">
        <f>'Consolidated Balance Sheet'!D115</f>
        <v>0</v>
      </c>
      <c r="E46" s="12"/>
      <c r="F46" s="12">
        <f>'Consolidated Balance Sheet'!F115</f>
        <v>0</v>
      </c>
      <c r="G46" s="12"/>
      <c r="H46" s="12">
        <f>'Consolidated Balance Sheet'!H115</f>
        <v>0</v>
      </c>
      <c r="I46" s="12"/>
      <c r="J46" s="12">
        <f>'Consolidated Balance Sheet'!J115</f>
        <v>0</v>
      </c>
      <c r="K46" s="12"/>
      <c r="L46" s="12">
        <f>'Consolidated Balance Sheet'!L115</f>
        <v>0</v>
      </c>
      <c r="M46" s="12"/>
      <c r="N46" s="12">
        <f>'Consolidated Balance Sheet'!N115</f>
        <v>0</v>
      </c>
      <c r="O46" s="12"/>
      <c r="P46" s="12">
        <f>SUM(B46:N46)</f>
        <v>0</v>
      </c>
      <c r="Q46" s="9" t="s">
        <v>314</v>
      </c>
      <c r="R46" s="54">
        <f>'Consolidated Balance Sheet'!R115</f>
        <v>0</v>
      </c>
      <c r="S46" s="12"/>
      <c r="T46" s="54">
        <f>'Consolidated Balance Sheet'!T115</f>
        <v>0</v>
      </c>
      <c r="U46" s="12"/>
      <c r="V46" s="54">
        <f>'Consolidated Balance Sheet'!V115</f>
        <v>0</v>
      </c>
      <c r="W46" s="12"/>
      <c r="X46" s="54">
        <f>'Consolidated Balance Sheet'!X115</f>
        <v>0</v>
      </c>
      <c r="Y46" s="12"/>
      <c r="Z46" s="54">
        <f>'Consolidated Balance Sheet'!Z115</f>
        <v>0</v>
      </c>
      <c r="AA46" s="12"/>
      <c r="AB46" s="54">
        <f>'Consolidated Balance Sheet'!AB115</f>
        <v>0</v>
      </c>
      <c r="AC46" s="12"/>
      <c r="AD46" s="54">
        <f>'Consolidated Balance Sheet'!AD115</f>
        <v>0</v>
      </c>
      <c r="AE46" s="12"/>
      <c r="AF46" s="12">
        <f>SUM(R46:AD46)</f>
        <v>0</v>
      </c>
      <c r="AG46" s="9" t="s">
        <v>314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478</v>
      </c>
      <c r="B47" s="16">
        <f>'Consolidated Balance Sheet'!B116+'Consolidated Balance Sheet'!B118+'Consolidated Balance Sheet'!B119+'Consolidated Balance Sheet'!B120+'Consolidated Balance Sheet'!B117</f>
        <v>2055263.6700000002</v>
      </c>
      <c r="C47" s="16"/>
      <c r="D47" s="16">
        <f>'Consolidated Balance Sheet'!D116+'Consolidated Balance Sheet'!D118+'Consolidated Balance Sheet'!D119+'Consolidated Balance Sheet'!D120</f>
        <v>0</v>
      </c>
      <c r="E47" s="16"/>
      <c r="F47" s="16">
        <f>'Consolidated Balance Sheet'!F116+'Consolidated Balance Sheet'!F118+'Consolidated Balance Sheet'!F119+'Consolidated Balance Sheet'!F120</f>
        <v>0</v>
      </c>
      <c r="G47" s="16"/>
      <c r="H47" s="16">
        <f>'Consolidated Balance Sheet'!H116+'Consolidated Balance Sheet'!H118+'Consolidated Balance Sheet'!H119+'Consolidated Balance Sheet'!H120</f>
        <v>0</v>
      </c>
      <c r="I47" s="16"/>
      <c r="J47" s="16">
        <f>'Consolidated Balance Sheet'!J116+'Consolidated Balance Sheet'!J118+'Consolidated Balance Sheet'!J119+'Consolidated Balance Sheet'!J120</f>
        <v>1038675.03</v>
      </c>
      <c r="K47" s="16"/>
      <c r="L47" s="16">
        <f>'Consolidated Balance Sheet'!L116+'Consolidated Balance Sheet'!L118+'Consolidated Balance Sheet'!L119+'Consolidated Balance Sheet'!L120</f>
        <v>247750</v>
      </c>
      <c r="M47" s="17"/>
      <c r="N47" s="16">
        <f>'Consolidated Balance Sheet'!N116+'Consolidated Balance Sheet'!N118+'Consolidated Balance Sheet'!N119+'Consolidated Balance Sheet'!N120</f>
        <v>0</v>
      </c>
      <c r="O47" s="17"/>
      <c r="P47" s="16">
        <f>SUM(B47:N47)</f>
        <v>3341688.7</v>
      </c>
      <c r="Q47" s="9" t="s">
        <v>315</v>
      </c>
      <c r="R47" s="55">
        <f>'Consolidated Balance Sheet'!R116+'Consolidated Balance Sheet'!R118+'Consolidated Balance Sheet'!R119+'Consolidated Balance Sheet'!R120</f>
        <v>40156.65</v>
      </c>
      <c r="S47" s="16"/>
      <c r="T47" s="55">
        <f>'Consolidated Balance Sheet'!T116+'Consolidated Balance Sheet'!T118+'Consolidated Balance Sheet'!T119+'Consolidated Balance Sheet'!T120</f>
        <v>0</v>
      </c>
      <c r="U47" s="16"/>
      <c r="V47" s="55">
        <f>'Consolidated Balance Sheet'!V116+'Consolidated Balance Sheet'!V118+'Consolidated Balance Sheet'!V119+'Consolidated Balance Sheet'!V120</f>
        <v>0</v>
      </c>
      <c r="W47" s="16"/>
      <c r="X47" s="55">
        <f>'Consolidated Balance Sheet'!X116+'Consolidated Balance Sheet'!X118+'Consolidated Balance Sheet'!X119+'Consolidated Balance Sheet'!X120</f>
        <v>0</v>
      </c>
      <c r="Y47" s="16"/>
      <c r="Z47" s="55">
        <f>'Consolidated Balance Sheet'!Z116+'Consolidated Balance Sheet'!Z118+'Consolidated Balance Sheet'!Z119+'Consolidated Balance Sheet'!Z120</f>
        <v>1038675.03</v>
      </c>
      <c r="AA47" s="16"/>
      <c r="AB47" s="55">
        <f>'Consolidated Balance Sheet'!AB116+'Consolidated Balance Sheet'!AB118+'Consolidated Balance Sheet'!AB119+'Consolidated Balance Sheet'!AB120</f>
        <v>247750</v>
      </c>
      <c r="AC47" s="16"/>
      <c r="AD47" s="55">
        <f>'Consolidated Balance Sheet'!AD116+'Consolidated Balance Sheet'!AD118+'Consolidated Balance Sheet'!AD119+'Consolidated Balance Sheet'!AD120</f>
        <v>5926002.1500000004</v>
      </c>
      <c r="AE47" s="16"/>
      <c r="AF47" s="16">
        <f>SUM(R47:AD47)</f>
        <v>7252583.8300000001</v>
      </c>
      <c r="AG47" s="9" t="s">
        <v>315</v>
      </c>
      <c r="AH47" s="16">
        <f>P47</f>
        <v>3341688.7</v>
      </c>
      <c r="AI47" s="16"/>
      <c r="AJ47" s="16">
        <f>AF47</f>
        <v>7252583.8300000001</v>
      </c>
      <c r="AK47" s="16"/>
      <c r="AL47" s="16">
        <f>AH47-AJ47</f>
        <v>-3910895.13</v>
      </c>
      <c r="AM47" s="12"/>
      <c r="AN47" s="13">
        <f>AH47/AJ47</f>
        <v>0.46075836947616505</v>
      </c>
      <c r="AO47" s="13"/>
      <c r="AP47" s="14">
        <f>AN47-1</f>
        <v>-0.539241630523835</v>
      </c>
    </row>
    <row r="48" spans="1:42" s="9" customFormat="1" ht="24.95" customHeight="1" x14ac:dyDescent="0.2">
      <c r="A48" s="20" t="s">
        <v>319</v>
      </c>
      <c r="B48" s="12">
        <f>SUM(B46:B47)</f>
        <v>2055263.6700000002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0</v>
      </c>
      <c r="O48" s="12"/>
      <c r="P48" s="12">
        <f>SUM(P46:P47)</f>
        <v>3341688.7</v>
      </c>
      <c r="Q48" s="20" t="s">
        <v>319</v>
      </c>
      <c r="R48" s="54">
        <f>SUM(R46:R47)</f>
        <v>40156.65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5926002.1500000004</v>
      </c>
      <c r="AE48" s="12"/>
      <c r="AF48" s="12">
        <f>SUM(AF46:AF47)</f>
        <v>7252583.8300000001</v>
      </c>
      <c r="AG48" s="20" t="s">
        <v>319</v>
      </c>
      <c r="AH48" s="12">
        <f>SUM(AH46:AH47)</f>
        <v>3341688.7</v>
      </c>
      <c r="AI48" s="12"/>
      <c r="AJ48" s="12">
        <f>SUM(AJ46:AJ47)</f>
        <v>7252583.8300000001</v>
      </c>
      <c r="AK48" s="12"/>
      <c r="AL48" s="12">
        <f>SUM(AL46:AL47)</f>
        <v>-3910895.13</v>
      </c>
      <c r="AM48" s="12"/>
      <c r="AN48" s="13">
        <f>AH48/AJ48</f>
        <v>0.46075836947616505</v>
      </c>
      <c r="AO48" s="13"/>
      <c r="AP48" s="14">
        <f>AN48-1</f>
        <v>-0.539241630523835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320</v>
      </c>
      <c r="B50" s="21">
        <f>B48+B43</f>
        <v>53306186.720000006</v>
      </c>
      <c r="C50" s="21"/>
      <c r="D50" s="21">
        <f>D48+D43</f>
        <v>2718.63</v>
      </c>
      <c r="E50" s="21"/>
      <c r="F50" s="21">
        <f>F48+F43</f>
        <v>590451.74</v>
      </c>
      <c r="G50" s="21"/>
      <c r="H50" s="21">
        <f>H48+H43</f>
        <v>489176.6</v>
      </c>
      <c r="I50" s="21"/>
      <c r="J50" s="21">
        <f>J48+J43</f>
        <v>3191299.9000000004</v>
      </c>
      <c r="K50" s="21"/>
      <c r="L50" s="21">
        <f>L48+L43</f>
        <v>356716.25</v>
      </c>
      <c r="M50" s="21"/>
      <c r="N50" s="21">
        <f>N48+N43</f>
        <v>147313.51999999999</v>
      </c>
      <c r="O50" s="21"/>
      <c r="P50" s="21">
        <f>P48+P43</f>
        <v>58083863.359999992</v>
      </c>
      <c r="Q50" s="27" t="s">
        <v>320</v>
      </c>
      <c r="R50" s="56">
        <f>R48+R43</f>
        <v>20006138.209999997</v>
      </c>
      <c r="S50" s="21"/>
      <c r="T50" s="56">
        <f>T48+T43</f>
        <v>1132712.2299999997</v>
      </c>
      <c r="U50" s="21"/>
      <c r="V50" s="56">
        <f>V48+V43</f>
        <v>590774.18000000005</v>
      </c>
      <c r="W50" s="21"/>
      <c r="X50" s="56">
        <f>X48+X43</f>
        <v>293605.89</v>
      </c>
      <c r="Y50" s="21"/>
      <c r="Z50" s="56">
        <f>Z48+Z43</f>
        <v>3231429.67</v>
      </c>
      <c r="AA50" s="21"/>
      <c r="AB50" s="56">
        <f>AB48+AB43</f>
        <v>345710.08999999997</v>
      </c>
      <c r="AC50" s="21"/>
      <c r="AD50" s="56">
        <f>AD48+AD43</f>
        <v>6698205.3800000008</v>
      </c>
      <c r="AE50" s="21"/>
      <c r="AF50" s="21">
        <f>AF48+AF43</f>
        <v>32298575.649999999</v>
      </c>
      <c r="AG50" s="27" t="s">
        <v>320</v>
      </c>
      <c r="AH50" s="21">
        <f>AH43+AH48</f>
        <v>58083863.359999992</v>
      </c>
      <c r="AI50" s="21"/>
      <c r="AJ50" s="21">
        <f>AJ43+AJ48</f>
        <v>32298575.649999999</v>
      </c>
      <c r="AK50" s="21"/>
      <c r="AL50" s="21">
        <f>AL43+AL48</f>
        <v>25785287.709999997</v>
      </c>
      <c r="AM50" s="12"/>
      <c r="AN50" s="13">
        <f>AH50/AJ50</f>
        <v>1.7983413259277889</v>
      </c>
      <c r="AO50" s="13"/>
      <c r="AP50" s="14">
        <f>AN50-1</f>
        <v>0.79834132592778895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160</v>
      </c>
      <c r="B52" s="12"/>
      <c r="C52" s="12"/>
      <c r="D52" s="12"/>
      <c r="E52" s="12"/>
      <c r="F52" s="12"/>
      <c r="G52" s="12"/>
      <c r="P52" s="10"/>
      <c r="Q52" s="8" t="s">
        <v>160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160</v>
      </c>
      <c r="AN52" s="10"/>
      <c r="AO52" s="10"/>
      <c r="AP52" s="19"/>
    </row>
    <row r="53" spans="1:42" s="9" customFormat="1" ht="24.95" customHeight="1" x14ac:dyDescent="0.2">
      <c r="A53" s="9" t="s">
        <v>321</v>
      </c>
      <c r="B53" s="12">
        <f>'Consolidated Balance Sheet'!B126</f>
        <v>152325</v>
      </c>
      <c r="C53" s="12">
        <f>'Consolidated Balance Sheet'!C126</f>
        <v>0</v>
      </c>
      <c r="D53" s="12">
        <f>'Consolidated Balance Sheet'!D126</f>
        <v>0</v>
      </c>
      <c r="E53" s="12">
        <f>'Consolidated Balance Sheet'!E126</f>
        <v>0</v>
      </c>
      <c r="F53" s="12">
        <f>'Consolidated Balance Sheet'!F126</f>
        <v>1000</v>
      </c>
      <c r="G53" s="12">
        <f>'Consolidated Balance Sheet'!G126</f>
        <v>0</v>
      </c>
      <c r="H53" s="12">
        <f>'Consolidated Balance Sheet'!H126</f>
        <v>0</v>
      </c>
      <c r="I53" s="12">
        <f>'Consolidated Balance Sheet'!I126</f>
        <v>0</v>
      </c>
      <c r="J53" s="12">
        <f>'Consolidated Balance Sheet'!J126</f>
        <v>24927.59</v>
      </c>
      <c r="K53" s="12">
        <f>'Consolidated Balance Sheet'!K126</f>
        <v>0</v>
      </c>
      <c r="L53" s="12">
        <f>'Consolidated Balance Sheet'!L126</f>
        <v>0</v>
      </c>
      <c r="M53" s="12"/>
      <c r="N53" s="12">
        <f>'Consolidated Balance Sheet'!N126</f>
        <v>0</v>
      </c>
      <c r="O53" s="12"/>
      <c r="P53" s="12">
        <f>SUM(B53:N53)</f>
        <v>178252.59</v>
      </c>
      <c r="Q53" s="9" t="s">
        <v>321</v>
      </c>
      <c r="R53" s="54">
        <f>'Consolidated Balance Sheet'!R126</f>
        <v>152325</v>
      </c>
      <c r="S53" s="12"/>
      <c r="T53" s="54">
        <f>'Consolidated Balance Sheet'!T126</f>
        <v>0</v>
      </c>
      <c r="U53" s="12"/>
      <c r="V53" s="54">
        <f>'Consolidated Balance Sheet'!V126</f>
        <v>1000</v>
      </c>
      <c r="W53" s="12"/>
      <c r="X53" s="54">
        <f>'Consolidated Balance Sheet'!X126</f>
        <v>0</v>
      </c>
      <c r="Y53" s="12"/>
      <c r="Z53" s="54">
        <f>'Consolidated Balance Sheet'!Z126</f>
        <v>25000.03</v>
      </c>
      <c r="AA53" s="12"/>
      <c r="AB53" s="54">
        <f>'Consolidated Balance Sheet'!AB126</f>
        <v>0</v>
      </c>
      <c r="AC53" s="12"/>
      <c r="AD53" s="54">
        <f>'Consolidated Balance Sheet'!AD126</f>
        <v>0</v>
      </c>
      <c r="AE53" s="12"/>
      <c r="AF53" s="12">
        <f>SUM(R53:AD53)</f>
        <v>178325.03</v>
      </c>
      <c r="AG53" s="9" t="s">
        <v>321</v>
      </c>
      <c r="AH53" s="12">
        <f>P53</f>
        <v>178252.59</v>
      </c>
      <c r="AI53" s="12"/>
      <c r="AJ53" s="12">
        <f>AF53</f>
        <v>178325.03</v>
      </c>
      <c r="AK53" s="12"/>
      <c r="AL53" s="12">
        <f>AH53-AJ53</f>
        <v>-72.440000000002328</v>
      </c>
      <c r="AM53" s="12"/>
      <c r="AN53" s="13">
        <f t="shared" ref="AN53:AN59" si="23">AH53/AJ53</f>
        <v>0.99959377547840589</v>
      </c>
      <c r="AO53" s="13"/>
      <c r="AP53" s="14">
        <f t="shared" ref="AP53:AP59" si="24">AN53-1</f>
        <v>-4.0622452159411182E-4</v>
      </c>
    </row>
    <row r="54" spans="1:42" s="9" customFormat="1" ht="24.95" customHeight="1" x14ac:dyDescent="0.2">
      <c r="A54" s="9" t="s">
        <v>479</v>
      </c>
      <c r="B54" s="12">
        <f>'Consolidated Balance Sheet'!B127+'Consolidated Balance Sheet'!B128+'Consolidated Balance Sheet'!B129</f>
        <v>25706614.940000001</v>
      </c>
      <c r="C54" s="12">
        <f>'Consolidated Balance Sheet'!C127+'Consolidated Balance Sheet'!C128+'Consolidated Balance Sheet'!C129</f>
        <v>0</v>
      </c>
      <c r="D54" s="12">
        <f>'Consolidated Balance Sheet'!D127+'Consolidated Balance Sheet'!D128+'Consolidated Balance Sheet'!D129</f>
        <v>375558.92</v>
      </c>
      <c r="E54" s="12">
        <f>'Consolidated Balance Sheet'!E127+'Consolidated Balance Sheet'!E128+'Consolidated Balance Sheet'!E129</f>
        <v>0</v>
      </c>
      <c r="F54" s="12">
        <f>'Consolidated Balance Sheet'!F127+'Consolidated Balance Sheet'!F128+'Consolidated Balance Sheet'!F129</f>
        <v>1552479.9</v>
      </c>
      <c r="G54" s="12">
        <f>'Consolidated Balance Sheet'!G127+'Consolidated Balance Sheet'!G128+'Consolidated Balance Sheet'!G129</f>
        <v>0</v>
      </c>
      <c r="H54" s="12">
        <f>'Consolidated Balance Sheet'!H127+'Consolidated Balance Sheet'!H128+'Consolidated Balance Sheet'!H129</f>
        <v>448105.14</v>
      </c>
      <c r="I54" s="12">
        <f>'Consolidated Balance Sheet'!I127+'Consolidated Balance Sheet'!I128+'Consolidated Balance Sheet'!I129</f>
        <v>0</v>
      </c>
      <c r="J54" s="12">
        <f>'Consolidated Balance Sheet'!J127+'Consolidated Balance Sheet'!J128+'Consolidated Balance Sheet'!J129</f>
        <v>-1221589.6500000001</v>
      </c>
      <c r="K54" s="12">
        <f>'Consolidated Balance Sheet'!K127+'Consolidated Balance Sheet'!K128+'Consolidated Balance Sheet'!K129</f>
        <v>0</v>
      </c>
      <c r="L54" s="12">
        <f>'Consolidated Balance Sheet'!L127+'Consolidated Balance Sheet'!L128+'Consolidated Balance Sheet'!L129</f>
        <v>5115448.42</v>
      </c>
      <c r="M54" s="12"/>
      <c r="N54" s="12">
        <f>'Consolidated Balance Sheet'!N127+'Consolidated Balance Sheet'!N128+'Consolidated Balance Sheet'!N129</f>
        <v>2268685.4300000002</v>
      </c>
      <c r="O54" s="12"/>
      <c r="P54" s="12">
        <f>SUM(B54:N54)</f>
        <v>34245303.100000001</v>
      </c>
      <c r="Q54" s="9" t="s">
        <v>507</v>
      </c>
      <c r="R54" s="54">
        <f>'Consolidated Balance Sheet'!R127+'Consolidated Balance Sheet'!R128+'Consolidated Balance Sheet'!R129</f>
        <v>11186850.75</v>
      </c>
      <c r="S54" s="12"/>
      <c r="T54" s="54">
        <f>'Consolidated Balance Sheet'!T127+'Consolidated Balance Sheet'!T128+'Consolidated Balance Sheet'!T129</f>
        <v>2138813.77</v>
      </c>
      <c r="U54" s="12"/>
      <c r="V54" s="54">
        <f>'Consolidated Balance Sheet'!V127+'Consolidated Balance Sheet'!V128+'Consolidated Balance Sheet'!V129</f>
        <v>472239.42</v>
      </c>
      <c r="W54" s="12"/>
      <c r="X54" s="54">
        <f>'Consolidated Balance Sheet'!X127+'Consolidated Balance Sheet'!X128+'Consolidated Balance Sheet'!X129</f>
        <v>408021.11</v>
      </c>
      <c r="Y54" s="12"/>
      <c r="Z54" s="54">
        <f>'Consolidated Balance Sheet'!Z127+'Consolidated Balance Sheet'!Z128+'Consolidated Balance Sheet'!Z129</f>
        <v>-1148329.8299999998</v>
      </c>
      <c r="AA54" s="12"/>
      <c r="AB54" s="54">
        <f>'Consolidated Balance Sheet'!AB127+'Consolidated Balance Sheet'!AB128+'Consolidated Balance Sheet'!AB129</f>
        <v>4930333.93</v>
      </c>
      <c r="AC54" s="12"/>
      <c r="AD54" s="54">
        <f>'Consolidated Balance Sheet'!AD127+'Consolidated Balance Sheet'!AD128+'Consolidated Balance Sheet'!AD129</f>
        <v>1457120.9900000002</v>
      </c>
      <c r="AE54" s="12"/>
      <c r="AF54" s="12">
        <f>SUM(R54:AD54)</f>
        <v>19445050.140000001</v>
      </c>
      <c r="AG54" s="9" t="s">
        <v>322</v>
      </c>
      <c r="AH54" s="12">
        <f>P54</f>
        <v>34245303.100000001</v>
      </c>
      <c r="AI54" s="12"/>
      <c r="AJ54" s="12">
        <f>AF54</f>
        <v>19445050.140000001</v>
      </c>
      <c r="AK54" s="12"/>
      <c r="AL54" s="12">
        <f>AH54-AJ54</f>
        <v>14800252.960000001</v>
      </c>
      <c r="AM54" s="12"/>
      <c r="AN54" s="13">
        <f t="shared" si="23"/>
        <v>1.7611321572040957</v>
      </c>
      <c r="AO54" s="13"/>
      <c r="AP54" s="14">
        <f t="shared" si="24"/>
        <v>0.76113215720409566</v>
      </c>
    </row>
    <row r="55" spans="1:42" s="9" customFormat="1" ht="24.95" customHeight="1" x14ac:dyDescent="0.2">
      <c r="A55" s="9" t="s">
        <v>548</v>
      </c>
      <c r="B55" s="12">
        <f>'Consolidated Balance Sheet'!B130</f>
        <v>0</v>
      </c>
      <c r="C55" s="12">
        <f>'Consolidated Balance Sheet'!C128+'Consolidated Balance Sheet'!C129+'Consolidated Balance Sheet'!C130</f>
        <v>0</v>
      </c>
      <c r="D55" s="12">
        <f>'Consolidated Balance Sheet'!D130</f>
        <v>0</v>
      </c>
      <c r="E55" s="12">
        <f>'Consolidated Balance Sheet'!E128+'Consolidated Balance Sheet'!E129+'Consolidated Balance Sheet'!E130</f>
        <v>0</v>
      </c>
      <c r="F55" s="12">
        <f>'Consolidated Balance Sheet'!F130</f>
        <v>6646143.8700000001</v>
      </c>
      <c r="G55" s="12">
        <f>'Consolidated Balance Sheet'!G128+'Consolidated Balance Sheet'!G129+'Consolidated Balance Sheet'!G130</f>
        <v>0</v>
      </c>
      <c r="H55" s="12">
        <f>'Consolidated Balance Sheet'!H130</f>
        <v>0</v>
      </c>
      <c r="I55" s="12">
        <f>'Consolidated Balance Sheet'!I128+'Consolidated Balance Sheet'!I129+'Consolidated Balance Sheet'!I130</f>
        <v>0</v>
      </c>
      <c r="J55" s="12">
        <f>'Consolidated Balance Sheet'!J130</f>
        <v>0</v>
      </c>
      <c r="K55" s="12">
        <f>'Consolidated Balance Sheet'!K128+'Consolidated Balance Sheet'!K129+'Consolidated Balance Sheet'!K130</f>
        <v>0</v>
      </c>
      <c r="L55" s="12">
        <f>'Consolidated Balance Sheet'!L130</f>
        <v>0</v>
      </c>
      <c r="M55" s="12"/>
      <c r="N55" s="12">
        <f>'Consolidated Balance Sheet'!N130</f>
        <v>6126127.2300000004</v>
      </c>
      <c r="O55" s="12"/>
      <c r="P55" s="12">
        <f>SUM(B55:N55)</f>
        <v>12772271.100000001</v>
      </c>
      <c r="Q55" s="9" t="s">
        <v>548</v>
      </c>
      <c r="R55" s="54">
        <f>'Consolidated Balance Sheet'!R130</f>
        <v>0</v>
      </c>
      <c r="S55" s="12"/>
      <c r="T55" s="54">
        <f>'Consolidated Balance Sheet'!T130</f>
        <v>0</v>
      </c>
      <c r="U55" s="12"/>
      <c r="V55" s="54">
        <f>'Consolidated Balance Sheet'!V130</f>
        <v>4996824.41</v>
      </c>
      <c r="W55" s="12"/>
      <c r="X55" s="54">
        <f>'Consolidated Balance Sheet'!X130</f>
        <v>0</v>
      </c>
      <c r="Y55" s="12"/>
      <c r="Z55" s="54">
        <f>'Consolidated Balance Sheet'!Z130</f>
        <v>0</v>
      </c>
      <c r="AA55" s="12"/>
      <c r="AB55" s="54">
        <f>'Consolidated Balance Sheet'!AB130</f>
        <v>0</v>
      </c>
      <c r="AC55" s="12"/>
      <c r="AD55" s="54">
        <f>'Consolidated Balance Sheet'!AD130</f>
        <v>0</v>
      </c>
      <c r="AE55" s="12"/>
      <c r="AF55" s="12">
        <f>SUM(R55:AD55)</f>
        <v>4996824.41</v>
      </c>
      <c r="AG55" s="9" t="s">
        <v>548</v>
      </c>
      <c r="AH55" s="12">
        <f>P55</f>
        <v>12772271.100000001</v>
      </c>
      <c r="AI55" s="12">
        <v>0</v>
      </c>
      <c r="AJ55" s="12">
        <f>AF55</f>
        <v>4996824.41</v>
      </c>
      <c r="AK55" s="12"/>
      <c r="AL55" s="12">
        <f>AH55-AJ55</f>
        <v>7775446.6900000013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325</v>
      </c>
      <c r="B56" s="16">
        <f>'Consolidated Balance Sheet'!B131+'Consolidated Balance Sheet'!B132+'Consolidated Balance Sheet'!B133+'Consolidated Balance Sheet'!B134+'Consolidated Balance Sheet'!B135+'Consolidated Balance Sheet'!B136+'Consolidated Balance Sheet'!B137</f>
        <v>-18000</v>
      </c>
      <c r="C56" s="16">
        <f>'Consolidated Balance Sheet'!C131+'Consolidated Balance Sheet'!C132+'Consolidated Balance Sheet'!C133+'Consolidated Balance Sheet'!C134+'Consolidated Balance Sheet'!C135+'Consolidated Balance Sheet'!C136+'Consolidated Balance Sheet'!C137</f>
        <v>0</v>
      </c>
      <c r="D56" s="16">
        <f>'Consolidated Balance Sheet'!D131+'Consolidated Balance Sheet'!D132+'Consolidated Balance Sheet'!D133+'Consolidated Balance Sheet'!D134+'Consolidated Balance Sheet'!D135+'Consolidated Balance Sheet'!D136+'Consolidated Balance Sheet'!D137</f>
        <v>0</v>
      </c>
      <c r="E56" s="16">
        <f>'Consolidated Balance Sheet'!E131+'Consolidated Balance Sheet'!E132+'Consolidated Balance Sheet'!E133+'Consolidated Balance Sheet'!E134+'Consolidated Balance Sheet'!E135+'Consolidated Balance Sheet'!E136+'Consolidated Balance Sheet'!E137</f>
        <v>0</v>
      </c>
      <c r="F56" s="16">
        <f>'Consolidated Balance Sheet'!F131+'Consolidated Balance Sheet'!F132+'Consolidated Balance Sheet'!F133+'Consolidated Balance Sheet'!F134+'Consolidated Balance Sheet'!F135+'Consolidated Balance Sheet'!F136+'Consolidated Balance Sheet'!F137</f>
        <v>0</v>
      </c>
      <c r="G56" s="16">
        <f>'Consolidated Balance Sheet'!G131+'Consolidated Balance Sheet'!G132+'Consolidated Balance Sheet'!G133+'Consolidated Balance Sheet'!G134+'Consolidated Balance Sheet'!G135+'Consolidated Balance Sheet'!G136+'Consolidated Balance Sheet'!G137</f>
        <v>0</v>
      </c>
      <c r="H56" s="16">
        <f>'Consolidated Balance Sheet'!H131+'Consolidated Balance Sheet'!H132+'Consolidated Balance Sheet'!H133+'Consolidated Balance Sheet'!H134+'Consolidated Balance Sheet'!H135+'Consolidated Balance Sheet'!H136+'Consolidated Balance Sheet'!H137</f>
        <v>0</v>
      </c>
      <c r="I56" s="16">
        <f>'Consolidated Balance Sheet'!I131+'Consolidated Balance Sheet'!I132+'Consolidated Balance Sheet'!I133+'Consolidated Balance Sheet'!I134+'Consolidated Balance Sheet'!I135+'Consolidated Balance Sheet'!I136+'Consolidated Balance Sheet'!I137</f>
        <v>0</v>
      </c>
      <c r="J56" s="16">
        <f>'Consolidated Balance Sheet'!J131+'Consolidated Balance Sheet'!J132+'Consolidated Balance Sheet'!J133+'Consolidated Balance Sheet'!J134+'Consolidated Balance Sheet'!J135+'Consolidated Balance Sheet'!J136+'Consolidated Balance Sheet'!J137</f>
        <v>0</v>
      </c>
      <c r="K56" s="16">
        <f>'Consolidated Balance Sheet'!K131+'Consolidated Balance Sheet'!K132+'Consolidated Balance Sheet'!K133+'Consolidated Balance Sheet'!K134+'Consolidated Balance Sheet'!K135+'Consolidated Balance Sheet'!K136+'Consolidated Balance Sheet'!K137</f>
        <v>0</v>
      </c>
      <c r="L56" s="16">
        <f>'Consolidated Balance Sheet'!L131+'Consolidated Balance Sheet'!L132+'Consolidated Balance Sheet'!L133+'Consolidated Balance Sheet'!L134+'Consolidated Balance Sheet'!L135+'Consolidated Balance Sheet'!L136+'Consolidated Balance Sheet'!L137</f>
        <v>0</v>
      </c>
      <c r="M56" s="16"/>
      <c r="N56" s="16">
        <f>'Consolidated Balance Sheet'!N131+'Consolidated Balance Sheet'!N132+'Consolidated Balance Sheet'!N133+'Consolidated Balance Sheet'!N134+'Consolidated Balance Sheet'!N135+'Consolidated Balance Sheet'!N136+'Consolidated Balance Sheet'!N137</f>
        <v>0</v>
      </c>
      <c r="O56" s="16"/>
      <c r="P56" s="16">
        <f>SUM(B56:N56)</f>
        <v>-18000</v>
      </c>
      <c r="Q56" s="9" t="s">
        <v>325</v>
      </c>
      <c r="R56" s="55">
        <f>SUM('Consolidated Balance Sheet'!R131:R137)</f>
        <v>-18000</v>
      </c>
      <c r="S56" s="16"/>
      <c r="T56" s="55">
        <f>'Consolidated Balance Sheet'!T131+'Consolidated Balance Sheet'!T132+'Consolidated Balance Sheet'!T133+'Consolidated Balance Sheet'!T134+'Consolidated Balance Sheet'!T135+'Consolidated Balance Sheet'!T136+'Consolidated Balance Sheet'!T137</f>
        <v>-1425757.56</v>
      </c>
      <c r="U56" s="16"/>
      <c r="V56" s="55">
        <f>'Consolidated Balance Sheet'!V131+'Consolidated Balance Sheet'!V132+'Consolidated Balance Sheet'!V133+'Consolidated Balance Sheet'!V134+'Consolidated Balance Sheet'!V135+'Consolidated Balance Sheet'!V136+'Consolidated Balance Sheet'!V137</f>
        <v>0</v>
      </c>
      <c r="W56" s="16"/>
      <c r="X56" s="55">
        <f>'Consolidated Balance Sheet'!X131+'Consolidated Balance Sheet'!X132+'Consolidated Balance Sheet'!X133+'Consolidated Balance Sheet'!X134+'Consolidated Balance Sheet'!X135+'Consolidated Balance Sheet'!X136+'Consolidated Balance Sheet'!X137</f>
        <v>0</v>
      </c>
      <c r="Y56" s="16"/>
      <c r="Z56" s="55">
        <f>'Consolidated Balance Sheet'!Z131+'Consolidated Balance Sheet'!Z132+'Consolidated Balance Sheet'!Z133+'Consolidated Balance Sheet'!Z134+'Consolidated Balance Sheet'!Z135+'Consolidated Balance Sheet'!Z136+'Consolidated Balance Sheet'!Z137</f>
        <v>0</v>
      </c>
      <c r="AA56" s="16"/>
      <c r="AB56" s="55">
        <f>'Consolidated Balance Sheet'!AB131+'Consolidated Balance Sheet'!AB132+'Consolidated Balance Sheet'!AB133+'Consolidated Balance Sheet'!AB134+'Consolidated Balance Sheet'!AB135+'Consolidated Balance Sheet'!AB136+'Consolidated Balance Sheet'!AB137</f>
        <v>0</v>
      </c>
      <c r="AC56" s="16"/>
      <c r="AD56" s="55">
        <f>'Consolidated Balance Sheet'!AD131+'Consolidated Balance Sheet'!AD132+'Consolidated Balance Sheet'!AD133+'Consolidated Balance Sheet'!AD134+'Consolidated Balance Sheet'!AD135+'Consolidated Balance Sheet'!AD136+'Consolidated Balance Sheet'!AD137</f>
        <v>0</v>
      </c>
      <c r="AE56" s="16"/>
      <c r="AF56" s="16">
        <f>SUM(R56:AD56)</f>
        <v>-1443757.56</v>
      </c>
      <c r="AG56" s="9" t="s">
        <v>325</v>
      </c>
      <c r="AH56" s="12">
        <f>P56</f>
        <v>-18000</v>
      </c>
      <c r="AI56" s="12"/>
      <c r="AJ56" s="12">
        <f>AF56</f>
        <v>-1443757.56</v>
      </c>
      <c r="AK56" s="12"/>
      <c r="AL56" s="12">
        <f>AH56-AJ56</f>
        <v>1425757.56</v>
      </c>
      <c r="AM56" s="12"/>
      <c r="AN56" s="13">
        <f t="shared" si="23"/>
        <v>1.246746718334067E-2</v>
      </c>
      <c r="AO56" s="13"/>
      <c r="AP56" s="14">
        <f t="shared" si="24"/>
        <v>-0.98753253281665931</v>
      </c>
    </row>
    <row r="57" spans="1:42" s="9" customFormat="1" ht="24.95" customHeight="1" x14ac:dyDescent="0.2">
      <c r="A57" s="27" t="s">
        <v>331</v>
      </c>
      <c r="B57" s="21">
        <f>SUM(B53:B56)</f>
        <v>25840939.940000001</v>
      </c>
      <c r="C57" s="21"/>
      <c r="D57" s="21">
        <f>SUM(D53:D56)</f>
        <v>375558.92</v>
      </c>
      <c r="E57" s="21"/>
      <c r="F57" s="21">
        <f>SUM(F53:F56)</f>
        <v>8199623.7699999996</v>
      </c>
      <c r="G57" s="21"/>
      <c r="H57" s="21">
        <f>SUM(H53:H56)</f>
        <v>448105.14</v>
      </c>
      <c r="I57" s="21"/>
      <c r="J57" s="21">
        <f>SUM(J53:J56)</f>
        <v>-1196662.06</v>
      </c>
      <c r="K57" s="21"/>
      <c r="L57" s="21">
        <f>SUM(L53:L56)</f>
        <v>5115448.42</v>
      </c>
      <c r="M57" s="21"/>
      <c r="N57" s="21">
        <f>SUM(N53:N56)</f>
        <v>8394812.6600000001</v>
      </c>
      <c r="O57" s="21"/>
      <c r="P57" s="21">
        <f>SUM(P53:P56)</f>
        <v>47177826.790000007</v>
      </c>
      <c r="Q57" s="27" t="s">
        <v>331</v>
      </c>
      <c r="R57" s="56">
        <f>SUM(R53:R56)</f>
        <v>11321175.75</v>
      </c>
      <c r="S57" s="21"/>
      <c r="T57" s="56">
        <f t="shared" ref="T57:AB57" si="25">SUM(T53:T56)</f>
        <v>713056.21</v>
      </c>
      <c r="U57" s="21"/>
      <c r="V57" s="56">
        <f t="shared" si="25"/>
        <v>5470063.8300000001</v>
      </c>
      <c r="W57" s="21"/>
      <c r="X57" s="56">
        <f t="shared" si="25"/>
        <v>408021.11</v>
      </c>
      <c r="Y57" s="21"/>
      <c r="Z57" s="56">
        <f t="shared" si="25"/>
        <v>-1123329.7999999998</v>
      </c>
      <c r="AA57" s="21"/>
      <c r="AB57" s="56">
        <f t="shared" si="25"/>
        <v>4930333.93</v>
      </c>
      <c r="AC57" s="21"/>
      <c r="AD57" s="56">
        <f>SUM(AD53:AD56)</f>
        <v>1457120.9900000002</v>
      </c>
      <c r="AE57" s="21"/>
      <c r="AF57" s="21">
        <f>SUM(AF53:AF56)</f>
        <v>23176442.020000003</v>
      </c>
      <c r="AG57" s="27" t="s">
        <v>331</v>
      </c>
      <c r="AH57" s="21">
        <f>SUM(AH53:AH56)</f>
        <v>47177826.790000007</v>
      </c>
      <c r="AI57" s="21"/>
      <c r="AJ57" s="21">
        <f>SUM(AJ53:AJ56)</f>
        <v>23176442.020000003</v>
      </c>
      <c r="AK57" s="21"/>
      <c r="AL57" s="21">
        <f>SUM(AL53:AL56)</f>
        <v>24001384.77</v>
      </c>
      <c r="AM57" s="22"/>
      <c r="AN57" s="13">
        <f t="shared" si="23"/>
        <v>2.0355940203974416</v>
      </c>
      <c r="AO57" s="13"/>
      <c r="AP57" s="14">
        <f t="shared" si="24"/>
        <v>1.0355940203974416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333</v>
      </c>
      <c r="B59" s="23">
        <f>SUM(B57,B48,B43)</f>
        <v>79147126.660000011</v>
      </c>
      <c r="C59" s="23"/>
      <c r="D59" s="23">
        <f>SUM(D57,D48,D43)</f>
        <v>378277.55</v>
      </c>
      <c r="E59" s="23"/>
      <c r="F59" s="23">
        <f>SUM(F57,F48,F43)</f>
        <v>8790075.5099999998</v>
      </c>
      <c r="G59" s="23"/>
      <c r="H59" s="23">
        <f>SUM(H57,H48,H43)</f>
        <v>937281.74</v>
      </c>
      <c r="I59" s="23"/>
      <c r="J59" s="23">
        <f>SUM(J57,J48,J43)</f>
        <v>1994637.84</v>
      </c>
      <c r="K59" s="23"/>
      <c r="L59" s="23">
        <f>SUM(L57,L48,L43)</f>
        <v>5472164.6699999999</v>
      </c>
      <c r="M59" s="23"/>
      <c r="N59" s="23">
        <f>SUM(N57,N48,N43)</f>
        <v>8542126.1799999997</v>
      </c>
      <c r="O59" s="23"/>
      <c r="P59" s="23">
        <f>SUM(P57,P48,P43)</f>
        <v>105261690.15000001</v>
      </c>
      <c r="Q59" s="8" t="s">
        <v>333</v>
      </c>
      <c r="R59" s="57">
        <f>SUM(R57,R48,R43)</f>
        <v>31327313.960000001</v>
      </c>
      <c r="S59" s="23"/>
      <c r="T59" s="57">
        <f>SUM(T57,T48,T43)</f>
        <v>1845768.4399999997</v>
      </c>
      <c r="U59" s="23"/>
      <c r="V59" s="57">
        <f>SUM(V57,V48,V43)</f>
        <v>6060838.0099999998</v>
      </c>
      <c r="W59" s="23"/>
      <c r="X59" s="57">
        <f>SUM(X57,X48,X43)</f>
        <v>701627</v>
      </c>
      <c r="Y59" s="23"/>
      <c r="Z59" s="57">
        <f>SUM(Z57,Z48,Z43)</f>
        <v>2108099.87</v>
      </c>
      <c r="AA59" s="23"/>
      <c r="AB59" s="57">
        <f>SUM(AB57,AB48,AB43)</f>
        <v>5276044.0199999996</v>
      </c>
      <c r="AC59" s="23"/>
      <c r="AD59" s="57">
        <f>SUM(AD57,AD48,AD43)</f>
        <v>8155326.370000001</v>
      </c>
      <c r="AE59" s="23"/>
      <c r="AF59" s="23">
        <f>SUM(AF57,AF48,AF43)</f>
        <v>55475017.670000002</v>
      </c>
      <c r="AG59" s="8" t="s">
        <v>333</v>
      </c>
      <c r="AH59" s="23">
        <f>SUM(AH57,AH48,AH43)</f>
        <v>105261690.15000001</v>
      </c>
      <c r="AI59" s="23"/>
      <c r="AJ59" s="23">
        <f>SUM(AJ57,AJ48,AJ43)</f>
        <v>55475017.670000002</v>
      </c>
      <c r="AK59" s="23"/>
      <c r="AL59" s="23">
        <f>SUM(AL57,AL48,AL43)</f>
        <v>49786672.479999997</v>
      </c>
      <c r="AM59" s="25"/>
      <c r="AN59" s="13">
        <f t="shared" si="23"/>
        <v>1.8974611378433834</v>
      </c>
      <c r="AO59" s="13"/>
      <c r="AP59" s="14">
        <f t="shared" si="24"/>
        <v>0.89746113784338344</v>
      </c>
    </row>
    <row r="60" spans="1:42" ht="15.75" thickTop="1" x14ac:dyDescent="0.2">
      <c r="B60" s="3">
        <f>B59-CNT!U157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0</v>
      </c>
      <c r="T60" s="58">
        <f>T59-T31</f>
        <v>0</v>
      </c>
      <c r="U60" s="3"/>
      <c r="V60" s="58">
        <f>V59-V31</f>
        <v>0</v>
      </c>
      <c r="X60" s="58">
        <f>X59-X31</f>
        <v>0</v>
      </c>
      <c r="Z60" s="58">
        <f>Z59-Z31</f>
        <v>0</v>
      </c>
      <c r="AB60" s="58">
        <f>AB59-AB31</f>
        <v>0</v>
      </c>
      <c r="AD60" s="58">
        <f>AD59-AD31</f>
        <v>0</v>
      </c>
      <c r="AE60" s="3"/>
      <c r="AF60" s="3">
        <f>AF59-AF31</f>
        <v>0</v>
      </c>
      <c r="AG60" s="3"/>
      <c r="AH60" s="3">
        <f>AH59-AH31</f>
        <v>0</v>
      </c>
      <c r="AI60" s="3"/>
      <c r="AJ60" s="3">
        <f>AJ59-AJ31</f>
        <v>0</v>
      </c>
      <c r="AK60" s="3"/>
      <c r="AL60" s="3">
        <f>AL59-AL31</f>
        <v>-6.7055225372314453E-8</v>
      </c>
      <c r="AM60" s="3"/>
      <c r="AN60" s="4">
        <f>AN59-AN31</f>
        <v>0</v>
      </c>
      <c r="AO60" s="3"/>
      <c r="AP60" s="3">
        <f>AP59-AP31</f>
        <v>-1.3322676295501878E-15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Sheet'!R140</f>
        <v>31327313.960000008</v>
      </c>
      <c r="T61" s="61">
        <f>'Consolidated Balance Sheet'!T140</f>
        <v>1845768.4400000002</v>
      </c>
      <c r="V61" s="61">
        <f>'Consolidated Balance Sheet'!V140</f>
        <v>6060838.0099999998</v>
      </c>
      <c r="X61" s="61">
        <f>'Consolidated Balance Sheet'!X140</f>
        <v>701627</v>
      </c>
      <c r="Z61" s="61">
        <f>'Consolidated Balance Sheet'!Z140</f>
        <v>2108099.87</v>
      </c>
      <c r="AB61" s="61">
        <f>'Consolidated Balance Sheet'!AB140</f>
        <v>5276044.0199999996</v>
      </c>
      <c r="AD61" s="61">
        <f>'Consolidated Balance Sheet'!AD140</f>
        <v>8155326.370000001</v>
      </c>
    </row>
    <row r="62" spans="1:42" x14ac:dyDescent="0.2">
      <c r="R62" s="61">
        <f>R59-R61</f>
        <v>0</v>
      </c>
      <c r="T62" s="61">
        <f t="shared" ref="T62:AD62" si="26">T59-T61</f>
        <v>0</v>
      </c>
      <c r="V62" s="61">
        <f t="shared" si="26"/>
        <v>0</v>
      </c>
      <c r="X62" s="61">
        <f t="shared" si="26"/>
        <v>0</v>
      </c>
      <c r="Z62" s="61">
        <f t="shared" si="26"/>
        <v>0</v>
      </c>
      <c r="AB62" s="61">
        <f t="shared" si="26"/>
        <v>0</v>
      </c>
      <c r="AD62" s="61">
        <f t="shared" si="26"/>
        <v>0</v>
      </c>
      <c r="AL62" s="38">
        <f>AL59-'Consolidated Balance Sheet'!AL140</f>
        <v>0</v>
      </c>
    </row>
    <row r="63" spans="1:42" x14ac:dyDescent="0.2">
      <c r="B63" s="7">
        <f>B59-'Consolidated Balance Sheet'!B140</f>
        <v>0</v>
      </c>
      <c r="C63" s="7">
        <f>C59-'Consolidated Balance Sheet'!C140</f>
        <v>0</v>
      </c>
      <c r="D63" s="7">
        <f>D59-'Consolidated Balance Sheet'!D140</f>
        <v>0</v>
      </c>
      <c r="E63" s="7">
        <f>E59-'Consolidated Balance Sheet'!E140</f>
        <v>0</v>
      </c>
      <c r="F63" s="7">
        <f>F59-'Consolidated Balance Sheet'!F140</f>
        <v>0</v>
      </c>
      <c r="G63" s="7">
        <f>G59-'Consolidated Balance Sheet'!G140</f>
        <v>0</v>
      </c>
      <c r="H63" s="7">
        <f>H59-'Consolidated Balance Sheet'!H140</f>
        <v>0</v>
      </c>
      <c r="I63" s="7">
        <f>I59-'Consolidated Balance Sheet'!I140</f>
        <v>0</v>
      </c>
      <c r="J63" s="7">
        <f>J59-'Consolidated Balance Sheet'!J140</f>
        <v>0</v>
      </c>
      <c r="K63" s="7">
        <f>K59-'Consolidated Balance Sheet'!K140</f>
        <v>0</v>
      </c>
      <c r="L63" s="7">
        <f>L59-'Consolidated Balance Sheet'!L140</f>
        <v>0</v>
      </c>
      <c r="M63" s="7">
        <f>M59-'Consolidated Balance Sheet'!O140</f>
        <v>0</v>
      </c>
      <c r="N63" s="7">
        <f>N59-'Consolidated Balance Sheet'!N140</f>
        <v>0</v>
      </c>
      <c r="O63" s="7"/>
      <c r="P63" s="7">
        <f>P59-'Consolidated Balance Sheet'!P140</f>
        <v>0</v>
      </c>
      <c r="AF63" s="38">
        <f>AF59-'Consolidated Balance Sheet'!AF140</f>
        <v>0</v>
      </c>
    </row>
    <row r="74" spans="1:1" x14ac:dyDescent="0.2">
      <c r="A74" s="2" t="s">
        <v>695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4" ht="12" customHeight="1" x14ac:dyDescent="0.2"/>
    <row r="3" spans="1:24" ht="12" customHeight="1" x14ac:dyDescent="0.2">
      <c r="A3" s="164" t="s">
        <v>699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4" ht="12" customHeight="1" x14ac:dyDescent="0.2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</row>
    <row r="5" spans="1:24" ht="12" customHeight="1" x14ac:dyDescent="0.2"/>
    <row r="6" spans="1:24" ht="12" customHeight="1" x14ac:dyDescent="0.2"/>
    <row r="7" spans="1:24" ht="12" customHeight="1" x14ac:dyDescent="0.2">
      <c r="A7" s="156" t="s">
        <v>2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24" ht="12" customHeight="1" x14ac:dyDescent="0.2">
      <c r="B8" s="156" t="s">
        <v>3</v>
      </c>
      <c r="C8" s="156"/>
      <c r="D8" s="156"/>
      <c r="E8" s="156"/>
      <c r="F8" s="156"/>
      <c r="G8" s="156"/>
      <c r="H8" s="156"/>
      <c r="I8" s="156"/>
      <c r="J8" s="156"/>
      <c r="K8" s="156"/>
    </row>
    <row r="9" spans="1:24" ht="12" customHeight="1" x14ac:dyDescent="0.2">
      <c r="S9" s="75">
        <v>0</v>
      </c>
    </row>
    <row r="10" spans="1:24" ht="12" customHeight="1" x14ac:dyDescent="0.2">
      <c r="C10" s="158" t="s">
        <v>216</v>
      </c>
      <c r="D10" s="158"/>
      <c r="E10" s="158"/>
      <c r="F10" s="158"/>
      <c r="H10" s="158" t="s">
        <v>217</v>
      </c>
      <c r="I10" s="158"/>
      <c r="J10" s="158"/>
      <c r="K10" s="158"/>
      <c r="L10" s="158"/>
      <c r="M10" s="158"/>
      <c r="N10" s="158"/>
      <c r="O10" s="158"/>
      <c r="P10" s="158"/>
      <c r="Q10" s="158"/>
      <c r="S10" s="129">
        <v>0</v>
      </c>
    </row>
    <row r="11" spans="1:24" ht="12" customHeight="1" x14ac:dyDescent="0.2">
      <c r="C11" s="158" t="s">
        <v>4</v>
      </c>
      <c r="D11" s="158"/>
      <c r="E11" s="158"/>
      <c r="F11" s="158"/>
      <c r="H11" s="158" t="s">
        <v>5</v>
      </c>
      <c r="I11" s="158"/>
      <c r="J11" s="158"/>
      <c r="K11" s="158"/>
      <c r="L11" s="158"/>
      <c r="M11" s="158"/>
      <c r="N11" s="158"/>
      <c r="O11" s="158"/>
      <c r="P11" s="158"/>
      <c r="Q11" s="158"/>
      <c r="S11" s="129">
        <v>490</v>
      </c>
    </row>
    <row r="12" spans="1:24" ht="12" customHeight="1" x14ac:dyDescent="0.2">
      <c r="C12" s="158" t="s">
        <v>6</v>
      </c>
      <c r="D12" s="158"/>
      <c r="E12" s="158"/>
      <c r="F12" s="158"/>
      <c r="H12" s="158" t="s">
        <v>7</v>
      </c>
      <c r="I12" s="158"/>
      <c r="J12" s="158"/>
      <c r="K12" s="158"/>
      <c r="L12" s="158"/>
      <c r="M12" s="158"/>
      <c r="N12" s="158"/>
      <c r="O12" s="158"/>
      <c r="P12" s="158"/>
      <c r="Q12" s="158"/>
      <c r="S12" s="129">
        <v>0</v>
      </c>
    </row>
    <row r="13" spans="1:24" ht="12" customHeight="1" x14ac:dyDescent="0.2">
      <c r="C13" s="158" t="s">
        <v>8</v>
      </c>
      <c r="D13" s="158"/>
      <c r="E13" s="158"/>
      <c r="F13" s="158"/>
      <c r="H13" s="158" t="s">
        <v>9</v>
      </c>
      <c r="I13" s="158"/>
      <c r="J13" s="158"/>
      <c r="K13" s="158"/>
      <c r="L13" s="158"/>
      <c r="M13" s="158"/>
      <c r="N13" s="158"/>
      <c r="O13" s="158"/>
      <c r="P13" s="158"/>
      <c r="Q13" s="158"/>
      <c r="S13" s="129">
        <v>0</v>
      </c>
    </row>
    <row r="14" spans="1:24" ht="12" customHeight="1" x14ac:dyDescent="0.2">
      <c r="C14" s="158">
        <v>1151</v>
      </c>
      <c r="D14" s="158"/>
      <c r="E14" s="158"/>
      <c r="F14" s="158"/>
      <c r="H14" s="158" t="s">
        <v>604</v>
      </c>
      <c r="I14" s="158"/>
      <c r="J14" s="158"/>
      <c r="K14" s="158"/>
      <c r="L14" s="158"/>
      <c r="M14" s="158"/>
      <c r="N14" s="158"/>
      <c r="O14" s="158"/>
      <c r="P14" s="158"/>
      <c r="Q14" s="158"/>
      <c r="S14" s="129">
        <v>0</v>
      </c>
    </row>
    <row r="15" spans="1:24" ht="12" customHeight="1" x14ac:dyDescent="0.2">
      <c r="C15" s="158" t="s">
        <v>12</v>
      </c>
      <c r="D15" s="158"/>
      <c r="E15" s="158"/>
      <c r="F15" s="158"/>
      <c r="H15" s="158" t="s">
        <v>13</v>
      </c>
      <c r="I15" s="158"/>
      <c r="J15" s="158"/>
      <c r="K15" s="158"/>
      <c r="L15" s="158"/>
      <c r="M15" s="158"/>
      <c r="N15" s="158"/>
      <c r="O15" s="158"/>
      <c r="P15" s="158"/>
      <c r="Q15" s="158"/>
      <c r="S15" s="129">
        <v>0</v>
      </c>
    </row>
    <row r="16" spans="1:24" ht="12" customHeight="1" x14ac:dyDescent="0.2">
      <c r="C16" s="158" t="s">
        <v>14</v>
      </c>
      <c r="D16" s="158"/>
      <c r="E16" s="158"/>
      <c r="F16" s="158"/>
      <c r="H16" s="158" t="s">
        <v>15</v>
      </c>
      <c r="I16" s="158"/>
      <c r="J16" s="158"/>
      <c r="K16" s="158"/>
      <c r="L16" s="158"/>
      <c r="M16" s="158"/>
      <c r="N16" s="158"/>
      <c r="O16" s="158"/>
      <c r="P16" s="158"/>
      <c r="Q16" s="158"/>
      <c r="S16" s="129">
        <v>0</v>
      </c>
    </row>
    <row r="17" spans="3:19" ht="12" customHeight="1" x14ac:dyDescent="0.2">
      <c r="C17" s="158" t="s">
        <v>16</v>
      </c>
      <c r="D17" s="158"/>
      <c r="E17" s="158"/>
      <c r="F17" s="158"/>
      <c r="H17" s="158" t="s">
        <v>17</v>
      </c>
      <c r="I17" s="158"/>
      <c r="J17" s="158"/>
      <c r="K17" s="158"/>
      <c r="L17" s="158"/>
      <c r="M17" s="158"/>
      <c r="N17" s="158"/>
      <c r="O17" s="158"/>
      <c r="P17" s="158"/>
      <c r="Q17" s="158"/>
      <c r="S17" s="129">
        <v>7824787.9000000004</v>
      </c>
    </row>
    <row r="18" spans="3:19" ht="12" customHeight="1" x14ac:dyDescent="0.2">
      <c r="C18" s="158">
        <v>1220</v>
      </c>
      <c r="D18" s="158"/>
      <c r="E18" s="158"/>
      <c r="F18" s="158"/>
      <c r="H18" s="158" t="s">
        <v>689</v>
      </c>
      <c r="I18" s="158"/>
      <c r="J18" s="158"/>
      <c r="K18" s="158"/>
      <c r="L18" s="158"/>
      <c r="M18" s="158"/>
      <c r="N18" s="158"/>
      <c r="O18" s="158"/>
      <c r="P18" s="158"/>
      <c r="Q18" s="158"/>
      <c r="S18" s="129">
        <v>9331.48</v>
      </c>
    </row>
    <row r="19" spans="3:19" ht="12" customHeight="1" x14ac:dyDescent="0.2">
      <c r="C19" s="158" t="s">
        <v>18</v>
      </c>
      <c r="D19" s="158"/>
      <c r="E19" s="158"/>
      <c r="F19" s="158"/>
      <c r="H19" s="158" t="s">
        <v>19</v>
      </c>
      <c r="I19" s="158"/>
      <c r="J19" s="158"/>
      <c r="K19" s="158"/>
      <c r="L19" s="158"/>
      <c r="M19" s="158"/>
      <c r="N19" s="158"/>
      <c r="O19" s="158"/>
      <c r="P19" s="158"/>
      <c r="Q19" s="158"/>
      <c r="S19" s="129">
        <v>116167762.94</v>
      </c>
    </row>
    <row r="20" spans="3:19" ht="12" customHeight="1" x14ac:dyDescent="0.2">
      <c r="C20" s="158" t="s">
        <v>20</v>
      </c>
      <c r="D20" s="158"/>
      <c r="E20" s="158"/>
      <c r="F20" s="158"/>
      <c r="H20" s="158" t="s">
        <v>21</v>
      </c>
      <c r="I20" s="158"/>
      <c r="J20" s="158"/>
      <c r="K20" s="158"/>
      <c r="L20" s="158"/>
      <c r="M20" s="158"/>
      <c r="N20" s="158"/>
      <c r="O20" s="158"/>
      <c r="P20" s="158"/>
      <c r="Q20" s="158"/>
      <c r="S20" s="129">
        <v>81224590.909999996</v>
      </c>
    </row>
    <row r="21" spans="3:19" ht="12" customHeight="1" x14ac:dyDescent="0.2">
      <c r="C21" s="158" t="s">
        <v>22</v>
      </c>
      <c r="D21" s="158"/>
      <c r="E21" s="158"/>
      <c r="F21" s="158"/>
      <c r="H21" s="158" t="s">
        <v>23</v>
      </c>
      <c r="I21" s="158"/>
      <c r="J21" s="158"/>
      <c r="K21" s="158"/>
      <c r="L21" s="158"/>
      <c r="M21" s="158"/>
      <c r="N21" s="158"/>
      <c r="O21" s="158"/>
      <c r="P21" s="158"/>
      <c r="Q21" s="158"/>
      <c r="S21" s="129">
        <v>2613633.71</v>
      </c>
    </row>
    <row r="22" spans="3:19" ht="12" customHeight="1" x14ac:dyDescent="0.2">
      <c r="C22" s="158" t="s">
        <v>24</v>
      </c>
      <c r="D22" s="158"/>
      <c r="E22" s="158"/>
      <c r="F22" s="158"/>
      <c r="H22" s="158" t="s">
        <v>25</v>
      </c>
      <c r="I22" s="158"/>
      <c r="J22" s="158"/>
      <c r="K22" s="158"/>
      <c r="L22" s="158"/>
      <c r="M22" s="158"/>
      <c r="N22" s="158"/>
      <c r="O22" s="158"/>
      <c r="P22" s="158"/>
      <c r="Q22" s="158"/>
      <c r="S22" s="129">
        <v>776186.54</v>
      </c>
    </row>
    <row r="23" spans="3:19" ht="12" customHeight="1" x14ac:dyDescent="0.2">
      <c r="C23" s="158" t="s">
        <v>26</v>
      </c>
      <c r="D23" s="158"/>
      <c r="E23" s="158"/>
      <c r="F23" s="158"/>
      <c r="H23" s="158" t="s">
        <v>27</v>
      </c>
      <c r="I23" s="158"/>
      <c r="J23" s="158"/>
      <c r="K23" s="158"/>
      <c r="L23" s="158"/>
      <c r="M23" s="158"/>
      <c r="N23" s="158"/>
      <c r="O23" s="158"/>
      <c r="P23" s="158"/>
      <c r="Q23" s="158"/>
      <c r="S23" s="129">
        <v>0</v>
      </c>
    </row>
    <row r="24" spans="3:19" ht="12" customHeight="1" x14ac:dyDescent="0.2">
      <c r="C24" s="158" t="s">
        <v>28</v>
      </c>
      <c r="D24" s="158"/>
      <c r="E24" s="158"/>
      <c r="F24" s="158"/>
      <c r="H24" s="158" t="s">
        <v>29</v>
      </c>
      <c r="I24" s="158"/>
      <c r="J24" s="158"/>
      <c r="K24" s="158"/>
      <c r="L24" s="158"/>
      <c r="M24" s="158"/>
      <c r="N24" s="158"/>
      <c r="O24" s="158"/>
      <c r="P24" s="158"/>
      <c r="Q24" s="158"/>
      <c r="S24" s="129">
        <v>1212848.83</v>
      </c>
    </row>
    <row r="25" spans="3:19" ht="12" customHeight="1" x14ac:dyDescent="0.2">
      <c r="C25" s="158" t="s">
        <v>30</v>
      </c>
      <c r="D25" s="158"/>
      <c r="E25" s="158"/>
      <c r="F25" s="158"/>
      <c r="H25" s="158" t="s">
        <v>31</v>
      </c>
      <c r="I25" s="158"/>
      <c r="J25" s="158"/>
      <c r="K25" s="158"/>
      <c r="L25" s="158"/>
      <c r="M25" s="158"/>
      <c r="N25" s="158"/>
      <c r="O25" s="158"/>
      <c r="P25" s="158"/>
      <c r="Q25" s="158"/>
      <c r="S25" s="129">
        <v>20215.73</v>
      </c>
    </row>
    <row r="26" spans="3:19" ht="12" customHeight="1" x14ac:dyDescent="0.2">
      <c r="C26" s="158" t="s">
        <v>32</v>
      </c>
      <c r="D26" s="158"/>
      <c r="E26" s="158"/>
      <c r="F26" s="158"/>
      <c r="H26" s="158" t="s">
        <v>33</v>
      </c>
      <c r="I26" s="158"/>
      <c r="J26" s="158"/>
      <c r="K26" s="158"/>
      <c r="L26" s="158"/>
      <c r="M26" s="158"/>
      <c r="N26" s="158"/>
      <c r="O26" s="158"/>
      <c r="P26" s="158"/>
      <c r="Q26" s="158"/>
      <c r="S26" s="129">
        <v>-8979896.3800000008</v>
      </c>
    </row>
    <row r="27" spans="3:19" ht="12" customHeight="1" x14ac:dyDescent="0.2">
      <c r="C27" s="158" t="s">
        <v>34</v>
      </c>
      <c r="D27" s="158"/>
      <c r="E27" s="158"/>
      <c r="F27" s="158"/>
      <c r="H27" s="158" t="s">
        <v>35</v>
      </c>
      <c r="I27" s="158"/>
      <c r="J27" s="158"/>
      <c r="K27" s="158"/>
      <c r="L27" s="158"/>
      <c r="M27" s="158"/>
      <c r="N27" s="158"/>
      <c r="O27" s="158"/>
      <c r="P27" s="158"/>
      <c r="Q27" s="158"/>
      <c r="S27" s="129">
        <v>-131760167.68000001</v>
      </c>
    </row>
    <row r="28" spans="3:19" ht="12" customHeight="1" x14ac:dyDescent="0.2">
      <c r="C28" s="158" t="s">
        <v>36</v>
      </c>
      <c r="D28" s="158"/>
      <c r="E28" s="158"/>
      <c r="F28" s="158"/>
      <c r="H28" s="158" t="s">
        <v>37</v>
      </c>
      <c r="I28" s="158"/>
      <c r="J28" s="158"/>
      <c r="K28" s="158"/>
      <c r="L28" s="158"/>
      <c r="M28" s="158"/>
      <c r="N28" s="158"/>
      <c r="O28" s="158"/>
      <c r="P28" s="158"/>
      <c r="Q28" s="158"/>
      <c r="S28" s="129">
        <v>-20471810.41</v>
      </c>
    </row>
    <row r="29" spans="3:19" ht="12" customHeight="1" x14ac:dyDescent="0.2">
      <c r="C29" s="158">
        <v>1232</v>
      </c>
      <c r="D29" s="158"/>
      <c r="E29" s="158"/>
      <c r="F29" s="158"/>
      <c r="H29" s="158" t="s">
        <v>39</v>
      </c>
      <c r="I29" s="158"/>
      <c r="J29" s="158"/>
      <c r="K29" s="158"/>
      <c r="L29" s="158"/>
      <c r="M29" s="158"/>
      <c r="N29" s="158"/>
      <c r="O29" s="158"/>
      <c r="P29" s="158"/>
      <c r="Q29" s="158"/>
      <c r="S29" s="129">
        <v>-64228.68</v>
      </c>
    </row>
    <row r="30" spans="3:19" ht="12" customHeight="1" x14ac:dyDescent="0.2">
      <c r="C30" s="158" t="s">
        <v>40</v>
      </c>
      <c r="D30" s="158"/>
      <c r="E30" s="158"/>
      <c r="F30" s="158"/>
      <c r="H30" s="158" t="s">
        <v>41</v>
      </c>
      <c r="I30" s="158"/>
      <c r="J30" s="158"/>
      <c r="K30" s="158"/>
      <c r="L30" s="158"/>
      <c r="M30" s="158"/>
      <c r="N30" s="158"/>
      <c r="O30" s="158"/>
      <c r="P30" s="158"/>
      <c r="Q30" s="158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58" t="s">
        <v>42</v>
      </c>
      <c r="D32" s="158"/>
      <c r="E32" s="158"/>
      <c r="F32" s="158"/>
      <c r="H32" s="158" t="s">
        <v>43</v>
      </c>
      <c r="I32" s="158"/>
      <c r="J32" s="158"/>
      <c r="K32" s="158"/>
      <c r="L32" s="158"/>
      <c r="M32" s="158"/>
      <c r="N32" s="158"/>
      <c r="O32" s="158"/>
      <c r="P32" s="158"/>
      <c r="Q32" s="158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58" t="s">
        <v>586</v>
      </c>
      <c r="I33" s="158"/>
      <c r="J33" s="158"/>
      <c r="K33" s="158"/>
      <c r="L33" s="158"/>
      <c r="M33" s="158"/>
      <c r="N33" s="158"/>
      <c r="O33" s="158"/>
      <c r="P33" s="158"/>
      <c r="Q33" s="158"/>
      <c r="S33" s="129">
        <v>0</v>
      </c>
    </row>
    <row r="34" spans="3:19" ht="12" customHeight="1" x14ac:dyDescent="0.2">
      <c r="C34" s="158" t="s">
        <v>46</v>
      </c>
      <c r="D34" s="158"/>
      <c r="E34" s="158"/>
      <c r="F34" s="158"/>
      <c r="H34" s="158" t="s">
        <v>47</v>
      </c>
      <c r="I34" s="158"/>
      <c r="J34" s="158"/>
      <c r="K34" s="158"/>
      <c r="L34" s="158"/>
      <c r="M34" s="158"/>
      <c r="N34" s="158"/>
      <c r="O34" s="158"/>
      <c r="P34" s="158"/>
      <c r="Q34" s="158"/>
      <c r="S34" s="129">
        <v>0</v>
      </c>
    </row>
    <row r="35" spans="3:19" ht="12" customHeight="1" x14ac:dyDescent="0.2">
      <c r="C35" s="158" t="s">
        <v>48</v>
      </c>
      <c r="D35" s="158"/>
      <c r="E35" s="158"/>
      <c r="F35" s="158"/>
      <c r="H35" s="158" t="s">
        <v>49</v>
      </c>
      <c r="I35" s="158"/>
      <c r="J35" s="158"/>
      <c r="K35" s="158"/>
      <c r="L35" s="158"/>
      <c r="M35" s="158"/>
      <c r="N35" s="158"/>
      <c r="O35" s="158"/>
      <c r="P35" s="158"/>
      <c r="Q35" s="158"/>
      <c r="S35" s="129">
        <v>154663.69</v>
      </c>
    </row>
    <row r="36" spans="3:19" ht="12" customHeight="1" x14ac:dyDescent="0.2">
      <c r="C36" s="158" t="s">
        <v>50</v>
      </c>
      <c r="D36" s="158"/>
      <c r="E36" s="158"/>
      <c r="F36" s="158"/>
      <c r="H36" s="158" t="s">
        <v>51</v>
      </c>
      <c r="I36" s="158"/>
      <c r="J36" s="158"/>
      <c r="K36" s="158"/>
      <c r="L36" s="158"/>
      <c r="M36" s="158"/>
      <c r="N36" s="158"/>
      <c r="O36" s="158"/>
      <c r="P36" s="158"/>
      <c r="Q36" s="158"/>
      <c r="S36" s="129">
        <v>386346.92</v>
      </c>
    </row>
    <row r="37" spans="3:19" ht="12" customHeight="1" x14ac:dyDescent="0.2">
      <c r="C37" s="158" t="s">
        <v>52</v>
      </c>
      <c r="D37" s="158"/>
      <c r="E37" s="158"/>
      <c r="F37" s="158"/>
      <c r="H37" s="158" t="s">
        <v>53</v>
      </c>
      <c r="I37" s="158"/>
      <c r="J37" s="158"/>
      <c r="K37" s="158"/>
      <c r="L37" s="158"/>
      <c r="M37" s="158"/>
      <c r="N37" s="158"/>
      <c r="O37" s="158"/>
      <c r="P37" s="158"/>
      <c r="Q37" s="158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58" t="s">
        <v>56</v>
      </c>
      <c r="D39" s="158"/>
      <c r="E39" s="158"/>
      <c r="F39" s="158"/>
      <c r="H39" s="158" t="s">
        <v>57</v>
      </c>
      <c r="I39" s="158"/>
      <c r="J39" s="158"/>
      <c r="K39" s="158"/>
      <c r="L39" s="158"/>
      <c r="M39" s="158"/>
      <c r="N39" s="158"/>
      <c r="O39" s="158"/>
      <c r="P39" s="158"/>
      <c r="Q39" s="158"/>
      <c r="S39" s="129">
        <v>0</v>
      </c>
    </row>
    <row r="40" spans="3:19" ht="12" customHeight="1" x14ac:dyDescent="0.2">
      <c r="C40" s="158">
        <v>1248</v>
      </c>
      <c r="D40" s="158"/>
      <c r="E40" s="158"/>
      <c r="F40" s="158"/>
      <c r="H40" s="158" t="s">
        <v>603</v>
      </c>
      <c r="I40" s="158"/>
      <c r="J40" s="158"/>
      <c r="K40" s="158"/>
      <c r="L40" s="158"/>
      <c r="M40" s="158"/>
      <c r="N40" s="158"/>
      <c r="O40" s="158"/>
      <c r="P40" s="158"/>
      <c r="Q40" s="158"/>
      <c r="S40" s="129">
        <v>0</v>
      </c>
    </row>
    <row r="41" spans="3:19" ht="12" customHeight="1" x14ac:dyDescent="0.2">
      <c r="C41" s="158" t="s">
        <v>58</v>
      </c>
      <c r="D41" s="158"/>
      <c r="E41" s="158"/>
      <c r="F41" s="158"/>
      <c r="H41" s="158" t="s">
        <v>59</v>
      </c>
      <c r="I41" s="158"/>
      <c r="J41" s="158"/>
      <c r="K41" s="158"/>
      <c r="L41" s="158"/>
      <c r="M41" s="158"/>
      <c r="N41" s="158"/>
      <c r="O41" s="158"/>
      <c r="P41" s="158"/>
      <c r="Q41" s="158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58" t="s">
        <v>589</v>
      </c>
      <c r="I42" s="158"/>
      <c r="J42" s="158"/>
      <c r="K42" s="158"/>
      <c r="L42" s="158"/>
      <c r="M42" s="158"/>
      <c r="N42" s="158"/>
      <c r="O42" s="158"/>
      <c r="P42" s="158"/>
      <c r="Q42" s="158"/>
      <c r="S42" s="129">
        <v>0</v>
      </c>
    </row>
    <row r="43" spans="3:19" ht="12" customHeight="1" x14ac:dyDescent="0.2">
      <c r="C43" s="158">
        <v>1255</v>
      </c>
      <c r="D43" s="158"/>
      <c r="E43" s="158"/>
      <c r="F43" s="158"/>
      <c r="H43" s="158" t="s">
        <v>554</v>
      </c>
      <c r="I43" s="158"/>
      <c r="J43" s="158"/>
      <c r="K43" s="158"/>
      <c r="L43" s="158"/>
      <c r="M43" s="158"/>
      <c r="N43" s="158"/>
      <c r="O43" s="158"/>
      <c r="P43" s="158"/>
      <c r="Q43" s="158"/>
      <c r="S43" s="129">
        <v>277917.67</v>
      </c>
    </row>
    <row r="44" spans="3:19" ht="12" customHeight="1" x14ac:dyDescent="0.2">
      <c r="C44" s="158" t="s">
        <v>60</v>
      </c>
      <c r="D44" s="158"/>
      <c r="E44" s="158"/>
      <c r="F44" s="158"/>
      <c r="H44" s="158" t="s">
        <v>61</v>
      </c>
      <c r="I44" s="158"/>
      <c r="J44" s="158"/>
      <c r="K44" s="158"/>
      <c r="L44" s="158"/>
      <c r="M44" s="158"/>
      <c r="N44" s="158"/>
      <c r="O44" s="158"/>
      <c r="P44" s="158"/>
      <c r="Q44" s="158"/>
      <c r="S44" s="129">
        <v>6963.83</v>
      </c>
    </row>
    <row r="45" spans="3:19" ht="12" customHeight="1" x14ac:dyDescent="0.2">
      <c r="C45" s="158" t="s">
        <v>62</v>
      </c>
      <c r="D45" s="158"/>
      <c r="E45" s="158"/>
      <c r="F45" s="158"/>
      <c r="H45" s="158" t="s">
        <v>63</v>
      </c>
      <c r="I45" s="158"/>
      <c r="J45" s="158"/>
      <c r="K45" s="158"/>
      <c r="L45" s="158"/>
      <c r="M45" s="158"/>
      <c r="N45" s="158"/>
      <c r="O45" s="158"/>
      <c r="P45" s="158"/>
      <c r="Q45" s="158"/>
      <c r="S45" s="129">
        <v>162892.82</v>
      </c>
    </row>
    <row r="46" spans="3:19" ht="12" customHeight="1" x14ac:dyDescent="0.2">
      <c r="C46" s="158" t="s">
        <v>64</v>
      </c>
      <c r="D46" s="158"/>
      <c r="E46" s="158"/>
      <c r="F46" s="158"/>
      <c r="H46" s="158" t="s">
        <v>65</v>
      </c>
      <c r="I46" s="158"/>
      <c r="J46" s="158"/>
      <c r="K46" s="158"/>
      <c r="L46" s="158"/>
      <c r="M46" s="158"/>
      <c r="N46" s="158"/>
      <c r="O46" s="158"/>
      <c r="P46" s="158"/>
      <c r="Q46" s="158"/>
      <c r="S46" s="129">
        <v>3146485</v>
      </c>
    </row>
    <row r="47" spans="3:19" ht="12" customHeight="1" x14ac:dyDescent="0.2">
      <c r="C47" s="158">
        <v>1263</v>
      </c>
      <c r="D47" s="158"/>
      <c r="E47" s="158"/>
      <c r="F47" s="158"/>
      <c r="H47" s="184" t="s">
        <v>67</v>
      </c>
      <c r="I47" s="184"/>
      <c r="J47" s="184"/>
      <c r="K47" s="184"/>
      <c r="L47" s="184"/>
      <c r="M47" s="184"/>
      <c r="N47" s="184"/>
      <c r="O47" s="184"/>
      <c r="P47" s="184"/>
      <c r="Q47" s="184"/>
      <c r="S47" s="129">
        <v>40983.120000000003</v>
      </c>
    </row>
    <row r="48" spans="3:19" ht="12" customHeight="1" x14ac:dyDescent="0.2">
      <c r="C48" s="158" t="s">
        <v>68</v>
      </c>
      <c r="D48" s="158"/>
      <c r="E48" s="158"/>
      <c r="F48" s="158"/>
      <c r="H48" s="158" t="s">
        <v>69</v>
      </c>
      <c r="I48" s="158"/>
      <c r="J48" s="158"/>
      <c r="K48" s="158"/>
      <c r="L48" s="158"/>
      <c r="M48" s="158"/>
      <c r="N48" s="158"/>
      <c r="O48" s="158"/>
      <c r="P48" s="158"/>
      <c r="Q48" s="158"/>
      <c r="S48" s="129">
        <v>1239344.6000000001</v>
      </c>
    </row>
    <row r="49" spans="2:25" ht="12" customHeight="1" x14ac:dyDescent="0.2">
      <c r="C49" s="158">
        <v>1420</v>
      </c>
      <c r="D49" s="158"/>
      <c r="E49" s="158"/>
      <c r="F49" s="158"/>
      <c r="H49" s="158" t="s">
        <v>605</v>
      </c>
      <c r="I49" s="158"/>
      <c r="J49" s="158"/>
      <c r="K49" s="158"/>
      <c r="L49" s="158"/>
      <c r="M49" s="158"/>
      <c r="N49" s="158"/>
      <c r="O49" s="158"/>
      <c r="P49" s="158"/>
      <c r="Q49" s="158"/>
      <c r="S49" s="129">
        <v>107630.15</v>
      </c>
    </row>
    <row r="50" spans="2:25" ht="12" customHeight="1" x14ac:dyDescent="0.2">
      <c r="C50" s="158" t="s">
        <v>71</v>
      </c>
      <c r="D50" s="158"/>
      <c r="E50" s="158"/>
      <c r="F50" s="158"/>
      <c r="H50" s="158" t="s">
        <v>606</v>
      </c>
      <c r="I50" s="158"/>
      <c r="J50" s="158"/>
      <c r="K50" s="158"/>
      <c r="L50" s="158"/>
      <c r="M50" s="158"/>
      <c r="N50" s="158"/>
      <c r="O50" s="158"/>
      <c r="P50" s="158"/>
      <c r="Q50" s="158"/>
      <c r="S50" s="129">
        <v>147184.95999999999</v>
      </c>
    </row>
    <row r="51" spans="2:25" ht="12" customHeight="1" x14ac:dyDescent="0.2">
      <c r="C51" s="158" t="s">
        <v>674</v>
      </c>
      <c r="D51" s="158"/>
      <c r="E51" s="158"/>
      <c r="F51" s="158"/>
      <c r="H51" s="158" t="s">
        <v>675</v>
      </c>
      <c r="I51" s="158"/>
      <c r="J51" s="158"/>
      <c r="K51" s="158"/>
      <c r="L51" s="158"/>
      <c r="M51" s="158"/>
      <c r="N51" s="158"/>
      <c r="O51" s="158"/>
      <c r="P51" s="158"/>
      <c r="Q51" s="158"/>
      <c r="S51" s="129">
        <v>0</v>
      </c>
    </row>
    <row r="52" spans="2:25" ht="12" customHeight="1" x14ac:dyDescent="0.2">
      <c r="C52" s="158" t="s">
        <v>72</v>
      </c>
      <c r="D52" s="158"/>
      <c r="E52" s="158"/>
      <c r="F52" s="158"/>
      <c r="H52" s="158" t="s">
        <v>607</v>
      </c>
      <c r="I52" s="158"/>
      <c r="J52" s="158"/>
      <c r="K52" s="158"/>
      <c r="L52" s="158"/>
      <c r="M52" s="158"/>
      <c r="N52" s="158"/>
      <c r="O52" s="158"/>
      <c r="P52" s="158"/>
      <c r="Q52" s="158"/>
      <c r="S52" s="129">
        <v>41887.629999999997</v>
      </c>
    </row>
    <row r="53" spans="2:25" ht="12" customHeight="1" x14ac:dyDescent="0.2">
      <c r="C53" s="158" t="s">
        <v>619</v>
      </c>
      <c r="D53" s="158"/>
      <c r="E53" s="158"/>
      <c r="F53" s="158"/>
      <c r="H53" s="158" t="s">
        <v>629</v>
      </c>
      <c r="I53" s="158"/>
      <c r="J53" s="158"/>
      <c r="K53" s="158"/>
      <c r="L53" s="158"/>
      <c r="M53" s="158"/>
      <c r="N53" s="158"/>
      <c r="O53" s="158"/>
      <c r="P53" s="158"/>
      <c r="Q53" s="158"/>
      <c r="S53" s="129">
        <v>0</v>
      </c>
    </row>
    <row r="54" spans="2:25" ht="12" customHeight="1" x14ac:dyDescent="0.2">
      <c r="C54" s="158" t="s">
        <v>628</v>
      </c>
      <c r="D54" s="158"/>
      <c r="E54" s="158"/>
      <c r="F54" s="158"/>
      <c r="H54" s="158" t="s">
        <v>630</v>
      </c>
      <c r="I54" s="158"/>
      <c r="J54" s="158"/>
      <c r="K54" s="158"/>
      <c r="L54" s="158"/>
      <c r="M54" s="158"/>
      <c r="N54" s="158"/>
      <c r="O54" s="158"/>
      <c r="P54" s="158"/>
      <c r="Q54" s="158"/>
      <c r="S54" s="132">
        <v>0</v>
      </c>
    </row>
    <row r="55" spans="2:25" ht="12" customHeight="1" x14ac:dyDescent="0.2">
      <c r="C55" s="158" t="s">
        <v>618</v>
      </c>
      <c r="D55" s="158"/>
      <c r="E55" s="158"/>
      <c r="F55" s="158"/>
      <c r="H55" s="158" t="s">
        <v>676</v>
      </c>
      <c r="I55" s="158"/>
      <c r="J55" s="158"/>
      <c r="K55" s="158"/>
      <c r="L55" s="158"/>
      <c r="M55" s="158"/>
      <c r="N55" s="158"/>
      <c r="O55" s="158"/>
      <c r="P55" s="158"/>
      <c r="Q55" s="158"/>
      <c r="S55" s="78">
        <v>0</v>
      </c>
    </row>
    <row r="56" spans="2:25" ht="12" customHeight="1" x14ac:dyDescent="0.2">
      <c r="C56" s="158" t="s">
        <v>552</v>
      </c>
      <c r="D56" s="158"/>
      <c r="E56" s="158"/>
      <c r="F56" s="158"/>
      <c r="H56" s="134"/>
      <c r="I56" s="158" t="s">
        <v>677</v>
      </c>
      <c r="J56" s="158"/>
      <c r="K56" s="158"/>
      <c r="L56" s="158"/>
      <c r="M56" s="158"/>
      <c r="N56" s="158"/>
      <c r="O56" s="158"/>
      <c r="P56" s="158"/>
      <c r="Q56" s="158"/>
      <c r="R56" s="158"/>
      <c r="S56" s="78">
        <v>115.46</v>
      </c>
    </row>
    <row r="57" spans="2:25" ht="12" customHeight="1" x14ac:dyDescent="0.2">
      <c r="C57" s="158" t="s">
        <v>401</v>
      </c>
      <c r="D57" s="158"/>
      <c r="E57" s="158"/>
      <c r="F57" s="158"/>
      <c r="H57" s="158" t="s">
        <v>654</v>
      </c>
      <c r="I57" s="158"/>
      <c r="J57" s="158"/>
      <c r="K57" s="158"/>
      <c r="L57" s="158"/>
      <c r="M57" s="158"/>
      <c r="N57" s="158"/>
      <c r="O57" s="158"/>
      <c r="P57" s="158"/>
      <c r="Q57" s="158"/>
      <c r="S57" s="78">
        <v>12982.66</v>
      </c>
    </row>
    <row r="58" spans="2:25" ht="12" customHeight="1" x14ac:dyDescent="0.2">
      <c r="H58" s="156" t="s">
        <v>73</v>
      </c>
      <c r="I58" s="156"/>
      <c r="J58" s="156"/>
      <c r="K58" s="156"/>
      <c r="L58" s="156"/>
      <c r="M58" s="156"/>
      <c r="N58" s="156"/>
      <c r="O58" s="156"/>
      <c r="P58" s="156"/>
      <c r="U58" s="157">
        <f>SUM(S10:S57)</f>
        <v>54636950.919999994</v>
      </c>
      <c r="V58" s="157"/>
      <c r="W58" s="157"/>
      <c r="Y58" s="77"/>
    </row>
    <row r="59" spans="2:25" ht="12" customHeight="1" x14ac:dyDescent="0.2"/>
    <row r="60" spans="2:25" ht="12" customHeight="1" x14ac:dyDescent="0.2">
      <c r="B60" s="156" t="s">
        <v>74</v>
      </c>
      <c r="C60" s="156"/>
      <c r="D60" s="156"/>
      <c r="E60" s="156"/>
      <c r="F60" s="156"/>
      <c r="G60" s="156"/>
      <c r="H60" s="156"/>
      <c r="I60" s="156"/>
      <c r="J60" s="156"/>
      <c r="K60" s="156"/>
    </row>
    <row r="61" spans="2:25" ht="12" customHeight="1" x14ac:dyDescent="0.2">
      <c r="C61" s="158" t="s">
        <v>75</v>
      </c>
      <c r="D61" s="158"/>
      <c r="E61" s="158"/>
      <c r="F61" s="158"/>
      <c r="H61" s="158" t="s">
        <v>76</v>
      </c>
      <c r="I61" s="158"/>
      <c r="J61" s="158"/>
      <c r="K61" s="158"/>
      <c r="L61" s="158"/>
      <c r="M61" s="158"/>
      <c r="N61" s="158"/>
      <c r="O61" s="158"/>
      <c r="P61" s="158"/>
      <c r="Q61" s="158"/>
      <c r="S61" s="129">
        <v>1112375.6499999999</v>
      </c>
    </row>
    <row r="62" spans="2:25" ht="12" customHeight="1" x14ac:dyDescent="0.2">
      <c r="C62" s="158" t="s">
        <v>77</v>
      </c>
      <c r="D62" s="158"/>
      <c r="E62" s="158"/>
      <c r="F62" s="158"/>
      <c r="H62" s="158" t="s">
        <v>78</v>
      </c>
      <c r="I62" s="158"/>
      <c r="J62" s="158"/>
      <c r="K62" s="158"/>
      <c r="L62" s="158"/>
      <c r="M62" s="158"/>
      <c r="N62" s="158"/>
      <c r="O62" s="158"/>
      <c r="P62" s="158"/>
      <c r="Q62" s="158"/>
      <c r="S62" s="129">
        <v>45071.88</v>
      </c>
    </row>
    <row r="63" spans="2:25" ht="12" customHeight="1" x14ac:dyDescent="0.2">
      <c r="C63" s="158" t="s">
        <v>79</v>
      </c>
      <c r="D63" s="158"/>
      <c r="E63" s="158"/>
      <c r="F63" s="158"/>
      <c r="H63" s="158" t="s">
        <v>80</v>
      </c>
      <c r="I63" s="158"/>
      <c r="J63" s="158"/>
      <c r="K63" s="158"/>
      <c r="L63" s="158"/>
      <c r="M63" s="158"/>
      <c r="N63" s="158"/>
      <c r="O63" s="158"/>
      <c r="P63" s="158"/>
      <c r="Q63" s="158"/>
      <c r="S63" s="129">
        <v>715632.48</v>
      </c>
    </row>
    <row r="64" spans="2:25" ht="12" customHeight="1" x14ac:dyDescent="0.2">
      <c r="C64" s="158" t="s">
        <v>81</v>
      </c>
      <c r="D64" s="158"/>
      <c r="E64" s="158"/>
      <c r="F64" s="158"/>
      <c r="H64" s="158" t="s">
        <v>82</v>
      </c>
      <c r="I64" s="158"/>
      <c r="J64" s="158"/>
      <c r="K64" s="158"/>
      <c r="L64" s="158"/>
      <c r="M64" s="158"/>
      <c r="N64" s="158"/>
      <c r="O64" s="158"/>
      <c r="P64" s="158"/>
      <c r="Q64" s="158"/>
      <c r="S64" s="129">
        <v>4682170.93</v>
      </c>
    </row>
    <row r="65" spans="2:23" ht="12" customHeight="1" x14ac:dyDescent="0.2">
      <c r="C65" s="158" t="s">
        <v>83</v>
      </c>
      <c r="D65" s="158"/>
      <c r="E65" s="158"/>
      <c r="F65" s="158"/>
      <c r="H65" s="158" t="s">
        <v>84</v>
      </c>
      <c r="I65" s="158"/>
      <c r="J65" s="158"/>
      <c r="K65" s="158"/>
      <c r="L65" s="158"/>
      <c r="M65" s="158"/>
      <c r="N65" s="158"/>
      <c r="O65" s="158"/>
      <c r="P65" s="158"/>
      <c r="Q65" s="158"/>
      <c r="S65" s="129">
        <v>460539.38</v>
      </c>
    </row>
    <row r="66" spans="2:23" ht="12" customHeight="1" x14ac:dyDescent="0.2">
      <c r="C66" s="158" t="s">
        <v>85</v>
      </c>
      <c r="D66" s="158"/>
      <c r="E66" s="158"/>
      <c r="F66" s="158"/>
      <c r="H66" s="158" t="s">
        <v>86</v>
      </c>
      <c r="I66" s="158"/>
      <c r="J66" s="158"/>
      <c r="K66" s="158"/>
      <c r="L66" s="158"/>
      <c r="M66" s="158"/>
      <c r="N66" s="158"/>
      <c r="O66" s="158"/>
      <c r="P66" s="158"/>
      <c r="Q66" s="158"/>
      <c r="S66" s="129">
        <v>60000</v>
      </c>
    </row>
    <row r="67" spans="2:23" ht="12" customHeight="1" x14ac:dyDescent="0.2">
      <c r="C67" s="158" t="s">
        <v>87</v>
      </c>
      <c r="D67" s="158"/>
      <c r="E67" s="158"/>
      <c r="F67" s="158"/>
      <c r="H67" s="158" t="s">
        <v>88</v>
      </c>
      <c r="I67" s="158"/>
      <c r="J67" s="158"/>
      <c r="K67" s="158"/>
      <c r="L67" s="158"/>
      <c r="M67" s="158"/>
      <c r="N67" s="158"/>
      <c r="O67" s="158"/>
      <c r="P67" s="158"/>
      <c r="Q67" s="158"/>
      <c r="S67" s="129">
        <v>3119443.63</v>
      </c>
    </row>
    <row r="68" spans="2:23" ht="12" customHeight="1" x14ac:dyDescent="0.2">
      <c r="C68" s="158" t="s">
        <v>89</v>
      </c>
      <c r="D68" s="158"/>
      <c r="E68" s="158"/>
      <c r="F68" s="158"/>
      <c r="H68" s="158" t="s">
        <v>90</v>
      </c>
      <c r="I68" s="158"/>
      <c r="J68" s="158"/>
      <c r="K68" s="158"/>
      <c r="L68" s="158"/>
      <c r="M68" s="158"/>
      <c r="N68" s="158"/>
      <c r="O68" s="158"/>
      <c r="P68" s="158"/>
      <c r="Q68" s="158"/>
      <c r="S68" s="129">
        <v>11428.88</v>
      </c>
    </row>
    <row r="69" spans="2:23" ht="12" customHeight="1" x14ac:dyDescent="0.2">
      <c r="C69" s="158" t="s">
        <v>91</v>
      </c>
      <c r="D69" s="158"/>
      <c r="E69" s="158"/>
      <c r="F69" s="158"/>
      <c r="H69" s="158" t="s">
        <v>92</v>
      </c>
      <c r="I69" s="158"/>
      <c r="J69" s="158"/>
      <c r="K69" s="158"/>
      <c r="L69" s="158"/>
      <c r="M69" s="158"/>
      <c r="N69" s="158"/>
      <c r="O69" s="158"/>
      <c r="P69" s="158"/>
      <c r="Q69" s="158"/>
      <c r="S69" s="129">
        <v>205633.94</v>
      </c>
    </row>
    <row r="70" spans="2:23" ht="12" customHeight="1" x14ac:dyDescent="0.2">
      <c r="C70" s="158" t="s">
        <v>93</v>
      </c>
      <c r="D70" s="158"/>
      <c r="E70" s="158"/>
      <c r="F70" s="158"/>
      <c r="H70" s="158" t="s">
        <v>94</v>
      </c>
      <c r="I70" s="158"/>
      <c r="J70" s="158"/>
      <c r="K70" s="158"/>
      <c r="L70" s="158"/>
      <c r="M70" s="158"/>
      <c r="N70" s="158"/>
      <c r="O70" s="158"/>
      <c r="P70" s="158"/>
      <c r="Q70" s="158"/>
      <c r="S70" s="129">
        <v>2023589.41</v>
      </c>
    </row>
    <row r="71" spans="2:23" ht="12" customHeight="1" x14ac:dyDescent="0.2">
      <c r="C71" s="158" t="s">
        <v>95</v>
      </c>
      <c r="D71" s="158"/>
      <c r="E71" s="158"/>
      <c r="F71" s="158"/>
      <c r="H71" s="158" t="s">
        <v>96</v>
      </c>
      <c r="I71" s="158"/>
      <c r="J71" s="158"/>
      <c r="K71" s="158"/>
      <c r="L71" s="158"/>
      <c r="M71" s="158"/>
      <c r="N71" s="158"/>
      <c r="O71" s="158"/>
      <c r="P71" s="158"/>
      <c r="Q71" s="158"/>
      <c r="S71" s="129">
        <v>4956767.88</v>
      </c>
    </row>
    <row r="72" spans="2:23" ht="12" customHeight="1" x14ac:dyDescent="0.2">
      <c r="C72" s="158" t="s">
        <v>97</v>
      </c>
      <c r="D72" s="158"/>
      <c r="E72" s="158"/>
      <c r="F72" s="158"/>
      <c r="H72" s="158" t="s">
        <v>98</v>
      </c>
      <c r="I72" s="158"/>
      <c r="J72" s="158"/>
      <c r="K72" s="158"/>
      <c r="L72" s="158"/>
      <c r="M72" s="158"/>
      <c r="N72" s="158"/>
      <c r="O72" s="158"/>
      <c r="P72" s="158"/>
      <c r="Q72" s="158"/>
      <c r="S72" s="129">
        <v>70738.81</v>
      </c>
    </row>
    <row r="73" spans="2:23" ht="12" customHeight="1" x14ac:dyDescent="0.2">
      <c r="C73" s="158" t="s">
        <v>99</v>
      </c>
      <c r="D73" s="158"/>
      <c r="E73" s="158"/>
      <c r="F73" s="158"/>
      <c r="H73" s="158" t="s">
        <v>100</v>
      </c>
      <c r="I73" s="158"/>
      <c r="J73" s="158"/>
      <c r="K73" s="158"/>
      <c r="L73" s="158"/>
      <c r="M73" s="158"/>
      <c r="N73" s="158"/>
      <c r="O73" s="158"/>
      <c r="P73" s="158"/>
      <c r="Q73" s="158"/>
      <c r="S73" s="129">
        <v>-7763994.8200000003</v>
      </c>
    </row>
    <row r="74" spans="2:23" ht="12" customHeight="1" x14ac:dyDescent="0.2">
      <c r="C74" s="158" t="s">
        <v>101</v>
      </c>
      <c r="D74" s="158"/>
      <c r="E74" s="158"/>
      <c r="F74" s="158"/>
      <c r="H74" s="158" t="s">
        <v>102</v>
      </c>
      <c r="I74" s="158"/>
      <c r="J74" s="158"/>
      <c r="K74" s="158"/>
      <c r="L74" s="158"/>
      <c r="M74" s="158"/>
      <c r="N74" s="158"/>
      <c r="O74" s="158"/>
      <c r="P74" s="158"/>
      <c r="Q74" s="158"/>
      <c r="S74" s="131">
        <v>-58000.1</v>
      </c>
    </row>
    <row r="75" spans="2:23" ht="12" customHeight="1" x14ac:dyDescent="0.2">
      <c r="H75" s="156" t="s">
        <v>103</v>
      </c>
      <c r="I75" s="156"/>
      <c r="J75" s="156"/>
      <c r="K75" s="156"/>
      <c r="L75" s="156"/>
      <c r="M75" s="156"/>
      <c r="N75" s="156"/>
      <c r="O75" s="156"/>
      <c r="P75" s="156"/>
      <c r="U75" s="157">
        <f>SUM(S61:S74)</f>
        <v>9641397.9499999974</v>
      </c>
      <c r="V75" s="157"/>
      <c r="W75" s="157"/>
    </row>
    <row r="76" spans="2:23" ht="12" customHeight="1" x14ac:dyDescent="0.2">
      <c r="B76" s="156" t="s">
        <v>218</v>
      </c>
      <c r="C76" s="156"/>
      <c r="D76" s="156"/>
      <c r="E76" s="156"/>
      <c r="F76" s="156"/>
      <c r="G76" s="156"/>
      <c r="H76" s="156"/>
      <c r="I76" s="156"/>
      <c r="J76" s="156"/>
      <c r="K76" s="156"/>
    </row>
    <row r="77" spans="2:23" ht="12" customHeight="1" x14ac:dyDescent="0.2">
      <c r="C77" s="158" t="s">
        <v>219</v>
      </c>
      <c r="D77" s="158"/>
      <c r="E77" s="158"/>
      <c r="F77" s="158"/>
      <c r="H77" s="158" t="s">
        <v>220</v>
      </c>
      <c r="I77" s="158"/>
      <c r="J77" s="158"/>
      <c r="K77" s="158"/>
      <c r="L77" s="158"/>
      <c r="M77" s="158"/>
      <c r="N77" s="158"/>
      <c r="O77" s="158"/>
      <c r="P77" s="158"/>
      <c r="Q77" s="158"/>
      <c r="S77" s="131">
        <v>0</v>
      </c>
    </row>
    <row r="78" spans="2:23" ht="12" customHeight="1" x14ac:dyDescent="0.2">
      <c r="H78" s="156" t="s">
        <v>221</v>
      </c>
      <c r="I78" s="156"/>
      <c r="J78" s="156"/>
      <c r="K78" s="156"/>
      <c r="L78" s="156"/>
      <c r="M78" s="156"/>
      <c r="N78" s="156"/>
      <c r="O78" s="156"/>
      <c r="P78" s="156"/>
      <c r="U78" s="160">
        <f>S77</f>
        <v>0</v>
      </c>
      <c r="V78" s="160"/>
      <c r="W78" s="160"/>
    </row>
    <row r="79" spans="2:23" ht="12" customHeight="1" x14ac:dyDescent="0.2"/>
    <row r="80" spans="2:23" ht="12" customHeight="1" thickBot="1" x14ac:dyDescent="0.25">
      <c r="I80" s="156" t="s">
        <v>104</v>
      </c>
      <c r="J80" s="156"/>
      <c r="K80" s="156"/>
      <c r="L80" s="156"/>
      <c r="M80" s="156"/>
      <c r="N80" s="156"/>
      <c r="O80" s="156"/>
      <c r="P80" s="156"/>
      <c r="U80" s="163">
        <f>U58+U75+U78</f>
        <v>64278348.86999999</v>
      </c>
      <c r="V80" s="163"/>
      <c r="W80" s="163"/>
    </row>
    <row r="81" spans="1:19" ht="12" customHeight="1" thickTop="1" x14ac:dyDescent="0.2"/>
    <row r="82" spans="1:19" ht="12" customHeight="1" x14ac:dyDescent="0.2">
      <c r="A82" s="156" t="s">
        <v>105</v>
      </c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</row>
    <row r="83" spans="1:19" ht="12" customHeight="1" x14ac:dyDescent="0.2"/>
    <row r="84" spans="1:19" ht="12" customHeight="1" x14ac:dyDescent="0.2">
      <c r="B84" s="156" t="s">
        <v>106</v>
      </c>
      <c r="C84" s="156"/>
      <c r="D84" s="156"/>
      <c r="E84" s="156"/>
      <c r="F84" s="156"/>
      <c r="G84" s="156"/>
      <c r="H84" s="156"/>
      <c r="I84" s="156"/>
      <c r="J84" s="156"/>
      <c r="K84" s="156"/>
      <c r="N84" s="183" t="s">
        <v>222</v>
      </c>
      <c r="O84" s="183"/>
    </row>
    <row r="85" spans="1:19" ht="12" customHeight="1" x14ac:dyDescent="0.2">
      <c r="B85" s="135"/>
      <c r="C85" s="158">
        <v>2105</v>
      </c>
      <c r="D85" s="158"/>
      <c r="E85" s="158"/>
      <c r="F85" s="158"/>
      <c r="G85" s="135"/>
      <c r="H85" s="158" t="s">
        <v>698</v>
      </c>
      <c r="I85" s="158"/>
      <c r="J85" s="158"/>
      <c r="K85" s="158"/>
      <c r="L85" s="158"/>
      <c r="M85" s="158"/>
      <c r="N85" s="158"/>
      <c r="O85" s="158"/>
      <c r="P85" s="158"/>
      <c r="Q85" s="158"/>
      <c r="S85" s="121">
        <v>1773880.21</v>
      </c>
    </row>
    <row r="86" spans="1:19" ht="12" customHeight="1" x14ac:dyDescent="0.2">
      <c r="C86" s="158">
        <v>2110</v>
      </c>
      <c r="D86" s="158"/>
      <c r="E86" s="158"/>
      <c r="F86" s="158"/>
      <c r="H86" s="158" t="s">
        <v>108</v>
      </c>
      <c r="I86" s="158"/>
      <c r="J86" s="158"/>
      <c r="K86" s="158"/>
      <c r="L86" s="158"/>
      <c r="M86" s="158"/>
      <c r="N86" s="158"/>
      <c r="O86" s="158"/>
      <c r="P86" s="158"/>
      <c r="Q86" s="158"/>
      <c r="S86" s="129">
        <v>38816490</v>
      </c>
    </row>
    <row r="87" spans="1:19" ht="12" customHeight="1" x14ac:dyDescent="0.2">
      <c r="C87" s="158" t="s">
        <v>109</v>
      </c>
      <c r="D87" s="158"/>
      <c r="E87" s="158"/>
      <c r="F87" s="158"/>
      <c r="H87" s="158" t="s">
        <v>110</v>
      </c>
      <c r="I87" s="158"/>
      <c r="J87" s="158"/>
      <c r="K87" s="158"/>
      <c r="L87" s="158"/>
      <c r="M87" s="158"/>
      <c r="N87" s="158"/>
      <c r="O87" s="158"/>
      <c r="P87" s="158"/>
      <c r="Q87" s="158"/>
      <c r="S87" s="129">
        <v>1058597.3</v>
      </c>
    </row>
    <row r="88" spans="1:19" ht="12" customHeight="1" x14ac:dyDescent="0.2">
      <c r="C88" s="158" t="s">
        <v>223</v>
      </c>
      <c r="D88" s="158"/>
      <c r="E88" s="158"/>
      <c r="F88" s="158"/>
      <c r="H88" s="158" t="s">
        <v>224</v>
      </c>
      <c r="I88" s="158"/>
      <c r="J88" s="158"/>
      <c r="K88" s="158"/>
      <c r="L88" s="158"/>
      <c r="M88" s="158"/>
      <c r="N88" s="158"/>
      <c r="O88" s="158"/>
      <c r="P88" s="158"/>
      <c r="Q88" s="158"/>
      <c r="S88" s="129">
        <v>0</v>
      </c>
    </row>
    <row r="89" spans="1:19" ht="12" customHeight="1" x14ac:dyDescent="0.2">
      <c r="C89" s="158" t="s">
        <v>111</v>
      </c>
      <c r="D89" s="158"/>
      <c r="E89" s="158"/>
      <c r="F89" s="158"/>
      <c r="H89" s="158" t="s">
        <v>112</v>
      </c>
      <c r="I89" s="158"/>
      <c r="J89" s="158"/>
      <c r="K89" s="158"/>
      <c r="L89" s="158"/>
      <c r="M89" s="158"/>
      <c r="N89" s="158"/>
      <c r="O89" s="158"/>
      <c r="P89" s="158"/>
      <c r="Q89" s="158"/>
      <c r="S89" s="129">
        <v>416.41</v>
      </c>
    </row>
    <row r="90" spans="1:19" ht="12" customHeight="1" x14ac:dyDescent="0.2">
      <c r="C90" s="158" t="s">
        <v>225</v>
      </c>
      <c r="D90" s="158"/>
      <c r="E90" s="158"/>
      <c r="F90" s="158"/>
      <c r="H90" s="158" t="s">
        <v>226</v>
      </c>
      <c r="I90" s="158"/>
      <c r="J90" s="158"/>
      <c r="K90" s="158"/>
      <c r="L90" s="158"/>
      <c r="M90" s="158"/>
      <c r="N90" s="158"/>
      <c r="O90" s="158"/>
      <c r="P90" s="158"/>
      <c r="Q90" s="158"/>
      <c r="S90" s="129">
        <v>0</v>
      </c>
    </row>
    <row r="91" spans="1:19" ht="12" customHeight="1" x14ac:dyDescent="0.2">
      <c r="C91" s="158" t="s">
        <v>113</v>
      </c>
      <c r="D91" s="158"/>
      <c r="E91" s="158"/>
      <c r="F91" s="158"/>
      <c r="H91" s="158" t="s">
        <v>114</v>
      </c>
      <c r="I91" s="158"/>
      <c r="J91" s="158"/>
      <c r="K91" s="158"/>
      <c r="L91" s="158"/>
      <c r="M91" s="158"/>
      <c r="N91" s="158"/>
      <c r="O91" s="158"/>
      <c r="P91" s="158"/>
      <c r="Q91" s="158"/>
      <c r="S91" s="129">
        <v>1188.81</v>
      </c>
    </row>
    <row r="92" spans="1:19" ht="12" customHeight="1" x14ac:dyDescent="0.2">
      <c r="C92" s="158">
        <v>2140</v>
      </c>
      <c r="D92" s="158"/>
      <c r="E92" s="158"/>
      <c r="F92" s="158"/>
      <c r="H92" s="158" t="s">
        <v>116</v>
      </c>
      <c r="I92" s="158"/>
      <c r="J92" s="158"/>
      <c r="K92" s="158"/>
      <c r="L92" s="158"/>
      <c r="M92" s="158"/>
      <c r="N92" s="158"/>
      <c r="O92" s="158"/>
      <c r="P92" s="158"/>
      <c r="Q92" s="158"/>
      <c r="S92" s="129">
        <v>0</v>
      </c>
    </row>
    <row r="93" spans="1:19" ht="12" customHeight="1" x14ac:dyDescent="0.2">
      <c r="C93" s="158">
        <v>2162</v>
      </c>
      <c r="D93" s="158"/>
      <c r="E93" s="158"/>
      <c r="F93" s="158"/>
      <c r="H93" s="158" t="s">
        <v>690</v>
      </c>
      <c r="I93" s="158"/>
      <c r="J93" s="158"/>
      <c r="K93" s="158"/>
      <c r="L93" s="158"/>
      <c r="M93" s="158"/>
      <c r="N93" s="158"/>
      <c r="O93" s="158"/>
      <c r="P93" s="158"/>
      <c r="Q93" s="158"/>
      <c r="S93" s="129">
        <v>0</v>
      </c>
    </row>
    <row r="94" spans="1:19" ht="12" customHeight="1" x14ac:dyDescent="0.2">
      <c r="C94" s="158">
        <v>2150</v>
      </c>
      <c r="D94" s="158"/>
      <c r="E94" s="158"/>
      <c r="F94" s="158"/>
      <c r="H94" s="158" t="s">
        <v>189</v>
      </c>
      <c r="I94" s="158"/>
      <c r="J94" s="158"/>
      <c r="K94" s="158"/>
      <c r="L94" s="158"/>
      <c r="M94" s="158"/>
      <c r="N94" s="158"/>
      <c r="O94" s="158"/>
      <c r="P94" s="158"/>
      <c r="Q94" s="158"/>
      <c r="S94" s="121">
        <v>181.28</v>
      </c>
    </row>
    <row r="95" spans="1:19" ht="12" customHeight="1" x14ac:dyDescent="0.2">
      <c r="C95" s="158" t="s">
        <v>117</v>
      </c>
      <c r="D95" s="158"/>
      <c r="E95" s="158"/>
      <c r="F95" s="158"/>
      <c r="H95" s="158" t="s">
        <v>118</v>
      </c>
      <c r="I95" s="158"/>
      <c r="J95" s="158"/>
      <c r="K95" s="158"/>
      <c r="L95" s="158"/>
      <c r="M95" s="158"/>
      <c r="N95" s="158"/>
      <c r="O95" s="158"/>
      <c r="P95" s="158"/>
      <c r="Q95" s="158"/>
      <c r="S95" s="129">
        <v>3225347.21</v>
      </c>
    </row>
    <row r="96" spans="1:19" ht="12" customHeight="1" x14ac:dyDescent="0.2">
      <c r="C96" s="158" t="s">
        <v>119</v>
      </c>
      <c r="D96" s="158"/>
      <c r="E96" s="158"/>
      <c r="F96" s="158"/>
      <c r="H96" s="158" t="s">
        <v>120</v>
      </c>
      <c r="I96" s="158"/>
      <c r="J96" s="158"/>
      <c r="K96" s="158"/>
      <c r="L96" s="158"/>
      <c r="M96" s="158"/>
      <c r="N96" s="158"/>
      <c r="O96" s="158"/>
      <c r="P96" s="158"/>
      <c r="Q96" s="158"/>
      <c r="S96" s="129">
        <v>16762.55</v>
      </c>
    </row>
    <row r="97" spans="3:19" ht="12" customHeight="1" x14ac:dyDescent="0.2">
      <c r="C97" s="158" t="s">
        <v>121</v>
      </c>
      <c r="D97" s="158"/>
      <c r="E97" s="158"/>
      <c r="F97" s="158"/>
      <c r="H97" s="158" t="s">
        <v>122</v>
      </c>
      <c r="I97" s="158"/>
      <c r="J97" s="158"/>
      <c r="K97" s="158"/>
      <c r="L97" s="158"/>
      <c r="M97" s="158"/>
      <c r="N97" s="158"/>
      <c r="O97" s="158"/>
      <c r="P97" s="158"/>
      <c r="Q97" s="158"/>
      <c r="S97" s="129">
        <v>238535.76</v>
      </c>
    </row>
    <row r="98" spans="3:19" ht="12" customHeight="1" x14ac:dyDescent="0.2">
      <c r="C98" s="158" t="s">
        <v>123</v>
      </c>
      <c r="D98" s="158"/>
      <c r="E98" s="158"/>
      <c r="F98" s="158"/>
      <c r="H98" s="158" t="s">
        <v>124</v>
      </c>
      <c r="I98" s="158"/>
      <c r="J98" s="158"/>
      <c r="K98" s="158"/>
      <c r="L98" s="158"/>
      <c r="M98" s="158"/>
      <c r="N98" s="158"/>
      <c r="O98" s="158"/>
      <c r="P98" s="158"/>
      <c r="Q98" s="158"/>
      <c r="S98" s="129">
        <v>10844.05</v>
      </c>
    </row>
    <row r="99" spans="3:19" ht="12" customHeight="1" x14ac:dyDescent="0.2">
      <c r="C99" s="158" t="s">
        <v>125</v>
      </c>
      <c r="D99" s="158"/>
      <c r="E99" s="158"/>
      <c r="F99" s="158"/>
      <c r="H99" s="158" t="s">
        <v>126</v>
      </c>
      <c r="I99" s="158"/>
      <c r="J99" s="158"/>
      <c r="K99" s="158"/>
      <c r="L99" s="158"/>
      <c r="M99" s="158"/>
      <c r="N99" s="158"/>
      <c r="O99" s="158"/>
      <c r="P99" s="158"/>
      <c r="Q99" s="158"/>
      <c r="S99" s="129">
        <v>123853.72</v>
      </c>
    </row>
    <row r="100" spans="3:19" ht="12" customHeight="1" x14ac:dyDescent="0.2">
      <c r="C100" s="158" t="s">
        <v>127</v>
      </c>
      <c r="D100" s="158"/>
      <c r="E100" s="158"/>
      <c r="F100" s="158"/>
      <c r="H100" s="158" t="s">
        <v>128</v>
      </c>
      <c r="I100" s="158"/>
      <c r="J100" s="158"/>
      <c r="K100" s="158"/>
      <c r="L100" s="158"/>
      <c r="M100" s="158"/>
      <c r="N100" s="158"/>
      <c r="O100" s="158"/>
      <c r="P100" s="158"/>
      <c r="Q100" s="158"/>
      <c r="S100" s="129">
        <v>133600.62</v>
      </c>
    </row>
    <row r="101" spans="3:19" ht="12" customHeight="1" x14ac:dyDescent="0.2">
      <c r="C101" s="158" t="s">
        <v>129</v>
      </c>
      <c r="D101" s="158"/>
      <c r="E101" s="158"/>
      <c r="F101" s="158"/>
      <c r="H101" s="158" t="s">
        <v>130</v>
      </c>
      <c r="I101" s="158"/>
      <c r="J101" s="158"/>
      <c r="K101" s="158"/>
      <c r="L101" s="158"/>
      <c r="M101" s="158"/>
      <c r="N101" s="158"/>
      <c r="O101" s="158"/>
      <c r="P101" s="158"/>
      <c r="Q101" s="158"/>
      <c r="S101" s="129">
        <v>95823.6</v>
      </c>
    </row>
    <row r="102" spans="3:19" ht="12" customHeight="1" x14ac:dyDescent="0.2">
      <c r="C102" s="158">
        <v>2242</v>
      </c>
      <c r="D102" s="158"/>
      <c r="E102" s="158"/>
      <c r="F102" s="158"/>
      <c r="H102" s="158" t="s">
        <v>643</v>
      </c>
      <c r="I102" s="158"/>
      <c r="J102" s="158"/>
      <c r="K102" s="158"/>
      <c r="L102" s="158"/>
      <c r="M102" s="158"/>
      <c r="N102" s="158"/>
      <c r="O102" s="158"/>
      <c r="P102" s="158"/>
      <c r="Q102" s="158"/>
      <c r="S102" s="129">
        <v>0</v>
      </c>
    </row>
    <row r="103" spans="3:19" ht="12" customHeight="1" x14ac:dyDescent="0.2">
      <c r="C103" s="158">
        <v>2244</v>
      </c>
      <c r="D103" s="158"/>
      <c r="E103" s="158"/>
      <c r="F103" s="158"/>
      <c r="H103" s="158" t="s">
        <v>608</v>
      </c>
      <c r="I103" s="158"/>
      <c r="J103" s="158"/>
      <c r="K103" s="158"/>
      <c r="L103" s="158"/>
      <c r="M103" s="158"/>
      <c r="N103" s="158"/>
      <c r="O103" s="158"/>
      <c r="P103" s="158"/>
      <c r="Q103" s="158"/>
      <c r="S103" s="129">
        <v>0</v>
      </c>
    </row>
    <row r="104" spans="3:19" ht="12" customHeight="1" x14ac:dyDescent="0.2">
      <c r="C104" s="158" t="s">
        <v>227</v>
      </c>
      <c r="D104" s="158"/>
      <c r="E104" s="158"/>
      <c r="F104" s="158"/>
      <c r="H104" s="158" t="s">
        <v>228</v>
      </c>
      <c r="I104" s="158"/>
      <c r="J104" s="158"/>
      <c r="K104" s="158"/>
      <c r="L104" s="158"/>
      <c r="M104" s="158"/>
      <c r="N104" s="158"/>
      <c r="O104" s="158"/>
      <c r="P104" s="158"/>
      <c r="Q104" s="158"/>
      <c r="S104" s="129">
        <v>22639</v>
      </c>
    </row>
    <row r="105" spans="3:19" ht="12" customHeight="1" x14ac:dyDescent="0.2">
      <c r="C105" s="158">
        <v>2246</v>
      </c>
      <c r="D105" s="158"/>
      <c r="E105" s="158"/>
      <c r="F105" s="158"/>
      <c r="H105" s="158" t="s">
        <v>135</v>
      </c>
      <c r="I105" s="158"/>
      <c r="J105" s="158"/>
      <c r="K105" s="158"/>
      <c r="L105" s="158"/>
      <c r="M105" s="158"/>
      <c r="N105" s="158"/>
      <c r="O105" s="158"/>
      <c r="P105" s="158"/>
      <c r="Q105" s="158"/>
      <c r="S105" s="129">
        <v>0</v>
      </c>
    </row>
    <row r="106" spans="3:19" ht="12" customHeight="1" x14ac:dyDescent="0.2">
      <c r="C106" s="158">
        <v>2247</v>
      </c>
      <c r="D106" s="158"/>
      <c r="E106" s="158"/>
      <c r="F106" s="158"/>
      <c r="H106" s="158" t="s">
        <v>609</v>
      </c>
      <c r="I106" s="158"/>
      <c r="J106" s="158"/>
      <c r="K106" s="158"/>
      <c r="L106" s="158"/>
      <c r="M106" s="158"/>
      <c r="N106" s="158"/>
      <c r="O106" s="158"/>
      <c r="P106" s="158"/>
      <c r="Q106" s="158"/>
      <c r="S106" s="129">
        <v>0</v>
      </c>
    </row>
    <row r="107" spans="3:19" ht="12" customHeight="1" x14ac:dyDescent="0.2">
      <c r="C107" s="158">
        <v>2248</v>
      </c>
      <c r="D107" s="158"/>
      <c r="E107" s="158"/>
      <c r="F107" s="158"/>
      <c r="H107" s="158" t="s">
        <v>610</v>
      </c>
      <c r="I107" s="158"/>
      <c r="J107" s="158"/>
      <c r="K107" s="158"/>
      <c r="L107" s="158"/>
      <c r="M107" s="158"/>
      <c r="N107" s="158"/>
      <c r="O107" s="158"/>
      <c r="P107" s="158"/>
      <c r="Q107" s="158"/>
      <c r="S107" s="129">
        <v>0</v>
      </c>
    </row>
    <row r="108" spans="3:19" ht="12" customHeight="1" x14ac:dyDescent="0.2">
      <c r="C108" s="158">
        <v>2249</v>
      </c>
      <c r="D108" s="158"/>
      <c r="E108" s="158"/>
      <c r="F108" s="158"/>
      <c r="H108" s="158" t="s">
        <v>141</v>
      </c>
      <c r="I108" s="158"/>
      <c r="J108" s="158"/>
      <c r="K108" s="158"/>
      <c r="L108" s="158"/>
      <c r="M108" s="158"/>
      <c r="N108" s="158"/>
      <c r="O108" s="158"/>
      <c r="P108" s="158"/>
      <c r="Q108" s="158"/>
      <c r="S108" s="129">
        <v>0</v>
      </c>
    </row>
    <row r="109" spans="3:19" ht="12" customHeight="1" x14ac:dyDescent="0.2">
      <c r="C109" s="158" t="s">
        <v>142</v>
      </c>
      <c r="D109" s="158"/>
      <c r="E109" s="158"/>
      <c r="F109" s="158"/>
      <c r="H109" s="158" t="s">
        <v>143</v>
      </c>
      <c r="I109" s="158"/>
      <c r="J109" s="158"/>
      <c r="K109" s="158"/>
      <c r="L109" s="158"/>
      <c r="M109" s="158"/>
      <c r="N109" s="158"/>
      <c r="O109" s="158"/>
      <c r="P109" s="158"/>
      <c r="Q109" s="158"/>
      <c r="S109" s="129">
        <v>620977.18999999994</v>
      </c>
    </row>
    <row r="110" spans="3:19" ht="12" customHeight="1" x14ac:dyDescent="0.2">
      <c r="C110" s="158" t="s">
        <v>144</v>
      </c>
      <c r="D110" s="158"/>
      <c r="E110" s="158"/>
      <c r="F110" s="158"/>
      <c r="H110" s="158" t="s">
        <v>145</v>
      </c>
      <c r="I110" s="158"/>
      <c r="J110" s="158"/>
      <c r="K110" s="158"/>
      <c r="L110" s="158"/>
      <c r="M110" s="158"/>
      <c r="N110" s="158"/>
      <c r="O110" s="158"/>
      <c r="P110" s="158"/>
      <c r="Q110" s="158"/>
      <c r="S110" s="129">
        <v>4600000</v>
      </c>
    </row>
    <row r="111" spans="3:19" ht="12" customHeight="1" x14ac:dyDescent="0.2">
      <c r="C111" s="158">
        <v>2301</v>
      </c>
      <c r="D111" s="158"/>
      <c r="E111" s="158"/>
      <c r="F111" s="158"/>
      <c r="H111" s="158" t="s">
        <v>655</v>
      </c>
      <c r="I111" s="158"/>
      <c r="J111" s="158"/>
      <c r="K111" s="158"/>
      <c r="L111" s="158"/>
      <c r="M111" s="158"/>
      <c r="N111" s="158"/>
      <c r="O111" s="158"/>
      <c r="P111" s="158"/>
      <c r="Q111" s="158"/>
      <c r="S111" s="129">
        <v>2100000</v>
      </c>
    </row>
    <row r="112" spans="3:19" ht="12" customHeight="1" x14ac:dyDescent="0.2">
      <c r="C112" s="158">
        <v>2305</v>
      </c>
      <c r="D112" s="158"/>
      <c r="E112" s="158"/>
      <c r="F112" s="158"/>
      <c r="H112" s="158" t="s">
        <v>574</v>
      </c>
      <c r="I112" s="158"/>
      <c r="J112" s="158"/>
      <c r="K112" s="158"/>
      <c r="L112" s="158"/>
      <c r="M112" s="158"/>
      <c r="N112" s="158"/>
      <c r="O112" s="158"/>
      <c r="P112" s="158"/>
      <c r="Q112" s="158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58" t="s">
        <v>665</v>
      </c>
      <c r="I113" s="158"/>
      <c r="J113" s="158"/>
      <c r="K113" s="158"/>
      <c r="L113" s="158"/>
      <c r="M113" s="158"/>
      <c r="N113" s="158"/>
      <c r="O113" s="158"/>
      <c r="P113" s="158"/>
      <c r="Q113" s="158"/>
      <c r="S113" s="129">
        <v>0</v>
      </c>
    </row>
    <row r="114" spans="2:23" ht="12" customHeight="1" x14ac:dyDescent="0.2">
      <c r="C114" s="158" t="s">
        <v>146</v>
      </c>
      <c r="D114" s="158"/>
      <c r="E114" s="158"/>
      <c r="F114" s="158"/>
      <c r="H114" s="158" t="s">
        <v>644</v>
      </c>
      <c r="I114" s="158"/>
      <c r="J114" s="158"/>
      <c r="K114" s="158"/>
      <c r="L114" s="158"/>
      <c r="M114" s="158"/>
      <c r="N114" s="158"/>
      <c r="O114" s="158"/>
      <c r="P114" s="158"/>
      <c r="Q114" s="158"/>
      <c r="S114" s="129">
        <v>0</v>
      </c>
    </row>
    <row r="115" spans="2:23" ht="12" customHeight="1" x14ac:dyDescent="0.2">
      <c r="C115" s="158" t="s">
        <v>147</v>
      </c>
      <c r="D115" s="158"/>
      <c r="E115" s="158"/>
      <c r="F115" s="158"/>
      <c r="H115" s="158" t="s">
        <v>696</v>
      </c>
      <c r="I115" s="158"/>
      <c r="J115" s="158"/>
      <c r="K115" s="158"/>
      <c r="L115" s="158"/>
      <c r="M115" s="158"/>
      <c r="N115" s="158"/>
      <c r="O115" s="158"/>
      <c r="P115" s="158"/>
      <c r="Q115" s="158"/>
      <c r="S115" s="129">
        <v>0</v>
      </c>
    </row>
    <row r="116" spans="2:23" ht="12" customHeight="1" x14ac:dyDescent="0.2">
      <c r="C116" s="158" t="s">
        <v>587</v>
      </c>
      <c r="D116" s="158"/>
      <c r="E116" s="158"/>
      <c r="F116" s="158"/>
      <c r="H116" s="158" t="s">
        <v>691</v>
      </c>
      <c r="I116" s="158"/>
      <c r="J116" s="158"/>
      <c r="K116" s="158"/>
      <c r="L116" s="158"/>
      <c r="M116" s="158"/>
      <c r="N116" s="158"/>
      <c r="O116" s="158"/>
      <c r="P116" s="158"/>
      <c r="Q116" s="158"/>
      <c r="S116" s="132">
        <v>0</v>
      </c>
    </row>
    <row r="117" spans="2:23" ht="12" customHeight="1" x14ac:dyDescent="0.2">
      <c r="H117" s="156" t="s">
        <v>148</v>
      </c>
      <c r="I117" s="156"/>
      <c r="J117" s="156"/>
      <c r="K117" s="156"/>
      <c r="L117" s="156"/>
      <c r="M117" s="156"/>
      <c r="N117" s="156"/>
      <c r="O117" s="156"/>
      <c r="P117" s="156"/>
      <c r="U117" s="157">
        <f>SUM(S85:S116)</f>
        <v>52932604.209999986</v>
      </c>
      <c r="V117" s="157"/>
      <c r="W117" s="157"/>
    </row>
    <row r="118" spans="2:23" ht="12" customHeight="1" x14ac:dyDescent="0.2"/>
    <row r="119" spans="2:23" ht="12" customHeight="1" x14ac:dyDescent="0.2">
      <c r="B119" s="156" t="s">
        <v>149</v>
      </c>
      <c r="C119" s="156"/>
      <c r="D119" s="156"/>
      <c r="E119" s="156"/>
      <c r="F119" s="156"/>
      <c r="G119" s="156"/>
      <c r="H119" s="156"/>
      <c r="I119" s="156"/>
      <c r="J119" s="156"/>
      <c r="K119" s="156"/>
    </row>
    <row r="120" spans="2:23" ht="12" customHeight="1" x14ac:dyDescent="0.2"/>
    <row r="121" spans="2:23" ht="12" customHeight="1" x14ac:dyDescent="0.2">
      <c r="C121" s="158" t="s">
        <v>229</v>
      </c>
      <c r="D121" s="158"/>
      <c r="E121" s="158"/>
      <c r="F121" s="158"/>
      <c r="H121" s="158" t="s">
        <v>230</v>
      </c>
      <c r="I121" s="158"/>
      <c r="J121" s="158"/>
      <c r="K121" s="158"/>
      <c r="L121" s="158"/>
      <c r="M121" s="158"/>
      <c r="N121" s="158"/>
      <c r="O121" s="158"/>
      <c r="P121" s="158"/>
      <c r="Q121" s="158"/>
      <c r="S121" s="129">
        <v>0</v>
      </c>
    </row>
    <row r="122" spans="2:23" ht="12" customHeight="1" x14ac:dyDescent="0.2">
      <c r="C122" s="158" t="s">
        <v>150</v>
      </c>
      <c r="D122" s="158"/>
      <c r="E122" s="158"/>
      <c r="F122" s="158"/>
      <c r="H122" s="158" t="s">
        <v>151</v>
      </c>
      <c r="I122" s="158"/>
      <c r="J122" s="158"/>
      <c r="K122" s="158"/>
      <c r="L122" s="158"/>
      <c r="M122" s="158"/>
      <c r="N122" s="158"/>
      <c r="O122" s="158"/>
      <c r="P122" s="158"/>
      <c r="Q122" s="158"/>
      <c r="S122" s="129">
        <v>0</v>
      </c>
    </row>
    <row r="123" spans="2:23" ht="12" customHeight="1" x14ac:dyDescent="0.2">
      <c r="C123" s="158" t="s">
        <v>152</v>
      </c>
      <c r="D123" s="158"/>
      <c r="E123" s="158"/>
      <c r="F123" s="158"/>
      <c r="H123" s="158" t="s">
        <v>153</v>
      </c>
      <c r="I123" s="158"/>
      <c r="J123" s="158"/>
      <c r="K123" s="158"/>
      <c r="L123" s="158"/>
      <c r="M123" s="158"/>
      <c r="N123" s="158"/>
      <c r="O123" s="158"/>
      <c r="P123" s="158"/>
      <c r="Q123" s="158"/>
      <c r="S123" s="129">
        <v>16195.44</v>
      </c>
    </row>
    <row r="124" spans="2:23" ht="12" customHeight="1" x14ac:dyDescent="0.2">
      <c r="C124" s="158" t="s">
        <v>154</v>
      </c>
      <c r="D124" s="158"/>
      <c r="E124" s="158"/>
      <c r="F124" s="158"/>
      <c r="H124" s="158" t="s">
        <v>155</v>
      </c>
      <c r="I124" s="158"/>
      <c r="J124" s="158"/>
      <c r="K124" s="158"/>
      <c r="L124" s="158"/>
      <c r="M124" s="158"/>
      <c r="N124" s="158"/>
      <c r="O124" s="158"/>
      <c r="P124" s="158"/>
      <c r="Q124" s="158"/>
      <c r="S124" s="129">
        <v>4200.3599999999997</v>
      </c>
    </row>
    <row r="125" spans="2:23" ht="12" customHeight="1" x14ac:dyDescent="0.2">
      <c r="C125" s="158" t="s">
        <v>156</v>
      </c>
      <c r="D125" s="158"/>
      <c r="E125" s="158"/>
      <c r="F125" s="158"/>
      <c r="H125" s="158" t="s">
        <v>157</v>
      </c>
      <c r="I125" s="158"/>
      <c r="J125" s="158"/>
      <c r="K125" s="158"/>
      <c r="L125" s="158"/>
      <c r="M125" s="158"/>
      <c r="N125" s="158"/>
      <c r="O125" s="158"/>
      <c r="P125" s="158"/>
      <c r="Q125" s="158"/>
      <c r="S125" s="132">
        <v>19160.82</v>
      </c>
    </row>
    <row r="126" spans="2:23" ht="12" customHeight="1" x14ac:dyDescent="0.2">
      <c r="C126" s="158">
        <v>2431</v>
      </c>
      <c r="D126" s="158"/>
      <c r="E126" s="158"/>
      <c r="F126" s="158"/>
      <c r="H126" s="158" t="s">
        <v>545</v>
      </c>
      <c r="I126" s="158"/>
      <c r="J126" s="158"/>
      <c r="K126" s="158"/>
      <c r="L126" s="158"/>
      <c r="M126" s="158"/>
      <c r="N126" s="158"/>
      <c r="O126" s="158"/>
      <c r="P126" s="158"/>
      <c r="Q126" s="158"/>
      <c r="S126" s="78">
        <v>0</v>
      </c>
    </row>
    <row r="127" spans="2:23" ht="12" customHeight="1" x14ac:dyDescent="0.2">
      <c r="C127" s="158">
        <v>2432</v>
      </c>
      <c r="D127" s="158"/>
      <c r="E127" s="158"/>
      <c r="F127" s="158"/>
      <c r="H127" s="158" t="s">
        <v>667</v>
      </c>
      <c r="I127" s="158"/>
      <c r="J127" s="158"/>
      <c r="K127" s="158"/>
      <c r="L127" s="158"/>
      <c r="M127" s="158"/>
      <c r="N127" s="158"/>
      <c r="O127" s="158"/>
      <c r="P127" s="158"/>
      <c r="Q127" s="158"/>
      <c r="S127" s="78">
        <v>0</v>
      </c>
    </row>
    <row r="128" spans="2:23" ht="12" customHeight="1" x14ac:dyDescent="0.2">
      <c r="C128" s="158">
        <v>2433</v>
      </c>
      <c r="D128" s="158"/>
      <c r="E128" s="158"/>
      <c r="F128" s="158"/>
      <c r="H128" s="158" t="s">
        <v>544</v>
      </c>
      <c r="I128" s="158"/>
      <c r="J128" s="158"/>
      <c r="K128" s="158"/>
      <c r="L128" s="158"/>
      <c r="M128" s="158"/>
      <c r="N128" s="158"/>
      <c r="O128" s="158"/>
      <c r="P128" s="158"/>
      <c r="Q128" s="158"/>
      <c r="S128" s="78">
        <v>0</v>
      </c>
    </row>
    <row r="129" spans="1:23" ht="12" customHeight="1" x14ac:dyDescent="0.2">
      <c r="H129" s="156" t="s">
        <v>158</v>
      </c>
      <c r="I129" s="156"/>
      <c r="J129" s="156"/>
      <c r="K129" s="156"/>
      <c r="L129" s="156"/>
      <c r="M129" s="156"/>
      <c r="N129" s="156"/>
      <c r="O129" s="156"/>
      <c r="P129" s="156"/>
      <c r="U129" s="160">
        <f>SUM(S121:S128)</f>
        <v>39556.619999999995</v>
      </c>
      <c r="V129" s="160"/>
      <c r="W129" s="160"/>
    </row>
    <row r="130" spans="1:23" ht="12" customHeight="1" x14ac:dyDescent="0.2"/>
    <row r="131" spans="1:23" ht="12" customHeight="1" x14ac:dyDescent="0.2">
      <c r="I131" s="156" t="s">
        <v>159</v>
      </c>
      <c r="J131" s="156"/>
      <c r="K131" s="156"/>
      <c r="L131" s="156"/>
      <c r="M131" s="156"/>
      <c r="N131" s="156"/>
      <c r="O131" s="156"/>
      <c r="P131" s="156"/>
      <c r="U131" s="157">
        <f>U117+U129</f>
        <v>52972160.829999983</v>
      </c>
      <c r="V131" s="157"/>
      <c r="W131" s="157"/>
    </row>
    <row r="132" spans="1:23" ht="12" customHeight="1" x14ac:dyDescent="0.2"/>
    <row r="133" spans="1:23" ht="12" customHeight="1" x14ac:dyDescent="0.2">
      <c r="A133" s="156" t="s">
        <v>160</v>
      </c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</row>
    <row r="134" spans="1:23" ht="12" customHeight="1" x14ac:dyDescent="0.2">
      <c r="C134" s="158" t="s">
        <v>161</v>
      </c>
      <c r="D134" s="158"/>
      <c r="E134" s="158"/>
      <c r="F134" s="158"/>
      <c r="H134" s="158" t="s">
        <v>162</v>
      </c>
      <c r="I134" s="158"/>
      <c r="J134" s="158"/>
      <c r="K134" s="158"/>
      <c r="L134" s="158"/>
      <c r="M134" s="158"/>
      <c r="N134" s="158"/>
      <c r="O134" s="158"/>
      <c r="P134" s="158"/>
      <c r="Q134" s="158"/>
      <c r="S134" s="129">
        <v>152325</v>
      </c>
    </row>
    <row r="135" spans="1:23" ht="12" customHeight="1" x14ac:dyDescent="0.2">
      <c r="C135" s="158" t="s">
        <v>163</v>
      </c>
      <c r="D135" s="158"/>
      <c r="E135" s="158"/>
      <c r="F135" s="158"/>
      <c r="H135" s="158" t="s">
        <v>164</v>
      </c>
      <c r="I135" s="158"/>
      <c r="J135" s="158"/>
      <c r="K135" s="158"/>
      <c r="L135" s="158"/>
      <c r="M135" s="158"/>
      <c r="N135" s="158"/>
      <c r="O135" s="158"/>
      <c r="P135" s="158"/>
      <c r="Q135" s="158"/>
      <c r="S135" s="129">
        <v>1709758</v>
      </c>
    </row>
    <row r="136" spans="1:23" ht="12" customHeight="1" x14ac:dyDescent="0.2">
      <c r="C136" s="158" t="s">
        <v>165</v>
      </c>
      <c r="D136" s="158"/>
      <c r="E136" s="158"/>
      <c r="F136" s="158"/>
      <c r="H136" s="158" t="s">
        <v>166</v>
      </c>
      <c r="I136" s="158"/>
      <c r="J136" s="158"/>
      <c r="K136" s="158"/>
      <c r="L136" s="158"/>
      <c r="M136" s="158"/>
      <c r="N136" s="158"/>
      <c r="O136" s="158"/>
      <c r="P136" s="158"/>
      <c r="Q136" s="158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58" t="s">
        <v>167</v>
      </c>
      <c r="I137" s="158"/>
      <c r="J137" s="158"/>
      <c r="K137" s="158"/>
      <c r="L137" s="158"/>
      <c r="M137" s="158"/>
      <c r="N137" s="158"/>
      <c r="O137" s="158"/>
      <c r="P137" s="158"/>
      <c r="Q137" s="158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58" t="s">
        <v>547</v>
      </c>
      <c r="I138" s="158"/>
      <c r="J138" s="158"/>
      <c r="K138" s="158"/>
      <c r="L138" s="158"/>
      <c r="M138" s="158"/>
      <c r="N138" s="158"/>
      <c r="O138" s="158"/>
      <c r="P138" s="158"/>
      <c r="Q138" s="158"/>
      <c r="S138" s="129">
        <v>21195.55</v>
      </c>
    </row>
    <row r="139" spans="1:23" ht="12" customHeight="1" x14ac:dyDescent="0.2">
      <c r="C139" s="158" t="s">
        <v>168</v>
      </c>
      <c r="D139" s="158"/>
      <c r="E139" s="158"/>
      <c r="F139" s="158"/>
      <c r="H139" s="158" t="s">
        <v>169</v>
      </c>
      <c r="I139" s="158"/>
      <c r="J139" s="158"/>
      <c r="K139" s="158"/>
      <c r="L139" s="158"/>
      <c r="M139" s="158"/>
      <c r="N139" s="158"/>
      <c r="O139" s="158"/>
      <c r="P139" s="158"/>
      <c r="Q139" s="158"/>
      <c r="S139" s="129">
        <v>-1983.47</v>
      </c>
    </row>
    <row r="140" spans="1:23" ht="12" customHeight="1" x14ac:dyDescent="0.2">
      <c r="C140" s="158" t="s">
        <v>170</v>
      </c>
      <c r="D140" s="158"/>
      <c r="E140" s="158"/>
      <c r="F140" s="158"/>
      <c r="H140" s="158" t="s">
        <v>171</v>
      </c>
      <c r="I140" s="158"/>
      <c r="J140" s="158"/>
      <c r="K140" s="158"/>
      <c r="L140" s="158"/>
      <c r="M140" s="158"/>
      <c r="N140" s="158"/>
      <c r="O140" s="158"/>
      <c r="P140" s="158"/>
      <c r="Q140" s="158"/>
      <c r="S140" s="129">
        <v>-6000</v>
      </c>
    </row>
    <row r="141" spans="1:23" ht="12" customHeight="1" x14ac:dyDescent="0.2">
      <c r="C141" s="158" t="s">
        <v>172</v>
      </c>
      <c r="D141" s="158"/>
      <c r="E141" s="158"/>
      <c r="F141" s="158"/>
      <c r="H141" s="158" t="s">
        <v>173</v>
      </c>
      <c r="I141" s="158"/>
      <c r="J141" s="158"/>
      <c r="K141" s="158"/>
      <c r="L141" s="158"/>
      <c r="M141" s="158"/>
      <c r="N141" s="158"/>
      <c r="O141" s="158"/>
      <c r="P141" s="158"/>
      <c r="Q141" s="158"/>
      <c r="S141" s="129">
        <v>-6000</v>
      </c>
    </row>
    <row r="142" spans="1:23" ht="12" customHeight="1" x14ac:dyDescent="0.2">
      <c r="C142" s="158" t="s">
        <v>174</v>
      </c>
      <c r="D142" s="158"/>
      <c r="E142" s="158"/>
      <c r="F142" s="158"/>
      <c r="H142" s="158" t="s">
        <v>175</v>
      </c>
      <c r="I142" s="158"/>
      <c r="J142" s="158"/>
      <c r="K142" s="158"/>
      <c r="L142" s="158"/>
      <c r="M142" s="158"/>
      <c r="N142" s="158"/>
      <c r="O142" s="158"/>
      <c r="P142" s="158"/>
      <c r="Q142" s="158"/>
      <c r="S142" s="129">
        <v>-6000</v>
      </c>
    </row>
    <row r="143" spans="1:23" ht="12" customHeight="1" x14ac:dyDescent="0.2">
      <c r="C143" s="158" t="s">
        <v>231</v>
      </c>
      <c r="D143" s="158"/>
      <c r="E143" s="158"/>
      <c r="F143" s="158"/>
      <c r="H143" s="158" t="s">
        <v>232</v>
      </c>
      <c r="I143" s="158"/>
      <c r="J143" s="158"/>
      <c r="K143" s="158"/>
      <c r="L143" s="158"/>
      <c r="M143" s="158"/>
      <c r="N143" s="158"/>
      <c r="O143" s="158"/>
      <c r="P143" s="158"/>
      <c r="Q143" s="158"/>
      <c r="S143" s="132">
        <v>-11008.26</v>
      </c>
    </row>
    <row r="144" spans="1:23" ht="12" customHeight="1" x14ac:dyDescent="0.2">
      <c r="I144" s="156" t="s">
        <v>176</v>
      </c>
      <c r="J144" s="156"/>
      <c r="K144" s="156"/>
      <c r="L144" s="156"/>
      <c r="M144" s="156"/>
      <c r="N144" s="156"/>
      <c r="O144" s="156"/>
      <c r="P144" s="156"/>
      <c r="U144" s="166">
        <f>SUM(S134:S143)</f>
        <v>11306188.040000001</v>
      </c>
      <c r="V144" s="166"/>
      <c r="W144" s="166"/>
    </row>
    <row r="145" spans="9:23" ht="12" customHeight="1" x14ac:dyDescent="0.2"/>
    <row r="146" spans="9:23" ht="12" customHeight="1" x14ac:dyDescent="0.2">
      <c r="I146" s="156" t="s">
        <v>177</v>
      </c>
      <c r="J146" s="156"/>
      <c r="K146" s="156"/>
      <c r="L146" s="156"/>
      <c r="M146" s="156"/>
      <c r="N146" s="156"/>
      <c r="O146" s="156"/>
      <c r="P146" s="156"/>
    </row>
    <row r="147" spans="9:23" ht="12" customHeight="1" thickBot="1" x14ac:dyDescent="0.25">
      <c r="I147" s="156"/>
      <c r="J147" s="156"/>
      <c r="K147" s="156"/>
      <c r="L147" s="156"/>
      <c r="M147" s="156"/>
      <c r="N147" s="156"/>
      <c r="O147" s="156"/>
      <c r="P147" s="156"/>
      <c r="U147" s="182">
        <f>U131+U144</f>
        <v>64278348.869999982</v>
      </c>
      <c r="V147" s="182"/>
      <c r="W147" s="182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</row>
    <row r="2" spans="1:24" ht="12" customHeight="1" x14ac:dyDescent="0.2">
      <c r="A2" s="195" t="s">
        <v>702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</row>
    <row r="3" spans="1:24" ht="12" customHeight="1" x14ac:dyDescent="0.2"/>
    <row r="4" spans="1:24" ht="12" customHeight="1" x14ac:dyDescent="0.2">
      <c r="A4" s="191" t="s">
        <v>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</row>
    <row r="5" spans="1:24" ht="12" customHeight="1" x14ac:dyDescent="0.2"/>
    <row r="6" spans="1:24" ht="12" customHeight="1" x14ac:dyDescent="0.2">
      <c r="B6" s="191" t="s">
        <v>3</v>
      </c>
      <c r="C6" s="191"/>
      <c r="D6" s="191"/>
      <c r="E6" s="191"/>
      <c r="F6" s="191"/>
      <c r="G6" s="191"/>
      <c r="H6" s="191"/>
      <c r="I6" s="191"/>
      <c r="J6" s="191"/>
      <c r="K6" s="191"/>
    </row>
    <row r="7" spans="1:24" ht="12" customHeight="1" x14ac:dyDescent="0.2">
      <c r="C7" s="185" t="s">
        <v>8</v>
      </c>
      <c r="D7" s="185"/>
      <c r="E7" s="185"/>
      <c r="F7" s="185"/>
      <c r="H7" s="185" t="s">
        <v>179</v>
      </c>
      <c r="I7" s="185"/>
      <c r="J7" s="185"/>
      <c r="K7" s="185"/>
      <c r="L7" s="185"/>
      <c r="M7" s="185"/>
      <c r="N7" s="185"/>
      <c r="O7" s="185"/>
      <c r="P7" s="185"/>
      <c r="Q7" s="185"/>
      <c r="S7" s="5">
        <v>90785.4</v>
      </c>
    </row>
    <row r="8" spans="1:24" ht="12" customHeight="1" x14ac:dyDescent="0.2">
      <c r="C8" s="185" t="s">
        <v>16</v>
      </c>
      <c r="D8" s="185"/>
      <c r="E8" s="185"/>
      <c r="F8" s="185"/>
      <c r="H8" s="185" t="s">
        <v>17</v>
      </c>
      <c r="I8" s="185"/>
      <c r="J8" s="185"/>
      <c r="K8" s="185"/>
      <c r="L8" s="185"/>
      <c r="M8" s="185"/>
      <c r="N8" s="185"/>
      <c r="O8" s="185"/>
      <c r="P8" s="185"/>
      <c r="Q8" s="185"/>
      <c r="S8" s="5">
        <v>969431.54</v>
      </c>
    </row>
    <row r="9" spans="1:24" ht="12" customHeight="1" x14ac:dyDescent="0.2">
      <c r="C9" s="185" t="s">
        <v>180</v>
      </c>
      <c r="D9" s="185"/>
      <c r="E9" s="185"/>
      <c r="F9" s="185"/>
      <c r="H9" s="185" t="s">
        <v>181</v>
      </c>
      <c r="I9" s="185"/>
      <c r="J9" s="185"/>
      <c r="K9" s="185"/>
      <c r="L9" s="185"/>
      <c r="M9" s="185"/>
      <c r="N9" s="185"/>
      <c r="O9" s="185"/>
      <c r="P9" s="185"/>
      <c r="Q9" s="185"/>
      <c r="S9" s="5">
        <v>0</v>
      </c>
    </row>
    <row r="10" spans="1:24" ht="12" customHeight="1" x14ac:dyDescent="0.2">
      <c r="C10" s="185" t="s">
        <v>18</v>
      </c>
      <c r="D10" s="185"/>
      <c r="E10" s="185"/>
      <c r="F10" s="185"/>
      <c r="H10" s="185" t="s">
        <v>19</v>
      </c>
      <c r="I10" s="185"/>
      <c r="J10" s="185"/>
      <c r="K10" s="185"/>
      <c r="L10" s="185"/>
      <c r="M10" s="185"/>
      <c r="N10" s="185"/>
      <c r="O10" s="185"/>
      <c r="P10" s="185"/>
      <c r="Q10" s="185"/>
      <c r="S10" s="5">
        <v>6479.4</v>
      </c>
    </row>
    <row r="11" spans="1:24" ht="12" customHeight="1" x14ac:dyDescent="0.2">
      <c r="C11" s="185" t="s">
        <v>20</v>
      </c>
      <c r="D11" s="185"/>
      <c r="E11" s="185"/>
      <c r="F11" s="185"/>
      <c r="H11" s="185" t="s">
        <v>21</v>
      </c>
      <c r="I11" s="185"/>
      <c r="J11" s="185"/>
      <c r="K11" s="185"/>
      <c r="L11" s="185"/>
      <c r="M11" s="185"/>
      <c r="N11" s="185"/>
      <c r="O11" s="185"/>
      <c r="P11" s="185"/>
      <c r="Q11" s="185"/>
      <c r="S11" s="5">
        <v>0</v>
      </c>
    </row>
    <row r="12" spans="1:24" ht="12" customHeight="1" x14ac:dyDescent="0.2">
      <c r="C12" s="185" t="s">
        <v>22</v>
      </c>
      <c r="D12" s="185"/>
      <c r="E12" s="185"/>
      <c r="F12" s="185"/>
      <c r="H12" s="185" t="s">
        <v>23</v>
      </c>
      <c r="I12" s="185"/>
      <c r="J12" s="185"/>
      <c r="K12" s="185"/>
      <c r="L12" s="185"/>
      <c r="M12" s="185"/>
      <c r="N12" s="185"/>
      <c r="O12" s="185"/>
      <c r="P12" s="185"/>
      <c r="Q12" s="185"/>
      <c r="S12" s="5">
        <v>0</v>
      </c>
    </row>
    <row r="13" spans="1:24" ht="12" customHeight="1" x14ac:dyDescent="0.2">
      <c r="C13" s="185">
        <v>1224</v>
      </c>
      <c r="D13" s="185"/>
      <c r="E13" s="185"/>
      <c r="F13" s="185"/>
      <c r="H13" s="185" t="s">
        <v>25</v>
      </c>
      <c r="I13" s="185"/>
      <c r="J13" s="185"/>
      <c r="K13" s="185"/>
      <c r="L13" s="185"/>
      <c r="M13" s="185"/>
      <c r="N13" s="185"/>
      <c r="O13" s="185"/>
      <c r="P13" s="185"/>
      <c r="Q13" s="185"/>
      <c r="S13" s="5">
        <v>0</v>
      </c>
    </row>
    <row r="14" spans="1:24" ht="12" customHeight="1" x14ac:dyDescent="0.2">
      <c r="C14" s="185" t="s">
        <v>26</v>
      </c>
      <c r="D14" s="185"/>
      <c r="E14" s="185"/>
      <c r="F14" s="185"/>
      <c r="H14" s="185" t="s">
        <v>233</v>
      </c>
      <c r="I14" s="185"/>
      <c r="J14" s="185"/>
      <c r="K14" s="185"/>
      <c r="L14" s="185"/>
      <c r="M14" s="185"/>
      <c r="N14" s="185"/>
      <c r="O14" s="185"/>
      <c r="P14" s="185"/>
      <c r="Q14" s="185"/>
      <c r="S14" s="5">
        <v>0</v>
      </c>
    </row>
    <row r="15" spans="1:24" ht="12" customHeight="1" x14ac:dyDescent="0.2">
      <c r="C15" s="185" t="s">
        <v>28</v>
      </c>
      <c r="D15" s="185"/>
      <c r="E15" s="185"/>
      <c r="F15" s="185"/>
      <c r="H15" s="185" t="s">
        <v>234</v>
      </c>
      <c r="I15" s="185"/>
      <c r="J15" s="185"/>
      <c r="K15" s="185"/>
      <c r="L15" s="185"/>
      <c r="M15" s="185"/>
      <c r="N15" s="185"/>
      <c r="O15" s="185"/>
      <c r="P15" s="185"/>
      <c r="Q15" s="185"/>
      <c r="S15" s="5">
        <v>0</v>
      </c>
    </row>
    <row r="16" spans="1:24" ht="12" customHeight="1" x14ac:dyDescent="0.2">
      <c r="C16" s="185" t="s">
        <v>30</v>
      </c>
      <c r="D16" s="185"/>
      <c r="E16" s="185"/>
      <c r="F16" s="185"/>
      <c r="H16" s="185" t="s">
        <v>31</v>
      </c>
      <c r="I16" s="185"/>
      <c r="J16" s="185"/>
      <c r="K16" s="185"/>
      <c r="L16" s="185"/>
      <c r="M16" s="185"/>
      <c r="N16" s="185"/>
      <c r="O16" s="185"/>
      <c r="P16" s="185"/>
      <c r="Q16" s="185"/>
      <c r="S16" s="5">
        <v>0</v>
      </c>
    </row>
    <row r="17" spans="1:23" ht="12" customHeight="1" x14ac:dyDescent="0.2">
      <c r="C17" s="185" t="s">
        <v>46</v>
      </c>
      <c r="D17" s="185"/>
      <c r="E17" s="185"/>
      <c r="F17" s="185"/>
      <c r="H17" s="185" t="s">
        <v>196</v>
      </c>
      <c r="I17" s="185"/>
      <c r="J17" s="185"/>
      <c r="K17" s="185"/>
      <c r="L17" s="185"/>
      <c r="M17" s="185"/>
      <c r="N17" s="185"/>
      <c r="O17" s="185"/>
      <c r="P17" s="185"/>
      <c r="Q17" s="185"/>
      <c r="S17" s="5">
        <v>0</v>
      </c>
    </row>
    <row r="18" spans="1:23" ht="12" customHeight="1" x14ac:dyDescent="0.2">
      <c r="C18" s="185" t="s">
        <v>56</v>
      </c>
      <c r="D18" s="185"/>
      <c r="E18" s="185"/>
      <c r="F18" s="185"/>
      <c r="H18" s="185" t="s">
        <v>185</v>
      </c>
      <c r="I18" s="185"/>
      <c r="J18" s="185"/>
      <c r="K18" s="185"/>
      <c r="L18" s="185"/>
      <c r="M18" s="185"/>
      <c r="N18" s="185"/>
      <c r="O18" s="185"/>
      <c r="P18" s="185"/>
      <c r="Q18" s="185"/>
      <c r="S18" s="5">
        <v>8248.91</v>
      </c>
    </row>
    <row r="19" spans="1:23" ht="12" customHeight="1" x14ac:dyDescent="0.2">
      <c r="C19" s="185">
        <v>1250</v>
      </c>
      <c r="D19" s="185"/>
      <c r="E19" s="185"/>
      <c r="F19" s="185"/>
      <c r="H19" s="185" t="s">
        <v>183</v>
      </c>
      <c r="I19" s="185"/>
      <c r="J19" s="185"/>
      <c r="K19" s="185"/>
      <c r="L19" s="185"/>
      <c r="M19" s="185"/>
      <c r="N19" s="185"/>
      <c r="O19" s="185"/>
      <c r="P19" s="185"/>
      <c r="Q19" s="185"/>
      <c r="S19" s="6">
        <v>2100000</v>
      </c>
    </row>
    <row r="20" spans="1:23" ht="12" customHeight="1" x14ac:dyDescent="0.2">
      <c r="H20" s="191" t="s">
        <v>73</v>
      </c>
      <c r="I20" s="191"/>
      <c r="J20" s="191"/>
      <c r="K20" s="191"/>
      <c r="L20" s="191"/>
      <c r="M20" s="191"/>
      <c r="N20" s="191"/>
      <c r="O20" s="191"/>
      <c r="P20" s="191"/>
      <c r="U20" s="186">
        <f>SUM(S7:S19)</f>
        <v>3174945.25</v>
      </c>
      <c r="V20" s="186"/>
      <c r="W20" s="186"/>
    </row>
    <row r="21" spans="1:23" ht="12" customHeight="1" x14ac:dyDescent="0.2"/>
    <row r="22" spans="1:23" ht="12" customHeight="1" x14ac:dyDescent="0.2">
      <c r="B22" s="191" t="s">
        <v>74</v>
      </c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23" ht="12" customHeight="1" x14ac:dyDescent="0.2">
      <c r="C23" s="185" t="s">
        <v>75</v>
      </c>
      <c r="D23" s="185"/>
      <c r="E23" s="185"/>
      <c r="F23" s="185"/>
      <c r="H23" s="185" t="s">
        <v>186</v>
      </c>
      <c r="I23" s="185"/>
      <c r="J23" s="185"/>
      <c r="K23" s="185"/>
      <c r="L23" s="185"/>
      <c r="M23" s="185"/>
      <c r="N23" s="185"/>
      <c r="O23" s="185"/>
      <c r="P23" s="185"/>
      <c r="Q23" s="185"/>
      <c r="S23" s="5">
        <v>8577.17</v>
      </c>
    </row>
    <row r="24" spans="1:23" ht="12" customHeight="1" x14ac:dyDescent="0.2">
      <c r="C24" s="185" t="s">
        <v>87</v>
      </c>
      <c r="D24" s="185"/>
      <c r="E24" s="185"/>
      <c r="F24" s="185"/>
      <c r="H24" s="185" t="s">
        <v>88</v>
      </c>
      <c r="I24" s="185"/>
      <c r="J24" s="185"/>
      <c r="K24" s="185"/>
      <c r="L24" s="185"/>
      <c r="M24" s="185"/>
      <c r="N24" s="185"/>
      <c r="O24" s="185"/>
      <c r="P24" s="185"/>
      <c r="Q24" s="185"/>
      <c r="S24" s="5">
        <v>20237.79</v>
      </c>
    </row>
    <row r="25" spans="1:23" ht="12" customHeight="1" x14ac:dyDescent="0.2">
      <c r="C25" s="185" t="s">
        <v>99</v>
      </c>
      <c r="D25" s="185"/>
      <c r="E25" s="185"/>
      <c r="F25" s="185"/>
      <c r="H25" s="185" t="s">
        <v>187</v>
      </c>
      <c r="I25" s="185"/>
      <c r="J25" s="185"/>
      <c r="K25" s="185"/>
      <c r="L25" s="185"/>
      <c r="M25" s="185"/>
      <c r="N25" s="185"/>
      <c r="O25" s="185"/>
      <c r="P25" s="185"/>
      <c r="Q25" s="185"/>
      <c r="S25" s="6">
        <v>-12743.61</v>
      </c>
    </row>
    <row r="26" spans="1:23" ht="12" customHeight="1" x14ac:dyDescent="0.2">
      <c r="H26" s="191" t="s">
        <v>103</v>
      </c>
      <c r="I26" s="191"/>
      <c r="J26" s="191"/>
      <c r="K26" s="191"/>
      <c r="L26" s="191"/>
      <c r="M26" s="191"/>
      <c r="N26" s="191"/>
      <c r="O26" s="191"/>
      <c r="P26" s="191"/>
      <c r="U26" s="193">
        <f>SUM(S23:S25)</f>
        <v>16071.349999999999</v>
      </c>
      <c r="V26" s="193"/>
      <c r="W26" s="193"/>
    </row>
    <row r="27" spans="1:23" ht="12" customHeight="1" thickBot="1" x14ac:dyDescent="0.25">
      <c r="I27" s="191" t="s">
        <v>104</v>
      </c>
      <c r="J27" s="191"/>
      <c r="K27" s="191"/>
      <c r="L27" s="191"/>
      <c r="M27" s="191"/>
      <c r="N27" s="191"/>
      <c r="O27" s="191"/>
      <c r="P27" s="191"/>
      <c r="U27" s="194">
        <f>U20+U26</f>
        <v>3191016.6</v>
      </c>
      <c r="V27" s="194"/>
      <c r="W27" s="194"/>
    </row>
    <row r="28" spans="1:23" ht="12" customHeight="1" thickTop="1" x14ac:dyDescent="0.2"/>
    <row r="29" spans="1:23" ht="12" customHeight="1" x14ac:dyDescent="0.2">
      <c r="A29" s="191" t="s">
        <v>105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</row>
    <row r="30" spans="1:23" ht="12" customHeight="1" x14ac:dyDescent="0.2"/>
    <row r="31" spans="1:23" ht="12" customHeight="1" x14ac:dyDescent="0.2">
      <c r="B31" s="191" t="s">
        <v>106</v>
      </c>
      <c r="C31" s="191"/>
      <c r="D31" s="191"/>
      <c r="E31" s="191"/>
      <c r="F31" s="191"/>
      <c r="G31" s="191"/>
      <c r="H31" s="191"/>
      <c r="I31" s="191"/>
      <c r="J31" s="191"/>
      <c r="K31" s="191"/>
    </row>
    <row r="32" spans="1:23" ht="12" customHeight="1" x14ac:dyDescent="0.2">
      <c r="C32" s="185" t="s">
        <v>109</v>
      </c>
      <c r="D32" s="185"/>
      <c r="E32" s="185"/>
      <c r="F32" s="185"/>
      <c r="H32" s="185" t="s">
        <v>110</v>
      </c>
      <c r="I32" s="185"/>
      <c r="J32" s="185"/>
      <c r="K32" s="185"/>
      <c r="L32" s="185"/>
      <c r="M32" s="185"/>
      <c r="N32" s="185"/>
      <c r="O32" s="185"/>
      <c r="P32" s="185"/>
      <c r="Q32" s="185"/>
      <c r="S32" s="5">
        <v>639982.09</v>
      </c>
    </row>
    <row r="33" spans="1:23" ht="12" customHeight="1" x14ac:dyDescent="0.2">
      <c r="C33" s="185" t="s">
        <v>188</v>
      </c>
      <c r="D33" s="185"/>
      <c r="E33" s="185"/>
      <c r="F33" s="185"/>
      <c r="H33" s="185" t="s">
        <v>189</v>
      </c>
      <c r="I33" s="185"/>
      <c r="J33" s="185"/>
      <c r="K33" s="185"/>
      <c r="L33" s="185"/>
      <c r="M33" s="185"/>
      <c r="N33" s="185"/>
      <c r="O33" s="185"/>
      <c r="P33" s="185"/>
      <c r="Q33" s="185"/>
      <c r="S33" s="5">
        <v>149.47999999999999</v>
      </c>
    </row>
    <row r="34" spans="1:23" ht="12" customHeight="1" x14ac:dyDescent="0.2">
      <c r="C34" s="185">
        <v>2175</v>
      </c>
      <c r="D34" s="185"/>
      <c r="E34" s="185"/>
      <c r="F34" s="185"/>
      <c r="H34" s="185" t="s">
        <v>118</v>
      </c>
      <c r="I34" s="185"/>
      <c r="J34" s="185"/>
      <c r="K34" s="185"/>
      <c r="L34" s="185"/>
      <c r="M34" s="185"/>
      <c r="N34" s="185"/>
      <c r="O34" s="185"/>
      <c r="P34" s="185"/>
      <c r="Q34" s="185"/>
      <c r="S34" s="121">
        <v>6493</v>
      </c>
    </row>
    <row r="35" spans="1:23" ht="12" customHeight="1" x14ac:dyDescent="0.2">
      <c r="C35" s="185" t="s">
        <v>121</v>
      </c>
      <c r="D35" s="185"/>
      <c r="E35" s="185"/>
      <c r="F35" s="185"/>
      <c r="H35" s="185" t="s">
        <v>190</v>
      </c>
      <c r="I35" s="185"/>
      <c r="J35" s="185"/>
      <c r="K35" s="185"/>
      <c r="L35" s="185"/>
      <c r="M35" s="185"/>
      <c r="N35" s="185"/>
      <c r="O35" s="185"/>
      <c r="P35" s="185"/>
      <c r="Q35" s="185"/>
      <c r="S35" s="5">
        <v>3825</v>
      </c>
    </row>
    <row r="36" spans="1:23" ht="12" customHeight="1" x14ac:dyDescent="0.2">
      <c r="C36" s="185">
        <v>2230</v>
      </c>
      <c r="D36" s="185"/>
      <c r="E36" s="185"/>
      <c r="F36" s="185"/>
      <c r="H36" s="185" t="s">
        <v>597</v>
      </c>
      <c r="I36" s="185"/>
      <c r="J36" s="185"/>
      <c r="K36" s="185"/>
      <c r="L36" s="185"/>
      <c r="M36" s="185"/>
      <c r="N36" s="185"/>
      <c r="O36" s="185"/>
      <c r="P36" s="185"/>
      <c r="Q36" s="185"/>
      <c r="S36" s="136">
        <v>32247.19</v>
      </c>
    </row>
    <row r="37" spans="1:23" ht="12" customHeight="1" x14ac:dyDescent="0.2">
      <c r="C37" s="185" t="s">
        <v>129</v>
      </c>
      <c r="D37" s="185"/>
      <c r="E37" s="185"/>
      <c r="F37" s="185"/>
      <c r="H37" s="185" t="s">
        <v>191</v>
      </c>
      <c r="I37" s="185"/>
      <c r="J37" s="185"/>
      <c r="K37" s="185"/>
      <c r="L37" s="185"/>
      <c r="M37" s="185"/>
      <c r="N37" s="185"/>
      <c r="O37" s="185"/>
      <c r="P37" s="185"/>
      <c r="Q37" s="185"/>
      <c r="S37" s="5">
        <v>16838.03</v>
      </c>
    </row>
    <row r="38" spans="1:23" ht="12" customHeight="1" x14ac:dyDescent="0.2">
      <c r="C38" s="185">
        <v>2241</v>
      </c>
      <c r="D38" s="185"/>
      <c r="E38" s="185"/>
      <c r="F38" s="185"/>
      <c r="H38" s="185" t="s">
        <v>692</v>
      </c>
      <c r="I38" s="185"/>
      <c r="J38" s="185"/>
      <c r="K38" s="185"/>
      <c r="L38" s="185"/>
      <c r="M38" s="185"/>
      <c r="N38" s="185"/>
      <c r="O38" s="185"/>
      <c r="P38" s="185"/>
      <c r="Q38" s="185"/>
      <c r="S38" s="136">
        <v>36126.82</v>
      </c>
    </row>
    <row r="39" spans="1:23" ht="12" customHeight="1" x14ac:dyDescent="0.2">
      <c r="C39" s="185" t="s">
        <v>131</v>
      </c>
      <c r="D39" s="185"/>
      <c r="E39" s="185"/>
      <c r="F39" s="185"/>
      <c r="H39" s="185" t="s">
        <v>192</v>
      </c>
      <c r="I39" s="185"/>
      <c r="J39" s="185"/>
      <c r="K39" s="185"/>
      <c r="L39" s="185"/>
      <c r="M39" s="185"/>
      <c r="N39" s="185"/>
      <c r="O39" s="185"/>
      <c r="P39" s="185"/>
      <c r="Q39" s="185"/>
      <c r="S39" s="5">
        <v>2494</v>
      </c>
    </row>
    <row r="40" spans="1:23" ht="12" customHeight="1" x14ac:dyDescent="0.2">
      <c r="C40" s="185" t="s">
        <v>227</v>
      </c>
      <c r="D40" s="185"/>
      <c r="E40" s="185"/>
      <c r="F40" s="185"/>
      <c r="H40" s="185" t="s">
        <v>235</v>
      </c>
      <c r="I40" s="185"/>
      <c r="J40" s="185"/>
      <c r="K40" s="185"/>
      <c r="L40" s="185"/>
      <c r="M40" s="185"/>
      <c r="N40" s="185"/>
      <c r="O40" s="185"/>
      <c r="P40" s="185"/>
      <c r="Q40" s="185"/>
      <c r="S40" s="5">
        <v>4651</v>
      </c>
    </row>
    <row r="41" spans="1:23" ht="12" customHeight="1" x14ac:dyDescent="0.2">
      <c r="C41" s="185" t="s">
        <v>236</v>
      </c>
      <c r="D41" s="185"/>
      <c r="E41" s="185"/>
      <c r="F41" s="185"/>
      <c r="H41" s="185" t="s">
        <v>205</v>
      </c>
      <c r="I41" s="185"/>
      <c r="J41" s="185"/>
      <c r="K41" s="185"/>
      <c r="L41" s="185"/>
      <c r="M41" s="185"/>
      <c r="N41" s="185"/>
      <c r="O41" s="185"/>
      <c r="P41" s="185"/>
      <c r="Q41" s="185"/>
      <c r="S41" s="5">
        <v>162892.82</v>
      </c>
    </row>
    <row r="42" spans="1:23" ht="12" customHeight="1" x14ac:dyDescent="0.2">
      <c r="C42" s="185">
        <v>2401</v>
      </c>
      <c r="D42" s="185"/>
      <c r="E42" s="185"/>
      <c r="F42" s="185"/>
      <c r="H42" s="185" t="s">
        <v>665</v>
      </c>
      <c r="I42" s="185"/>
      <c r="J42" s="185"/>
      <c r="K42" s="185"/>
      <c r="L42" s="185"/>
      <c r="M42" s="185"/>
      <c r="N42" s="185"/>
      <c r="O42" s="185"/>
      <c r="P42" s="185"/>
      <c r="Q42" s="185"/>
      <c r="S42" s="123">
        <v>0</v>
      </c>
    </row>
    <row r="43" spans="1:23" ht="12" customHeight="1" x14ac:dyDescent="0.2">
      <c r="H43" s="191" t="s">
        <v>148</v>
      </c>
      <c r="I43" s="191"/>
      <c r="J43" s="191"/>
      <c r="K43" s="191"/>
      <c r="L43" s="191"/>
      <c r="M43" s="191"/>
      <c r="N43" s="191"/>
      <c r="O43" s="191"/>
      <c r="P43" s="191"/>
      <c r="S43" s="5"/>
      <c r="U43" s="186">
        <f>SUM(S32:S42)</f>
        <v>905699.42999999993</v>
      </c>
      <c r="V43" s="186"/>
      <c r="W43" s="186"/>
    </row>
    <row r="44" spans="1:23" ht="12" customHeight="1" x14ac:dyDescent="0.2">
      <c r="I44" s="191" t="s">
        <v>159</v>
      </c>
      <c r="J44" s="191"/>
      <c r="K44" s="191"/>
      <c r="L44" s="191"/>
      <c r="M44" s="191"/>
      <c r="N44" s="191"/>
      <c r="O44" s="191"/>
      <c r="P44" s="191"/>
      <c r="S44" s="5"/>
      <c r="U44" s="190">
        <f>U43</f>
        <v>905699.42999999993</v>
      </c>
      <c r="V44" s="190"/>
      <c r="W44" s="190"/>
    </row>
    <row r="45" spans="1:23" ht="12" customHeight="1" x14ac:dyDescent="0.2">
      <c r="S45" s="5"/>
      <c r="U45" s="186"/>
      <c r="V45" s="186"/>
      <c r="W45" s="186"/>
    </row>
    <row r="46" spans="1:23" ht="12" customHeight="1" x14ac:dyDescent="0.2">
      <c r="A46" s="191" t="s">
        <v>160</v>
      </c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S46" s="5"/>
      <c r="U46" s="186"/>
      <c r="V46" s="186"/>
      <c r="W46" s="186"/>
    </row>
    <row r="47" spans="1:23" ht="12" customHeight="1" x14ac:dyDescent="0.2">
      <c r="S47" s="5"/>
      <c r="U47" s="186"/>
      <c r="V47" s="186"/>
      <c r="W47" s="186"/>
    </row>
    <row r="48" spans="1:23" ht="12" customHeight="1" x14ac:dyDescent="0.2">
      <c r="C48" s="185" t="s">
        <v>165</v>
      </c>
      <c r="D48" s="185"/>
      <c r="E48" s="185"/>
      <c r="F48" s="185"/>
      <c r="H48" s="185" t="s">
        <v>166</v>
      </c>
      <c r="I48" s="185"/>
      <c r="J48" s="185"/>
      <c r="K48" s="185"/>
      <c r="L48" s="185"/>
      <c r="M48" s="185"/>
      <c r="N48" s="185"/>
      <c r="O48" s="185"/>
      <c r="P48" s="185"/>
      <c r="Q48" s="185"/>
      <c r="S48" s="5">
        <v>206815.9</v>
      </c>
      <c r="U48" s="186"/>
      <c r="V48" s="186"/>
      <c r="W48" s="186"/>
    </row>
    <row r="49" spans="1:23" ht="12" customHeight="1" x14ac:dyDescent="0.2">
      <c r="C49" s="185" t="s">
        <v>165</v>
      </c>
      <c r="D49" s="185"/>
      <c r="E49" s="185"/>
      <c r="F49" s="185"/>
      <c r="H49" s="185" t="s">
        <v>193</v>
      </c>
      <c r="I49" s="185"/>
      <c r="J49" s="185"/>
      <c r="K49" s="185"/>
      <c r="L49" s="185"/>
      <c r="M49" s="185"/>
      <c r="N49" s="185"/>
      <c r="O49" s="185"/>
      <c r="P49" s="185"/>
      <c r="Q49" s="185"/>
      <c r="S49" s="5">
        <v>2078501.27</v>
      </c>
      <c r="U49" s="186"/>
      <c r="V49" s="186"/>
      <c r="W49" s="186"/>
    </row>
    <row r="50" spans="1:23" ht="12" customHeight="1" x14ac:dyDescent="0.2">
      <c r="U50" s="186"/>
      <c r="V50" s="186"/>
      <c r="W50" s="186"/>
    </row>
    <row r="51" spans="1:23" ht="12" customHeight="1" x14ac:dyDescent="0.2">
      <c r="I51" s="191" t="s">
        <v>176</v>
      </c>
      <c r="J51" s="191"/>
      <c r="K51" s="191"/>
      <c r="L51" s="191"/>
      <c r="M51" s="191"/>
      <c r="N51" s="191"/>
      <c r="O51" s="191"/>
      <c r="P51" s="191"/>
      <c r="U51" s="190">
        <f>SUM(S48:S49)</f>
        <v>2285317.17</v>
      </c>
      <c r="V51" s="190"/>
      <c r="W51" s="190"/>
    </row>
    <row r="52" spans="1:23" ht="12" customHeight="1" x14ac:dyDescent="0.2">
      <c r="U52" s="186"/>
      <c r="V52" s="186"/>
      <c r="W52" s="186"/>
    </row>
    <row r="53" spans="1:23" ht="12" customHeight="1" x14ac:dyDescent="0.2">
      <c r="I53" s="191" t="s">
        <v>177</v>
      </c>
      <c r="J53" s="191"/>
      <c r="K53" s="191"/>
      <c r="L53" s="191"/>
      <c r="M53" s="191"/>
      <c r="N53" s="191"/>
      <c r="O53" s="191"/>
      <c r="P53" s="191"/>
      <c r="U53" s="186"/>
      <c r="V53" s="186"/>
      <c r="W53" s="186"/>
    </row>
    <row r="54" spans="1:23" ht="12" customHeight="1" thickBot="1" x14ac:dyDescent="0.25">
      <c r="I54" s="191"/>
      <c r="J54" s="191"/>
      <c r="K54" s="191"/>
      <c r="L54" s="191"/>
      <c r="M54" s="191"/>
      <c r="N54" s="191"/>
      <c r="O54" s="191"/>
      <c r="P54" s="191"/>
      <c r="U54" s="189">
        <f>U44+U51</f>
        <v>3191016.5999999996</v>
      </c>
      <c r="V54" s="189"/>
      <c r="W54" s="189"/>
    </row>
    <row r="55" spans="1:23" ht="12" customHeight="1" thickTop="1" x14ac:dyDescent="0.2">
      <c r="U55" s="186"/>
      <c r="V55" s="186"/>
      <c r="W55" s="186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187"/>
      <c r="B58" s="187"/>
      <c r="C58" s="187"/>
      <c r="D58" s="187"/>
      <c r="F58" s="188"/>
      <c r="G58" s="188"/>
      <c r="H58" s="188"/>
      <c r="I58" s="188"/>
      <c r="J58" s="188"/>
      <c r="V58" s="73"/>
      <c r="W58" s="1"/>
    </row>
    <row r="59" spans="1:23" ht="12" customHeight="1" x14ac:dyDescent="0.2">
      <c r="A59" s="187"/>
      <c r="B59" s="187"/>
      <c r="C59" s="187"/>
      <c r="D59" s="187"/>
      <c r="F59" s="192"/>
      <c r="G59" s="192"/>
      <c r="H59" s="192"/>
      <c r="I59" s="192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4:F14"/>
    <mergeCell ref="H14:Q14"/>
    <mergeCell ref="C13:F13"/>
    <mergeCell ref="H13:Q13"/>
    <mergeCell ref="C15:F15"/>
    <mergeCell ref="H15:Q15"/>
    <mergeCell ref="C16:F16"/>
    <mergeCell ref="H16:Q16"/>
    <mergeCell ref="C17:F17"/>
    <mergeCell ref="H17:Q17"/>
    <mergeCell ref="C19:F19"/>
    <mergeCell ref="H19:Q19"/>
    <mergeCell ref="H20:P20"/>
    <mergeCell ref="U20:W20"/>
    <mergeCell ref="B22:K22"/>
    <mergeCell ref="C23:F23"/>
    <mergeCell ref="H23:Q23"/>
    <mergeCell ref="C24:F24"/>
    <mergeCell ref="H24:Q24"/>
    <mergeCell ref="C25:F25"/>
    <mergeCell ref="H25:Q25"/>
    <mergeCell ref="H26:P26"/>
    <mergeCell ref="U26:W26"/>
    <mergeCell ref="I27:P27"/>
    <mergeCell ref="U27:W27"/>
    <mergeCell ref="A29:M29"/>
    <mergeCell ref="B31:K31"/>
    <mergeCell ref="C32:F32"/>
    <mergeCell ref="H32:Q32"/>
    <mergeCell ref="C33:F33"/>
    <mergeCell ref="H33:Q33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C40:F40"/>
    <mergeCell ref="H40:Q40"/>
    <mergeCell ref="C41:F41"/>
    <mergeCell ref="H41:Q41"/>
    <mergeCell ref="H43:P43"/>
    <mergeCell ref="C42:F42"/>
    <mergeCell ref="H42:Q42"/>
    <mergeCell ref="C48:F48"/>
    <mergeCell ref="H48:Q48"/>
    <mergeCell ref="U45:W45"/>
    <mergeCell ref="U46:W46"/>
    <mergeCell ref="U47:W47"/>
    <mergeCell ref="A59:D59"/>
    <mergeCell ref="F59:I59"/>
    <mergeCell ref="C49:F49"/>
    <mergeCell ref="H49:Q49"/>
    <mergeCell ref="I51:P51"/>
    <mergeCell ref="I53:P54"/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AB1" s="95" t="s">
        <v>0</v>
      </c>
    </row>
    <row r="2" spans="1:28" ht="12" customHeight="1" x14ac:dyDescent="0.2">
      <c r="A2" s="164" t="s">
        <v>701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8" ht="12" customHeight="1" x14ac:dyDescent="0.2">
      <c r="A3" s="165" t="s">
        <v>194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AB3" s="95" t="s">
        <v>509</v>
      </c>
    </row>
    <row r="4" spans="1:28" ht="12" customHeight="1" x14ac:dyDescent="0.2">
      <c r="A4" s="156" t="s">
        <v>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AB4" s="96" t="s">
        <v>194</v>
      </c>
    </row>
    <row r="5" spans="1:28" ht="12" customHeight="1" x14ac:dyDescent="0.2">
      <c r="B5" s="156" t="s">
        <v>3</v>
      </c>
      <c r="C5" s="156"/>
      <c r="D5" s="156"/>
      <c r="E5" s="156"/>
      <c r="F5" s="156"/>
      <c r="G5" s="156"/>
      <c r="H5" s="156"/>
      <c r="I5" s="156"/>
      <c r="J5" s="156"/>
      <c r="K5" s="156"/>
      <c r="S5" s="97">
        <v>43465</v>
      </c>
    </row>
    <row r="6" spans="1:28" ht="12" customHeight="1" x14ac:dyDescent="0.2"/>
    <row r="7" spans="1:28" ht="12" customHeight="1" x14ac:dyDescent="0.2">
      <c r="C7" s="158" t="s">
        <v>6</v>
      </c>
      <c r="D7" s="158"/>
      <c r="E7" s="158"/>
      <c r="F7" s="158"/>
      <c r="H7" s="158" t="s">
        <v>195</v>
      </c>
      <c r="I7" s="158"/>
      <c r="J7" s="158"/>
      <c r="K7" s="158"/>
      <c r="L7" s="158"/>
      <c r="M7" s="158"/>
      <c r="N7" s="158"/>
      <c r="O7" s="158"/>
      <c r="P7" s="158"/>
      <c r="Q7" s="158"/>
      <c r="S7" s="129">
        <v>48775.17</v>
      </c>
      <c r="AB7" s="98" t="s">
        <v>2</v>
      </c>
    </row>
    <row r="8" spans="1:28" ht="12" customHeight="1" x14ac:dyDescent="0.2">
      <c r="C8" s="158" t="s">
        <v>16</v>
      </c>
      <c r="D8" s="158"/>
      <c r="E8" s="158"/>
      <c r="F8" s="158"/>
      <c r="H8" s="158" t="s">
        <v>17</v>
      </c>
      <c r="I8" s="158"/>
      <c r="J8" s="158"/>
      <c r="K8" s="158"/>
      <c r="L8" s="158"/>
      <c r="M8" s="158"/>
      <c r="N8" s="158"/>
      <c r="O8" s="158"/>
      <c r="P8" s="158"/>
      <c r="Q8" s="158"/>
      <c r="S8" s="129">
        <v>89821.27</v>
      </c>
    </row>
    <row r="9" spans="1:28" ht="12" customHeight="1" x14ac:dyDescent="0.2">
      <c r="C9" s="158" t="s">
        <v>40</v>
      </c>
      <c r="D9" s="158"/>
      <c r="E9" s="158"/>
      <c r="F9" s="158"/>
      <c r="H9" s="158" t="s">
        <v>61</v>
      </c>
      <c r="I9" s="158"/>
      <c r="J9" s="158"/>
      <c r="K9" s="158"/>
      <c r="L9" s="158"/>
      <c r="M9" s="158"/>
      <c r="N9" s="158"/>
      <c r="O9" s="158"/>
      <c r="P9" s="158"/>
      <c r="Q9" s="158"/>
      <c r="S9" s="129">
        <v>0</v>
      </c>
    </row>
    <row r="10" spans="1:28" ht="12" customHeight="1" x14ac:dyDescent="0.2">
      <c r="C10" s="158" t="s">
        <v>182</v>
      </c>
      <c r="D10" s="158"/>
      <c r="E10" s="158"/>
      <c r="F10" s="158"/>
      <c r="H10" s="158" t="s">
        <v>183</v>
      </c>
      <c r="I10" s="158"/>
      <c r="J10" s="158"/>
      <c r="K10" s="158"/>
      <c r="L10" s="158"/>
      <c r="M10" s="158"/>
      <c r="N10" s="158"/>
      <c r="O10" s="158"/>
      <c r="P10" s="158"/>
      <c r="Q10" s="158"/>
      <c r="S10" s="129">
        <v>4600000</v>
      </c>
    </row>
    <row r="11" spans="1:28" ht="12" customHeight="1" x14ac:dyDescent="0.2">
      <c r="C11" s="158">
        <v>1239</v>
      </c>
      <c r="D11" s="158"/>
      <c r="E11" s="158"/>
      <c r="F11" s="158"/>
      <c r="H11" s="158" t="s">
        <v>693</v>
      </c>
      <c r="I11" s="158"/>
      <c r="J11" s="158"/>
      <c r="K11" s="158"/>
      <c r="L11" s="158"/>
      <c r="M11" s="158"/>
      <c r="N11" s="158"/>
      <c r="O11" s="158"/>
      <c r="P11" s="158"/>
      <c r="Q11" s="158"/>
      <c r="S11" s="129">
        <v>2650</v>
      </c>
    </row>
    <row r="12" spans="1:28" ht="12" customHeight="1" x14ac:dyDescent="0.2">
      <c r="C12" s="158" t="s">
        <v>46</v>
      </c>
      <c r="D12" s="158"/>
      <c r="E12" s="158"/>
      <c r="F12" s="158"/>
      <c r="H12" s="158" t="s">
        <v>196</v>
      </c>
      <c r="I12" s="158"/>
      <c r="J12" s="158"/>
      <c r="K12" s="158"/>
      <c r="L12" s="158"/>
      <c r="M12" s="158"/>
      <c r="N12" s="158"/>
      <c r="O12" s="158"/>
      <c r="P12" s="158"/>
      <c r="Q12" s="158"/>
      <c r="S12" s="129">
        <v>0</v>
      </c>
    </row>
    <row r="13" spans="1:28" ht="12" customHeight="1" x14ac:dyDescent="0.2">
      <c r="C13" s="158" t="s">
        <v>48</v>
      </c>
      <c r="D13" s="158"/>
      <c r="E13" s="158"/>
      <c r="F13" s="158"/>
      <c r="H13" s="158" t="s">
        <v>49</v>
      </c>
      <c r="I13" s="158"/>
      <c r="J13" s="158"/>
      <c r="K13" s="158"/>
      <c r="L13" s="158"/>
      <c r="M13" s="158"/>
      <c r="N13" s="158"/>
      <c r="O13" s="158"/>
      <c r="P13" s="158"/>
      <c r="Q13" s="158"/>
      <c r="S13" s="129">
        <v>102045.52</v>
      </c>
    </row>
    <row r="14" spans="1:28" ht="12" customHeight="1" x14ac:dyDescent="0.2">
      <c r="C14" s="158">
        <v>1243</v>
      </c>
      <c r="D14" s="158"/>
      <c r="E14" s="158"/>
      <c r="F14" s="158"/>
      <c r="H14" s="158" t="s">
        <v>682</v>
      </c>
      <c r="I14" s="158"/>
      <c r="J14" s="158"/>
      <c r="K14" s="158"/>
      <c r="L14" s="158"/>
      <c r="M14" s="158"/>
      <c r="N14" s="158"/>
      <c r="O14" s="158"/>
      <c r="P14" s="158"/>
      <c r="Q14" s="158"/>
      <c r="S14" s="129">
        <v>0</v>
      </c>
    </row>
    <row r="15" spans="1:28" ht="12" customHeight="1" x14ac:dyDescent="0.2">
      <c r="C15" s="158" t="s">
        <v>56</v>
      </c>
      <c r="D15" s="158"/>
      <c r="E15" s="158"/>
      <c r="F15" s="158"/>
      <c r="H15" s="158" t="s">
        <v>59</v>
      </c>
      <c r="I15" s="158"/>
      <c r="J15" s="158"/>
      <c r="K15" s="158"/>
      <c r="L15" s="158"/>
      <c r="M15" s="158"/>
      <c r="N15" s="158"/>
      <c r="O15" s="158"/>
      <c r="P15" s="158"/>
      <c r="Q15" s="158"/>
      <c r="S15" s="129">
        <v>0</v>
      </c>
    </row>
    <row r="16" spans="1:28" ht="12" customHeight="1" x14ac:dyDescent="0.2">
      <c r="C16" s="158" t="s">
        <v>197</v>
      </c>
      <c r="D16" s="158"/>
      <c r="E16" s="158"/>
      <c r="F16" s="158"/>
      <c r="H16" s="158" t="s">
        <v>198</v>
      </c>
      <c r="I16" s="158"/>
      <c r="J16" s="158"/>
      <c r="K16" s="158"/>
      <c r="L16" s="158"/>
      <c r="M16" s="158"/>
      <c r="N16" s="158"/>
      <c r="O16" s="158"/>
      <c r="P16" s="158"/>
      <c r="Q16" s="158"/>
      <c r="S16" s="129">
        <v>15362.97</v>
      </c>
    </row>
    <row r="17" spans="1:23" ht="12" customHeight="1" x14ac:dyDescent="0.2">
      <c r="C17" s="158" t="s">
        <v>58</v>
      </c>
      <c r="D17" s="158"/>
      <c r="E17" s="158"/>
      <c r="F17" s="158"/>
      <c r="H17" s="158" t="s">
        <v>59</v>
      </c>
      <c r="I17" s="158"/>
      <c r="J17" s="158"/>
      <c r="K17" s="158"/>
      <c r="L17" s="158"/>
      <c r="M17" s="158"/>
      <c r="N17" s="158"/>
      <c r="O17" s="158"/>
      <c r="P17" s="158"/>
      <c r="Q17" s="158"/>
      <c r="S17" s="129">
        <v>0</v>
      </c>
    </row>
    <row r="18" spans="1:23" ht="12" customHeight="1" x14ac:dyDescent="0.2">
      <c r="C18" s="158" t="s">
        <v>199</v>
      </c>
      <c r="D18" s="158"/>
      <c r="E18" s="158"/>
      <c r="F18" s="158"/>
      <c r="H18" s="158" t="s">
        <v>200</v>
      </c>
      <c r="I18" s="158"/>
      <c r="J18" s="158"/>
      <c r="K18" s="158"/>
      <c r="L18" s="158"/>
      <c r="M18" s="158"/>
      <c r="N18" s="158"/>
      <c r="O18" s="158"/>
      <c r="P18" s="158"/>
      <c r="Q18" s="158"/>
      <c r="S18" s="131">
        <f>104563.66+8000+74554.69</f>
        <v>187118.35</v>
      </c>
    </row>
    <row r="19" spans="1:23" ht="12" customHeight="1" x14ac:dyDescent="0.2">
      <c r="H19" s="156" t="s">
        <v>73</v>
      </c>
      <c r="I19" s="156"/>
      <c r="J19" s="156"/>
      <c r="K19" s="156"/>
      <c r="L19" s="156"/>
      <c r="M19" s="156"/>
      <c r="N19" s="156"/>
      <c r="O19" s="156"/>
      <c r="P19" s="156"/>
      <c r="U19" s="157">
        <f>SUM(S7:S18)</f>
        <v>5045773.2799999993</v>
      </c>
      <c r="V19" s="157"/>
      <c r="W19" s="157"/>
    </row>
    <row r="20" spans="1:23" ht="12" customHeight="1" x14ac:dyDescent="0.2"/>
    <row r="21" spans="1:23" ht="12" customHeight="1" x14ac:dyDescent="0.2">
      <c r="B21" s="156" t="s">
        <v>74</v>
      </c>
      <c r="C21" s="156"/>
      <c r="D21" s="156"/>
      <c r="E21" s="156"/>
      <c r="F21" s="156"/>
      <c r="G21" s="156"/>
      <c r="H21" s="156"/>
      <c r="I21" s="156"/>
      <c r="J21" s="156"/>
      <c r="K21" s="156"/>
    </row>
    <row r="22" spans="1:23" ht="12" customHeight="1" x14ac:dyDescent="0.2">
      <c r="C22" s="158" t="s">
        <v>75</v>
      </c>
      <c r="D22" s="158"/>
      <c r="E22" s="158"/>
      <c r="F22" s="158"/>
      <c r="H22" s="158" t="s">
        <v>186</v>
      </c>
      <c r="I22" s="158"/>
      <c r="J22" s="158"/>
      <c r="K22" s="158"/>
      <c r="L22" s="158"/>
      <c r="M22" s="158"/>
      <c r="N22" s="158"/>
      <c r="O22" s="158"/>
      <c r="P22" s="158"/>
      <c r="Q22" s="158"/>
      <c r="S22" s="129">
        <v>138413.75</v>
      </c>
    </row>
    <row r="23" spans="1:23" ht="12" customHeight="1" x14ac:dyDescent="0.2">
      <c r="C23" s="158" t="s">
        <v>81</v>
      </c>
      <c r="D23" s="158"/>
      <c r="E23" s="158"/>
      <c r="F23" s="158"/>
      <c r="H23" s="158" t="s">
        <v>201</v>
      </c>
      <c r="I23" s="158"/>
      <c r="J23" s="158"/>
      <c r="K23" s="158"/>
      <c r="L23" s="158"/>
      <c r="M23" s="158"/>
      <c r="N23" s="158"/>
      <c r="O23" s="158"/>
      <c r="P23" s="158"/>
      <c r="Q23" s="158"/>
      <c r="S23" s="129">
        <v>193555.25</v>
      </c>
    </row>
    <row r="24" spans="1:23" ht="12" customHeight="1" x14ac:dyDescent="0.2">
      <c r="C24" s="158" t="s">
        <v>87</v>
      </c>
      <c r="D24" s="158"/>
      <c r="E24" s="158"/>
      <c r="F24" s="158"/>
      <c r="H24" s="158" t="s">
        <v>88</v>
      </c>
      <c r="I24" s="158"/>
      <c r="J24" s="158"/>
      <c r="K24" s="158"/>
      <c r="L24" s="158"/>
      <c r="M24" s="158"/>
      <c r="N24" s="158"/>
      <c r="O24" s="158"/>
      <c r="P24" s="158"/>
      <c r="Q24" s="158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58" t="s">
        <v>94</v>
      </c>
      <c r="I25" s="158"/>
      <c r="J25" s="158"/>
      <c r="K25" s="158"/>
      <c r="L25" s="158"/>
      <c r="M25" s="158"/>
      <c r="N25" s="158"/>
      <c r="O25" s="158"/>
      <c r="P25" s="158"/>
      <c r="Q25" s="158"/>
      <c r="S25" s="129">
        <v>0</v>
      </c>
    </row>
    <row r="26" spans="1:23" ht="12" customHeight="1" x14ac:dyDescent="0.2">
      <c r="C26" s="158" t="s">
        <v>99</v>
      </c>
      <c r="D26" s="158"/>
      <c r="E26" s="158"/>
      <c r="F26" s="158"/>
      <c r="H26" s="158" t="s">
        <v>187</v>
      </c>
      <c r="I26" s="158"/>
      <c r="J26" s="158"/>
      <c r="K26" s="158"/>
      <c r="L26" s="158"/>
      <c r="M26" s="158"/>
      <c r="N26" s="158"/>
      <c r="O26" s="158"/>
      <c r="P26" s="158"/>
      <c r="Q26" s="158"/>
      <c r="S26" s="131">
        <v>-604223.72</v>
      </c>
    </row>
    <row r="27" spans="1:23" ht="12" customHeight="1" x14ac:dyDescent="0.2">
      <c r="H27" s="156" t="s">
        <v>103</v>
      </c>
      <c r="I27" s="156"/>
      <c r="J27" s="156"/>
      <c r="K27" s="156"/>
      <c r="L27" s="156"/>
      <c r="M27" s="156"/>
      <c r="N27" s="156"/>
      <c r="O27" s="156"/>
      <c r="P27" s="156"/>
      <c r="U27" s="160">
        <f>SUM(S22:S26)</f>
        <v>443777.42000000004</v>
      </c>
      <c r="V27" s="160"/>
      <c r="W27" s="160"/>
    </row>
    <row r="28" spans="1:23" ht="12" customHeight="1" thickBot="1" x14ac:dyDescent="0.25">
      <c r="I28" s="156" t="s">
        <v>104</v>
      </c>
      <c r="J28" s="156"/>
      <c r="K28" s="156"/>
      <c r="L28" s="156"/>
      <c r="M28" s="156"/>
      <c r="N28" s="156"/>
      <c r="O28" s="156"/>
      <c r="P28" s="156"/>
      <c r="U28" s="163">
        <f>U27+U19</f>
        <v>5489550.6999999993</v>
      </c>
      <c r="V28" s="163"/>
      <c r="W28" s="163"/>
    </row>
    <row r="29" spans="1:23" ht="12" customHeight="1" thickTop="1" x14ac:dyDescent="0.2"/>
    <row r="30" spans="1:23" ht="12" customHeight="1" x14ac:dyDescent="0.2">
      <c r="A30" s="156" t="s">
        <v>105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</row>
    <row r="31" spans="1:23" ht="12" customHeight="1" x14ac:dyDescent="0.2">
      <c r="B31" s="156" t="s">
        <v>106</v>
      </c>
      <c r="C31" s="156"/>
      <c r="D31" s="156"/>
      <c r="E31" s="156"/>
      <c r="F31" s="156"/>
      <c r="G31" s="156"/>
      <c r="H31" s="156"/>
      <c r="I31" s="156"/>
      <c r="J31" s="156"/>
      <c r="K31" s="156"/>
    </row>
    <row r="32" spans="1:23" ht="12" customHeight="1" x14ac:dyDescent="0.2">
      <c r="C32" s="158" t="s">
        <v>109</v>
      </c>
      <c r="D32" s="158"/>
      <c r="E32" s="158"/>
      <c r="F32" s="158"/>
      <c r="H32" s="158" t="s">
        <v>110</v>
      </c>
      <c r="I32" s="158"/>
      <c r="J32" s="158"/>
      <c r="K32" s="158"/>
      <c r="L32" s="158"/>
      <c r="M32" s="158"/>
      <c r="N32" s="158"/>
      <c r="O32" s="158"/>
      <c r="P32" s="158"/>
      <c r="Q32" s="158"/>
      <c r="S32" s="129">
        <v>3161.36</v>
      </c>
    </row>
    <row r="33" spans="1:23" ht="12.75" customHeight="1" x14ac:dyDescent="0.2">
      <c r="C33" s="158" t="s">
        <v>111</v>
      </c>
      <c r="D33" s="158"/>
      <c r="E33" s="158"/>
      <c r="F33" s="158"/>
      <c r="H33" s="158" t="s">
        <v>237</v>
      </c>
      <c r="I33" s="158"/>
      <c r="J33" s="158"/>
      <c r="K33" s="158"/>
      <c r="L33" s="158"/>
      <c r="M33" s="158"/>
      <c r="N33" s="158"/>
      <c r="O33" s="158"/>
      <c r="P33" s="158"/>
      <c r="Q33" s="158"/>
      <c r="S33" s="129">
        <v>0</v>
      </c>
    </row>
    <row r="34" spans="1:23" ht="12" customHeight="1" x14ac:dyDescent="0.2">
      <c r="C34" s="158" t="s">
        <v>225</v>
      </c>
      <c r="D34" s="158"/>
      <c r="E34" s="158"/>
      <c r="F34" s="158"/>
      <c r="H34" s="158" t="s">
        <v>238</v>
      </c>
      <c r="I34" s="158"/>
      <c r="J34" s="158"/>
      <c r="K34" s="158"/>
      <c r="L34" s="158"/>
      <c r="M34" s="158"/>
      <c r="N34" s="158"/>
      <c r="O34" s="158"/>
      <c r="P34" s="158"/>
      <c r="Q34" s="158"/>
      <c r="S34" s="129">
        <v>0</v>
      </c>
    </row>
    <row r="35" spans="1:23" ht="12" customHeight="1" x14ac:dyDescent="0.2">
      <c r="C35" s="158" t="s">
        <v>113</v>
      </c>
      <c r="D35" s="158"/>
      <c r="E35" s="158"/>
      <c r="F35" s="158"/>
      <c r="H35" s="158" t="s">
        <v>239</v>
      </c>
      <c r="I35" s="158"/>
      <c r="J35" s="158"/>
      <c r="K35" s="158"/>
      <c r="L35" s="158"/>
      <c r="M35" s="158"/>
      <c r="N35" s="158"/>
      <c r="O35" s="158"/>
      <c r="P35" s="158"/>
      <c r="Q35" s="158"/>
      <c r="S35" s="129">
        <v>0</v>
      </c>
    </row>
    <row r="36" spans="1:23" ht="12" customHeight="1" x14ac:dyDescent="0.2">
      <c r="C36" s="158">
        <v>2150</v>
      </c>
      <c r="D36" s="158"/>
      <c r="E36" s="158"/>
      <c r="F36" s="158"/>
      <c r="H36" s="158" t="s">
        <v>189</v>
      </c>
      <c r="I36" s="158"/>
      <c r="J36" s="158"/>
      <c r="K36" s="158"/>
      <c r="L36" s="158"/>
      <c r="M36" s="158"/>
      <c r="N36" s="158"/>
      <c r="O36" s="158"/>
      <c r="P36" s="158"/>
      <c r="Q36" s="158"/>
      <c r="S36" s="121">
        <v>37.479999999999997</v>
      </c>
    </row>
    <row r="37" spans="1:23" ht="12" customHeight="1" x14ac:dyDescent="0.2">
      <c r="C37" s="158" t="s">
        <v>117</v>
      </c>
      <c r="D37" s="158"/>
      <c r="E37" s="158"/>
      <c r="F37" s="158"/>
      <c r="H37" s="158" t="s">
        <v>118</v>
      </c>
      <c r="I37" s="158"/>
      <c r="J37" s="158"/>
      <c r="K37" s="158"/>
      <c r="L37" s="158"/>
      <c r="M37" s="158"/>
      <c r="N37" s="158"/>
      <c r="O37" s="158"/>
      <c r="P37" s="158"/>
      <c r="Q37" s="158"/>
      <c r="S37" s="129">
        <v>181998.74</v>
      </c>
    </row>
    <row r="38" spans="1:23" ht="12" customHeight="1" x14ac:dyDescent="0.2">
      <c r="C38" s="158" t="s">
        <v>119</v>
      </c>
      <c r="D38" s="158"/>
      <c r="E38" s="158"/>
      <c r="F38" s="158"/>
      <c r="H38" s="158" t="s">
        <v>190</v>
      </c>
      <c r="I38" s="158"/>
      <c r="J38" s="158"/>
      <c r="K38" s="158"/>
      <c r="L38" s="158"/>
      <c r="M38" s="158"/>
      <c r="N38" s="158"/>
      <c r="O38" s="158"/>
      <c r="P38" s="158"/>
      <c r="Q38" s="158"/>
      <c r="S38" s="129">
        <v>39066.29</v>
      </c>
    </row>
    <row r="39" spans="1:23" ht="12" customHeight="1" x14ac:dyDescent="0.2">
      <c r="C39" s="158">
        <v>2215</v>
      </c>
      <c r="D39" s="158"/>
      <c r="E39" s="158"/>
      <c r="F39" s="158"/>
      <c r="H39" s="158" t="s">
        <v>637</v>
      </c>
      <c r="I39" s="158"/>
      <c r="J39" s="158"/>
      <c r="K39" s="158"/>
      <c r="L39" s="158"/>
      <c r="M39" s="158"/>
      <c r="N39" s="158"/>
      <c r="O39" s="158"/>
      <c r="P39" s="158"/>
      <c r="Q39" s="158"/>
      <c r="S39" s="121">
        <v>13898</v>
      </c>
    </row>
    <row r="40" spans="1:23" ht="12.75" customHeight="1" x14ac:dyDescent="0.2">
      <c r="C40" s="158" t="s">
        <v>125</v>
      </c>
      <c r="D40" s="158"/>
      <c r="E40" s="158"/>
      <c r="F40" s="158"/>
      <c r="H40" s="158" t="s">
        <v>202</v>
      </c>
      <c r="I40" s="158"/>
      <c r="J40" s="158"/>
      <c r="K40" s="158"/>
      <c r="L40" s="158"/>
      <c r="M40" s="158"/>
      <c r="N40" s="158"/>
      <c r="O40" s="158"/>
      <c r="P40" s="158"/>
      <c r="Q40" s="158"/>
      <c r="S40" s="129">
        <v>0</v>
      </c>
    </row>
    <row r="41" spans="1:23" ht="12" customHeight="1" x14ac:dyDescent="0.2">
      <c r="C41" s="158" t="s">
        <v>127</v>
      </c>
      <c r="D41" s="158"/>
      <c r="E41" s="158"/>
      <c r="F41" s="158"/>
      <c r="H41" s="158" t="s">
        <v>203</v>
      </c>
      <c r="I41" s="158"/>
      <c r="J41" s="158"/>
      <c r="K41" s="158"/>
      <c r="L41" s="158"/>
      <c r="M41" s="158"/>
      <c r="N41" s="158"/>
      <c r="O41" s="158"/>
      <c r="P41" s="158"/>
      <c r="Q41" s="158"/>
      <c r="S41" s="129">
        <v>36815.99</v>
      </c>
    </row>
    <row r="42" spans="1:23" ht="12" customHeight="1" x14ac:dyDescent="0.2">
      <c r="C42" s="158" t="s">
        <v>129</v>
      </c>
      <c r="D42" s="158"/>
      <c r="E42" s="158"/>
      <c r="F42" s="158"/>
      <c r="H42" s="158" t="s">
        <v>191</v>
      </c>
      <c r="I42" s="158"/>
      <c r="J42" s="158"/>
      <c r="K42" s="158"/>
      <c r="L42" s="158"/>
      <c r="M42" s="158"/>
      <c r="N42" s="158"/>
      <c r="O42" s="158"/>
      <c r="P42" s="158"/>
      <c r="Q42" s="158"/>
      <c r="S42" s="129">
        <v>2849.45</v>
      </c>
    </row>
    <row r="43" spans="1:23" ht="12" customHeight="1" x14ac:dyDescent="0.2">
      <c r="C43" s="158">
        <v>2401</v>
      </c>
      <c r="D43" s="158"/>
      <c r="E43" s="158"/>
      <c r="F43" s="158"/>
      <c r="H43" s="158" t="s">
        <v>205</v>
      </c>
      <c r="I43" s="158"/>
      <c r="J43" s="158"/>
      <c r="K43" s="158"/>
      <c r="L43" s="158"/>
      <c r="M43" s="158"/>
      <c r="N43" s="158"/>
      <c r="O43" s="158"/>
      <c r="P43" s="158"/>
      <c r="Q43" s="158"/>
      <c r="S43" s="78">
        <v>213898.98</v>
      </c>
    </row>
    <row r="44" spans="1:23" ht="12" customHeight="1" x14ac:dyDescent="0.2">
      <c r="C44" s="158">
        <v>2402</v>
      </c>
      <c r="D44" s="158"/>
      <c r="E44" s="158"/>
      <c r="F44" s="158"/>
      <c r="H44" s="158" t="s">
        <v>678</v>
      </c>
      <c r="I44" s="158"/>
      <c r="J44" s="158"/>
      <c r="K44" s="158"/>
      <c r="L44" s="158"/>
      <c r="M44" s="158"/>
      <c r="N44" s="158"/>
      <c r="O44" s="158"/>
      <c r="P44" s="158"/>
      <c r="Q44" s="158"/>
      <c r="S44" s="78">
        <v>0</v>
      </c>
    </row>
    <row r="45" spans="1:23" ht="12" customHeight="1" x14ac:dyDescent="0.2">
      <c r="H45" s="156" t="s">
        <v>148</v>
      </c>
      <c r="I45" s="156"/>
      <c r="J45" s="156"/>
      <c r="K45" s="156"/>
      <c r="L45" s="156"/>
      <c r="M45" s="156"/>
      <c r="N45" s="156"/>
      <c r="O45" s="156"/>
      <c r="P45" s="156"/>
      <c r="U45" s="160">
        <f>SUM(S32:S44)</f>
        <v>491726.29000000004</v>
      </c>
      <c r="V45" s="160"/>
      <c r="W45" s="160"/>
    </row>
    <row r="46" spans="1:23" ht="12" customHeight="1" x14ac:dyDescent="0.2">
      <c r="I46" s="156" t="s">
        <v>159</v>
      </c>
      <c r="J46" s="156"/>
      <c r="K46" s="156"/>
      <c r="L46" s="156"/>
      <c r="M46" s="156"/>
      <c r="N46" s="156"/>
      <c r="O46" s="156"/>
      <c r="P46" s="156"/>
      <c r="U46" s="160">
        <f>U45</f>
        <v>491726.29000000004</v>
      </c>
      <c r="V46" s="160"/>
      <c r="W46" s="160"/>
    </row>
    <row r="47" spans="1:23" ht="12" customHeight="1" x14ac:dyDescent="0.2">
      <c r="A47" s="156" t="s">
        <v>160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S47" s="129"/>
    </row>
    <row r="48" spans="1:23" ht="12" customHeight="1" x14ac:dyDescent="0.2">
      <c r="C48" s="158" t="s">
        <v>161</v>
      </c>
      <c r="D48" s="158"/>
      <c r="E48" s="158"/>
      <c r="F48" s="158"/>
      <c r="H48" s="158" t="s">
        <v>162</v>
      </c>
      <c r="I48" s="158"/>
      <c r="J48" s="158"/>
      <c r="K48" s="158"/>
      <c r="L48" s="158"/>
      <c r="M48" s="158"/>
      <c r="N48" s="158"/>
      <c r="O48" s="158"/>
      <c r="P48" s="158"/>
      <c r="Q48" s="158"/>
      <c r="S48" s="129">
        <v>1000</v>
      </c>
    </row>
    <row r="49" spans="3:28" ht="12" customHeight="1" x14ac:dyDescent="0.2">
      <c r="C49" s="158" t="s">
        <v>165</v>
      </c>
      <c r="D49" s="158"/>
      <c r="E49" s="158"/>
      <c r="F49" s="158"/>
      <c r="H49" s="158" t="s">
        <v>567</v>
      </c>
      <c r="I49" s="158"/>
      <c r="J49" s="158"/>
      <c r="K49" s="158"/>
      <c r="L49" s="158"/>
      <c r="M49" s="158"/>
      <c r="N49" s="158"/>
      <c r="O49" s="158"/>
      <c r="P49" s="158"/>
      <c r="Q49" s="158"/>
      <c r="S49" s="129">
        <v>0</v>
      </c>
    </row>
    <row r="50" spans="3:28" ht="12" customHeight="1" x14ac:dyDescent="0.2">
      <c r="C50" s="158" t="s">
        <v>165</v>
      </c>
      <c r="D50" s="158"/>
      <c r="E50" s="158"/>
      <c r="F50" s="158"/>
      <c r="H50" s="158" t="s">
        <v>166</v>
      </c>
      <c r="I50" s="158"/>
      <c r="J50" s="158"/>
      <c r="K50" s="158"/>
      <c r="L50" s="158"/>
      <c r="M50" s="158"/>
      <c r="N50" s="158"/>
      <c r="O50" s="158"/>
      <c r="P50" s="158"/>
      <c r="Q50" s="158"/>
      <c r="S50" s="136">
        <v>829796.72</v>
      </c>
    </row>
    <row r="51" spans="3:28" ht="12" customHeight="1" x14ac:dyDescent="0.2">
      <c r="C51" s="158" t="s">
        <v>206</v>
      </c>
      <c r="D51" s="158"/>
      <c r="E51" s="158"/>
      <c r="F51" s="158"/>
      <c r="H51" s="158" t="s">
        <v>207</v>
      </c>
      <c r="I51" s="158"/>
      <c r="J51" s="158"/>
      <c r="K51" s="158"/>
      <c r="L51" s="158"/>
      <c r="M51" s="158"/>
      <c r="N51" s="158"/>
      <c r="O51" s="158"/>
      <c r="P51" s="158"/>
      <c r="Q51" s="158"/>
      <c r="S51" s="129">
        <v>20835.169999999998</v>
      </c>
    </row>
    <row r="52" spans="3:28" ht="12" customHeight="1" x14ac:dyDescent="0.2">
      <c r="C52" s="158" t="s">
        <v>208</v>
      </c>
      <c r="D52" s="158"/>
      <c r="E52" s="158"/>
      <c r="F52" s="158"/>
      <c r="H52" s="158" t="s">
        <v>209</v>
      </c>
      <c r="I52" s="158"/>
      <c r="J52" s="158"/>
      <c r="K52" s="158"/>
      <c r="L52" s="158"/>
      <c r="M52" s="158"/>
      <c r="N52" s="158"/>
      <c r="O52" s="158"/>
      <c r="P52" s="158"/>
      <c r="Q52" s="158"/>
      <c r="S52" s="129">
        <v>1375119.12</v>
      </c>
    </row>
    <row r="53" spans="3:28" ht="12" customHeight="1" x14ac:dyDescent="0.2">
      <c r="C53" s="158" t="s">
        <v>210</v>
      </c>
      <c r="D53" s="158"/>
      <c r="E53" s="158"/>
      <c r="F53" s="158"/>
      <c r="H53" s="158" t="s">
        <v>211</v>
      </c>
      <c r="I53" s="158"/>
      <c r="J53" s="158"/>
      <c r="K53" s="158"/>
      <c r="L53" s="158"/>
      <c r="M53" s="158"/>
      <c r="N53" s="158"/>
      <c r="O53" s="158"/>
      <c r="P53" s="158"/>
      <c r="Q53" s="158"/>
      <c r="S53" s="129">
        <v>1375119.12</v>
      </c>
    </row>
    <row r="54" spans="3:28" ht="12" customHeight="1" x14ac:dyDescent="0.2">
      <c r="C54" s="158" t="s">
        <v>212</v>
      </c>
      <c r="D54" s="158"/>
      <c r="E54" s="158"/>
      <c r="F54" s="158"/>
      <c r="H54" s="158" t="s">
        <v>213</v>
      </c>
      <c r="I54" s="158"/>
      <c r="J54" s="158"/>
      <c r="K54" s="158"/>
      <c r="L54" s="158"/>
      <c r="M54" s="158"/>
      <c r="N54" s="158"/>
      <c r="O54" s="158"/>
      <c r="P54" s="158"/>
      <c r="Q54" s="158"/>
      <c r="S54" s="136">
        <v>1375119.12</v>
      </c>
      <c r="AB54" s="98" t="s">
        <v>105</v>
      </c>
    </row>
    <row r="55" spans="3:28" ht="12" customHeight="1" x14ac:dyDescent="0.2">
      <c r="C55" s="158" t="s">
        <v>214</v>
      </c>
      <c r="D55" s="158"/>
      <c r="E55" s="158"/>
      <c r="F55" s="158"/>
      <c r="H55" s="158" t="s">
        <v>215</v>
      </c>
      <c r="I55" s="158"/>
      <c r="J55" s="158"/>
      <c r="K55" s="158"/>
      <c r="L55" s="158"/>
      <c r="M55" s="158"/>
      <c r="N55" s="158"/>
      <c r="O55" s="158"/>
      <c r="P55" s="158"/>
      <c r="Q55" s="158"/>
      <c r="S55" s="129">
        <v>20835.16</v>
      </c>
    </row>
    <row r="56" spans="3:28" ht="12" customHeight="1" x14ac:dyDescent="0.2">
      <c r="I56" s="156" t="s">
        <v>176</v>
      </c>
      <c r="J56" s="156"/>
      <c r="K56" s="156"/>
      <c r="L56" s="156"/>
      <c r="M56" s="156"/>
      <c r="N56" s="156"/>
      <c r="O56" s="156"/>
      <c r="P56" s="156"/>
      <c r="U56" s="160">
        <f>SUM(S48:S55)</f>
        <v>4997824.41</v>
      </c>
      <c r="V56" s="160"/>
      <c r="W56" s="160"/>
    </row>
    <row r="57" spans="3:28" ht="12" customHeight="1" x14ac:dyDescent="0.2">
      <c r="I57" s="156" t="s">
        <v>177</v>
      </c>
      <c r="J57" s="156"/>
      <c r="K57" s="156"/>
      <c r="L57" s="156"/>
      <c r="M57" s="156"/>
      <c r="N57" s="156"/>
      <c r="O57" s="156"/>
      <c r="P57" s="156"/>
    </row>
    <row r="58" spans="3:28" ht="13.5" customHeight="1" thickBot="1" x14ac:dyDescent="0.25">
      <c r="I58" s="156"/>
      <c r="J58" s="156"/>
      <c r="K58" s="156"/>
      <c r="L58" s="156"/>
      <c r="M58" s="156"/>
      <c r="N58" s="156"/>
      <c r="O58" s="156"/>
      <c r="P58" s="156"/>
      <c r="U58" s="196">
        <f>U56+U46</f>
        <v>5489550.7000000002</v>
      </c>
      <c r="V58" s="196"/>
      <c r="W58" s="196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  <mergeCell ref="H12:Q12"/>
    <mergeCell ref="C13:F13"/>
    <mergeCell ref="H13:Q13"/>
    <mergeCell ref="C11:F11"/>
    <mergeCell ref="H11:Q11"/>
    <mergeCell ref="C15:F15"/>
    <mergeCell ref="H15:Q15"/>
    <mergeCell ref="C14:F14"/>
    <mergeCell ref="H14:Q14"/>
    <mergeCell ref="C16:F16"/>
    <mergeCell ref="H16:Q16"/>
    <mergeCell ref="C17:F17"/>
    <mergeCell ref="H17:Q17"/>
    <mergeCell ref="C18:F18"/>
    <mergeCell ref="H18:Q18"/>
    <mergeCell ref="H19:P19"/>
    <mergeCell ref="U19:W19"/>
    <mergeCell ref="B21:K21"/>
    <mergeCell ref="C22:F22"/>
    <mergeCell ref="H22:Q22"/>
    <mergeCell ref="C23:F23"/>
    <mergeCell ref="H23:Q23"/>
    <mergeCell ref="C24:F24"/>
    <mergeCell ref="H24:Q24"/>
    <mergeCell ref="C26:F26"/>
    <mergeCell ref="H26:Q26"/>
    <mergeCell ref="H25:Q25"/>
    <mergeCell ref="H27:P27"/>
    <mergeCell ref="U27:W27"/>
    <mergeCell ref="I28:P28"/>
    <mergeCell ref="U28:W28"/>
    <mergeCell ref="A30:M30"/>
    <mergeCell ref="B31:K31"/>
    <mergeCell ref="C32:F32"/>
    <mergeCell ref="H32:Q32"/>
    <mergeCell ref="C33:F33"/>
    <mergeCell ref="H33:Q33"/>
    <mergeCell ref="C34:F34"/>
    <mergeCell ref="H34:Q34"/>
    <mergeCell ref="C35:F35"/>
    <mergeCell ref="H35:Q35"/>
    <mergeCell ref="C37:F37"/>
    <mergeCell ref="H37:Q37"/>
    <mergeCell ref="C36:F36"/>
    <mergeCell ref="H36:Q36"/>
    <mergeCell ref="C38:F38"/>
    <mergeCell ref="H38:Q38"/>
    <mergeCell ref="C40:F40"/>
    <mergeCell ref="H40:Q40"/>
    <mergeCell ref="C41:F41"/>
    <mergeCell ref="H41:Q41"/>
    <mergeCell ref="C39:F39"/>
    <mergeCell ref="H39:Q39"/>
    <mergeCell ref="C43:F43"/>
    <mergeCell ref="H43:Q43"/>
    <mergeCell ref="H45:P45"/>
    <mergeCell ref="U45:W45"/>
    <mergeCell ref="I46:P46"/>
    <mergeCell ref="U46:W46"/>
    <mergeCell ref="C44:F44"/>
    <mergeCell ref="H44:Q44"/>
    <mergeCell ref="A47:M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703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656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631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1" t="s">
        <v>407</v>
      </c>
      <c r="C2" s="181"/>
      <c r="D2" s="181"/>
      <c r="E2" s="181"/>
      <c r="F2" s="181"/>
    </row>
    <row r="3" spans="1:19" x14ac:dyDescent="0.2">
      <c r="A3" s="100"/>
      <c r="B3" s="181"/>
      <c r="C3" s="181"/>
      <c r="D3" s="181"/>
      <c r="E3" s="181"/>
      <c r="F3" s="181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704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645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683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688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614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694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704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679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687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707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197" t="s">
        <v>705</v>
      </c>
      <c r="B2" s="198"/>
      <c r="C2" s="198"/>
      <c r="D2" s="198"/>
      <c r="E2" s="198"/>
      <c r="F2" s="199"/>
    </row>
    <row r="3" spans="1:19" x14ac:dyDescent="0.2">
      <c r="A3" s="200"/>
      <c r="B3" s="201"/>
      <c r="C3" s="201"/>
      <c r="D3" s="201"/>
      <c r="E3" s="201"/>
      <c r="F3" s="202"/>
    </row>
    <row r="4" spans="1:19" x14ac:dyDescent="0.2">
      <c r="A4" s="200"/>
      <c r="B4" s="201"/>
      <c r="C4" s="201"/>
      <c r="D4" s="201"/>
      <c r="E4" s="201"/>
      <c r="F4" s="202"/>
    </row>
    <row r="5" spans="1:19" x14ac:dyDescent="0.2">
      <c r="A5" s="203"/>
      <c r="B5" s="204"/>
      <c r="C5" s="204"/>
      <c r="D5" s="204"/>
      <c r="E5" s="204"/>
      <c r="F5" s="205"/>
    </row>
    <row r="8" spans="1:19" ht="13.5" thickBot="1" x14ac:dyDescent="0.25">
      <c r="A8" s="46"/>
      <c r="B8" s="46"/>
      <c r="C8" s="46"/>
      <c r="D8" s="87"/>
      <c r="E8" s="87"/>
      <c r="F8" s="47" t="s">
        <v>706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632</v>
      </c>
      <c r="E20" s="80"/>
      <c r="F20" s="41">
        <v>0</v>
      </c>
    </row>
    <row r="21" spans="1:6" x14ac:dyDescent="0.2">
      <c r="A21" s="40"/>
      <c r="B21" s="40"/>
      <c r="C21" s="40"/>
      <c r="D21" s="80" t="s">
        <v>657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668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658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64"/>
  <sheetViews>
    <sheetView tabSelected="1" zoomScale="75" zoomScaleNormal="75" zoomScaleSheetLayoutView="75" workbookViewId="0">
      <pane ySplit="4" topLeftCell="A17" activePane="bottomLeft" state="frozen"/>
      <selection activeCell="D162" sqref="D162"/>
      <selection pane="bottomLeft" activeCell="P32" sqref="P32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1.42578125" style="2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1.42578125" style="2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2.855468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55" t="s">
        <v>252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 t="s">
        <v>252</v>
      </c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 t="s">
        <v>252</v>
      </c>
      <c r="AH1" s="155"/>
      <c r="AI1" s="155"/>
      <c r="AJ1" s="155"/>
      <c r="AK1" s="155"/>
      <c r="AL1" s="155"/>
      <c r="AM1" s="155"/>
      <c r="AN1" s="155"/>
      <c r="AO1" s="37"/>
      <c r="AP1" s="28"/>
    </row>
    <row r="2" spans="1:42" s="29" customFormat="1" ht="46.5" x14ac:dyDescent="0.2">
      <c r="A2" s="155" t="s">
        <v>740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 t="s">
        <v>741</v>
      </c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 t="s">
        <v>251</v>
      </c>
      <c r="AH2" s="155"/>
      <c r="AI2" s="155"/>
      <c r="AJ2" s="155"/>
      <c r="AK2" s="155"/>
      <c r="AL2" s="155"/>
      <c r="AM2" s="155"/>
      <c r="AN2" s="155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55" t="s">
        <v>742</v>
      </c>
      <c r="AH3" s="155"/>
      <c r="AI3" s="155"/>
      <c r="AJ3" s="155"/>
      <c r="AK3" s="155"/>
      <c r="AL3" s="155"/>
      <c r="AM3" s="155"/>
      <c r="AN3" s="155"/>
    </row>
    <row r="4" spans="1:42" s="31" customFormat="1" ht="79.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2020</v>
      </c>
      <c r="AI4" s="33"/>
      <c r="AJ4" s="33">
        <v>2019</v>
      </c>
      <c r="AK4" s="33"/>
      <c r="AL4" s="36" t="s">
        <v>709</v>
      </c>
      <c r="AM4" s="36"/>
      <c r="AN4" s="36" t="s">
        <v>710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SUM(CNT!S9:S15)</f>
        <v>11485935.83</v>
      </c>
      <c r="C7" s="12"/>
      <c r="D7" s="12">
        <f>SUM(BPM!S11)</f>
        <v>56979.62</v>
      </c>
      <c r="E7" s="12"/>
      <c r="F7" s="12">
        <f>SUM(DEP!S7)</f>
        <v>834584.21</v>
      </c>
      <c r="G7" s="12"/>
      <c r="H7" s="12">
        <f>Lending!F13</f>
        <v>1918.79</v>
      </c>
      <c r="J7" s="12">
        <f>BSC!F5+BSC!F6+BSC!F7</f>
        <v>177431.18000000002</v>
      </c>
      <c r="L7" s="12">
        <f>'Oliari Co'!F10</f>
        <v>62482.7</v>
      </c>
      <c r="N7" s="12">
        <f>'722 Bedford St'!E10</f>
        <v>72795.11</v>
      </c>
      <c r="P7" s="12">
        <f>SUM(B7:N7)</f>
        <v>12692127.439999998</v>
      </c>
      <c r="Q7" s="11" t="s">
        <v>246</v>
      </c>
      <c r="R7" s="54">
        <v>-641642.91999999993</v>
      </c>
      <c r="S7" s="12"/>
      <c r="T7" s="54">
        <v>945699.43</v>
      </c>
      <c r="U7" s="12"/>
      <c r="V7" s="54">
        <v>453961.41</v>
      </c>
      <c r="W7" s="12"/>
      <c r="X7" s="54">
        <v>4910.3</v>
      </c>
      <c r="Z7" s="54">
        <v>218686.17</v>
      </c>
      <c r="AB7" s="54">
        <v>235099.79</v>
      </c>
      <c r="AD7" s="54">
        <v>71252.12</v>
      </c>
      <c r="AF7" s="12">
        <f>SUM(R7:AD7)</f>
        <v>1287966.3000000003</v>
      </c>
      <c r="AG7" s="11" t="s">
        <v>246</v>
      </c>
      <c r="AH7" s="122">
        <f>P7</f>
        <v>12692127.439999998</v>
      </c>
      <c r="AI7" s="12"/>
      <c r="AJ7" s="12">
        <f>AF7</f>
        <v>1287966.3000000003</v>
      </c>
      <c r="AK7" s="12"/>
      <c r="AL7" s="12">
        <f t="shared" ref="AL7:AL14" si="0">AH7-AJ7</f>
        <v>11404161.139999997</v>
      </c>
      <c r="AM7" s="12"/>
      <c r="AN7" s="13">
        <f>AH7/AJ7</f>
        <v>9.8543940474218896</v>
      </c>
      <c r="AO7" s="13"/>
      <c r="AP7" s="14">
        <f t="shared" ref="AP7:AP14" si="1">AN7-1</f>
        <v>8.8543940474218896</v>
      </c>
    </row>
    <row r="8" spans="1:42" s="9" customFormat="1" ht="24.95" customHeight="1" x14ac:dyDescent="0.2">
      <c r="A8" s="9" t="s">
        <v>247</v>
      </c>
      <c r="B8" s="12">
        <f>CNT!S16</f>
        <v>67881480.700000003</v>
      </c>
      <c r="C8" s="12"/>
      <c r="D8" s="12">
        <f>SUM(BPM!S12:S13)</f>
        <v>9086.7999999999993</v>
      </c>
      <c r="E8" s="12"/>
      <c r="F8" s="12">
        <f>SUM(DEP!S8)</f>
        <v>8625.5300000000007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1" si="2">SUM(B8:N8)</f>
        <v>67899193.030000001</v>
      </c>
      <c r="Q8" s="9" t="s">
        <v>247</v>
      </c>
      <c r="R8" s="54">
        <v>16046579.359999999</v>
      </c>
      <c r="S8" s="12"/>
      <c r="T8" s="54">
        <v>368563.05</v>
      </c>
      <c r="U8" s="12"/>
      <c r="V8" s="54">
        <v>1285.81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1" si="3">SUM(R8:AD8)</f>
        <v>16416428.220000001</v>
      </c>
      <c r="AG8" s="9" t="s">
        <v>247</v>
      </c>
      <c r="AH8" s="122">
        <f t="shared" ref="AH8:AH31" si="4">P8</f>
        <v>67899193.030000001</v>
      </c>
      <c r="AI8" s="12"/>
      <c r="AJ8" s="12">
        <f t="shared" ref="AJ8:AJ31" si="5">AF8</f>
        <v>16416428.220000001</v>
      </c>
      <c r="AK8" s="12"/>
      <c r="AL8" s="12">
        <f t="shared" si="0"/>
        <v>51482764.810000002</v>
      </c>
      <c r="AM8" s="12"/>
      <c r="AN8" s="13">
        <f>AH8/AJ8</f>
        <v>4.1360515283878234</v>
      </c>
      <c r="AO8" s="13"/>
      <c r="AP8" s="14">
        <f t="shared" si="1"/>
        <v>3.1360515283878234</v>
      </c>
    </row>
    <row r="9" spans="1:42" s="9" customFormat="1" ht="24.95" customHeight="1" x14ac:dyDescent="0.2">
      <c r="A9" s="9" t="s">
        <v>254</v>
      </c>
      <c r="B9" s="12">
        <f>CNT!S49</f>
        <v>117215.29</v>
      </c>
      <c r="C9" s="12"/>
      <c r="D9" s="12">
        <v>0</v>
      </c>
      <c r="E9" s="12"/>
      <c r="F9" s="12">
        <f>DEP!S31</f>
        <v>3361.66</v>
      </c>
      <c r="G9" s="12"/>
      <c r="H9" s="12">
        <f>Lending!F16+Lending!F18</f>
        <v>932709.95</v>
      </c>
      <c r="J9" s="12">
        <v>0</v>
      </c>
      <c r="L9" s="12">
        <v>0</v>
      </c>
      <c r="N9" s="12">
        <f>'722 Bedford St'!E16</f>
        <v>0</v>
      </c>
      <c r="P9" s="12">
        <f t="shared" si="2"/>
        <v>1053286.8999999999</v>
      </c>
      <c r="Q9" s="9" t="s">
        <v>254</v>
      </c>
      <c r="R9" s="54">
        <v>98654.52</v>
      </c>
      <c r="S9" s="12"/>
      <c r="T9" s="54">
        <v>0</v>
      </c>
      <c r="U9" s="12"/>
      <c r="V9" s="54">
        <v>0</v>
      </c>
      <c r="W9" s="12"/>
      <c r="X9" s="54">
        <v>694083.7</v>
      </c>
      <c r="Z9" s="54">
        <v>0</v>
      </c>
      <c r="AB9" s="54">
        <v>0</v>
      </c>
      <c r="AD9" s="54">
        <v>9414.33</v>
      </c>
      <c r="AF9" s="12">
        <f t="shared" si="3"/>
        <v>802152.54999999993</v>
      </c>
      <c r="AG9" s="9" t="s">
        <v>254</v>
      </c>
      <c r="AH9" s="122">
        <f t="shared" si="4"/>
        <v>1053286.8999999999</v>
      </c>
      <c r="AI9" s="12"/>
      <c r="AJ9" s="12">
        <f t="shared" si="5"/>
        <v>802152.54999999993</v>
      </c>
      <c r="AK9" s="12"/>
      <c r="AL9" s="12">
        <f t="shared" si="0"/>
        <v>251134.34999999998</v>
      </c>
      <c r="AM9" s="12"/>
      <c r="AN9" s="13">
        <f t="shared" ref="AN9:AN14" si="6">AH9/AJ9</f>
        <v>1.3130755490336594</v>
      </c>
      <c r="AO9" s="13"/>
      <c r="AP9" s="14">
        <f t="shared" si="1"/>
        <v>0.31307554903365942</v>
      </c>
    </row>
    <row r="10" spans="1:42" s="9" customFormat="1" ht="24.95" customHeight="1" x14ac:dyDescent="0.2">
      <c r="A10" s="9" t="s">
        <v>255</v>
      </c>
      <c r="B10" s="12">
        <f>CNT!S42</f>
        <v>2340</v>
      </c>
      <c r="C10" s="12"/>
      <c r="D10" s="12">
        <v>0</v>
      </c>
      <c r="E10" s="12"/>
      <c r="F10" s="12">
        <f>DEP!S16+DEP!S17+DEP!S18</f>
        <v>205126.01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207466.01</v>
      </c>
      <c r="Q10" s="9" t="s">
        <v>255</v>
      </c>
      <c r="R10" s="54">
        <v>0</v>
      </c>
      <c r="S10" s="12"/>
      <c r="T10" s="54">
        <v>0</v>
      </c>
      <c r="U10" s="12"/>
      <c r="V10" s="54">
        <v>138482.41999999998</v>
      </c>
      <c r="W10" s="12"/>
      <c r="X10" s="54">
        <v>0</v>
      </c>
      <c r="Z10" s="54">
        <v>0</v>
      </c>
      <c r="AB10" s="54">
        <v>0</v>
      </c>
      <c r="AD10" s="54">
        <v>0</v>
      </c>
      <c r="AF10" s="12">
        <f t="shared" si="3"/>
        <v>138482.41999999998</v>
      </c>
      <c r="AG10" s="9" t="s">
        <v>255</v>
      </c>
      <c r="AH10" s="122">
        <f t="shared" si="4"/>
        <v>207466.01</v>
      </c>
      <c r="AI10" s="12"/>
      <c r="AJ10" s="12">
        <f t="shared" si="5"/>
        <v>138482.41999999998</v>
      </c>
      <c r="AK10" s="12"/>
      <c r="AL10" s="12">
        <f t="shared" si="0"/>
        <v>68983.590000000026</v>
      </c>
      <c r="AM10" s="12"/>
      <c r="AN10" s="13">
        <f t="shared" si="6"/>
        <v>1.4981396916662781</v>
      </c>
      <c r="AO10" s="13"/>
      <c r="AP10" s="14">
        <f t="shared" si="1"/>
        <v>0.49813969166627814</v>
      </c>
    </row>
    <row r="11" spans="1:42" s="9" customFormat="1" ht="24.95" customHeight="1" x14ac:dyDescent="0.2">
      <c r="A11" s="9" t="s">
        <v>256</v>
      </c>
      <c r="B11" s="12">
        <f>SUM(CNT!S29:S32,CNT!S43:S45)</f>
        <v>559113.94999999995</v>
      </c>
      <c r="C11" s="12"/>
      <c r="D11" s="12">
        <f>SUM(BPM!S18)</f>
        <v>300000</v>
      </c>
      <c r="E11" s="12"/>
      <c r="F11" s="12">
        <f>DEP!S10+DEP!S9+DEP!S11</f>
        <v>6847313.5199999996</v>
      </c>
      <c r="G11" s="12"/>
      <c r="H11" s="12">
        <v>0</v>
      </c>
      <c r="J11" s="12">
        <f>BSC!F13</f>
        <v>200000</v>
      </c>
      <c r="L11" s="12">
        <f>'Oliari Co'!F17</f>
        <v>2211548.09</v>
      </c>
      <c r="N11" s="12">
        <f>'722 Bedford St'!E13+'722 Bedford St'!E14</f>
        <v>630930</v>
      </c>
      <c r="P11" s="12">
        <f t="shared" si="2"/>
        <v>10748905.559999999</v>
      </c>
      <c r="Q11" s="9" t="s">
        <v>256</v>
      </c>
      <c r="R11" s="54">
        <v>540909.42999999993</v>
      </c>
      <c r="S11" s="12"/>
      <c r="T11" s="54">
        <v>480000</v>
      </c>
      <c r="U11" s="12"/>
      <c r="V11" s="54">
        <v>4900000</v>
      </c>
      <c r="W11" s="12"/>
      <c r="X11" s="54">
        <v>0</v>
      </c>
      <c r="Z11" s="54">
        <v>250000</v>
      </c>
      <c r="AB11" s="54">
        <v>1732038.14</v>
      </c>
      <c r="AD11" s="54">
        <v>32500</v>
      </c>
      <c r="AF11" s="12">
        <f t="shared" si="3"/>
        <v>7935447.5699999994</v>
      </c>
      <c r="AG11" s="9" t="s">
        <v>256</v>
      </c>
      <c r="AH11" s="122">
        <f t="shared" si="4"/>
        <v>10748905.559999999</v>
      </c>
      <c r="AI11" s="12"/>
      <c r="AJ11" s="12">
        <f t="shared" si="5"/>
        <v>7935447.5699999994</v>
      </c>
      <c r="AK11" s="12"/>
      <c r="AL11" s="12">
        <f t="shared" si="0"/>
        <v>2813457.9899999993</v>
      </c>
      <c r="AM11" s="12"/>
      <c r="AN11" s="13">
        <f t="shared" si="6"/>
        <v>1.3545430758860144</v>
      </c>
      <c r="AO11" s="13"/>
      <c r="AP11" s="14">
        <f t="shared" si="1"/>
        <v>0.35454307588601441</v>
      </c>
    </row>
    <row r="12" spans="1:42" s="9" customFormat="1" ht="24.95" customHeight="1" x14ac:dyDescent="0.2">
      <c r="A12" s="9" t="s">
        <v>257</v>
      </c>
      <c r="B12" s="12">
        <f>SUM(CNT!S46:S48)</f>
        <v>7538844.9699999988</v>
      </c>
      <c r="C12" s="12"/>
      <c r="D12" s="12">
        <v>0</v>
      </c>
      <c r="E12" s="12"/>
      <c r="F12" s="12">
        <v>0</v>
      </c>
      <c r="G12" s="12"/>
      <c r="H12" s="12">
        <v>0</v>
      </c>
      <c r="J12" s="12">
        <v>0</v>
      </c>
      <c r="L12" s="12">
        <v>0</v>
      </c>
      <c r="N12" s="12">
        <v>0</v>
      </c>
      <c r="P12" s="12">
        <f t="shared" si="2"/>
        <v>7538844.9699999988</v>
      </c>
      <c r="Q12" s="9" t="s">
        <v>257</v>
      </c>
      <c r="R12" s="54">
        <v>-224065.9</v>
      </c>
      <c r="S12" s="12"/>
      <c r="T12" s="54">
        <v>0</v>
      </c>
      <c r="U12" s="12"/>
      <c r="V12" s="54">
        <v>0</v>
      </c>
      <c r="W12" s="12"/>
      <c r="X12" s="54">
        <v>0</v>
      </c>
      <c r="Z12" s="54">
        <v>0</v>
      </c>
      <c r="AB12" s="54">
        <v>0</v>
      </c>
      <c r="AD12" s="54">
        <v>0</v>
      </c>
      <c r="AF12" s="12">
        <f t="shared" si="3"/>
        <v>-224065.9</v>
      </c>
      <c r="AG12" s="9" t="s">
        <v>257</v>
      </c>
      <c r="AH12" s="122">
        <f t="shared" si="4"/>
        <v>7538844.9699999988</v>
      </c>
      <c r="AI12" s="12"/>
      <c r="AJ12" s="12">
        <f t="shared" si="5"/>
        <v>-224065.9</v>
      </c>
      <c r="AK12" s="12"/>
      <c r="AL12" s="12">
        <f t="shared" si="0"/>
        <v>7762910.8699999992</v>
      </c>
      <c r="AM12" s="12"/>
      <c r="AN12" s="13">
        <f t="shared" si="6"/>
        <v>-33.645659468933019</v>
      </c>
      <c r="AO12" s="13"/>
      <c r="AP12" s="14">
        <f t="shared" si="1"/>
        <v>-34.645659468933019</v>
      </c>
    </row>
    <row r="13" spans="1:42" s="9" customFormat="1" ht="24.95" customHeight="1" x14ac:dyDescent="0.2">
      <c r="A13" s="9" t="s">
        <v>743</v>
      </c>
      <c r="B13" s="12">
        <v>0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0</v>
      </c>
      <c r="Q13" s="9" t="s">
        <v>744</v>
      </c>
      <c r="R13" s="54">
        <v>271177.68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271177.68</v>
      </c>
      <c r="AG13" s="9" t="s">
        <v>744</v>
      </c>
      <c r="AH13" s="122">
        <f t="shared" si="4"/>
        <v>0</v>
      </c>
      <c r="AI13" s="12"/>
      <c r="AJ13" s="12">
        <f t="shared" si="5"/>
        <v>271177.68</v>
      </c>
      <c r="AK13" s="12"/>
      <c r="AL13" s="12">
        <f t="shared" si="0"/>
        <v>-271177.68</v>
      </c>
      <c r="AM13" s="12"/>
      <c r="AN13" s="13">
        <f t="shared" si="6"/>
        <v>0</v>
      </c>
      <c r="AO13" s="13"/>
      <c r="AP13" s="14">
        <f t="shared" si="1"/>
        <v>-1</v>
      </c>
    </row>
    <row r="14" spans="1:42" s="9" customFormat="1" ht="24.95" customHeight="1" x14ac:dyDescent="0.2">
      <c r="A14" s="15" t="s">
        <v>258</v>
      </c>
      <c r="B14" s="12">
        <f>CNT!S40</f>
        <v>-1547959.67</v>
      </c>
      <c r="C14" s="12"/>
      <c r="D14" s="12">
        <f>BPM!S21</f>
        <v>0</v>
      </c>
      <c r="E14" s="12"/>
      <c r="F14" s="12">
        <v>0</v>
      </c>
      <c r="G14" s="12"/>
      <c r="H14" s="12">
        <v>0</v>
      </c>
      <c r="I14" s="12"/>
      <c r="J14" s="12">
        <f>BSC!F11</f>
        <v>0</v>
      </c>
      <c r="K14" s="12"/>
      <c r="L14" s="12">
        <v>0</v>
      </c>
      <c r="M14" s="12"/>
      <c r="N14" s="12">
        <v>0</v>
      </c>
      <c r="O14" s="12"/>
      <c r="P14" s="12">
        <f t="shared" si="2"/>
        <v>-1547959.67</v>
      </c>
      <c r="Q14" s="15" t="s">
        <v>258</v>
      </c>
      <c r="R14" s="54">
        <v>353812.02</v>
      </c>
      <c r="S14" s="12"/>
      <c r="T14" s="54">
        <v>0</v>
      </c>
      <c r="U14" s="12"/>
      <c r="V14" s="54">
        <v>0</v>
      </c>
      <c r="W14" s="12"/>
      <c r="X14" s="54">
        <v>0</v>
      </c>
      <c r="Y14" s="12"/>
      <c r="Z14" s="54">
        <v>1070</v>
      </c>
      <c r="AA14" s="12"/>
      <c r="AB14" s="54">
        <v>0</v>
      </c>
      <c r="AC14" s="12"/>
      <c r="AD14" s="54">
        <v>0</v>
      </c>
      <c r="AE14" s="12"/>
      <c r="AF14" s="12">
        <f t="shared" si="3"/>
        <v>354882.02</v>
      </c>
      <c r="AG14" s="15" t="s">
        <v>258</v>
      </c>
      <c r="AH14" s="122">
        <f t="shared" si="4"/>
        <v>-1547959.67</v>
      </c>
      <c r="AI14" s="12"/>
      <c r="AJ14" s="12">
        <f t="shared" si="5"/>
        <v>354882.02</v>
      </c>
      <c r="AK14" s="12"/>
      <c r="AL14" s="12">
        <f t="shared" si="0"/>
        <v>-1902841.69</v>
      </c>
      <c r="AM14" s="12"/>
      <c r="AN14" s="13">
        <f t="shared" si="6"/>
        <v>-4.3618993996934528</v>
      </c>
      <c r="AO14" s="13"/>
      <c r="AP14" s="14">
        <f t="shared" si="1"/>
        <v>-5.3618993996934528</v>
      </c>
    </row>
    <row r="15" spans="1:42" s="9" customFormat="1" ht="24.95" customHeight="1" x14ac:dyDescent="0.2">
      <c r="A15" s="9" t="s">
        <v>248</v>
      </c>
      <c r="B15" s="12">
        <f>CNT!S18</f>
        <v>71555683.040000007</v>
      </c>
      <c r="C15" s="12"/>
      <c r="D15" s="12">
        <f>BPM!S14</f>
        <v>0</v>
      </c>
      <c r="E15" s="12"/>
      <c r="F15" s="12">
        <v>0</v>
      </c>
      <c r="G15" s="12"/>
      <c r="H15" s="12">
        <v>0</v>
      </c>
      <c r="J15" s="12">
        <v>0</v>
      </c>
      <c r="L15" s="12">
        <v>0</v>
      </c>
      <c r="N15" s="12">
        <v>0</v>
      </c>
      <c r="P15" s="12">
        <f t="shared" si="2"/>
        <v>71555683.040000007</v>
      </c>
      <c r="Q15" s="9" t="s">
        <v>248</v>
      </c>
      <c r="R15" s="54">
        <v>89145516.579999998</v>
      </c>
      <c r="S15" s="12"/>
      <c r="T15" s="54">
        <v>5620.68</v>
      </c>
      <c r="U15" s="12"/>
      <c r="V15" s="54">
        <v>0</v>
      </c>
      <c r="W15" s="12"/>
      <c r="X15" s="54">
        <v>0</v>
      </c>
      <c r="Z15" s="54">
        <v>0</v>
      </c>
      <c r="AB15" s="54">
        <v>0</v>
      </c>
      <c r="AD15" s="54">
        <v>0</v>
      </c>
      <c r="AF15" s="12">
        <f t="shared" si="3"/>
        <v>89151137.260000005</v>
      </c>
      <c r="AG15" s="9" t="s">
        <v>248</v>
      </c>
      <c r="AH15" s="122">
        <f t="shared" si="4"/>
        <v>71555683.040000007</v>
      </c>
      <c r="AI15" s="12"/>
      <c r="AJ15" s="12">
        <f t="shared" si="5"/>
        <v>89151137.260000005</v>
      </c>
      <c r="AK15" s="12"/>
      <c r="AL15" s="12">
        <f t="shared" ref="AL15:AL31" si="7">AH15-AJ15</f>
        <v>-17595454.219999999</v>
      </c>
      <c r="AM15" s="12"/>
      <c r="AN15" s="13">
        <f t="shared" ref="AN15:AN25" si="8">AH15/AJ15</f>
        <v>0.80263342946837923</v>
      </c>
      <c r="AO15" s="13"/>
      <c r="AP15" s="14">
        <f t="shared" ref="AP15:AP32" si="9">AN15-1</f>
        <v>-0.19736657053162077</v>
      </c>
    </row>
    <row r="16" spans="1:42" s="9" customFormat="1" ht="24.95" customHeight="1" x14ac:dyDescent="0.2">
      <c r="A16" s="9" t="s">
        <v>249</v>
      </c>
      <c r="B16" s="12">
        <f>CNT!S19</f>
        <v>123160903.56999999</v>
      </c>
      <c r="C16" s="12"/>
      <c r="D16" s="12">
        <f>BPM!S15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123160903.56999999</v>
      </c>
      <c r="Q16" s="9" t="s">
        <v>249</v>
      </c>
      <c r="R16" s="54">
        <v>87749143.620000005</v>
      </c>
      <c r="S16" s="12"/>
      <c r="T16" s="54">
        <v>21891.84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87771035.460000008</v>
      </c>
      <c r="AG16" s="9" t="s">
        <v>249</v>
      </c>
      <c r="AH16" s="122">
        <f t="shared" si="4"/>
        <v>123160903.56999999</v>
      </c>
      <c r="AI16" s="12"/>
      <c r="AJ16" s="12">
        <f t="shared" si="5"/>
        <v>87771035.460000008</v>
      </c>
      <c r="AK16" s="12"/>
      <c r="AL16" s="12">
        <f t="shared" si="7"/>
        <v>35389868.109999985</v>
      </c>
      <c r="AM16" s="12"/>
      <c r="AN16" s="13">
        <f t="shared" si="8"/>
        <v>1.4032066834408972</v>
      </c>
      <c r="AO16" s="13"/>
      <c r="AP16" s="14">
        <f t="shared" si="9"/>
        <v>0.40320668344089716</v>
      </c>
    </row>
    <row r="17" spans="1:42" s="9" customFormat="1" ht="24.95" customHeight="1" x14ac:dyDescent="0.2">
      <c r="A17" s="9" t="s">
        <v>250</v>
      </c>
      <c r="B17" s="12">
        <f>CNT!S20</f>
        <v>20982.61</v>
      </c>
      <c r="C17" s="12"/>
      <c r="D17" s="12">
        <f>BPM!S16</f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20982.61</v>
      </c>
      <c r="Q17" s="9" t="s">
        <v>250</v>
      </c>
      <c r="R17" s="54">
        <v>693100.55</v>
      </c>
      <c r="S17" s="12"/>
      <c r="T17" s="54">
        <v>170.77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693271.32000000007</v>
      </c>
      <c r="AG17" s="9" t="s">
        <v>250</v>
      </c>
      <c r="AH17" s="122">
        <f t="shared" si="4"/>
        <v>20982.61</v>
      </c>
      <c r="AI17" s="12"/>
      <c r="AJ17" s="12">
        <f t="shared" si="5"/>
        <v>693271.32000000007</v>
      </c>
      <c r="AK17" s="12"/>
      <c r="AL17" s="12">
        <f t="shared" si="7"/>
        <v>-672288.71000000008</v>
      </c>
      <c r="AM17" s="12"/>
      <c r="AN17" s="13">
        <f t="shared" si="8"/>
        <v>3.0266086876347343E-2</v>
      </c>
      <c r="AO17" s="13"/>
      <c r="AP17" s="14">
        <f t="shared" si="9"/>
        <v>-0.96973391312365265</v>
      </c>
    </row>
    <row r="18" spans="1:42" s="9" customFormat="1" ht="24.95" customHeight="1" x14ac:dyDescent="0.2">
      <c r="A18" s="9" t="s">
        <v>259</v>
      </c>
      <c r="B18" s="12">
        <f>CNT!S21</f>
        <v>768039.05</v>
      </c>
      <c r="C18" s="12"/>
      <c r="D18" s="12"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768039.05</v>
      </c>
      <c r="Q18" s="9" t="s">
        <v>259</v>
      </c>
      <c r="R18" s="54">
        <v>2989178.97</v>
      </c>
      <c r="S18" s="12"/>
      <c r="T18" s="54">
        <v>0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2989178.97</v>
      </c>
      <c r="AG18" s="9" t="s">
        <v>259</v>
      </c>
      <c r="AH18" s="122">
        <f t="shared" si="4"/>
        <v>768039.05</v>
      </c>
      <c r="AI18" s="12"/>
      <c r="AJ18" s="12">
        <f t="shared" si="5"/>
        <v>2989178.97</v>
      </c>
      <c r="AK18" s="12"/>
      <c r="AL18" s="12">
        <f t="shared" si="7"/>
        <v>-2221139.92</v>
      </c>
      <c r="AM18" s="12"/>
      <c r="AN18" s="13">
        <f t="shared" si="8"/>
        <v>0.25693980109862741</v>
      </c>
      <c r="AO18" s="13"/>
      <c r="AP18" s="14">
        <f t="shared" si="9"/>
        <v>-0.74306019890137254</v>
      </c>
    </row>
    <row r="19" spans="1:42" s="9" customFormat="1" ht="24.95" customHeight="1" x14ac:dyDescent="0.2">
      <c r="A19" s="9" t="s">
        <v>260</v>
      </c>
      <c r="B19" s="12">
        <f>CNT!S22</f>
        <v>-421</v>
      </c>
      <c r="C19" s="12"/>
      <c r="D19" s="12">
        <f>BPM!S17</f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-421</v>
      </c>
      <c r="Q19" s="9" t="s">
        <v>260</v>
      </c>
      <c r="R19" s="54">
        <v>0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0</v>
      </c>
      <c r="AG19" s="9" t="s">
        <v>260</v>
      </c>
      <c r="AH19" s="122">
        <f t="shared" si="4"/>
        <v>-421</v>
      </c>
      <c r="AI19" s="12"/>
      <c r="AJ19" s="12">
        <f t="shared" si="5"/>
        <v>0</v>
      </c>
      <c r="AK19" s="12"/>
      <c r="AL19" s="12">
        <f t="shared" si="7"/>
        <v>-421</v>
      </c>
      <c r="AM19" s="12"/>
      <c r="AN19" s="13" t="e">
        <f t="shared" si="8"/>
        <v>#DIV/0!</v>
      </c>
      <c r="AO19" s="13"/>
      <c r="AP19" s="14" t="e">
        <f t="shared" si="9"/>
        <v>#DIV/0!</v>
      </c>
    </row>
    <row r="20" spans="1:42" s="9" customFormat="1" ht="24.95" customHeight="1" x14ac:dyDescent="0.2">
      <c r="A20" s="9" t="s">
        <v>261</v>
      </c>
      <c r="B20" s="12">
        <f>CNT!S23</f>
        <v>47628.54</v>
      </c>
      <c r="C20" s="12"/>
      <c r="D20" s="12"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47628.54</v>
      </c>
      <c r="Q20" s="9" t="s">
        <v>261</v>
      </c>
      <c r="R20" s="54">
        <v>1044442.27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1044442.27</v>
      </c>
      <c r="AG20" s="9" t="s">
        <v>261</v>
      </c>
      <c r="AH20" s="122">
        <f t="shared" si="4"/>
        <v>47628.54</v>
      </c>
      <c r="AI20" s="12"/>
      <c r="AJ20" s="12">
        <f t="shared" si="5"/>
        <v>1044442.27</v>
      </c>
      <c r="AK20" s="12"/>
      <c r="AL20" s="12">
        <f t="shared" si="7"/>
        <v>-996813.73</v>
      </c>
      <c r="AM20" s="12"/>
      <c r="AN20" s="13">
        <f t="shared" si="8"/>
        <v>4.5601888556272237E-2</v>
      </c>
      <c r="AO20" s="13"/>
      <c r="AP20" s="14">
        <f t="shared" si="9"/>
        <v>-0.95439811144372777</v>
      </c>
    </row>
    <row r="21" spans="1:42" s="9" customFormat="1" ht="24.95" customHeight="1" x14ac:dyDescent="0.2">
      <c r="A21" s="9" t="s">
        <v>262</v>
      </c>
      <c r="B21" s="12">
        <f>CNT!S24</f>
        <v>123775.01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123775.01</v>
      </c>
      <c r="Q21" s="9" t="s">
        <v>262</v>
      </c>
      <c r="R21" s="54">
        <v>86811.68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86811.68</v>
      </c>
      <c r="AG21" s="9" t="s">
        <v>262</v>
      </c>
      <c r="AH21" s="122">
        <f t="shared" si="4"/>
        <v>123775.01</v>
      </c>
      <c r="AI21" s="12"/>
      <c r="AJ21" s="12">
        <f t="shared" si="5"/>
        <v>86811.68</v>
      </c>
      <c r="AK21" s="12"/>
      <c r="AL21" s="12">
        <f t="shared" si="7"/>
        <v>36963.33</v>
      </c>
      <c r="AM21" s="12"/>
      <c r="AN21" s="13">
        <f t="shared" si="8"/>
        <v>1.4257875207575754</v>
      </c>
      <c r="AO21" s="13"/>
      <c r="AP21" s="14">
        <f t="shared" si="9"/>
        <v>0.42578752075757542</v>
      </c>
    </row>
    <row r="22" spans="1:42" s="9" customFormat="1" ht="24.95" customHeight="1" x14ac:dyDescent="0.2">
      <c r="A22" s="9" t="s">
        <v>559</v>
      </c>
      <c r="B22" s="12">
        <f>CNT!S25</f>
        <v>-44958634.229999997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-44958634.229999997</v>
      </c>
      <c r="Q22" s="9" t="s">
        <v>559</v>
      </c>
      <c r="R22" s="54">
        <v>-17350166.859999999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-17350166.859999999</v>
      </c>
      <c r="AG22" s="9" t="s">
        <v>559</v>
      </c>
      <c r="AH22" s="122">
        <f t="shared" si="4"/>
        <v>-44958634.229999997</v>
      </c>
      <c r="AI22" s="12"/>
      <c r="AJ22" s="12">
        <f t="shared" si="5"/>
        <v>-17350166.859999999</v>
      </c>
      <c r="AK22" s="12"/>
      <c r="AL22" s="12">
        <f t="shared" si="7"/>
        <v>-27608467.369999997</v>
      </c>
      <c r="AM22" s="12"/>
      <c r="AN22" s="13">
        <f t="shared" si="8"/>
        <v>2.591250827313369</v>
      </c>
      <c r="AO22" s="13"/>
      <c r="AP22" s="14">
        <f t="shared" si="9"/>
        <v>1.591250827313369</v>
      </c>
    </row>
    <row r="23" spans="1:42" s="9" customFormat="1" ht="24.95" customHeight="1" x14ac:dyDescent="0.2">
      <c r="A23" s="9" t="s">
        <v>560</v>
      </c>
      <c r="B23" s="12">
        <f>CNT!S17</f>
        <v>7871.23</v>
      </c>
      <c r="C23" s="12"/>
      <c r="D23" s="12">
        <v>0</v>
      </c>
      <c r="E23" s="12"/>
      <c r="F23" s="12">
        <v>0</v>
      </c>
      <c r="G23" s="12"/>
      <c r="H23" s="12">
        <v>0</v>
      </c>
      <c r="I23" s="12"/>
      <c r="J23" s="12">
        <v>0</v>
      </c>
      <c r="K23" s="12"/>
      <c r="L23" s="12">
        <v>0</v>
      </c>
      <c r="M23" s="12"/>
      <c r="N23" s="12">
        <v>0</v>
      </c>
      <c r="O23" s="12"/>
      <c r="P23" s="12">
        <f t="shared" si="2"/>
        <v>7871.23</v>
      </c>
      <c r="Q23" s="9" t="s">
        <v>560</v>
      </c>
      <c r="R23" s="54">
        <v>10325.92</v>
      </c>
      <c r="S23" s="12"/>
      <c r="T23" s="54">
        <v>0</v>
      </c>
      <c r="U23" s="12"/>
      <c r="V23" s="54">
        <v>0</v>
      </c>
      <c r="W23" s="12"/>
      <c r="X23" s="54">
        <v>0</v>
      </c>
      <c r="Y23" s="12"/>
      <c r="Z23" s="54">
        <v>0</v>
      </c>
      <c r="AA23" s="12"/>
      <c r="AB23" s="54">
        <v>0</v>
      </c>
      <c r="AC23" s="12"/>
      <c r="AD23" s="54">
        <v>0</v>
      </c>
      <c r="AE23" s="12"/>
      <c r="AF23" s="12">
        <f t="shared" si="3"/>
        <v>10325.92</v>
      </c>
      <c r="AG23" s="9" t="s">
        <v>560</v>
      </c>
      <c r="AH23" s="122">
        <f t="shared" si="4"/>
        <v>7871.23</v>
      </c>
      <c r="AI23" s="12"/>
      <c r="AJ23" s="12">
        <f t="shared" si="5"/>
        <v>10325.92</v>
      </c>
      <c r="AK23" s="12"/>
      <c r="AL23" s="12">
        <f t="shared" si="7"/>
        <v>-2454.6900000000005</v>
      </c>
      <c r="AM23" s="12"/>
      <c r="AN23" s="13">
        <f t="shared" si="8"/>
        <v>0.76227880905527057</v>
      </c>
      <c r="AO23" s="13"/>
      <c r="AP23" s="14">
        <f t="shared" si="9"/>
        <v>-0.23772119094472943</v>
      </c>
    </row>
    <row r="24" spans="1:42" s="9" customFormat="1" ht="24.95" customHeight="1" x14ac:dyDescent="0.2">
      <c r="A24" s="9" t="s">
        <v>263</v>
      </c>
      <c r="B24" s="12">
        <f>CNT!S26</f>
        <v>-159577460.50999999</v>
      </c>
      <c r="C24" s="12"/>
      <c r="D24" s="12">
        <v>0</v>
      </c>
      <c r="E24" s="12"/>
      <c r="F24" s="12">
        <v>0</v>
      </c>
      <c r="G24" s="12"/>
      <c r="H24" s="12">
        <v>0</v>
      </c>
      <c r="J24" s="12">
        <v>0</v>
      </c>
      <c r="L24" s="12">
        <v>0</v>
      </c>
      <c r="N24" s="12">
        <v>0</v>
      </c>
      <c r="P24" s="12">
        <f t="shared" si="2"/>
        <v>-159577460.50999999</v>
      </c>
      <c r="Q24" s="9" t="s">
        <v>263</v>
      </c>
      <c r="R24" s="54">
        <v>-147793578.58000001</v>
      </c>
      <c r="S24" s="12"/>
      <c r="T24" s="54">
        <v>0</v>
      </c>
      <c r="U24" s="12"/>
      <c r="V24" s="54">
        <v>0</v>
      </c>
      <c r="W24" s="12"/>
      <c r="X24" s="54">
        <v>0</v>
      </c>
      <c r="Z24" s="54">
        <v>0</v>
      </c>
      <c r="AB24" s="54">
        <v>0</v>
      </c>
      <c r="AD24" s="54">
        <v>0</v>
      </c>
      <c r="AF24" s="12">
        <f t="shared" si="3"/>
        <v>-147793578.58000001</v>
      </c>
      <c r="AG24" s="9" t="s">
        <v>263</v>
      </c>
      <c r="AH24" s="122">
        <f t="shared" si="4"/>
        <v>-159577460.50999999</v>
      </c>
      <c r="AI24" s="12"/>
      <c r="AJ24" s="12">
        <f t="shared" si="5"/>
        <v>-147793578.58000001</v>
      </c>
      <c r="AK24" s="12"/>
      <c r="AL24" s="12">
        <f t="shared" si="7"/>
        <v>-11783881.929999977</v>
      </c>
      <c r="AM24" s="12"/>
      <c r="AN24" s="13">
        <f t="shared" si="8"/>
        <v>1.0797320292479515</v>
      </c>
      <c r="AO24" s="13"/>
      <c r="AP24" s="14">
        <f t="shared" si="9"/>
        <v>7.973202924795153E-2</v>
      </c>
    </row>
    <row r="25" spans="1:42" s="9" customFormat="1" ht="24.95" customHeight="1" x14ac:dyDescent="0.2">
      <c r="A25" s="9" t="s">
        <v>594</v>
      </c>
      <c r="B25" s="12">
        <f>CNT!S27</f>
        <v>-30081777.469999999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-30081777.469999999</v>
      </c>
      <c r="Q25" s="9" t="s">
        <v>594</v>
      </c>
      <c r="R25" s="54">
        <v>-20471810.41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-20471810.41</v>
      </c>
      <c r="AG25" s="9" t="s">
        <v>594</v>
      </c>
      <c r="AH25" s="122">
        <f t="shared" si="4"/>
        <v>-30081777.469999999</v>
      </c>
      <c r="AI25" s="12"/>
      <c r="AJ25" s="12">
        <f t="shared" si="5"/>
        <v>-20471810.41</v>
      </c>
      <c r="AK25" s="12"/>
      <c r="AL25" s="12">
        <f t="shared" si="7"/>
        <v>-9609967.0599999987</v>
      </c>
      <c r="AM25" s="12"/>
      <c r="AN25" s="13">
        <f t="shared" si="8"/>
        <v>1.4694243873666275</v>
      </c>
      <c r="AO25" s="13"/>
      <c r="AP25" s="14">
        <f t="shared" si="9"/>
        <v>0.4694243873666275</v>
      </c>
    </row>
    <row r="26" spans="1:42" s="9" customFormat="1" ht="24.95" customHeight="1" x14ac:dyDescent="0.2">
      <c r="A26" s="9" t="s">
        <v>264</v>
      </c>
      <c r="B26" s="12">
        <f>CNT!S28</f>
        <v>0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0</v>
      </c>
      <c r="Q26" s="9" t="s">
        <v>264</v>
      </c>
      <c r="R26" s="54">
        <v>-37557.769999999997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-37557.769999999997</v>
      </c>
      <c r="AG26" s="9" t="s">
        <v>264</v>
      </c>
      <c r="AH26" s="122">
        <f t="shared" si="4"/>
        <v>0</v>
      </c>
      <c r="AI26" s="12"/>
      <c r="AJ26" s="12">
        <f t="shared" si="5"/>
        <v>-37557.769999999997</v>
      </c>
      <c r="AK26" s="12"/>
      <c r="AL26" s="12">
        <f t="shared" si="7"/>
        <v>37557.769999999997</v>
      </c>
      <c r="AM26" s="12"/>
      <c r="AN26" s="13">
        <v>0</v>
      </c>
      <c r="AO26" s="13"/>
      <c r="AP26" s="14">
        <f>AN26-1</f>
        <v>-1</v>
      </c>
    </row>
    <row r="27" spans="1:42" s="9" customFormat="1" ht="24.95" customHeight="1" x14ac:dyDescent="0.2">
      <c r="A27" s="9" t="s">
        <v>265</v>
      </c>
      <c r="B27" s="12">
        <f>CNT!S50</f>
        <v>130640.73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130640.73</v>
      </c>
      <c r="Q27" s="9" t="s">
        <v>265</v>
      </c>
      <c r="R27" s="54">
        <v>134018.43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134018.43</v>
      </c>
      <c r="AG27" s="9" t="s">
        <v>265</v>
      </c>
      <c r="AH27" s="122">
        <f t="shared" si="4"/>
        <v>130640.73</v>
      </c>
      <c r="AI27" s="12"/>
      <c r="AJ27" s="12">
        <f t="shared" si="5"/>
        <v>134018.43</v>
      </c>
      <c r="AK27" s="12"/>
      <c r="AL27" s="12">
        <f t="shared" si="7"/>
        <v>-3377.6999999999971</v>
      </c>
      <c r="AM27" s="12"/>
      <c r="AN27" s="13">
        <v>0</v>
      </c>
      <c r="AO27" s="13"/>
      <c r="AP27" s="14">
        <f t="shared" si="9"/>
        <v>-1</v>
      </c>
    </row>
    <row r="28" spans="1:42" s="9" customFormat="1" ht="24.95" customHeight="1" x14ac:dyDescent="0.2">
      <c r="A28" s="9" t="s">
        <v>624</v>
      </c>
      <c r="B28" s="12">
        <f>CNT!S54</f>
        <v>18.21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18.21</v>
      </c>
      <c r="Q28" s="9" t="s">
        <v>624</v>
      </c>
      <c r="R28" s="54">
        <v>5611.28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5611.28</v>
      </c>
      <c r="AG28" s="9" t="s">
        <v>624</v>
      </c>
      <c r="AH28" s="122">
        <f t="shared" si="4"/>
        <v>18.21</v>
      </c>
      <c r="AI28" s="12"/>
      <c r="AJ28" s="12">
        <f t="shared" si="5"/>
        <v>5611.28</v>
      </c>
      <c r="AK28" s="12"/>
      <c r="AL28" s="12">
        <f t="shared" si="7"/>
        <v>-5593.07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715</v>
      </c>
      <c r="B29" s="12">
        <f>CNT!S52+CNT!S53</f>
        <v>0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0</v>
      </c>
      <c r="Q29" s="9" t="s">
        <v>625</v>
      </c>
      <c r="R29" s="54">
        <v>0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0</v>
      </c>
      <c r="AG29" s="9" t="s">
        <v>625</v>
      </c>
      <c r="AH29" s="122">
        <f t="shared" si="4"/>
        <v>0</v>
      </c>
      <c r="AI29" s="12"/>
      <c r="AJ29" s="12">
        <f t="shared" si="5"/>
        <v>0</v>
      </c>
      <c r="AK29" s="12"/>
      <c r="AL29" s="12">
        <f t="shared" si="7"/>
        <v>0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266</v>
      </c>
      <c r="B30" s="12">
        <f>CNT!S51+CNT!S55+CNT!S57+CNT!S56</f>
        <v>128328.36999999998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128328.36999999998</v>
      </c>
      <c r="Q30" s="9" t="s">
        <v>266</v>
      </c>
      <c r="R30" s="54">
        <v>259731.62999999998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259731.62999999998</v>
      </c>
      <c r="AG30" s="9" t="s">
        <v>266</v>
      </c>
      <c r="AH30" s="122">
        <f t="shared" si="4"/>
        <v>128328.36999999998</v>
      </c>
      <c r="AI30" s="12"/>
      <c r="AJ30" s="12">
        <f t="shared" si="5"/>
        <v>259731.62999999998</v>
      </c>
      <c r="AK30" s="12"/>
      <c r="AL30" s="12">
        <f t="shared" si="7"/>
        <v>-131403.26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557</v>
      </c>
      <c r="B31" s="16">
        <v>0</v>
      </c>
      <c r="C31" s="16"/>
      <c r="D31" s="16">
        <v>0</v>
      </c>
      <c r="E31" s="16"/>
      <c r="F31" s="16">
        <v>0</v>
      </c>
      <c r="G31" s="16"/>
      <c r="H31" s="16">
        <v>0</v>
      </c>
      <c r="I31" s="17"/>
      <c r="J31" s="16">
        <v>0</v>
      </c>
      <c r="K31" s="17"/>
      <c r="L31" s="16">
        <v>0</v>
      </c>
      <c r="M31" s="17"/>
      <c r="N31" s="16">
        <v>0</v>
      </c>
      <c r="O31" s="17"/>
      <c r="P31" s="16">
        <f t="shared" si="2"/>
        <v>0</v>
      </c>
      <c r="Q31" s="9" t="s">
        <v>557</v>
      </c>
      <c r="R31" s="55">
        <v>0</v>
      </c>
      <c r="S31" s="16"/>
      <c r="T31" s="55">
        <v>0</v>
      </c>
      <c r="U31" s="16"/>
      <c r="V31" s="55">
        <v>0</v>
      </c>
      <c r="W31" s="16"/>
      <c r="X31" s="55">
        <v>0</v>
      </c>
      <c r="Y31" s="17"/>
      <c r="Z31" s="55">
        <v>0</v>
      </c>
      <c r="AA31" s="17"/>
      <c r="AB31" s="55">
        <v>0</v>
      </c>
      <c r="AC31" s="17"/>
      <c r="AD31" s="55">
        <v>0</v>
      </c>
      <c r="AE31" s="17"/>
      <c r="AF31" s="16">
        <f t="shared" si="3"/>
        <v>0</v>
      </c>
      <c r="AG31" s="9" t="s">
        <v>557</v>
      </c>
      <c r="AH31" s="16">
        <f t="shared" si="4"/>
        <v>0</v>
      </c>
      <c r="AI31" s="16"/>
      <c r="AJ31" s="16">
        <f t="shared" si="5"/>
        <v>0</v>
      </c>
      <c r="AK31" s="16"/>
      <c r="AL31" s="16">
        <f t="shared" si="7"/>
        <v>0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18" t="s">
        <v>267</v>
      </c>
      <c r="B32" s="12">
        <f>SUM(B15:B31)</f>
        <v>-38674422.849999972</v>
      </c>
      <c r="C32" s="12"/>
      <c r="D32" s="12">
        <f>SUM(D15:D30)</f>
        <v>0</v>
      </c>
      <c r="E32" s="12"/>
      <c r="F32" s="12">
        <f>SUM(F15:F30)</f>
        <v>0</v>
      </c>
      <c r="G32" s="12"/>
      <c r="H32" s="12">
        <f>SUM(H15:H30)</f>
        <v>0</v>
      </c>
      <c r="I32" s="12"/>
      <c r="J32" s="12">
        <f>SUM(J15:J30)</f>
        <v>0</v>
      </c>
      <c r="K32" s="12"/>
      <c r="L32" s="12">
        <f>SUM(L15:L30)</f>
        <v>0</v>
      </c>
      <c r="M32" s="12"/>
      <c r="N32" s="12">
        <f>SUM(N15:N30)</f>
        <v>0</v>
      </c>
      <c r="O32" s="12"/>
      <c r="P32" s="12">
        <f>SUM(P15:P31)</f>
        <v>-38674422.849999972</v>
      </c>
      <c r="Q32" s="18" t="s">
        <v>267</v>
      </c>
      <c r="R32" s="54">
        <f>SUM(R15:R31)</f>
        <v>-3535232.6900000242</v>
      </c>
      <c r="S32" s="12"/>
      <c r="T32" s="54">
        <f>SUM(T15:T30)</f>
        <v>27683.29</v>
      </c>
      <c r="U32" s="12"/>
      <c r="V32" s="54">
        <f>SUM(V15:V31)</f>
        <v>0</v>
      </c>
      <c r="W32" s="12"/>
      <c r="X32" s="54">
        <f>SUM(X15:X30)</f>
        <v>0</v>
      </c>
      <c r="Y32" s="12"/>
      <c r="Z32" s="54">
        <f>SUM(Z15:Z30)</f>
        <v>0</v>
      </c>
      <c r="AA32" s="12"/>
      <c r="AB32" s="54">
        <f>SUM(AB15:AB30)</f>
        <v>0</v>
      </c>
      <c r="AC32" s="12"/>
      <c r="AD32" s="54">
        <f>SUM(AD15:AD30)</f>
        <v>0</v>
      </c>
      <c r="AE32" s="12"/>
      <c r="AF32" s="12">
        <f>SUM(AF15:AF31)</f>
        <v>-3507549.4000000027</v>
      </c>
      <c r="AG32" s="18" t="s">
        <v>267</v>
      </c>
      <c r="AH32" s="12">
        <f>SUM(AH15:AH31)</f>
        <v>-38674422.849999972</v>
      </c>
      <c r="AI32" s="12"/>
      <c r="AJ32" s="12">
        <f>SUM(AJ15:AJ31)</f>
        <v>-3507549.4000000027</v>
      </c>
      <c r="AK32" s="12"/>
      <c r="AL32" s="12">
        <f>SUM(AL15:AL31)</f>
        <v>-35166873.449999981</v>
      </c>
      <c r="AM32" s="12"/>
      <c r="AN32" s="13">
        <f>AH32/AJ32</f>
        <v>11.026052220390664</v>
      </c>
      <c r="AO32" s="13"/>
      <c r="AP32" s="14">
        <f t="shared" si="9"/>
        <v>10.026052220390664</v>
      </c>
    </row>
    <row r="33" spans="1:43" s="9" customFormat="1" ht="24.95" customHeight="1" x14ac:dyDescent="0.2">
      <c r="B33" s="12"/>
      <c r="C33" s="12"/>
      <c r="D33" s="12"/>
      <c r="E33" s="12"/>
      <c r="F33" s="12"/>
      <c r="G33" s="12"/>
      <c r="P33" s="10"/>
      <c r="R33" s="54"/>
      <c r="S33" s="12"/>
      <c r="T33" s="65"/>
      <c r="V33" s="65"/>
      <c r="X33" s="65"/>
      <c r="Z33" s="65"/>
      <c r="AB33" s="65"/>
      <c r="AD33" s="65"/>
      <c r="AF33" s="10"/>
      <c r="AN33" s="10"/>
      <c r="AO33" s="10"/>
      <c r="AP33" s="19"/>
    </row>
    <row r="34" spans="1:43" s="9" customFormat="1" ht="24.95" customHeight="1" x14ac:dyDescent="0.2">
      <c r="A34" s="9" t="s">
        <v>268</v>
      </c>
      <c r="B34" s="12">
        <f>CNT!S33</f>
        <v>0</v>
      </c>
      <c r="C34" s="12"/>
      <c r="D34" s="12">
        <v>0</v>
      </c>
      <c r="E34" s="12"/>
      <c r="F34" s="12">
        <v>0</v>
      </c>
      <c r="G34" s="12"/>
      <c r="H34" s="12">
        <v>0</v>
      </c>
      <c r="I34" s="12"/>
      <c r="J34" s="12">
        <v>0</v>
      </c>
      <c r="K34" s="12"/>
      <c r="L34" s="12">
        <v>0</v>
      </c>
      <c r="M34" s="12"/>
      <c r="N34" s="12">
        <v>0</v>
      </c>
      <c r="O34" s="12"/>
      <c r="P34" s="12">
        <f>SUM(B34:N34)</f>
        <v>0</v>
      </c>
      <c r="Q34" s="9" t="s">
        <v>268</v>
      </c>
      <c r="R34" s="54">
        <v>0</v>
      </c>
      <c r="S34" s="12"/>
      <c r="T34" s="54">
        <v>0</v>
      </c>
      <c r="U34" s="12"/>
      <c r="V34" s="54">
        <v>0</v>
      </c>
      <c r="W34" s="12"/>
      <c r="X34" s="54">
        <v>0</v>
      </c>
      <c r="Y34" s="12"/>
      <c r="Z34" s="54">
        <v>0</v>
      </c>
      <c r="AA34" s="12"/>
      <c r="AB34" s="54">
        <v>0</v>
      </c>
      <c r="AC34" s="12"/>
      <c r="AD34" s="54">
        <v>0</v>
      </c>
      <c r="AE34" s="12"/>
      <c r="AF34" s="12">
        <f>SUM(R34:AD34)</f>
        <v>0</v>
      </c>
      <c r="AG34" s="9" t="s">
        <v>268</v>
      </c>
      <c r="AH34" s="122">
        <f t="shared" ref="AH34:AH41" si="10">P34</f>
        <v>0</v>
      </c>
      <c r="AI34" s="12"/>
      <c r="AJ34" s="12">
        <f>AF34</f>
        <v>0</v>
      </c>
      <c r="AK34" s="12"/>
      <c r="AL34" s="12">
        <f t="shared" ref="AL34:AL41" si="11">AH34-AJ34</f>
        <v>0</v>
      </c>
      <c r="AM34" s="12"/>
      <c r="AN34" s="13">
        <v>0</v>
      </c>
      <c r="AO34" s="13"/>
      <c r="AP34" s="14">
        <v>0</v>
      </c>
    </row>
    <row r="35" spans="1:43" s="9" customFormat="1" ht="24.95" customHeight="1" x14ac:dyDescent="0.2">
      <c r="A35" s="9" t="s">
        <v>269</v>
      </c>
      <c r="B35" s="12">
        <f>CNT!S34</f>
        <v>154894.29999999999</v>
      </c>
      <c r="C35" s="12"/>
      <c r="D35" s="12">
        <v>0</v>
      </c>
      <c r="E35" s="12"/>
      <c r="F35" s="12">
        <f>DEP!S13</f>
        <v>95382.78</v>
      </c>
      <c r="G35" s="12"/>
      <c r="H35" s="12">
        <v>0</v>
      </c>
      <c r="I35" s="12"/>
      <c r="J35" s="12">
        <f>BSC!F46</f>
        <v>10833.34</v>
      </c>
      <c r="K35" s="12"/>
      <c r="L35" s="12">
        <v>0</v>
      </c>
      <c r="M35" s="12"/>
      <c r="N35" s="12">
        <v>0</v>
      </c>
      <c r="O35" s="12"/>
      <c r="P35" s="12">
        <f t="shared" ref="P35:P41" si="12">SUM(B35:N35)</f>
        <v>261110.41999999998</v>
      </c>
      <c r="Q35" s="9" t="s">
        <v>269</v>
      </c>
      <c r="R35" s="54">
        <v>152626.92000000001</v>
      </c>
      <c r="S35" s="12"/>
      <c r="T35" s="54">
        <v>0</v>
      </c>
      <c r="U35" s="12"/>
      <c r="V35" s="54">
        <v>93257.48</v>
      </c>
      <c r="W35" s="12"/>
      <c r="X35" s="54">
        <v>0</v>
      </c>
      <c r="Y35" s="12"/>
      <c r="Z35" s="54">
        <v>10050.65</v>
      </c>
      <c r="AA35" s="12"/>
      <c r="AB35" s="54">
        <v>0</v>
      </c>
      <c r="AC35" s="12"/>
      <c r="AD35" s="54">
        <v>0</v>
      </c>
      <c r="AE35" s="12"/>
      <c r="AF35" s="12">
        <f t="shared" ref="AF35:AF41" si="13">SUM(R35:AD35)</f>
        <v>255935.05000000002</v>
      </c>
      <c r="AG35" s="9" t="s">
        <v>269</v>
      </c>
      <c r="AH35" s="122">
        <f t="shared" si="10"/>
        <v>261110.41999999998</v>
      </c>
      <c r="AI35" s="12"/>
      <c r="AJ35" s="12">
        <f t="shared" ref="AJ35:AJ41" si="14">AF35</f>
        <v>255935.05000000002</v>
      </c>
      <c r="AK35" s="12"/>
      <c r="AL35" s="12">
        <f t="shared" si="11"/>
        <v>5175.3699999999662</v>
      </c>
      <c r="AM35" s="12"/>
      <c r="AN35" s="13">
        <f t="shared" ref="AN35:AN42" si="15">AH35/AJ35</f>
        <v>1.0202214194577881</v>
      </c>
      <c r="AO35" s="13"/>
      <c r="AP35" s="14">
        <f t="shared" ref="AP35:AP42" si="16">AN35-1</f>
        <v>2.0221419457788103E-2</v>
      </c>
    </row>
    <row r="36" spans="1:43" s="9" customFormat="1" ht="24.95" customHeight="1" x14ac:dyDescent="0.2">
      <c r="A36" s="9" t="s">
        <v>270</v>
      </c>
      <c r="B36" s="12">
        <f>CNT!S35</f>
        <v>22577970.039999999</v>
      </c>
      <c r="C36" s="12"/>
      <c r="D36" s="12">
        <v>0</v>
      </c>
      <c r="E36" s="12"/>
      <c r="F36" s="12">
        <v>0</v>
      </c>
      <c r="G36" s="12"/>
      <c r="H36" s="12">
        <v>0</v>
      </c>
      <c r="I36" s="12"/>
      <c r="J36" s="12">
        <v>0</v>
      </c>
      <c r="K36" s="12"/>
      <c r="L36" s="12">
        <v>0</v>
      </c>
      <c r="M36" s="12"/>
      <c r="N36" s="12">
        <v>0</v>
      </c>
      <c r="O36" s="12"/>
      <c r="P36" s="12">
        <f t="shared" si="12"/>
        <v>22577970.039999999</v>
      </c>
      <c r="Q36" s="9" t="s">
        <v>270</v>
      </c>
      <c r="R36" s="54">
        <v>8632538.2699999996</v>
      </c>
      <c r="S36" s="12"/>
      <c r="T36" s="54">
        <v>0</v>
      </c>
      <c r="U36" s="12"/>
      <c r="V36" s="54">
        <v>0</v>
      </c>
      <c r="W36" s="12"/>
      <c r="X36" s="54">
        <v>0</v>
      </c>
      <c r="Y36" s="12"/>
      <c r="Z36" s="54">
        <v>0</v>
      </c>
      <c r="AA36" s="12"/>
      <c r="AB36" s="54">
        <v>0</v>
      </c>
      <c r="AC36" s="12"/>
      <c r="AD36" s="54">
        <v>0</v>
      </c>
      <c r="AE36" s="12"/>
      <c r="AF36" s="12">
        <f t="shared" si="13"/>
        <v>8632538.2699999996</v>
      </c>
      <c r="AG36" s="9" t="s">
        <v>270</v>
      </c>
      <c r="AH36" s="122">
        <f t="shared" si="10"/>
        <v>22577970.039999999</v>
      </c>
      <c r="AI36" s="12"/>
      <c r="AJ36" s="12">
        <f t="shared" si="14"/>
        <v>8632538.2699999996</v>
      </c>
      <c r="AK36" s="12"/>
      <c r="AL36" s="12">
        <f t="shared" si="11"/>
        <v>13945431.77</v>
      </c>
      <c r="AM36" s="12"/>
      <c r="AN36" s="13">
        <f t="shared" si="15"/>
        <v>2.6154497476673222</v>
      </c>
      <c r="AO36" s="13"/>
      <c r="AP36" s="14">
        <f t="shared" si="16"/>
        <v>1.6154497476673222</v>
      </c>
    </row>
    <row r="37" spans="1:43" s="9" customFormat="1" ht="24.95" customHeight="1" x14ac:dyDescent="0.2">
      <c r="A37" s="9" t="s">
        <v>271</v>
      </c>
      <c r="B37" s="12">
        <f>CNT!S36</f>
        <v>344556.71</v>
      </c>
      <c r="C37" s="12"/>
      <c r="D37" s="12">
        <v>0</v>
      </c>
      <c r="E37" s="12"/>
      <c r="F37" s="12">
        <v>0</v>
      </c>
      <c r="G37" s="12"/>
      <c r="H37" s="12">
        <v>0</v>
      </c>
      <c r="J37" s="12">
        <v>0</v>
      </c>
      <c r="L37" s="12">
        <v>0</v>
      </c>
      <c r="N37" s="12">
        <v>0</v>
      </c>
      <c r="P37" s="12">
        <f t="shared" si="12"/>
        <v>344556.71</v>
      </c>
      <c r="Q37" s="9" t="s">
        <v>271</v>
      </c>
      <c r="R37" s="54">
        <v>348135.82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3"/>
        <v>348135.82</v>
      </c>
      <c r="AG37" s="9" t="s">
        <v>271</v>
      </c>
      <c r="AH37" s="122">
        <f t="shared" si="10"/>
        <v>344556.71</v>
      </c>
      <c r="AI37" s="12"/>
      <c r="AJ37" s="12">
        <f t="shared" si="14"/>
        <v>348135.82</v>
      </c>
      <c r="AK37" s="12"/>
      <c r="AL37" s="12">
        <f t="shared" si="11"/>
        <v>-3579.109999999986</v>
      </c>
      <c r="AM37" s="12"/>
      <c r="AN37" s="13">
        <f t="shared" si="15"/>
        <v>0.9897192136103663</v>
      </c>
      <c r="AO37" s="13"/>
      <c r="AP37" s="14">
        <f t="shared" si="16"/>
        <v>-1.02807863896337E-2</v>
      </c>
    </row>
    <row r="38" spans="1:43" s="9" customFormat="1" ht="24.95" customHeight="1" x14ac:dyDescent="0.2">
      <c r="A38" s="9" t="s">
        <v>272</v>
      </c>
      <c r="B38" s="12">
        <f>CNT!S37</f>
        <v>135279</v>
      </c>
      <c r="C38" s="12"/>
      <c r="D38" s="12">
        <f>BPM!S19</f>
        <v>3669</v>
      </c>
      <c r="E38" s="12"/>
      <c r="F38" s="12">
        <f>DEP!S12</f>
        <v>1638</v>
      </c>
      <c r="G38" s="12"/>
      <c r="H38" s="12">
        <f>Lending!F19</f>
        <v>1228</v>
      </c>
      <c r="J38" s="12">
        <v>0</v>
      </c>
      <c r="L38" s="12">
        <v>0</v>
      </c>
      <c r="N38" s="12">
        <v>0</v>
      </c>
      <c r="P38" s="12">
        <f t="shared" si="12"/>
        <v>141814</v>
      </c>
      <c r="Q38" s="9" t="s">
        <v>272</v>
      </c>
      <c r="R38" s="54">
        <v>70000</v>
      </c>
      <c r="S38" s="12"/>
      <c r="T38" s="54">
        <v>3003</v>
      </c>
      <c r="U38" s="12"/>
      <c r="V38" s="54">
        <v>20000</v>
      </c>
      <c r="W38" s="12"/>
      <c r="X38" s="54">
        <v>1070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3"/>
        <v>94073</v>
      </c>
      <c r="AG38" s="9" t="s">
        <v>272</v>
      </c>
      <c r="AH38" s="122">
        <f t="shared" si="10"/>
        <v>141814</v>
      </c>
      <c r="AI38" s="12"/>
      <c r="AJ38" s="12">
        <f t="shared" si="14"/>
        <v>94073</v>
      </c>
      <c r="AK38" s="12"/>
      <c r="AL38" s="12">
        <f t="shared" si="11"/>
        <v>47741</v>
      </c>
      <c r="AM38" s="12"/>
      <c r="AN38" s="13">
        <f t="shared" si="15"/>
        <v>1.5074888650303488</v>
      </c>
      <c r="AO38" s="13"/>
      <c r="AP38" s="14">
        <f t="shared" si="16"/>
        <v>0.50748886503034885</v>
      </c>
    </row>
    <row r="39" spans="1:43" s="9" customFormat="1" ht="24.95" customHeight="1" x14ac:dyDescent="0.2">
      <c r="A39" s="9" t="s">
        <v>273</v>
      </c>
      <c r="B39" s="12">
        <v>0</v>
      </c>
      <c r="C39" s="12"/>
      <c r="D39" s="12">
        <v>0</v>
      </c>
      <c r="E39" s="12"/>
      <c r="F39" s="12">
        <v>0</v>
      </c>
      <c r="G39" s="12"/>
      <c r="H39" s="12">
        <v>0</v>
      </c>
      <c r="J39" s="12">
        <f>BSC!F45</f>
        <v>0</v>
      </c>
      <c r="L39" s="12">
        <v>0</v>
      </c>
      <c r="N39" s="12">
        <v>0</v>
      </c>
      <c r="P39" s="12">
        <f t="shared" si="12"/>
        <v>0</v>
      </c>
      <c r="Q39" s="9" t="s">
        <v>273</v>
      </c>
      <c r="R39" s="54">
        <v>0</v>
      </c>
      <c r="S39" s="12"/>
      <c r="T39" s="54">
        <v>0</v>
      </c>
      <c r="U39" s="12"/>
      <c r="V39" s="54">
        <v>0</v>
      </c>
      <c r="W39" s="12"/>
      <c r="X39" s="54">
        <v>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3"/>
        <v>0</v>
      </c>
      <c r="AG39" s="9" t="s">
        <v>273</v>
      </c>
      <c r="AH39" s="122">
        <f t="shared" si="10"/>
        <v>0</v>
      </c>
      <c r="AI39" s="12"/>
      <c r="AJ39" s="12">
        <f t="shared" si="14"/>
        <v>0</v>
      </c>
      <c r="AK39" s="12"/>
      <c r="AL39" s="12">
        <f t="shared" si="11"/>
        <v>0</v>
      </c>
      <c r="AM39" s="12"/>
      <c r="AN39" s="13" t="e">
        <f t="shared" si="15"/>
        <v>#DIV/0!</v>
      </c>
      <c r="AO39" s="13"/>
      <c r="AP39" s="14" t="e">
        <f t="shared" si="16"/>
        <v>#DIV/0!</v>
      </c>
    </row>
    <row r="40" spans="1:43" s="9" customFormat="1" ht="24.95" customHeight="1" x14ac:dyDescent="0.2">
      <c r="A40" s="9" t="s">
        <v>590</v>
      </c>
      <c r="B40" s="12">
        <f>CNT!S41</f>
        <v>2240.61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v>0</v>
      </c>
      <c r="L40" s="12">
        <v>0</v>
      </c>
      <c r="N40" s="12">
        <v>0</v>
      </c>
      <c r="P40" s="12">
        <f t="shared" si="12"/>
        <v>2240.61</v>
      </c>
      <c r="Q40" s="9" t="s">
        <v>590</v>
      </c>
      <c r="R40" s="54">
        <v>1125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3"/>
        <v>1125</v>
      </c>
      <c r="AG40" s="9" t="s">
        <v>590</v>
      </c>
      <c r="AH40" s="122">
        <f t="shared" si="10"/>
        <v>2240.61</v>
      </c>
      <c r="AI40" s="12"/>
      <c r="AJ40" s="12">
        <f t="shared" si="14"/>
        <v>1125</v>
      </c>
      <c r="AK40" s="12"/>
      <c r="AL40" s="12">
        <f t="shared" si="11"/>
        <v>1115.6100000000001</v>
      </c>
      <c r="AM40" s="12"/>
      <c r="AN40" s="13">
        <v>0</v>
      </c>
      <c r="AO40" s="13"/>
      <c r="AP40" s="14">
        <f t="shared" si="16"/>
        <v>-1</v>
      </c>
    </row>
    <row r="41" spans="1:43" s="9" customFormat="1" ht="24.95" customHeight="1" x14ac:dyDescent="0.2">
      <c r="A41" s="9" t="s">
        <v>274</v>
      </c>
      <c r="B41" s="16">
        <f>CNT!S39+CNT!S38</f>
        <v>7965.86</v>
      </c>
      <c r="C41" s="16"/>
      <c r="D41" s="16">
        <f>BPM!S20</f>
        <v>0</v>
      </c>
      <c r="E41" s="16"/>
      <c r="F41" s="16">
        <f>DEP!S15+DEP!S14</f>
        <v>27192.05</v>
      </c>
      <c r="G41" s="16"/>
      <c r="H41" s="16">
        <f>Lending!F21+Lending!F20</f>
        <v>1425</v>
      </c>
      <c r="I41" s="17"/>
      <c r="J41" s="16">
        <f>BSC!F12</f>
        <v>0</v>
      </c>
      <c r="K41" s="17"/>
      <c r="L41" s="16">
        <v>0</v>
      </c>
      <c r="M41" s="17"/>
      <c r="N41" s="16">
        <f>'722 Bedford St'!E15</f>
        <v>775.02</v>
      </c>
      <c r="O41" s="17"/>
      <c r="P41" s="16">
        <f t="shared" si="12"/>
        <v>37357.929999999993</v>
      </c>
      <c r="Q41" s="9" t="s">
        <v>274</v>
      </c>
      <c r="R41" s="55">
        <v>65625</v>
      </c>
      <c r="S41" s="12"/>
      <c r="T41" s="55">
        <v>7258.06</v>
      </c>
      <c r="U41" s="16"/>
      <c r="V41" s="55">
        <v>66967.290000000008</v>
      </c>
      <c r="W41" s="16"/>
      <c r="X41" s="55">
        <v>1563</v>
      </c>
      <c r="Y41" s="16"/>
      <c r="Z41" s="55">
        <v>0</v>
      </c>
      <c r="AA41" s="16"/>
      <c r="AB41" s="55">
        <v>0</v>
      </c>
      <c r="AC41" s="16"/>
      <c r="AD41" s="55">
        <v>2250</v>
      </c>
      <c r="AE41" s="16"/>
      <c r="AF41" s="16">
        <f t="shared" si="13"/>
        <v>143663.35</v>
      </c>
      <c r="AG41" s="9" t="s">
        <v>274</v>
      </c>
      <c r="AH41" s="16">
        <f t="shared" si="10"/>
        <v>37357.929999999993</v>
      </c>
      <c r="AI41" s="16"/>
      <c r="AJ41" s="16">
        <f t="shared" si="14"/>
        <v>143663.35</v>
      </c>
      <c r="AK41" s="16"/>
      <c r="AL41" s="16">
        <f t="shared" si="11"/>
        <v>-106305.42000000001</v>
      </c>
      <c r="AM41" s="12"/>
      <c r="AN41" s="13">
        <f t="shared" si="15"/>
        <v>0.26003799855704318</v>
      </c>
      <c r="AO41" s="13"/>
      <c r="AP41" s="14">
        <f t="shared" si="16"/>
        <v>-0.73996200144295687</v>
      </c>
    </row>
    <row r="42" spans="1:43" s="9" customFormat="1" ht="24.95" customHeight="1" x14ac:dyDescent="0.2">
      <c r="A42" s="18" t="s">
        <v>277</v>
      </c>
      <c r="B42" s="12">
        <f>SUM(B34:B41)</f>
        <v>23222906.52</v>
      </c>
      <c r="C42" s="12"/>
      <c r="D42" s="12">
        <f>SUM(D34:D41)</f>
        <v>3669</v>
      </c>
      <c r="E42" s="12"/>
      <c r="F42" s="12">
        <f>SUM(F34:F41)</f>
        <v>124212.83</v>
      </c>
      <c r="G42" s="12"/>
      <c r="H42" s="12">
        <f>SUM(H34:H41)</f>
        <v>2653</v>
      </c>
      <c r="I42" s="12"/>
      <c r="J42" s="12">
        <f>SUM(J34:J41)</f>
        <v>10833.34</v>
      </c>
      <c r="K42" s="12"/>
      <c r="L42" s="12">
        <f>SUM(L34:L41)</f>
        <v>0</v>
      </c>
      <c r="M42" s="12"/>
      <c r="N42" s="12">
        <f>SUM(N34:N41)</f>
        <v>775.02</v>
      </c>
      <c r="O42" s="12"/>
      <c r="P42" s="12">
        <f>SUM(P34:P41)</f>
        <v>23365049.710000001</v>
      </c>
      <c r="Q42" s="18" t="s">
        <v>277</v>
      </c>
      <c r="R42" s="54">
        <f>SUM(R34:R41)</f>
        <v>9270051.0099999998</v>
      </c>
      <c r="S42" s="12"/>
      <c r="T42" s="54">
        <f>SUM(T34:T41)</f>
        <v>10261.060000000001</v>
      </c>
      <c r="U42" s="12"/>
      <c r="V42" s="54">
        <f>SUM(V34:V41)</f>
        <v>180224.77000000002</v>
      </c>
      <c r="W42" s="12"/>
      <c r="X42" s="54">
        <f>SUM(X34:X41)</f>
        <v>2633</v>
      </c>
      <c r="Y42" s="12"/>
      <c r="Z42" s="54">
        <f>SUM(Z34:Z41)</f>
        <v>10050.65</v>
      </c>
      <c r="AA42" s="12"/>
      <c r="AB42" s="54">
        <f>SUM(AB34:AB41)</f>
        <v>0</v>
      </c>
      <c r="AC42" s="12"/>
      <c r="AD42" s="54">
        <f>SUM(AD34:AD41)</f>
        <v>2250</v>
      </c>
      <c r="AE42" s="12"/>
      <c r="AF42" s="12">
        <f>SUM(AF34:AF41)</f>
        <v>9475470.4900000002</v>
      </c>
      <c r="AG42" s="18" t="s">
        <v>277</v>
      </c>
      <c r="AH42" s="12">
        <f>SUM(AH34:AH41)</f>
        <v>23365049.710000001</v>
      </c>
      <c r="AI42" s="12"/>
      <c r="AJ42" s="12">
        <f>SUM(AJ34:AJ41)</f>
        <v>9475470.4900000002</v>
      </c>
      <c r="AK42" s="12"/>
      <c r="AL42" s="12">
        <f>SUM(AL34:AL41)</f>
        <v>13889579.219999999</v>
      </c>
      <c r="AM42" s="12"/>
      <c r="AN42" s="13">
        <f t="shared" si="15"/>
        <v>2.4658458632379743</v>
      </c>
      <c r="AO42" s="13"/>
      <c r="AP42" s="14">
        <f t="shared" si="16"/>
        <v>1.4658458632379743</v>
      </c>
    </row>
    <row r="43" spans="1:43" s="9" customFormat="1" ht="24.95" customHeight="1" x14ac:dyDescent="0.2">
      <c r="A43" s="1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0"/>
      <c r="Q43" s="18"/>
      <c r="R43" s="54"/>
      <c r="S43" s="12"/>
      <c r="T43" s="54"/>
      <c r="U43" s="12"/>
      <c r="V43" s="54"/>
      <c r="W43" s="12"/>
      <c r="X43" s="54"/>
      <c r="Y43" s="12"/>
      <c r="Z43" s="54"/>
      <c r="AA43" s="12"/>
      <c r="AB43" s="54"/>
      <c r="AC43" s="12"/>
      <c r="AD43" s="54"/>
      <c r="AE43" s="12"/>
      <c r="AF43" s="10"/>
      <c r="AG43" s="18"/>
      <c r="AN43" s="10"/>
      <c r="AO43" s="10"/>
      <c r="AP43" s="14"/>
    </row>
    <row r="44" spans="1:43" s="9" customFormat="1" ht="24.95" customHeight="1" x14ac:dyDescent="0.2">
      <c r="A44" s="20" t="s">
        <v>275</v>
      </c>
      <c r="B44" s="21">
        <f>SUM(B42,B32,B12,B11,B10,B9,B8,B7,B14)</f>
        <v>70585454.740000024</v>
      </c>
      <c r="C44" s="21"/>
      <c r="D44" s="21">
        <f>SUM(D42,D32,D12,D11,D10,D9,D8,D7,D14)</f>
        <v>369735.42</v>
      </c>
      <c r="E44" s="21"/>
      <c r="F44" s="21">
        <f>SUM(F42,F32,F12,F11,F10,F9,F8,F7,F14)</f>
        <v>8023223.7599999998</v>
      </c>
      <c r="G44" s="21"/>
      <c r="H44" s="21">
        <f>SUM(H42,H32,H12,H11,H10,H9,H8,H7,H14)</f>
        <v>937281.74</v>
      </c>
      <c r="I44" s="21"/>
      <c r="J44" s="21">
        <f>SUM(J42,J32,J12,J11,J10,J9,J8,J7,J14)</f>
        <v>388264.52</v>
      </c>
      <c r="K44" s="21"/>
      <c r="L44" s="21">
        <f>SUM(L42,L32,L12,L11,L10,L9,L8,L7,L14)</f>
        <v>2274030.79</v>
      </c>
      <c r="M44" s="21"/>
      <c r="N44" s="21">
        <f>SUM(N42,N32,N12,N11,N10,N9,N8,N7,N14)</f>
        <v>704500.13</v>
      </c>
      <c r="O44" s="21"/>
      <c r="P44" s="21">
        <f>SUM(P42,P32,P12,P11,P10,P9,P8,P7,P14)</f>
        <v>83282491.100000024</v>
      </c>
      <c r="Q44" s="20" t="s">
        <v>275</v>
      </c>
      <c r="R44" s="56">
        <f>SUM(R42,R32,R12,R11,R10,R9,R8,R7,R14,R13)</f>
        <v>22180242.509999972</v>
      </c>
      <c r="S44" s="12"/>
      <c r="T44" s="56">
        <f>SUM(T42,T32,T12,T11,T10,T9,T8,T7,T14)</f>
        <v>1832206.83</v>
      </c>
      <c r="U44" s="12"/>
      <c r="V44" s="56">
        <f>SUM(V42,V32,V12,V11,V10,V9,V8,V7,V14)</f>
        <v>5673954.4099999992</v>
      </c>
      <c r="W44" s="12"/>
      <c r="X44" s="56">
        <f>SUM(X42,X32,X12,X11,X10,X9,X8,X7,X14)</f>
        <v>701627</v>
      </c>
      <c r="Y44" s="12"/>
      <c r="Z44" s="56">
        <f>SUM(Z42,Z32,Z12,Z11,Z10,Z9,Z8,Z7,Z14)</f>
        <v>479806.82</v>
      </c>
      <c r="AA44" s="12"/>
      <c r="AB44" s="56">
        <f>SUM(AB42,AB32,AB12,AB11,AB10,AB9,AB8,AB7,AB14)</f>
        <v>1967137.93</v>
      </c>
      <c r="AC44" s="12"/>
      <c r="AD44" s="56">
        <f>SUM(AD42,AD32,AD12,AD11,AD10,AD9,AD8,AD7,AD14)</f>
        <v>115416.45</v>
      </c>
      <c r="AE44" s="21"/>
      <c r="AF44" s="144">
        <f>SUM(AF42,AF32,AF12,AF11,AF10,AF9,AF8,AF7,AF14,AF13)</f>
        <v>32950391.949999999</v>
      </c>
      <c r="AG44" s="20" t="s">
        <v>275</v>
      </c>
      <c r="AH44" s="21">
        <f>AH32+AH42+AH7+AH8+AH9+AH10+AH11+AH12+AH14</f>
        <v>83282491.100000024</v>
      </c>
      <c r="AI44" s="21"/>
      <c r="AJ44" s="21">
        <f>AJ32+AJ42+AJ7+AJ8+AJ9+AJ10+AJ11+AJ12+AJ14</f>
        <v>32679214.270000003</v>
      </c>
      <c r="AK44" s="21"/>
      <c r="AL44" s="21">
        <f>AL32+AL42+AL7+AL8+AL9+AL10+AL11+AL12+AL14</f>
        <v>50603276.830000021</v>
      </c>
      <c r="AM44" s="12"/>
      <c r="AN44" s="13">
        <f>AH44/AJ44</f>
        <v>2.5484851138680704</v>
      </c>
      <c r="AO44" s="13"/>
      <c r="AP44" s="14">
        <f>AN44-1</f>
        <v>1.5484851138680704</v>
      </c>
      <c r="AQ44" s="22">
        <f>AH44-P44</f>
        <v>0</v>
      </c>
    </row>
    <row r="45" spans="1:43" s="9" customFormat="1" ht="24.95" customHeight="1" x14ac:dyDescent="0.2">
      <c r="B45" s="12"/>
      <c r="C45" s="12"/>
      <c r="D45" s="12"/>
      <c r="E45" s="12"/>
      <c r="F45" s="12"/>
      <c r="G45" s="12"/>
      <c r="P45" s="10"/>
      <c r="R45" s="65"/>
      <c r="S45" s="12"/>
      <c r="T45" s="65"/>
      <c r="V45" s="65"/>
      <c r="X45" s="65"/>
      <c r="Z45" s="65"/>
      <c r="AB45" s="65"/>
      <c r="AD45" s="65"/>
      <c r="AF45" s="10"/>
      <c r="AN45" s="10"/>
      <c r="AO45" s="10"/>
      <c r="AP45" s="19"/>
    </row>
    <row r="46" spans="1:43" s="9" customFormat="1" ht="24.95" customHeight="1" x14ac:dyDescent="0.2">
      <c r="A46" s="8" t="s">
        <v>276</v>
      </c>
      <c r="B46" s="12"/>
      <c r="C46" s="12"/>
      <c r="D46" s="12"/>
      <c r="E46" s="12"/>
      <c r="F46" s="12"/>
      <c r="G46" s="12"/>
      <c r="P46" s="10"/>
      <c r="Q46" s="8" t="s">
        <v>276</v>
      </c>
      <c r="R46" s="67"/>
      <c r="S46" s="12"/>
      <c r="T46" s="65"/>
      <c r="V46" s="65"/>
      <c r="X46" s="65"/>
      <c r="Z46" s="65"/>
      <c r="AB46" s="65"/>
      <c r="AD46" s="65"/>
      <c r="AF46" s="10"/>
      <c r="AG46" s="8" t="s">
        <v>276</v>
      </c>
      <c r="AN46" s="10"/>
      <c r="AO46" s="10"/>
      <c r="AP46" s="19"/>
    </row>
    <row r="47" spans="1:43" s="9" customFormat="1" ht="24.95" customHeight="1" x14ac:dyDescent="0.2">
      <c r="A47" s="9" t="s">
        <v>286</v>
      </c>
      <c r="B47" s="12">
        <f>CNT!S63</f>
        <v>1114391.1100000001</v>
      </c>
      <c r="C47" s="12"/>
      <c r="D47" s="12">
        <f>BPM!S27</f>
        <v>8577.17</v>
      </c>
      <c r="E47" s="12"/>
      <c r="F47" s="12">
        <f>DEP!S22</f>
        <v>138413.75</v>
      </c>
      <c r="G47" s="12"/>
      <c r="H47" s="12">
        <v>0</v>
      </c>
      <c r="J47" s="12">
        <v>0</v>
      </c>
      <c r="L47" s="12">
        <v>0</v>
      </c>
      <c r="N47" s="12">
        <f>'722 Bedford St'!E28</f>
        <v>9394.19</v>
      </c>
      <c r="P47" s="12">
        <f>SUM(B47:N47)</f>
        <v>1270776.22</v>
      </c>
      <c r="Q47" s="9" t="s">
        <v>286</v>
      </c>
      <c r="R47" s="54">
        <v>1112375.6499999999</v>
      </c>
      <c r="S47" s="12"/>
      <c r="T47" s="54">
        <v>8577.17</v>
      </c>
      <c r="U47" s="12"/>
      <c r="V47" s="54">
        <v>138413.75</v>
      </c>
      <c r="W47" s="12"/>
      <c r="X47" s="54">
        <v>0</v>
      </c>
      <c r="Y47" s="12"/>
      <c r="Z47" s="54">
        <v>0</v>
      </c>
      <c r="AA47" s="12"/>
      <c r="AB47" s="54">
        <v>0</v>
      </c>
      <c r="AC47" s="12"/>
      <c r="AD47" s="54">
        <v>9394.19</v>
      </c>
      <c r="AE47" s="12"/>
      <c r="AF47" s="122">
        <f>SUM(R47:AD47)</f>
        <v>1268760.7599999998</v>
      </c>
      <c r="AG47" s="9" t="s">
        <v>286</v>
      </c>
      <c r="AH47" s="12">
        <f t="shared" ref="AH47:AH63" si="17">P47</f>
        <v>1270776.22</v>
      </c>
      <c r="AI47" s="12"/>
      <c r="AJ47" s="12">
        <f>AF47</f>
        <v>1268760.7599999998</v>
      </c>
      <c r="AK47" s="12"/>
      <c r="AL47" s="12">
        <f t="shared" ref="AL47:AL63" si="18">AH47-AJ47</f>
        <v>2015.4600000001956</v>
      </c>
      <c r="AM47" s="12"/>
      <c r="AN47" s="13">
        <f t="shared" ref="AN47:AN68" si="19">AH47/AJ47</f>
        <v>1.0015885264295219</v>
      </c>
      <c r="AO47" s="13"/>
      <c r="AP47" s="14">
        <f t="shared" ref="AP47:AP68" si="20">AN47-1</f>
        <v>1.588526429521897E-3</v>
      </c>
    </row>
    <row r="48" spans="1:43" s="9" customFormat="1" ht="24.95" customHeight="1" x14ac:dyDescent="0.2">
      <c r="A48" s="9" t="s">
        <v>278</v>
      </c>
      <c r="B48" s="12">
        <f>CNT!S64</f>
        <v>45071.88</v>
      </c>
      <c r="C48" s="12"/>
      <c r="D48" s="12">
        <v>0</v>
      </c>
      <c r="E48" s="12"/>
      <c r="F48" s="12">
        <v>0</v>
      </c>
      <c r="G48" s="12"/>
      <c r="H48" s="12">
        <v>0</v>
      </c>
      <c r="J48" s="12">
        <v>0</v>
      </c>
      <c r="L48" s="12">
        <v>0</v>
      </c>
      <c r="N48" s="12">
        <v>0</v>
      </c>
      <c r="P48" s="12">
        <f t="shared" ref="P48:P62" si="21">SUM(B48:N48)</f>
        <v>45071.88</v>
      </c>
      <c r="Q48" s="9" t="s">
        <v>278</v>
      </c>
      <c r="R48" s="54">
        <v>45071.88</v>
      </c>
      <c r="S48" s="12"/>
      <c r="T48" s="54">
        <v>0</v>
      </c>
      <c r="U48" s="12"/>
      <c r="V48" s="54">
        <v>0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0</v>
      </c>
      <c r="AE48" s="12"/>
      <c r="AF48" s="122">
        <f t="shared" ref="AF48:AF63" si="22">SUM(R48:AD48)</f>
        <v>45071.88</v>
      </c>
      <c r="AG48" s="9" t="s">
        <v>278</v>
      </c>
      <c r="AH48" s="12">
        <f t="shared" si="17"/>
        <v>45071.88</v>
      </c>
      <c r="AI48" s="12"/>
      <c r="AJ48" s="12">
        <f t="shared" ref="AJ48:AJ63" si="23">AF48</f>
        <v>45071.88</v>
      </c>
      <c r="AK48" s="12"/>
      <c r="AL48" s="12">
        <f t="shared" si="18"/>
        <v>0</v>
      </c>
      <c r="AM48" s="12"/>
      <c r="AN48" s="13">
        <f t="shared" si="19"/>
        <v>1</v>
      </c>
      <c r="AO48" s="13"/>
      <c r="AP48" s="14">
        <f t="shared" si="20"/>
        <v>0</v>
      </c>
    </row>
    <row r="49" spans="1:42" s="9" customFormat="1" ht="24.95" customHeight="1" x14ac:dyDescent="0.2">
      <c r="A49" s="9" t="s">
        <v>288</v>
      </c>
      <c r="B49" s="12">
        <f>CNT!S65</f>
        <v>715632.48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si="21"/>
        <v>715632.48</v>
      </c>
      <c r="Q49" s="9" t="s">
        <v>288</v>
      </c>
      <c r="R49" s="54">
        <v>715632.48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si="22"/>
        <v>715632.48</v>
      </c>
      <c r="AG49" s="9" t="s">
        <v>288</v>
      </c>
      <c r="AH49" s="12">
        <f t="shared" si="17"/>
        <v>715632.48</v>
      </c>
      <c r="AI49" s="12"/>
      <c r="AJ49" s="12">
        <f t="shared" si="23"/>
        <v>715632.48</v>
      </c>
      <c r="AK49" s="12"/>
      <c r="AL49" s="12">
        <f t="shared" si="18"/>
        <v>0</v>
      </c>
      <c r="AM49" s="12"/>
      <c r="AN49" s="13">
        <f t="shared" si="19"/>
        <v>1</v>
      </c>
      <c r="AO49" s="13"/>
      <c r="AP49" s="14">
        <f t="shared" si="20"/>
        <v>0</v>
      </c>
    </row>
    <row r="50" spans="1:42" s="9" customFormat="1" ht="24.95" customHeight="1" x14ac:dyDescent="0.2">
      <c r="A50" s="9" t="s">
        <v>279</v>
      </c>
      <c r="B50" s="12">
        <f>CNT!S66</f>
        <v>4714695.95</v>
      </c>
      <c r="C50" s="12"/>
      <c r="D50" s="12">
        <v>0</v>
      </c>
      <c r="E50" s="12"/>
      <c r="F50" s="12">
        <f>DEP!S23</f>
        <v>193555.25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4908251.2</v>
      </c>
      <c r="Q50" s="9" t="s">
        <v>279</v>
      </c>
      <c r="R50" s="54">
        <v>4708220.9800000004</v>
      </c>
      <c r="S50" s="12"/>
      <c r="T50" s="54">
        <v>0</v>
      </c>
      <c r="U50" s="12"/>
      <c r="V50" s="54">
        <v>193555.25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4901776.2300000004</v>
      </c>
      <c r="AG50" s="9" t="s">
        <v>279</v>
      </c>
      <c r="AH50" s="12">
        <f t="shared" si="17"/>
        <v>4908251.2</v>
      </c>
      <c r="AI50" s="12"/>
      <c r="AJ50" s="12">
        <f t="shared" si="23"/>
        <v>4901776.2300000004</v>
      </c>
      <c r="AK50" s="12"/>
      <c r="AL50" s="12">
        <f t="shared" si="18"/>
        <v>6474.9699999997392</v>
      </c>
      <c r="AM50" s="12"/>
      <c r="AN50" s="13">
        <f t="shared" si="19"/>
        <v>1.0013209436123116</v>
      </c>
      <c r="AO50" s="13"/>
      <c r="AP50" s="14">
        <f t="shared" si="20"/>
        <v>1.3209436123116092E-3</v>
      </c>
    </row>
    <row r="51" spans="1:42" s="9" customFormat="1" ht="24.95" customHeight="1" x14ac:dyDescent="0.2">
      <c r="A51" s="9" t="s">
        <v>280</v>
      </c>
      <c r="B51" s="12">
        <f>CNT!S67</f>
        <v>460539.38</v>
      </c>
      <c r="C51" s="12"/>
      <c r="D51" s="12">
        <v>0</v>
      </c>
      <c r="E51" s="12"/>
      <c r="F51" s="12">
        <v>0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460539.38</v>
      </c>
      <c r="Q51" s="9" t="s">
        <v>280</v>
      </c>
      <c r="R51" s="54">
        <v>460539.38</v>
      </c>
      <c r="S51" s="12"/>
      <c r="T51" s="54">
        <v>0</v>
      </c>
      <c r="U51" s="12"/>
      <c r="V51" s="54">
        <v>0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460539.38</v>
      </c>
      <c r="AG51" s="9" t="s">
        <v>280</v>
      </c>
      <c r="AH51" s="12">
        <f t="shared" si="17"/>
        <v>460539.38</v>
      </c>
      <c r="AI51" s="12"/>
      <c r="AJ51" s="12">
        <f t="shared" si="23"/>
        <v>460539.38</v>
      </c>
      <c r="AK51" s="12"/>
      <c r="AL51" s="12">
        <f t="shared" si="18"/>
        <v>0</v>
      </c>
      <c r="AM51" s="12"/>
      <c r="AN51" s="13">
        <f t="shared" si="19"/>
        <v>1</v>
      </c>
      <c r="AO51" s="13"/>
      <c r="AP51" s="14">
        <f t="shared" si="20"/>
        <v>0</v>
      </c>
    </row>
    <row r="52" spans="1:42" s="9" customFormat="1" ht="24.95" customHeight="1" x14ac:dyDescent="0.2">
      <c r="A52" s="9" t="s">
        <v>281</v>
      </c>
      <c r="B52" s="12">
        <f>CNT!S69</f>
        <v>3131039.97</v>
      </c>
      <c r="C52" s="12"/>
      <c r="D52" s="12">
        <f>BPM!S28</f>
        <v>20237.79</v>
      </c>
      <c r="E52" s="12"/>
      <c r="F52" s="12">
        <f>DEP!S24</f>
        <v>734062.14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3885339.9000000004</v>
      </c>
      <c r="Q52" s="9" t="s">
        <v>281</v>
      </c>
      <c r="R52" s="54">
        <v>3119443.63</v>
      </c>
      <c r="S52" s="12"/>
      <c r="T52" s="54">
        <v>20237.79</v>
      </c>
      <c r="U52" s="12"/>
      <c r="V52" s="54">
        <v>722636.64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3862318.06</v>
      </c>
      <c r="AG52" s="9" t="s">
        <v>281</v>
      </c>
      <c r="AH52" s="12">
        <f t="shared" si="17"/>
        <v>3885339.9000000004</v>
      </c>
      <c r="AI52" s="12"/>
      <c r="AJ52" s="12">
        <f t="shared" si="23"/>
        <v>3862318.06</v>
      </c>
      <c r="AK52" s="12"/>
      <c r="AL52" s="12">
        <f t="shared" si="18"/>
        <v>23021.840000000317</v>
      </c>
      <c r="AM52" s="12"/>
      <c r="AN52" s="13">
        <f t="shared" si="19"/>
        <v>1.0059606276962081</v>
      </c>
      <c r="AO52" s="13"/>
      <c r="AP52" s="14">
        <f t="shared" si="20"/>
        <v>5.9606276962080873E-3</v>
      </c>
    </row>
    <row r="53" spans="1:42" s="9" customFormat="1" ht="24.95" customHeight="1" x14ac:dyDescent="0.2">
      <c r="A53" s="9" t="s">
        <v>595</v>
      </c>
      <c r="B53" s="12">
        <f>CNT!S70</f>
        <v>11428.88</v>
      </c>
      <c r="C53" s="12"/>
      <c r="D53" s="12">
        <v>0</v>
      </c>
      <c r="E53" s="12"/>
      <c r="F53" s="12">
        <v>0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11428.88</v>
      </c>
      <c r="Q53" s="9" t="s">
        <v>595</v>
      </c>
      <c r="R53" s="54">
        <v>11428.88</v>
      </c>
      <c r="S53" s="12"/>
      <c r="T53" s="54">
        <v>0</v>
      </c>
      <c r="U53" s="12"/>
      <c r="V53" s="54">
        <v>0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11428.88</v>
      </c>
      <c r="AG53" s="9" t="s">
        <v>595</v>
      </c>
      <c r="AH53" s="12">
        <f t="shared" si="17"/>
        <v>11428.88</v>
      </c>
      <c r="AI53" s="12"/>
      <c r="AJ53" s="12">
        <f t="shared" si="23"/>
        <v>11428.88</v>
      </c>
      <c r="AK53" s="12"/>
      <c r="AL53" s="12">
        <f t="shared" si="18"/>
        <v>0</v>
      </c>
      <c r="AM53" s="12"/>
      <c r="AN53" s="13">
        <f t="shared" si="19"/>
        <v>1</v>
      </c>
      <c r="AO53" s="13"/>
      <c r="AP53" s="14">
        <f t="shared" si="20"/>
        <v>0</v>
      </c>
    </row>
    <row r="54" spans="1:42" s="9" customFormat="1" ht="24.95" customHeight="1" x14ac:dyDescent="0.2">
      <c r="A54" s="9" t="s">
        <v>282</v>
      </c>
      <c r="B54" s="12">
        <f>CNT!S71</f>
        <v>384818.56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1"/>
        <v>384818.56</v>
      </c>
      <c r="Q54" s="9" t="s">
        <v>282</v>
      </c>
      <c r="R54" s="54">
        <v>205633.94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2"/>
        <v>205633.94</v>
      </c>
      <c r="AG54" s="9" t="s">
        <v>282</v>
      </c>
      <c r="AH54" s="12">
        <f t="shared" si="17"/>
        <v>384818.56</v>
      </c>
      <c r="AI54" s="12"/>
      <c r="AJ54" s="12">
        <f t="shared" si="23"/>
        <v>205633.94</v>
      </c>
      <c r="AK54" s="12"/>
      <c r="AL54" s="12">
        <f t="shared" si="18"/>
        <v>179184.62</v>
      </c>
      <c r="AM54" s="12"/>
      <c r="AN54" s="13">
        <f t="shared" si="19"/>
        <v>1.8713766803281597</v>
      </c>
      <c r="AO54" s="13"/>
      <c r="AP54" s="14">
        <f t="shared" si="20"/>
        <v>0.87137668032815974</v>
      </c>
    </row>
    <row r="55" spans="1:42" s="9" customFormat="1" ht="24.95" customHeight="1" x14ac:dyDescent="0.2">
      <c r="A55" s="9" t="s">
        <v>283</v>
      </c>
      <c r="B55" s="12">
        <f>CNT!S72</f>
        <v>2027573.66</v>
      </c>
      <c r="C55" s="12"/>
      <c r="D55" s="12">
        <v>0</v>
      </c>
      <c r="E55" s="12"/>
      <c r="F55" s="12">
        <f>DEP!S26</f>
        <v>557749</v>
      </c>
      <c r="G55" s="12"/>
      <c r="H55" s="12">
        <v>0</v>
      </c>
      <c r="J55" s="12">
        <v>0</v>
      </c>
      <c r="L55" s="12">
        <v>0</v>
      </c>
      <c r="N55" s="12">
        <f>'722 Bedford St'!E32</f>
        <v>0</v>
      </c>
      <c r="P55" s="12">
        <f t="shared" si="21"/>
        <v>2585322.66</v>
      </c>
      <c r="Q55" s="9" t="s">
        <v>283</v>
      </c>
      <c r="R55" s="54">
        <v>2023589.41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557749</v>
      </c>
      <c r="AE55" s="12"/>
      <c r="AF55" s="122">
        <f t="shared" si="22"/>
        <v>2581338.41</v>
      </c>
      <c r="AG55" s="9" t="s">
        <v>283</v>
      </c>
      <c r="AH55" s="12">
        <f t="shared" si="17"/>
        <v>2585322.66</v>
      </c>
      <c r="AI55" s="12"/>
      <c r="AJ55" s="12">
        <f t="shared" si="23"/>
        <v>2581338.41</v>
      </c>
      <c r="AK55" s="12"/>
      <c r="AL55" s="12">
        <f t="shared" si="18"/>
        <v>3984.25</v>
      </c>
      <c r="AM55" s="12"/>
      <c r="AN55" s="13">
        <f t="shared" si="19"/>
        <v>1.001543482243384</v>
      </c>
      <c r="AO55" s="13"/>
      <c r="AP55" s="14">
        <f t="shared" si="20"/>
        <v>1.5434822433839646E-3</v>
      </c>
    </row>
    <row r="56" spans="1:42" s="9" customFormat="1" ht="24.95" customHeight="1" x14ac:dyDescent="0.2">
      <c r="A56" s="9" t="s">
        <v>721</v>
      </c>
      <c r="B56" s="12">
        <f>CNT!S78</f>
        <v>37760.769999999997</v>
      </c>
      <c r="C56" s="12"/>
      <c r="D56" s="12">
        <v>0</v>
      </c>
      <c r="E56" s="12"/>
      <c r="F56" s="12">
        <f>DEP!S25</f>
        <v>22262</v>
      </c>
      <c r="G56" s="12"/>
      <c r="H56" s="12">
        <v>0</v>
      </c>
      <c r="J56" s="12">
        <v>0</v>
      </c>
      <c r="L56" s="12">
        <v>0</v>
      </c>
      <c r="N56" s="12">
        <v>0</v>
      </c>
      <c r="P56" s="12">
        <f t="shared" si="21"/>
        <v>60022.77</v>
      </c>
      <c r="Q56" s="9" t="s">
        <v>721</v>
      </c>
      <c r="R56" s="54">
        <v>0</v>
      </c>
      <c r="S56" s="12"/>
      <c r="T56" s="54">
        <v>0</v>
      </c>
      <c r="U56" s="12"/>
      <c r="V56" s="54">
        <v>0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0</v>
      </c>
      <c r="AE56" s="12"/>
      <c r="AF56" s="122">
        <f t="shared" si="22"/>
        <v>0</v>
      </c>
      <c r="AG56" s="9" t="s">
        <v>721</v>
      </c>
      <c r="AH56" s="12">
        <f t="shared" si="17"/>
        <v>60022.77</v>
      </c>
      <c r="AI56" s="12"/>
      <c r="AJ56" s="12">
        <f t="shared" si="23"/>
        <v>0</v>
      </c>
      <c r="AK56" s="12"/>
      <c r="AL56" s="12">
        <f t="shared" si="18"/>
        <v>60022.77</v>
      </c>
      <c r="AM56" s="12"/>
      <c r="AN56" s="13" t="e">
        <f t="shared" si="19"/>
        <v>#DIV/0!</v>
      </c>
      <c r="AO56" s="13"/>
      <c r="AP56" s="14" t="e">
        <f t="shared" si="20"/>
        <v>#DIV/0!</v>
      </c>
    </row>
    <row r="57" spans="1:42" s="9" customFormat="1" ht="24.95" customHeight="1" x14ac:dyDescent="0.2">
      <c r="A57" s="9" t="s">
        <v>284</v>
      </c>
      <c r="B57" s="12">
        <f>CNT!S73</f>
        <v>5406652.4800000004</v>
      </c>
      <c r="C57" s="12"/>
      <c r="D57" s="12">
        <v>0</v>
      </c>
      <c r="E57" s="12"/>
      <c r="F57" s="12">
        <v>0</v>
      </c>
      <c r="G57" s="12"/>
      <c r="H57" s="12">
        <v>0</v>
      </c>
      <c r="J57" s="12">
        <v>0</v>
      </c>
      <c r="L57" s="12">
        <v>0</v>
      </c>
      <c r="N57" s="12">
        <v>0</v>
      </c>
      <c r="P57" s="12">
        <f t="shared" si="21"/>
        <v>5406652.4800000004</v>
      </c>
      <c r="Q57" s="9" t="s">
        <v>284</v>
      </c>
      <c r="R57" s="54">
        <v>5071246.96</v>
      </c>
      <c r="S57" s="12"/>
      <c r="T57" s="54">
        <v>0</v>
      </c>
      <c r="U57" s="12"/>
      <c r="V57" s="54">
        <v>0</v>
      </c>
      <c r="W57" s="12"/>
      <c r="X57" s="54">
        <v>0</v>
      </c>
      <c r="Y57" s="12"/>
      <c r="Z57" s="54">
        <v>0</v>
      </c>
      <c r="AA57" s="12"/>
      <c r="AB57" s="54">
        <v>0</v>
      </c>
      <c r="AC57" s="12"/>
      <c r="AD57" s="54">
        <v>0</v>
      </c>
      <c r="AE57" s="12"/>
      <c r="AF57" s="122">
        <f t="shared" si="22"/>
        <v>5071246.96</v>
      </c>
      <c r="AG57" s="9" t="s">
        <v>284</v>
      </c>
      <c r="AH57" s="12">
        <f t="shared" si="17"/>
        <v>5406652.4800000004</v>
      </c>
      <c r="AI57" s="12"/>
      <c r="AJ57" s="12">
        <f t="shared" si="23"/>
        <v>5071246.96</v>
      </c>
      <c r="AK57" s="12"/>
      <c r="AL57" s="12">
        <f t="shared" si="18"/>
        <v>335405.52000000048</v>
      </c>
      <c r="AM57" s="12"/>
      <c r="AN57" s="13">
        <f t="shared" si="19"/>
        <v>1.0661386681905944</v>
      </c>
      <c r="AO57" s="13"/>
      <c r="AP57" s="14">
        <f t="shared" si="20"/>
        <v>6.6138668190594441E-2</v>
      </c>
    </row>
    <row r="58" spans="1:42" s="9" customFormat="1" ht="24.95" customHeight="1" x14ac:dyDescent="0.2">
      <c r="A58" s="9" t="s">
        <v>666</v>
      </c>
      <c r="B58" s="12">
        <f>CNT!S74</f>
        <v>0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f>BSC!F37</f>
        <v>25212.82</v>
      </c>
      <c r="L58" s="12">
        <v>0</v>
      </c>
      <c r="N58" s="12">
        <v>0</v>
      </c>
      <c r="P58" s="12">
        <f t="shared" si="21"/>
        <v>25212.82</v>
      </c>
      <c r="Q58" s="9" t="s">
        <v>666</v>
      </c>
      <c r="R58" s="54">
        <v>6406.44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824</v>
      </c>
      <c r="AA58" s="12"/>
      <c r="AB58" s="54">
        <v>0</v>
      </c>
      <c r="AC58" s="12"/>
      <c r="AD58" s="54">
        <v>0</v>
      </c>
      <c r="AE58" s="12"/>
      <c r="AF58" s="122">
        <f t="shared" si="22"/>
        <v>7230.44</v>
      </c>
      <c r="AG58" s="9" t="s">
        <v>666</v>
      </c>
      <c r="AH58" s="12">
        <f t="shared" si="17"/>
        <v>25212.82</v>
      </c>
      <c r="AI58" s="12"/>
      <c r="AJ58" s="12">
        <f t="shared" si="23"/>
        <v>7230.44</v>
      </c>
      <c r="AK58" s="12"/>
      <c r="AL58" s="12">
        <f t="shared" si="18"/>
        <v>17982.38</v>
      </c>
      <c r="AM58" s="12"/>
      <c r="AN58" s="13">
        <f t="shared" si="19"/>
        <v>3.4870381332256408</v>
      </c>
      <c r="AO58" s="13"/>
      <c r="AP58" s="14">
        <f t="shared" si="20"/>
        <v>2.4870381332256408</v>
      </c>
    </row>
    <row r="59" spans="1:42" s="9" customFormat="1" ht="24.95" customHeight="1" x14ac:dyDescent="0.2">
      <c r="A59" s="9" t="s">
        <v>745</v>
      </c>
      <c r="B59" s="12"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v>0</v>
      </c>
      <c r="L59" s="12">
        <v>0</v>
      </c>
      <c r="N59" s="12">
        <v>0</v>
      </c>
      <c r="P59" s="12">
        <f t="shared" si="21"/>
        <v>0</v>
      </c>
      <c r="Q59" s="9" t="s">
        <v>745</v>
      </c>
      <c r="R59" s="54">
        <v>10000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0</v>
      </c>
      <c r="AA59" s="12"/>
      <c r="AB59" s="54">
        <v>0</v>
      </c>
      <c r="AC59" s="12"/>
      <c r="AD59" s="54">
        <v>0</v>
      </c>
      <c r="AE59" s="12"/>
      <c r="AF59" s="122">
        <f t="shared" si="22"/>
        <v>10000</v>
      </c>
      <c r="AG59" s="9" t="s">
        <v>745</v>
      </c>
      <c r="AH59" s="12">
        <f t="shared" si="17"/>
        <v>0</v>
      </c>
      <c r="AI59" s="12"/>
      <c r="AJ59" s="12">
        <f t="shared" si="23"/>
        <v>10000</v>
      </c>
      <c r="AK59" s="12"/>
      <c r="AL59" s="12">
        <f t="shared" si="18"/>
        <v>-10000</v>
      </c>
      <c r="AM59" s="12"/>
      <c r="AN59" s="13">
        <f t="shared" si="19"/>
        <v>0</v>
      </c>
      <c r="AO59" s="13"/>
      <c r="AP59" s="14">
        <f t="shared" si="20"/>
        <v>-1</v>
      </c>
    </row>
    <row r="60" spans="1:42" s="9" customFormat="1" ht="24.95" customHeight="1" x14ac:dyDescent="0.2">
      <c r="A60" s="9" t="s">
        <v>712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v>0</v>
      </c>
      <c r="L60" s="12">
        <v>0</v>
      </c>
      <c r="N60" s="12">
        <f>'722 Bedford St'!E27</f>
        <v>503894.53</v>
      </c>
      <c r="P60" s="12">
        <f t="shared" si="21"/>
        <v>503894.53</v>
      </c>
      <c r="Q60" s="9" t="s">
        <v>712</v>
      </c>
      <c r="R60" s="54">
        <v>0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0</v>
      </c>
      <c r="AA60" s="12"/>
      <c r="AB60" s="54">
        <v>0</v>
      </c>
      <c r="AC60" s="12"/>
      <c r="AD60" s="54">
        <v>0</v>
      </c>
      <c r="AE60" s="12"/>
      <c r="AF60" s="122">
        <f t="shared" si="22"/>
        <v>0</v>
      </c>
      <c r="AG60" s="9" t="s">
        <v>712</v>
      </c>
      <c r="AH60" s="12">
        <f t="shared" si="17"/>
        <v>503894.53</v>
      </c>
      <c r="AI60" s="12"/>
      <c r="AJ60" s="12">
        <v>0</v>
      </c>
      <c r="AK60" s="12"/>
      <c r="AL60" s="12">
        <f t="shared" si="18"/>
        <v>503894.53</v>
      </c>
      <c r="AM60" s="12"/>
      <c r="AN60" s="13" t="e">
        <f t="shared" si="19"/>
        <v>#DIV/0!</v>
      </c>
      <c r="AO60" s="13"/>
      <c r="AP60" s="14" t="e">
        <f t="shared" si="20"/>
        <v>#DIV/0!</v>
      </c>
    </row>
    <row r="61" spans="1:42" s="9" customFormat="1" ht="24.95" customHeight="1" x14ac:dyDescent="0.2">
      <c r="A61" s="9" t="s">
        <v>732</v>
      </c>
      <c r="B61" s="12">
        <f>CNT!S77</f>
        <v>89356.25</v>
      </c>
      <c r="C61" s="12"/>
      <c r="D61" s="12">
        <v>0</v>
      </c>
      <c r="E61" s="12"/>
      <c r="F61" s="12">
        <v>0</v>
      </c>
      <c r="G61" s="12"/>
      <c r="H61" s="12">
        <v>0</v>
      </c>
      <c r="J61" s="12">
        <v>0</v>
      </c>
      <c r="L61" s="12">
        <v>0</v>
      </c>
      <c r="N61" s="12">
        <v>0</v>
      </c>
      <c r="P61" s="12">
        <f t="shared" si="21"/>
        <v>89356.25</v>
      </c>
      <c r="Q61" s="9" t="s">
        <v>732</v>
      </c>
      <c r="R61" s="54">
        <v>0</v>
      </c>
      <c r="S61" s="12"/>
      <c r="T61" s="54">
        <v>0</v>
      </c>
      <c r="U61" s="12"/>
      <c r="V61" s="54">
        <v>0</v>
      </c>
      <c r="W61" s="12"/>
      <c r="X61" s="54">
        <v>0</v>
      </c>
      <c r="Y61" s="12"/>
      <c r="Z61" s="54">
        <v>0</v>
      </c>
      <c r="AA61" s="12"/>
      <c r="AB61" s="54">
        <v>0</v>
      </c>
      <c r="AC61" s="12"/>
      <c r="AD61" s="54">
        <v>0</v>
      </c>
      <c r="AE61" s="12"/>
      <c r="AF61" s="122">
        <f t="shared" si="22"/>
        <v>0</v>
      </c>
      <c r="AG61" s="9" t="s">
        <v>732</v>
      </c>
      <c r="AH61" s="12">
        <f t="shared" si="17"/>
        <v>89356.25</v>
      </c>
      <c r="AI61" s="12"/>
      <c r="AJ61" s="12">
        <f t="shared" si="23"/>
        <v>0</v>
      </c>
      <c r="AK61" s="12"/>
      <c r="AL61" s="12">
        <f t="shared" si="18"/>
        <v>89356.25</v>
      </c>
      <c r="AM61" s="12"/>
      <c r="AN61" s="13" t="e">
        <f t="shared" si="19"/>
        <v>#DIV/0!</v>
      </c>
      <c r="AO61" s="13"/>
      <c r="AP61" s="14" t="e">
        <f t="shared" si="20"/>
        <v>#DIV/0!</v>
      </c>
    </row>
    <row r="62" spans="1:42" s="9" customFormat="1" ht="24.95" customHeight="1" x14ac:dyDescent="0.2">
      <c r="A62" s="9" t="s">
        <v>287</v>
      </c>
      <c r="B62" s="12">
        <f>CNT!S75</f>
        <v>76523.81</v>
      </c>
      <c r="C62" s="12"/>
      <c r="D62" s="12">
        <v>0</v>
      </c>
      <c r="E62" s="12"/>
      <c r="F62" s="12">
        <v>0</v>
      </c>
      <c r="G62" s="12"/>
      <c r="H62" s="12">
        <v>0</v>
      </c>
      <c r="J62" s="12">
        <f>BSC!F16+BSC!F17+BSC!F18+BSC!F19+BSC!F20+BSC!F21+BSC!F22+BSC!F23+BSC!F24+BSC!F25+BSC!F26+BSC!F27+BSC!F28+BSC!F29+BSC!F30+BSC!F31+BSC!F32+BSC!F33+BSC!F34+BSC!F35+BSC!F36+BSC!F38+BSC!F41+BSC!F39+BSC!F40</f>
        <v>4177559.4099999997</v>
      </c>
      <c r="L62" s="12">
        <f>'Oliari Co'!F26-'Oliari Co'!F23+'Oliari Co'!F54</f>
        <v>4810642.5599999996</v>
      </c>
      <c r="N62" s="12">
        <f>'722 Bedford St'!E26+'722 Bedford St'!E29+'722 Bedford St'!E30+'722 Bedford St'!E31</f>
        <v>8677537.25</v>
      </c>
      <c r="P62" s="12">
        <f t="shared" si="21"/>
        <v>17742263.030000001</v>
      </c>
      <c r="Q62" s="9" t="s">
        <v>503</v>
      </c>
      <c r="R62" s="54">
        <v>76523.81</v>
      </c>
      <c r="S62" s="12"/>
      <c r="T62" s="54">
        <v>0</v>
      </c>
      <c r="U62" s="12"/>
      <c r="V62" s="54">
        <v>0</v>
      </c>
      <c r="W62" s="12"/>
      <c r="X62" s="54">
        <v>0</v>
      </c>
      <c r="Y62" s="12"/>
      <c r="Z62" s="54">
        <v>4119838.3399999994</v>
      </c>
      <c r="AA62" s="12"/>
      <c r="AB62" s="54">
        <v>4810642.5599999996</v>
      </c>
      <c r="AC62" s="12"/>
      <c r="AD62" s="54">
        <v>8677537.25</v>
      </c>
      <c r="AE62" s="12"/>
      <c r="AF62" s="122">
        <f t="shared" si="22"/>
        <v>17684541.960000001</v>
      </c>
      <c r="AG62" s="9" t="s">
        <v>503</v>
      </c>
      <c r="AH62" s="12">
        <f t="shared" si="17"/>
        <v>17742263.030000001</v>
      </c>
      <c r="AI62" s="12"/>
      <c r="AJ62" s="12">
        <f t="shared" si="23"/>
        <v>17684541.960000001</v>
      </c>
      <c r="AK62" s="12"/>
      <c r="AL62" s="12">
        <f t="shared" si="18"/>
        <v>57721.070000000298</v>
      </c>
      <c r="AM62" s="12"/>
      <c r="AN62" s="13">
        <f t="shared" si="19"/>
        <v>1.0032639279055435</v>
      </c>
      <c r="AO62" s="13"/>
      <c r="AP62" s="14">
        <f t="shared" si="20"/>
        <v>3.2639279055435289E-3</v>
      </c>
    </row>
    <row r="63" spans="1:42" s="9" customFormat="1" ht="24.95" customHeight="1" x14ac:dyDescent="0.2">
      <c r="A63" s="9" t="s">
        <v>285</v>
      </c>
      <c r="B63" s="16">
        <f>CNT!S79</f>
        <v>-9653813.2599999998</v>
      </c>
      <c r="C63" s="16"/>
      <c r="D63" s="16">
        <f>BPM!S29</f>
        <v>-20272.830000000002</v>
      </c>
      <c r="E63" s="16"/>
      <c r="F63" s="16">
        <f>DEP!S27</f>
        <v>-879190.39</v>
      </c>
      <c r="G63" s="16"/>
      <c r="H63" s="16">
        <v>0</v>
      </c>
      <c r="I63" s="17"/>
      <c r="J63" s="16">
        <f>BSC!F42</f>
        <v>-2596398.91</v>
      </c>
      <c r="K63" s="17"/>
      <c r="L63" s="16">
        <f>'Oliari Co'!F23</f>
        <v>-1612508.68</v>
      </c>
      <c r="M63" s="17"/>
      <c r="N63" s="16">
        <f>'722 Bedford St'!E21+'722 Bedford St'!E22+'722 Bedford St'!E23+'722 Bedford St'!E24+'722 Bedford St'!E25</f>
        <v>-1353199.92</v>
      </c>
      <c r="O63" s="17"/>
      <c r="P63" s="16">
        <f>SUM(B63:N63)</f>
        <v>-16115383.99</v>
      </c>
      <c r="Q63" s="9" t="s">
        <v>522</v>
      </c>
      <c r="R63" s="55">
        <v>-8419041.9900000002</v>
      </c>
      <c r="S63" s="16"/>
      <c r="T63" s="55">
        <v>-15253.35</v>
      </c>
      <c r="U63" s="16"/>
      <c r="V63" s="55">
        <v>-667722.04</v>
      </c>
      <c r="W63" s="16"/>
      <c r="X63" s="55">
        <v>0</v>
      </c>
      <c r="Y63" s="16"/>
      <c r="Z63" s="55">
        <v>-2492369.29</v>
      </c>
      <c r="AA63" s="16"/>
      <c r="AB63" s="55">
        <v>-1501736.47</v>
      </c>
      <c r="AC63" s="16"/>
      <c r="AD63" s="55">
        <v>-1204770.52</v>
      </c>
      <c r="AE63" s="16"/>
      <c r="AF63" s="16">
        <f t="shared" si="22"/>
        <v>-14300893.659999998</v>
      </c>
      <c r="AG63" s="9" t="s">
        <v>522</v>
      </c>
      <c r="AH63" s="16">
        <f t="shared" si="17"/>
        <v>-16115383.99</v>
      </c>
      <c r="AI63" s="16"/>
      <c r="AJ63" s="16">
        <f t="shared" si="23"/>
        <v>-14300893.659999998</v>
      </c>
      <c r="AK63" s="16"/>
      <c r="AL63" s="16">
        <f t="shared" si="18"/>
        <v>-1814490.3300000019</v>
      </c>
      <c r="AM63" s="12"/>
      <c r="AN63" s="13">
        <f t="shared" si="19"/>
        <v>1.1268795064937223</v>
      </c>
      <c r="AO63" s="13"/>
      <c r="AP63" s="14">
        <f t="shared" si="20"/>
        <v>0.12687950649372226</v>
      </c>
    </row>
    <row r="64" spans="1:42" s="9" customFormat="1" ht="24.95" customHeight="1" x14ac:dyDescent="0.2">
      <c r="A64" s="20" t="s">
        <v>334</v>
      </c>
      <c r="B64" s="12">
        <f>SUM(B47:B63)</f>
        <v>8561671.9199999999</v>
      </c>
      <c r="C64" s="12"/>
      <c r="D64" s="12">
        <f>SUM(D47:D63)</f>
        <v>8542.1299999999974</v>
      </c>
      <c r="E64" s="12"/>
      <c r="F64" s="12">
        <f>SUM(F47:F63)</f>
        <v>766851.75000000012</v>
      </c>
      <c r="G64" s="12"/>
      <c r="H64" s="12">
        <f>SUM(H47:H63)</f>
        <v>0</v>
      </c>
      <c r="I64" s="12"/>
      <c r="J64" s="12">
        <f>SUM(J47:J63)</f>
        <v>1606373.3199999994</v>
      </c>
      <c r="K64" s="12"/>
      <c r="L64" s="12">
        <f>SUM(L47:L63)</f>
        <v>3198133.88</v>
      </c>
      <c r="M64" s="12"/>
      <c r="N64" s="12">
        <f>SUM(N47:N63)</f>
        <v>7837626.0500000007</v>
      </c>
      <c r="O64" s="12"/>
      <c r="P64" s="12">
        <f>SUM(P47:P63)</f>
        <v>21979199.050000004</v>
      </c>
      <c r="Q64" s="20" t="s">
        <v>334</v>
      </c>
      <c r="R64" s="54">
        <f>SUM(R47:R63)</f>
        <v>9147071.4500000011</v>
      </c>
      <c r="S64" s="12"/>
      <c r="T64" s="54">
        <f>SUM(T47:T63)</f>
        <v>13561.609999999999</v>
      </c>
      <c r="U64" s="12"/>
      <c r="V64" s="54">
        <f>SUM(V47:V63)</f>
        <v>386883.60000000009</v>
      </c>
      <c r="W64" s="12"/>
      <c r="X64" s="54">
        <f>SUM(X47:X63)</f>
        <v>0</v>
      </c>
      <c r="Y64" s="12"/>
      <c r="Z64" s="54">
        <f>SUM(Z47:Z63)</f>
        <v>1628293.0499999993</v>
      </c>
      <c r="AA64" s="12"/>
      <c r="AB64" s="54">
        <f>SUM(AB47:AB63)</f>
        <v>3308906.09</v>
      </c>
      <c r="AC64" s="12"/>
      <c r="AD64" s="54">
        <f>SUM(AD47:AD63)</f>
        <v>8039909.9199999999</v>
      </c>
      <c r="AE64" s="12"/>
      <c r="AF64" s="12">
        <f>SUM(AF47:AF63)</f>
        <v>22524625.720000006</v>
      </c>
      <c r="AG64" s="20" t="s">
        <v>334</v>
      </c>
      <c r="AH64" s="22">
        <f>SUM(AH47:AH63)</f>
        <v>21979199.050000004</v>
      </c>
      <c r="AI64" s="22"/>
      <c r="AJ64" s="22">
        <f>SUM(AJ47:AJ63)</f>
        <v>22524625.720000006</v>
      </c>
      <c r="AK64" s="22"/>
      <c r="AL64" s="22">
        <f>SUM(AL47:AL63)</f>
        <v>-545426.67000000086</v>
      </c>
      <c r="AM64" s="22"/>
      <c r="AN64" s="13">
        <f t="shared" si="19"/>
        <v>0.97578531706674676</v>
      </c>
      <c r="AO64" s="13"/>
      <c r="AP64" s="14">
        <f t="shared" si="20"/>
        <v>-2.421468293325324E-2</v>
      </c>
    </row>
    <row r="65" spans="1:43" s="9" customFormat="1" ht="24.95" customHeight="1" x14ac:dyDescent="0.2">
      <c r="A65" s="20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20"/>
      <c r="R65" s="54"/>
      <c r="S65" s="12"/>
      <c r="T65" s="54"/>
      <c r="U65" s="12"/>
      <c r="V65" s="54"/>
      <c r="W65" s="12"/>
      <c r="X65" s="54"/>
      <c r="Y65" s="12"/>
      <c r="Z65" s="54"/>
      <c r="AA65" s="12"/>
      <c r="AB65" s="54"/>
      <c r="AC65" s="12"/>
      <c r="AD65" s="54"/>
      <c r="AE65" s="12"/>
      <c r="AF65" s="10"/>
      <c r="AG65" s="20"/>
      <c r="AH65" s="22"/>
      <c r="AI65" s="22"/>
      <c r="AJ65" s="22"/>
      <c r="AK65" s="22"/>
      <c r="AL65" s="22"/>
      <c r="AM65" s="22"/>
      <c r="AN65" s="13"/>
      <c r="AO65" s="10"/>
      <c r="AP65" s="14"/>
    </row>
    <row r="66" spans="1:43" s="9" customFormat="1" ht="24.95" customHeight="1" x14ac:dyDescent="0.2">
      <c r="A66" s="9" t="s">
        <v>406</v>
      </c>
      <c r="B66" s="12">
        <f>CNT!S68+CNT!S80</f>
        <v>0</v>
      </c>
      <c r="C66" s="12"/>
      <c r="D66" s="12">
        <v>0</v>
      </c>
      <c r="E66" s="12"/>
      <c r="F66" s="12">
        <v>0</v>
      </c>
      <c r="G66" s="12"/>
      <c r="H66" s="12">
        <v>0</v>
      </c>
      <c r="I66" s="12"/>
      <c r="J66" s="12">
        <v>0</v>
      </c>
      <c r="K66" s="12"/>
      <c r="L66" s="12">
        <v>0</v>
      </c>
      <c r="M66" s="12"/>
      <c r="N66" s="12">
        <v>0</v>
      </c>
      <c r="O66" s="12"/>
      <c r="P66" s="12">
        <f>SUM(B66:N66)</f>
        <v>0</v>
      </c>
      <c r="Q66" s="9" t="s">
        <v>406</v>
      </c>
      <c r="R66" s="54">
        <v>0</v>
      </c>
      <c r="S66" s="12"/>
      <c r="T66" s="54">
        <v>0</v>
      </c>
      <c r="U66" s="12"/>
      <c r="V66" s="54">
        <v>0</v>
      </c>
      <c r="W66" s="12"/>
      <c r="X66" s="54">
        <v>0</v>
      </c>
      <c r="Y66" s="12"/>
      <c r="Z66" s="54">
        <v>0</v>
      </c>
      <c r="AA66" s="12"/>
      <c r="AB66" s="54">
        <v>0</v>
      </c>
      <c r="AC66" s="12"/>
      <c r="AD66" s="54">
        <v>0</v>
      </c>
      <c r="AE66" s="12"/>
      <c r="AF66" s="12">
        <f>SUM(R66:AD66)</f>
        <v>0</v>
      </c>
      <c r="AG66" s="9" t="s">
        <v>406</v>
      </c>
      <c r="AH66" s="22">
        <f>P66</f>
        <v>0</v>
      </c>
      <c r="AI66" s="12"/>
      <c r="AJ66" s="12">
        <f>AF66</f>
        <v>0</v>
      </c>
      <c r="AK66" s="12"/>
      <c r="AL66" s="22">
        <f>AH66-AJ66</f>
        <v>0</v>
      </c>
      <c r="AM66" s="12"/>
      <c r="AN66" s="13" t="e">
        <f t="shared" si="19"/>
        <v>#DIV/0!</v>
      </c>
      <c r="AO66" s="13"/>
      <c r="AP66" s="14" t="e">
        <f t="shared" si="20"/>
        <v>#DIV/0!</v>
      </c>
    </row>
    <row r="67" spans="1:43" s="9" customFormat="1" ht="24.95" customHeight="1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R67" s="54"/>
      <c r="S67" s="12"/>
      <c r="T67" s="54"/>
      <c r="U67" s="12"/>
      <c r="V67" s="54"/>
      <c r="W67" s="12"/>
      <c r="X67" s="54"/>
      <c r="Y67" s="12"/>
      <c r="Z67" s="54"/>
      <c r="AA67" s="12"/>
      <c r="AB67" s="54"/>
      <c r="AC67" s="12"/>
      <c r="AD67" s="54"/>
      <c r="AE67" s="12"/>
      <c r="AF67" s="12"/>
      <c r="AH67" s="22"/>
      <c r="AI67" s="12"/>
      <c r="AJ67" s="12"/>
      <c r="AK67" s="12"/>
      <c r="AL67" s="12"/>
      <c r="AM67" s="12"/>
      <c r="AN67" s="13"/>
      <c r="AO67" s="13"/>
      <c r="AP67" s="14"/>
    </row>
    <row r="68" spans="1:43" s="9" customFormat="1" ht="24.95" customHeight="1" thickBot="1" x14ac:dyDescent="0.25">
      <c r="A68" s="8" t="s">
        <v>289</v>
      </c>
      <c r="B68" s="23">
        <f>B66+B64+B44</f>
        <v>79147126.660000026</v>
      </c>
      <c r="C68" s="23"/>
      <c r="D68" s="23">
        <f>SUM(D64,D44,D66)</f>
        <v>378277.55</v>
      </c>
      <c r="E68" s="23"/>
      <c r="F68" s="23">
        <f>SUM(F64,F44,F66)</f>
        <v>8790075.5099999998</v>
      </c>
      <c r="G68" s="23"/>
      <c r="H68" s="23">
        <f>SUM(H64,H44,H66)</f>
        <v>937281.74</v>
      </c>
      <c r="I68" s="23"/>
      <c r="J68" s="23">
        <f>SUM(J64,J44,J66)</f>
        <v>1994637.8399999994</v>
      </c>
      <c r="K68" s="23"/>
      <c r="L68" s="23">
        <f>SUM(L64,L44,L66)</f>
        <v>5472164.6699999999</v>
      </c>
      <c r="M68" s="23"/>
      <c r="N68" s="23">
        <f>SUM(N64,N44,N66)</f>
        <v>8542126.1800000016</v>
      </c>
      <c r="O68" s="23"/>
      <c r="P68" s="23">
        <f>SUM(P64,P44,P66)</f>
        <v>105261690.15000004</v>
      </c>
      <c r="Q68" s="8" t="s">
        <v>289</v>
      </c>
      <c r="R68" s="57">
        <f>SUM(R64,R44,R66)</f>
        <v>31327313.959999971</v>
      </c>
      <c r="S68" s="23"/>
      <c r="T68" s="57">
        <f>SUM(T64,T44,T66)</f>
        <v>1845768.4400000002</v>
      </c>
      <c r="U68" s="23"/>
      <c r="V68" s="57">
        <f>SUM(V64,V44,V66)</f>
        <v>6060838.0099999998</v>
      </c>
      <c r="W68" s="23"/>
      <c r="X68" s="57">
        <f>SUM(X64,X44,X66)</f>
        <v>701627</v>
      </c>
      <c r="Y68" s="23"/>
      <c r="Z68" s="57">
        <f>SUM(Z64,Z44,Z66)</f>
        <v>2108099.8699999992</v>
      </c>
      <c r="AA68" s="23"/>
      <c r="AB68" s="57">
        <f>SUM(AB64,AB44,AB66)</f>
        <v>5276044.0199999996</v>
      </c>
      <c r="AC68" s="23"/>
      <c r="AD68" s="57">
        <f>SUM(AD64,AD44,AD66)</f>
        <v>8155326.3700000001</v>
      </c>
      <c r="AE68" s="23"/>
      <c r="AF68" s="23">
        <f>SUM(AF64,AF44,AF66)</f>
        <v>55475017.670000002</v>
      </c>
      <c r="AG68" s="8" t="s">
        <v>289</v>
      </c>
      <c r="AH68" s="23">
        <f>SUM(AH64,AH44,AH66)</f>
        <v>105261690.15000004</v>
      </c>
      <c r="AI68" s="23"/>
      <c r="AJ68" s="23">
        <f>SUM(AJ64,AJ44,AJ66)</f>
        <v>55203839.99000001</v>
      </c>
      <c r="AK68" s="23"/>
      <c r="AL68" s="23">
        <f>SUM(AL64,AL44,AL66)</f>
        <v>50057850.160000019</v>
      </c>
      <c r="AM68" s="25"/>
      <c r="AN68" s="13">
        <f t="shared" si="19"/>
        <v>1.9067820312693435</v>
      </c>
      <c r="AO68" s="13"/>
      <c r="AP68" s="14">
        <f t="shared" si="20"/>
        <v>0.90678203126934354</v>
      </c>
      <c r="AQ68" s="22"/>
    </row>
    <row r="69" spans="1:43" s="9" customFormat="1" ht="24.95" customHeight="1" thickTop="1" x14ac:dyDescent="0.2">
      <c r="B69" s="12"/>
      <c r="C69" s="12"/>
      <c r="D69" s="12"/>
      <c r="E69" s="12"/>
      <c r="F69" s="12"/>
      <c r="G69" s="12"/>
      <c r="P69" s="10"/>
      <c r="R69" s="65"/>
      <c r="T69" s="65"/>
      <c r="V69" s="65"/>
      <c r="X69" s="65"/>
      <c r="Z69" s="65"/>
      <c r="AB69" s="65"/>
      <c r="AD69" s="65"/>
      <c r="AP69" s="26"/>
    </row>
    <row r="70" spans="1:43" s="9" customFormat="1" ht="24.95" customHeight="1" x14ac:dyDescent="0.2">
      <c r="A70" s="8" t="s">
        <v>105</v>
      </c>
      <c r="B70" s="12"/>
      <c r="C70" s="12"/>
      <c r="D70" s="12"/>
      <c r="E70" s="12"/>
      <c r="F70" s="12"/>
      <c r="G70" s="12"/>
      <c r="P70" s="10"/>
      <c r="Q70" s="8" t="s">
        <v>105</v>
      </c>
      <c r="R70" s="65"/>
      <c r="T70" s="65"/>
      <c r="V70" s="65"/>
      <c r="X70" s="65"/>
      <c r="Z70" s="65"/>
      <c r="AB70" s="65"/>
      <c r="AD70" s="65"/>
      <c r="AG70" s="8" t="s">
        <v>105</v>
      </c>
      <c r="AP70" s="19"/>
    </row>
    <row r="71" spans="1:43" s="9" customFormat="1" ht="24.95" customHeight="1" x14ac:dyDescent="0.2">
      <c r="A71" s="8" t="s">
        <v>290</v>
      </c>
      <c r="B71" s="12"/>
      <c r="C71" s="12"/>
      <c r="D71" s="12"/>
      <c r="E71" s="12"/>
      <c r="F71" s="12"/>
      <c r="G71" s="12"/>
      <c r="P71" s="10"/>
      <c r="Q71" s="8" t="s">
        <v>290</v>
      </c>
      <c r="R71" s="65"/>
      <c r="T71" s="65"/>
      <c r="V71" s="65"/>
      <c r="X71" s="65"/>
      <c r="Z71" s="65"/>
      <c r="AB71" s="65"/>
      <c r="AD71" s="65"/>
      <c r="AG71" s="8" t="s">
        <v>290</v>
      </c>
      <c r="AP71" s="19"/>
    </row>
    <row r="72" spans="1:43" s="9" customFormat="1" ht="24.95" customHeight="1" x14ac:dyDescent="0.2">
      <c r="A72" s="9" t="s">
        <v>700</v>
      </c>
      <c r="B72" s="12">
        <v>0</v>
      </c>
      <c r="C72" s="12"/>
      <c r="D72" s="12">
        <v>0</v>
      </c>
      <c r="E72" s="12"/>
      <c r="F72" s="12">
        <v>0</v>
      </c>
      <c r="G72" s="12"/>
      <c r="H72" s="12">
        <v>0</v>
      </c>
      <c r="J72" s="12">
        <v>0</v>
      </c>
      <c r="L72" s="12">
        <v>0</v>
      </c>
      <c r="N72" s="12">
        <v>0</v>
      </c>
      <c r="P72" s="12">
        <f>SUM(B72:N72)</f>
        <v>0</v>
      </c>
      <c r="Q72" s="9" t="s">
        <v>700</v>
      </c>
      <c r="R72" s="54">
        <v>0</v>
      </c>
      <c r="T72" s="54">
        <v>0</v>
      </c>
      <c r="U72" s="12"/>
      <c r="V72" s="54">
        <v>0</v>
      </c>
      <c r="W72" s="12"/>
      <c r="X72" s="54">
        <v>0</v>
      </c>
      <c r="Y72" s="12"/>
      <c r="Z72" s="54">
        <v>0</v>
      </c>
      <c r="AA72" s="12"/>
      <c r="AB72" s="54">
        <v>0</v>
      </c>
      <c r="AC72" s="12"/>
      <c r="AD72" s="54">
        <v>0</v>
      </c>
      <c r="AF72" s="122">
        <f>SUM(R72:AD72)</f>
        <v>0</v>
      </c>
      <c r="AG72" s="9" t="s">
        <v>700</v>
      </c>
      <c r="AH72" s="12">
        <f t="shared" ref="AH72:AH111" si="24">P72</f>
        <v>0</v>
      </c>
      <c r="AJ72" s="12">
        <f>AF72</f>
        <v>0</v>
      </c>
      <c r="AL72" s="12">
        <f t="shared" ref="AL72:AL111" si="25">AH72-AJ72</f>
        <v>0</v>
      </c>
      <c r="AN72" s="13">
        <v>0</v>
      </c>
      <c r="AP72" s="14">
        <v>0</v>
      </c>
    </row>
    <row r="73" spans="1:43" s="9" customFormat="1" ht="24.95" customHeight="1" x14ac:dyDescent="0.2">
      <c r="A73" s="9" t="s">
        <v>291</v>
      </c>
      <c r="B73" s="12">
        <f>CNT!S89</f>
        <v>0</v>
      </c>
      <c r="C73" s="12"/>
      <c r="D73" s="12">
        <v>0</v>
      </c>
      <c r="E73" s="12"/>
      <c r="F73" s="12">
        <v>0</v>
      </c>
      <c r="G73" s="12"/>
      <c r="H73" s="12">
        <v>0</v>
      </c>
      <c r="I73" s="12"/>
      <c r="J73" s="12">
        <v>0</v>
      </c>
      <c r="K73" s="12"/>
      <c r="L73" s="12">
        <v>0</v>
      </c>
      <c r="M73" s="12"/>
      <c r="N73" s="12">
        <v>0</v>
      </c>
      <c r="O73" s="12"/>
      <c r="P73" s="12">
        <f>SUM(B73:N73)</f>
        <v>0</v>
      </c>
      <c r="Q73" s="9" t="s">
        <v>291</v>
      </c>
      <c r="R73" s="54">
        <v>1946824.41</v>
      </c>
      <c r="S73" s="12"/>
      <c r="T73" s="54">
        <v>0</v>
      </c>
      <c r="U73" s="12"/>
      <c r="V73" s="54">
        <v>0</v>
      </c>
      <c r="W73" s="12"/>
      <c r="X73" s="54">
        <v>0</v>
      </c>
      <c r="Y73" s="12"/>
      <c r="Z73" s="54">
        <v>0</v>
      </c>
      <c r="AA73" s="12"/>
      <c r="AB73" s="54">
        <v>0</v>
      </c>
      <c r="AC73" s="12"/>
      <c r="AD73" s="54">
        <v>0</v>
      </c>
      <c r="AE73" s="12"/>
      <c r="AF73" s="122">
        <f>SUM(R73:AD73)</f>
        <v>1946824.41</v>
      </c>
      <c r="AG73" s="9" t="s">
        <v>291</v>
      </c>
      <c r="AH73" s="12">
        <f t="shared" si="24"/>
        <v>0</v>
      </c>
      <c r="AI73" s="12"/>
      <c r="AJ73" s="12">
        <f>AF73</f>
        <v>1946824.41</v>
      </c>
      <c r="AK73" s="12"/>
      <c r="AL73" s="12">
        <f t="shared" si="25"/>
        <v>-1946824.41</v>
      </c>
      <c r="AM73" s="12"/>
      <c r="AN73" s="13">
        <v>0</v>
      </c>
      <c r="AO73" s="13"/>
      <c r="AP73" s="14">
        <v>0</v>
      </c>
    </row>
    <row r="74" spans="1:43" s="9" customFormat="1" ht="24.95" customHeight="1" x14ac:dyDescent="0.2">
      <c r="A74" s="9" t="s">
        <v>292</v>
      </c>
      <c r="B74" s="12">
        <f>CNT!S90</f>
        <v>28619313.16</v>
      </c>
      <c r="C74" s="12"/>
      <c r="D74" s="12">
        <f>BPM!S39</f>
        <v>0</v>
      </c>
      <c r="E74" s="12"/>
      <c r="F74" s="12">
        <f>DEP!S37</f>
        <v>22153.119999999999</v>
      </c>
      <c r="G74" s="12"/>
      <c r="H74" s="12">
        <f>Lending!F29</f>
        <v>0</v>
      </c>
      <c r="J74" s="12">
        <f>BSC!F53</f>
        <v>0</v>
      </c>
      <c r="L74" s="12">
        <v>0</v>
      </c>
      <c r="N74" s="12">
        <v>0</v>
      </c>
      <c r="P74" s="12">
        <f t="shared" ref="P74:P111" si="26">SUM(B74:N74)</f>
        <v>28641466.280000001</v>
      </c>
      <c r="Q74" s="9" t="s">
        <v>292</v>
      </c>
      <c r="R74" s="54">
        <v>6693649.0700000003</v>
      </c>
      <c r="S74" s="12"/>
      <c r="T74" s="54">
        <v>978190.44</v>
      </c>
      <c r="U74" s="12"/>
      <c r="V74" s="54">
        <v>132.47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 t="shared" ref="AF74:AF111" si="27">SUM(R74:AD74)</f>
        <v>7671971.9799999995</v>
      </c>
      <c r="AG74" s="9" t="s">
        <v>292</v>
      </c>
      <c r="AH74" s="12">
        <f t="shared" si="24"/>
        <v>28641466.280000001</v>
      </c>
      <c r="AI74" s="12"/>
      <c r="AJ74" s="12">
        <f t="shared" ref="AJ74:AJ111" si="28">AF74</f>
        <v>7671971.9799999995</v>
      </c>
      <c r="AK74" s="12"/>
      <c r="AL74" s="12">
        <f t="shared" si="25"/>
        <v>20969494.300000001</v>
      </c>
      <c r="AM74" s="12"/>
      <c r="AN74" s="13">
        <f t="shared" ref="AN74:AN81" si="29">AH74/AJ74</f>
        <v>3.7332600216300587</v>
      </c>
      <c r="AO74" s="13"/>
      <c r="AP74" s="14">
        <f t="shared" ref="AP74:AP112" si="30">AN74-1</f>
        <v>2.7332600216300587</v>
      </c>
    </row>
    <row r="75" spans="1:43" s="9" customFormat="1" ht="24.95" customHeight="1" x14ac:dyDescent="0.2">
      <c r="A75" s="9" t="s">
        <v>293</v>
      </c>
      <c r="B75" s="12">
        <f>CNT!S92</f>
        <v>123.41</v>
      </c>
      <c r="C75" s="12"/>
      <c r="D75" s="12">
        <v>0</v>
      </c>
      <c r="E75" s="12"/>
      <c r="F75" s="12">
        <f>DEP!S39</f>
        <v>0</v>
      </c>
      <c r="G75" s="12"/>
      <c r="H75" s="12">
        <v>0</v>
      </c>
      <c r="I75" s="12"/>
      <c r="J75" s="12">
        <f>BSC!F55+BSC!F56</f>
        <v>3000</v>
      </c>
      <c r="K75" s="12"/>
      <c r="L75" s="12">
        <v>0</v>
      </c>
      <c r="M75" s="12"/>
      <c r="N75" s="12">
        <v>0</v>
      </c>
      <c r="O75" s="12"/>
      <c r="P75" s="12">
        <f t="shared" si="26"/>
        <v>3123.41</v>
      </c>
      <c r="Q75" s="9" t="s">
        <v>293</v>
      </c>
      <c r="R75" s="54">
        <v>0</v>
      </c>
      <c r="S75" s="12"/>
      <c r="T75" s="54">
        <v>0</v>
      </c>
      <c r="U75" s="12"/>
      <c r="V75" s="54">
        <v>0</v>
      </c>
      <c r="W75" s="12"/>
      <c r="X75" s="54">
        <v>0</v>
      </c>
      <c r="Y75" s="12"/>
      <c r="Z75" s="54">
        <v>3000</v>
      </c>
      <c r="AA75" s="12"/>
      <c r="AB75" s="54">
        <v>0</v>
      </c>
      <c r="AC75" s="12"/>
      <c r="AD75" s="54">
        <v>0</v>
      </c>
      <c r="AE75" s="12"/>
      <c r="AF75" s="122">
        <f t="shared" si="27"/>
        <v>3000</v>
      </c>
      <c r="AG75" s="9" t="s">
        <v>293</v>
      </c>
      <c r="AH75" s="12">
        <f t="shared" si="24"/>
        <v>3123.41</v>
      </c>
      <c r="AI75" s="12"/>
      <c r="AJ75" s="12">
        <f t="shared" si="28"/>
        <v>3000</v>
      </c>
      <c r="AK75" s="12"/>
      <c r="AL75" s="12">
        <f t="shared" si="25"/>
        <v>123.40999999999985</v>
      </c>
      <c r="AM75" s="12"/>
      <c r="AN75" s="13">
        <f t="shared" si="29"/>
        <v>1.0411366666666666</v>
      </c>
      <c r="AO75" s="13"/>
      <c r="AP75" s="14">
        <f t="shared" si="30"/>
        <v>4.1136666666666599E-2</v>
      </c>
    </row>
    <row r="76" spans="1:43" s="9" customFormat="1" ht="24.95" customHeight="1" x14ac:dyDescent="0.2">
      <c r="A76" s="9" t="s">
        <v>294</v>
      </c>
      <c r="B76" s="12">
        <f>CNT!S95</f>
        <v>43.91</v>
      </c>
      <c r="C76" s="12"/>
      <c r="D76" s="12">
        <f>BPM!S40</f>
        <v>0</v>
      </c>
      <c r="E76" s="12"/>
      <c r="F76" s="12">
        <v>0</v>
      </c>
      <c r="G76" s="12"/>
      <c r="H76" s="12">
        <v>0</v>
      </c>
      <c r="I76" s="12"/>
      <c r="J76" s="12">
        <v>0</v>
      </c>
      <c r="K76" s="12"/>
      <c r="L76" s="12">
        <v>0</v>
      </c>
      <c r="M76" s="12"/>
      <c r="N76" s="12">
        <v>0</v>
      </c>
      <c r="O76" s="12"/>
      <c r="P76" s="12">
        <f t="shared" si="26"/>
        <v>43.91</v>
      </c>
      <c r="Q76" s="9" t="s">
        <v>294</v>
      </c>
      <c r="R76" s="54">
        <v>671.88</v>
      </c>
      <c r="S76" s="12"/>
      <c r="T76" s="54">
        <v>64.069999999999993</v>
      </c>
      <c r="U76" s="12"/>
      <c r="V76" s="54">
        <v>0</v>
      </c>
      <c r="W76" s="12"/>
      <c r="X76" s="54">
        <v>0</v>
      </c>
      <c r="Y76" s="12"/>
      <c r="Z76" s="54">
        <v>0</v>
      </c>
      <c r="AA76" s="12"/>
      <c r="AB76" s="54">
        <v>0</v>
      </c>
      <c r="AC76" s="12"/>
      <c r="AD76" s="54">
        <v>0</v>
      </c>
      <c r="AE76" s="12"/>
      <c r="AF76" s="122">
        <f t="shared" si="27"/>
        <v>735.95</v>
      </c>
      <c r="AG76" s="9" t="s">
        <v>294</v>
      </c>
      <c r="AH76" s="12">
        <f t="shared" si="24"/>
        <v>43.91</v>
      </c>
      <c r="AI76" s="12"/>
      <c r="AJ76" s="12">
        <f t="shared" si="28"/>
        <v>735.95</v>
      </c>
      <c r="AK76" s="12"/>
      <c r="AL76" s="12">
        <f t="shared" si="25"/>
        <v>-692.04000000000008</v>
      </c>
      <c r="AM76" s="12"/>
      <c r="AN76" s="13">
        <f t="shared" si="29"/>
        <v>5.9664379373598739E-2</v>
      </c>
      <c r="AO76" s="13"/>
      <c r="AP76" s="14">
        <f t="shared" si="30"/>
        <v>-0.9403356206264013</v>
      </c>
    </row>
    <row r="77" spans="1:43" s="9" customFormat="1" ht="24.95" customHeight="1" x14ac:dyDescent="0.2">
      <c r="A77" s="9" t="s">
        <v>295</v>
      </c>
      <c r="B77" s="12">
        <f>CNT!S91</f>
        <v>-6.46</v>
      </c>
      <c r="C77" s="12"/>
      <c r="D77" s="12">
        <v>0</v>
      </c>
      <c r="E77" s="12"/>
      <c r="F77" s="12">
        <f>DEP!S38</f>
        <v>5.85</v>
      </c>
      <c r="G77" s="12"/>
      <c r="H77" s="12">
        <v>0</v>
      </c>
      <c r="J77" s="12">
        <v>0</v>
      </c>
      <c r="L77" s="12">
        <v>0</v>
      </c>
      <c r="N77" s="12">
        <v>0</v>
      </c>
      <c r="P77" s="12">
        <f t="shared" si="26"/>
        <v>-0.61000000000000032</v>
      </c>
      <c r="Q77" s="9" t="s">
        <v>295</v>
      </c>
      <c r="R77" s="54">
        <v>313.83</v>
      </c>
      <c r="S77" s="12"/>
      <c r="T77" s="54">
        <v>0</v>
      </c>
      <c r="U77" s="12"/>
      <c r="V77" s="54">
        <v>5.85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7"/>
        <v>319.68</v>
      </c>
      <c r="AG77" s="9" t="s">
        <v>295</v>
      </c>
      <c r="AH77" s="12">
        <f t="shared" si="24"/>
        <v>-0.61000000000000032</v>
      </c>
      <c r="AI77" s="12"/>
      <c r="AJ77" s="12">
        <f t="shared" si="28"/>
        <v>319.68</v>
      </c>
      <c r="AK77" s="12"/>
      <c r="AL77" s="12">
        <f t="shared" si="25"/>
        <v>-320.29000000000002</v>
      </c>
      <c r="AM77" s="12"/>
      <c r="AN77" s="13">
        <f t="shared" si="29"/>
        <v>-1.9081581581581592E-3</v>
      </c>
      <c r="AO77" s="13"/>
      <c r="AP77" s="14">
        <f t="shared" si="30"/>
        <v>-1.0019081581581581</v>
      </c>
    </row>
    <row r="78" spans="1:43" s="9" customFormat="1" ht="24.95" customHeight="1" x14ac:dyDescent="0.2">
      <c r="A78" s="9" t="s">
        <v>296</v>
      </c>
      <c r="B78" s="12">
        <f>CNT!S93</f>
        <v>6300.94</v>
      </c>
      <c r="C78" s="12"/>
      <c r="D78" s="12">
        <v>0</v>
      </c>
      <c r="E78" s="12"/>
      <c r="F78" s="12">
        <v>0</v>
      </c>
      <c r="G78" s="12"/>
      <c r="H78" s="12">
        <v>0</v>
      </c>
      <c r="J78" s="12">
        <f>BSC!F58</f>
        <v>249.99</v>
      </c>
      <c r="L78" s="12">
        <v>0</v>
      </c>
      <c r="N78" s="12">
        <v>0</v>
      </c>
      <c r="P78" s="12">
        <f t="shared" si="26"/>
        <v>6550.9299999999994</v>
      </c>
      <c r="Q78" s="9" t="s">
        <v>296</v>
      </c>
      <c r="R78" s="54">
        <v>3610.92</v>
      </c>
      <c r="S78" s="12"/>
      <c r="T78" s="54">
        <v>0</v>
      </c>
      <c r="U78" s="12"/>
      <c r="V78" s="54">
        <v>0</v>
      </c>
      <c r="W78" s="12"/>
      <c r="X78" s="54">
        <v>0</v>
      </c>
      <c r="Y78" s="12"/>
      <c r="Z78" s="54">
        <v>153.84</v>
      </c>
      <c r="AA78" s="12"/>
      <c r="AB78" s="54">
        <v>0</v>
      </c>
      <c r="AC78" s="12"/>
      <c r="AD78" s="54">
        <v>0</v>
      </c>
      <c r="AE78" s="12"/>
      <c r="AF78" s="122">
        <f t="shared" si="27"/>
        <v>3764.76</v>
      </c>
      <c r="AG78" s="9" t="s">
        <v>296</v>
      </c>
      <c r="AH78" s="12">
        <f t="shared" si="24"/>
        <v>6550.9299999999994</v>
      </c>
      <c r="AI78" s="12"/>
      <c r="AJ78" s="12">
        <f t="shared" si="28"/>
        <v>3764.76</v>
      </c>
      <c r="AK78" s="12"/>
      <c r="AL78" s="12">
        <f t="shared" si="25"/>
        <v>2786.1699999999992</v>
      </c>
      <c r="AM78" s="12"/>
      <c r="AN78" s="13">
        <f t="shared" si="29"/>
        <v>1.7400657678045874</v>
      </c>
      <c r="AO78" s="13"/>
      <c r="AP78" s="14">
        <f t="shared" si="30"/>
        <v>0.74006576780458744</v>
      </c>
    </row>
    <row r="79" spans="1:43" s="9" customFormat="1" ht="24.95" customHeight="1" x14ac:dyDescent="0.2">
      <c r="A79" s="9" t="s">
        <v>711</v>
      </c>
      <c r="B79" s="12">
        <f>CNT!S94</f>
        <v>133.44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v>0</v>
      </c>
      <c r="L79" s="12">
        <v>0</v>
      </c>
      <c r="N79" s="12">
        <v>0</v>
      </c>
      <c r="P79" s="12">
        <f t="shared" si="26"/>
        <v>133.44</v>
      </c>
      <c r="Q79" s="9" t="s">
        <v>711</v>
      </c>
      <c r="R79" s="54">
        <v>0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0</v>
      </c>
      <c r="AA79" s="12"/>
      <c r="AB79" s="54">
        <v>0</v>
      </c>
      <c r="AC79" s="12"/>
      <c r="AD79" s="54">
        <v>0</v>
      </c>
      <c r="AE79" s="12"/>
      <c r="AF79" s="122">
        <f t="shared" si="27"/>
        <v>0</v>
      </c>
      <c r="AG79" s="9" t="s">
        <v>711</v>
      </c>
      <c r="AH79" s="12">
        <f t="shared" si="24"/>
        <v>133.44</v>
      </c>
      <c r="AI79" s="12"/>
      <c r="AJ79" s="12">
        <f t="shared" si="28"/>
        <v>0</v>
      </c>
      <c r="AK79" s="12"/>
      <c r="AL79" s="12">
        <f t="shared" si="25"/>
        <v>133.44</v>
      </c>
      <c r="AM79" s="12"/>
      <c r="AN79" s="13" t="e">
        <f t="shared" si="29"/>
        <v>#DIV/0!</v>
      </c>
      <c r="AO79" s="13"/>
      <c r="AP79" s="14" t="e">
        <f t="shared" si="30"/>
        <v>#DIV/0!</v>
      </c>
    </row>
    <row r="80" spans="1:43" s="9" customFormat="1" ht="24.95" customHeight="1" x14ac:dyDescent="0.2">
      <c r="A80" s="9" t="s">
        <v>390</v>
      </c>
      <c r="B80" s="12">
        <f>CNT!S120+CNT!S121+CNT!S122+CNT!S97</f>
        <v>0</v>
      </c>
      <c r="C80" s="12"/>
      <c r="D80" s="12">
        <v>0</v>
      </c>
      <c r="E80" s="12"/>
      <c r="F80" s="12">
        <v>0</v>
      </c>
      <c r="G80" s="12"/>
      <c r="H80" s="12">
        <v>0</v>
      </c>
      <c r="J80" s="12">
        <f>BSC!F63</f>
        <v>41702.239999999998</v>
      </c>
      <c r="L80" s="12">
        <v>0</v>
      </c>
      <c r="N80" s="12">
        <v>0</v>
      </c>
      <c r="P80" s="12">
        <f t="shared" si="26"/>
        <v>41702.239999999998</v>
      </c>
      <c r="Q80" s="9" t="s">
        <v>390</v>
      </c>
      <c r="R80" s="54">
        <v>0</v>
      </c>
      <c r="S80" s="12"/>
      <c r="T80" s="54">
        <v>0</v>
      </c>
      <c r="U80" s="12"/>
      <c r="V80" s="54">
        <v>0</v>
      </c>
      <c r="W80" s="12"/>
      <c r="X80" s="54">
        <v>0</v>
      </c>
      <c r="Y80" s="12"/>
      <c r="Z80" s="54">
        <v>40334.269999999997</v>
      </c>
      <c r="AA80" s="12"/>
      <c r="AB80" s="54">
        <v>0</v>
      </c>
      <c r="AC80" s="12"/>
      <c r="AD80" s="54">
        <v>0</v>
      </c>
      <c r="AE80" s="12"/>
      <c r="AF80" s="122">
        <f t="shared" si="27"/>
        <v>40334.269999999997</v>
      </c>
      <c r="AG80" s="9" t="s">
        <v>390</v>
      </c>
      <c r="AH80" s="12">
        <f t="shared" si="24"/>
        <v>41702.239999999998</v>
      </c>
      <c r="AI80" s="12"/>
      <c r="AJ80" s="12">
        <f t="shared" si="28"/>
        <v>40334.269999999997</v>
      </c>
      <c r="AK80" s="12"/>
      <c r="AL80" s="12">
        <f t="shared" si="25"/>
        <v>1367.9700000000012</v>
      </c>
      <c r="AM80" s="12"/>
      <c r="AN80" s="13">
        <f t="shared" si="29"/>
        <v>1.0339158239383037</v>
      </c>
      <c r="AO80" s="13"/>
      <c r="AP80" s="14">
        <f t="shared" si="30"/>
        <v>3.3915823938303724E-2</v>
      </c>
    </row>
    <row r="81" spans="1:42" s="9" customFormat="1" ht="24.95" customHeight="1" x14ac:dyDescent="0.2">
      <c r="A81" s="9" t="s">
        <v>602</v>
      </c>
      <c r="B81" s="12">
        <f>CNT!S98</f>
        <v>0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v>0</v>
      </c>
      <c r="L81" s="12">
        <v>0</v>
      </c>
      <c r="N81" s="12">
        <v>0</v>
      </c>
      <c r="P81" s="12">
        <f t="shared" si="26"/>
        <v>0</v>
      </c>
      <c r="Q81" s="9" t="s">
        <v>602</v>
      </c>
      <c r="R81" s="54">
        <v>0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0</v>
      </c>
      <c r="AA81" s="12"/>
      <c r="AB81" s="54">
        <v>0</v>
      </c>
      <c r="AC81" s="12"/>
      <c r="AD81" s="54">
        <v>0</v>
      </c>
      <c r="AE81" s="12"/>
      <c r="AF81" s="122">
        <f t="shared" si="27"/>
        <v>0</v>
      </c>
      <c r="AG81" s="9" t="s">
        <v>602</v>
      </c>
      <c r="AH81" s="12">
        <f t="shared" si="24"/>
        <v>0</v>
      </c>
      <c r="AI81" s="12"/>
      <c r="AJ81" s="12">
        <f t="shared" si="28"/>
        <v>0</v>
      </c>
      <c r="AK81" s="12"/>
      <c r="AL81" s="12">
        <f t="shared" si="25"/>
        <v>0</v>
      </c>
      <c r="AM81" s="12"/>
      <c r="AN81" s="13" t="e">
        <f t="shared" si="29"/>
        <v>#DIV/0!</v>
      </c>
      <c r="AO81" s="13"/>
      <c r="AP81" s="14" t="e">
        <f t="shared" si="30"/>
        <v>#DIV/0!</v>
      </c>
    </row>
    <row r="82" spans="1:42" s="9" customFormat="1" ht="24.95" customHeight="1" x14ac:dyDescent="0.2">
      <c r="A82" s="9" t="s">
        <v>297</v>
      </c>
      <c r="B82" s="12">
        <f>CNT!S99</f>
        <v>9590919.6400000006</v>
      </c>
      <c r="C82" s="12"/>
      <c r="D82" s="12">
        <f>BPM!S41</f>
        <v>0</v>
      </c>
      <c r="E82" s="12"/>
      <c r="F82" s="12">
        <f>DEP!S40</f>
        <v>354103.58</v>
      </c>
      <c r="G82" s="12"/>
      <c r="H82" s="12">
        <f>Lending!F37</f>
        <v>16266.93</v>
      </c>
      <c r="J82" s="12">
        <f>BSC!F54</f>
        <v>0</v>
      </c>
      <c r="L82" s="12">
        <v>0</v>
      </c>
      <c r="N82" s="12">
        <v>0</v>
      </c>
      <c r="P82" s="12">
        <f t="shared" si="26"/>
        <v>9961290.1500000004</v>
      </c>
      <c r="Q82" s="9" t="s">
        <v>297</v>
      </c>
      <c r="R82" s="54">
        <v>4383851.3600000003</v>
      </c>
      <c r="S82" s="12"/>
      <c r="T82" s="54">
        <v>0</v>
      </c>
      <c r="U82" s="12"/>
      <c r="V82" s="54">
        <v>294690.53000000003</v>
      </c>
      <c r="W82" s="12"/>
      <c r="X82" s="54">
        <v>14898.04</v>
      </c>
      <c r="Y82" s="12"/>
      <c r="Z82" s="54">
        <v>0</v>
      </c>
      <c r="AA82" s="12"/>
      <c r="AB82" s="54">
        <v>0</v>
      </c>
      <c r="AC82" s="12"/>
      <c r="AD82" s="54">
        <v>0</v>
      </c>
      <c r="AE82" s="12"/>
      <c r="AF82" s="122">
        <f t="shared" si="27"/>
        <v>4693439.9300000006</v>
      </c>
      <c r="AG82" s="9" t="s">
        <v>297</v>
      </c>
      <c r="AH82" s="12">
        <f t="shared" si="24"/>
        <v>9961290.1500000004</v>
      </c>
      <c r="AI82" s="12"/>
      <c r="AJ82" s="12">
        <f t="shared" si="28"/>
        <v>4693439.9300000006</v>
      </c>
      <c r="AK82" s="12"/>
      <c r="AL82" s="12">
        <f t="shared" si="25"/>
        <v>5267850.22</v>
      </c>
      <c r="AM82" s="12"/>
      <c r="AN82" s="13">
        <f t="shared" ref="AN82:AN90" si="31">AH82/AJ82</f>
        <v>2.1223857764383913</v>
      </c>
      <c r="AO82" s="13"/>
      <c r="AP82" s="14">
        <f t="shared" si="30"/>
        <v>1.1223857764383913</v>
      </c>
    </row>
    <row r="83" spans="1:42" s="9" customFormat="1" ht="24.95" customHeight="1" x14ac:dyDescent="0.2">
      <c r="A83" s="9" t="s">
        <v>561</v>
      </c>
      <c r="B83" s="12">
        <f>CNT!S100</f>
        <v>15108.08</v>
      </c>
      <c r="C83" s="12"/>
      <c r="D83" s="12">
        <v>0</v>
      </c>
      <c r="E83" s="12"/>
      <c r="F83" s="12">
        <v>0</v>
      </c>
      <c r="G83" s="12"/>
      <c r="H83" s="12">
        <v>0</v>
      </c>
      <c r="J83" s="12">
        <v>0</v>
      </c>
      <c r="L83" s="12">
        <v>0</v>
      </c>
      <c r="N83" s="12">
        <v>0</v>
      </c>
      <c r="P83" s="12">
        <f t="shared" si="26"/>
        <v>15108.08</v>
      </c>
      <c r="Q83" s="9" t="s">
        <v>561</v>
      </c>
      <c r="R83" s="54">
        <v>18477.63</v>
      </c>
      <c r="S83" s="12"/>
      <c r="T83" s="54">
        <v>0</v>
      </c>
      <c r="U83" s="12"/>
      <c r="V83" s="54">
        <v>0</v>
      </c>
      <c r="W83" s="12"/>
      <c r="X83" s="54">
        <v>0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7"/>
        <v>18477.63</v>
      </c>
      <c r="AG83" s="9" t="s">
        <v>561</v>
      </c>
      <c r="AH83" s="12">
        <f t="shared" si="24"/>
        <v>15108.08</v>
      </c>
      <c r="AI83" s="12"/>
      <c r="AJ83" s="12">
        <f t="shared" si="28"/>
        <v>18477.63</v>
      </c>
      <c r="AK83" s="12"/>
      <c r="AL83" s="12">
        <f t="shared" si="25"/>
        <v>-3369.5500000000011</v>
      </c>
      <c r="AM83" s="12"/>
      <c r="AN83" s="13">
        <f t="shared" si="31"/>
        <v>0.81764165642455222</v>
      </c>
      <c r="AO83" s="13"/>
      <c r="AP83" s="14">
        <f t="shared" si="30"/>
        <v>-0.18235834357544778</v>
      </c>
    </row>
    <row r="84" spans="1:42" s="9" customFormat="1" ht="24.95" customHeight="1" x14ac:dyDescent="0.2">
      <c r="A84" s="9" t="s">
        <v>562</v>
      </c>
      <c r="B84" s="12">
        <f>CNT!S101</f>
        <v>208405.21</v>
      </c>
      <c r="C84" s="12"/>
      <c r="D84" s="12">
        <f>BPM!S42</f>
        <v>-4576.92</v>
      </c>
      <c r="E84" s="12"/>
      <c r="F84" s="12">
        <v>0</v>
      </c>
      <c r="G84" s="12"/>
      <c r="H84" s="12">
        <f>Lending!F32</f>
        <v>0</v>
      </c>
      <c r="J84" s="12">
        <v>0</v>
      </c>
      <c r="L84" s="12">
        <f>'Oliari Co'!F62</f>
        <v>1350</v>
      </c>
      <c r="N84" s="12">
        <v>0</v>
      </c>
      <c r="P84" s="12">
        <f t="shared" si="26"/>
        <v>205178.28999999998</v>
      </c>
      <c r="Q84" s="9" t="s">
        <v>562</v>
      </c>
      <c r="R84" s="54">
        <v>170904.02</v>
      </c>
      <c r="S84" s="12"/>
      <c r="T84" s="54">
        <v>-1300.1600000000001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675</v>
      </c>
      <c r="AC84" s="12"/>
      <c r="AD84" s="54">
        <v>0</v>
      </c>
      <c r="AE84" s="12"/>
      <c r="AF84" s="122">
        <f t="shared" si="27"/>
        <v>170278.86</v>
      </c>
      <c r="AG84" s="9" t="s">
        <v>562</v>
      </c>
      <c r="AH84" s="12">
        <f t="shared" si="24"/>
        <v>205178.28999999998</v>
      </c>
      <c r="AI84" s="12"/>
      <c r="AJ84" s="12">
        <f t="shared" si="28"/>
        <v>170278.86</v>
      </c>
      <c r="AK84" s="12"/>
      <c r="AL84" s="12">
        <f t="shared" si="25"/>
        <v>34899.429999999993</v>
      </c>
      <c r="AM84" s="12"/>
      <c r="AN84" s="13">
        <f t="shared" si="31"/>
        <v>1.2049545668792943</v>
      </c>
      <c r="AO84" s="13"/>
      <c r="AP84" s="14">
        <f t="shared" si="30"/>
        <v>0.20495456687929425</v>
      </c>
    </row>
    <row r="85" spans="1:42" s="9" customFormat="1" ht="24.95" customHeight="1" x14ac:dyDescent="0.2">
      <c r="A85" s="9" t="s">
        <v>563</v>
      </c>
      <c r="B85" s="12">
        <f>CNT!S102</f>
        <v>6357.56</v>
      </c>
      <c r="C85" s="12"/>
      <c r="D85" s="12">
        <v>0</v>
      </c>
      <c r="E85" s="12"/>
      <c r="F85" s="12">
        <v>0</v>
      </c>
      <c r="G85" s="12"/>
      <c r="H85" s="12">
        <v>0</v>
      </c>
      <c r="J85" s="12">
        <v>0</v>
      </c>
      <c r="L85" s="12">
        <v>0</v>
      </c>
      <c r="N85" s="12">
        <v>0</v>
      </c>
      <c r="P85" s="12">
        <f t="shared" si="26"/>
        <v>6357.56</v>
      </c>
      <c r="Q85" s="9" t="s">
        <v>563</v>
      </c>
      <c r="R85" s="54">
        <v>5613.52</v>
      </c>
      <c r="S85" s="12"/>
      <c r="T85" s="54">
        <v>0</v>
      </c>
      <c r="U85" s="12"/>
      <c r="V85" s="54">
        <v>0</v>
      </c>
      <c r="W85" s="12"/>
      <c r="X85" s="54">
        <v>0</v>
      </c>
      <c r="Y85" s="12"/>
      <c r="Z85" s="54">
        <v>0</v>
      </c>
      <c r="AA85" s="12"/>
      <c r="AB85" s="54">
        <v>0</v>
      </c>
      <c r="AC85" s="12"/>
      <c r="AD85" s="54">
        <v>0</v>
      </c>
      <c r="AE85" s="12"/>
      <c r="AF85" s="122">
        <f t="shared" si="27"/>
        <v>5613.52</v>
      </c>
      <c r="AG85" s="9" t="s">
        <v>563</v>
      </c>
      <c r="AH85" s="12">
        <f t="shared" si="24"/>
        <v>6357.56</v>
      </c>
      <c r="AI85" s="12"/>
      <c r="AJ85" s="12">
        <f t="shared" si="28"/>
        <v>5613.52</v>
      </c>
      <c r="AK85" s="12"/>
      <c r="AL85" s="12">
        <f t="shared" si="25"/>
        <v>744.04</v>
      </c>
      <c r="AM85" s="12"/>
      <c r="AN85" s="13">
        <f t="shared" si="31"/>
        <v>1.1325442859382349</v>
      </c>
      <c r="AO85" s="13"/>
      <c r="AP85" s="14">
        <f t="shared" si="30"/>
        <v>0.13254428593823486</v>
      </c>
    </row>
    <row r="86" spans="1:42" s="9" customFormat="1" ht="24.95" customHeight="1" x14ac:dyDescent="0.2">
      <c r="A86" s="9" t="s">
        <v>298</v>
      </c>
      <c r="B86" s="12">
        <f>CNT!S103</f>
        <v>116060.88</v>
      </c>
      <c r="C86" s="12"/>
      <c r="D86" s="12">
        <v>0</v>
      </c>
      <c r="E86" s="12"/>
      <c r="F86" s="12">
        <f>DEP!S43</f>
        <v>2040.28</v>
      </c>
      <c r="G86" s="12"/>
      <c r="H86" s="12">
        <v>0</v>
      </c>
      <c r="J86" s="12">
        <v>0</v>
      </c>
      <c r="L86" s="12">
        <v>0</v>
      </c>
      <c r="N86" s="12">
        <v>0</v>
      </c>
      <c r="P86" s="12">
        <f t="shared" si="26"/>
        <v>118101.16</v>
      </c>
      <c r="Q86" s="9" t="s">
        <v>298</v>
      </c>
      <c r="R86" s="54">
        <v>65003.19</v>
      </c>
      <c r="S86" s="12"/>
      <c r="T86" s="54">
        <v>0</v>
      </c>
      <c r="U86" s="12"/>
      <c r="V86" s="54">
        <v>1630.2</v>
      </c>
      <c r="W86" s="12"/>
      <c r="X86" s="54">
        <v>0</v>
      </c>
      <c r="Y86" s="12"/>
      <c r="Z86" s="54">
        <v>0</v>
      </c>
      <c r="AA86" s="12"/>
      <c r="AB86" s="54">
        <v>0</v>
      </c>
      <c r="AC86" s="12"/>
      <c r="AD86" s="54">
        <v>0</v>
      </c>
      <c r="AE86" s="12"/>
      <c r="AF86" s="122">
        <f t="shared" si="27"/>
        <v>66633.39</v>
      </c>
      <c r="AG86" s="9" t="s">
        <v>298</v>
      </c>
      <c r="AH86" s="12">
        <f t="shared" si="24"/>
        <v>118101.16</v>
      </c>
      <c r="AI86" s="12"/>
      <c r="AJ86" s="12">
        <f t="shared" si="28"/>
        <v>66633.39</v>
      </c>
      <c r="AK86" s="12"/>
      <c r="AL86" s="12">
        <f t="shared" si="25"/>
        <v>51467.770000000004</v>
      </c>
      <c r="AM86" s="12"/>
      <c r="AN86" s="13">
        <f t="shared" si="31"/>
        <v>1.7724020945054724</v>
      </c>
      <c r="AO86" s="13"/>
      <c r="AP86" s="14">
        <f t="shared" si="30"/>
        <v>0.77240209450547237</v>
      </c>
    </row>
    <row r="87" spans="1:42" s="9" customFormat="1" ht="24.95" customHeight="1" x14ac:dyDescent="0.2">
      <c r="A87" s="9" t="s">
        <v>616</v>
      </c>
      <c r="B87" s="12">
        <f>CNT!S105</f>
        <v>3164645.85</v>
      </c>
      <c r="C87" s="12"/>
      <c r="D87" s="12">
        <v>0</v>
      </c>
      <c r="E87" s="12"/>
      <c r="F87" s="12">
        <v>0</v>
      </c>
      <c r="G87" s="12"/>
      <c r="H87" s="12">
        <v>0</v>
      </c>
      <c r="J87" s="12">
        <f>BSC!F57</f>
        <v>4500</v>
      </c>
      <c r="L87" s="12">
        <v>0</v>
      </c>
      <c r="N87" s="12">
        <v>0</v>
      </c>
      <c r="P87" s="12">
        <f t="shared" si="26"/>
        <v>3169145.85</v>
      </c>
      <c r="Q87" s="9" t="s">
        <v>616</v>
      </c>
      <c r="R87" s="54">
        <v>0</v>
      </c>
      <c r="S87" s="12"/>
      <c r="T87" s="54">
        <v>0</v>
      </c>
      <c r="U87" s="12"/>
      <c r="V87" s="54">
        <v>0</v>
      </c>
      <c r="W87" s="12"/>
      <c r="X87" s="54">
        <v>0</v>
      </c>
      <c r="Y87" s="12"/>
      <c r="Z87" s="54">
        <v>4500</v>
      </c>
      <c r="AA87" s="12"/>
      <c r="AB87" s="54">
        <v>0</v>
      </c>
      <c r="AC87" s="12"/>
      <c r="AD87" s="54">
        <v>0</v>
      </c>
      <c r="AE87" s="12"/>
      <c r="AF87" s="122">
        <f t="shared" si="27"/>
        <v>4500</v>
      </c>
      <c r="AG87" s="9" t="s">
        <v>616</v>
      </c>
      <c r="AH87" s="12">
        <f t="shared" si="24"/>
        <v>3169145.85</v>
      </c>
      <c r="AI87" s="12"/>
      <c r="AJ87" s="12">
        <f t="shared" si="28"/>
        <v>4500</v>
      </c>
      <c r="AK87" s="12"/>
      <c r="AL87" s="12">
        <f t="shared" si="25"/>
        <v>3164645.85</v>
      </c>
      <c r="AM87" s="12"/>
      <c r="AN87" s="13">
        <f t="shared" si="31"/>
        <v>704.25463333333335</v>
      </c>
      <c r="AO87" s="13"/>
      <c r="AP87" s="14">
        <f t="shared" si="30"/>
        <v>703.25463333333335</v>
      </c>
    </row>
    <row r="88" spans="1:42" s="9" customFormat="1" ht="24.95" customHeight="1" x14ac:dyDescent="0.2">
      <c r="A88" s="9" t="s">
        <v>299</v>
      </c>
      <c r="B88" s="12">
        <f>CNT!S104+CNT!S96</f>
        <v>174756.17</v>
      </c>
      <c r="C88" s="12"/>
      <c r="D88" s="12">
        <f>BPM!S43</f>
        <v>162.84</v>
      </c>
      <c r="E88" s="12"/>
      <c r="F88" s="12">
        <f>DEP!S44</f>
        <v>57795.66</v>
      </c>
      <c r="G88" s="12"/>
      <c r="H88" s="12">
        <v>0</v>
      </c>
      <c r="J88" s="12">
        <f>BSC!F60</f>
        <v>8168.56</v>
      </c>
      <c r="L88" s="12">
        <v>0</v>
      </c>
      <c r="N88" s="12">
        <v>0</v>
      </c>
      <c r="P88" s="12">
        <f t="shared" si="26"/>
        <v>240883.23</v>
      </c>
      <c r="Q88" s="9" t="s">
        <v>299</v>
      </c>
      <c r="R88" s="54">
        <v>243430.23</v>
      </c>
      <c r="S88" s="12"/>
      <c r="T88" s="54">
        <v>26124.65</v>
      </c>
      <c r="U88" s="12"/>
      <c r="V88" s="54">
        <v>37687.24</v>
      </c>
      <c r="W88" s="12"/>
      <c r="X88" s="54">
        <v>0</v>
      </c>
      <c r="Y88" s="12"/>
      <c r="Z88" s="54">
        <v>7621.88</v>
      </c>
      <c r="AA88" s="12"/>
      <c r="AB88" s="54">
        <v>0</v>
      </c>
      <c r="AC88" s="12"/>
      <c r="AD88" s="54">
        <v>0</v>
      </c>
      <c r="AE88" s="12"/>
      <c r="AF88" s="122">
        <f t="shared" si="27"/>
        <v>314864</v>
      </c>
      <c r="AG88" s="9" t="s">
        <v>299</v>
      </c>
      <c r="AH88" s="12">
        <f t="shared" si="24"/>
        <v>240883.23</v>
      </c>
      <c r="AI88" s="12"/>
      <c r="AJ88" s="12">
        <f t="shared" si="28"/>
        <v>314864</v>
      </c>
      <c r="AK88" s="12"/>
      <c r="AL88" s="12">
        <f t="shared" si="25"/>
        <v>-73980.76999999999</v>
      </c>
      <c r="AM88" s="12"/>
      <c r="AN88" s="13">
        <f>AH88/AJ88</f>
        <v>0.76503896920575232</v>
      </c>
      <c r="AO88" s="13"/>
      <c r="AP88" s="14">
        <f t="shared" si="30"/>
        <v>-0.23496103079424768</v>
      </c>
    </row>
    <row r="89" spans="1:42" s="9" customFormat="1" ht="24.95" customHeight="1" x14ac:dyDescent="0.2">
      <c r="A89" s="9" t="s">
        <v>564</v>
      </c>
      <c r="B89" s="12">
        <f>CNT!S110</f>
        <v>50000</v>
      </c>
      <c r="C89" s="12"/>
      <c r="D89" s="12">
        <v>0</v>
      </c>
      <c r="E89" s="12"/>
      <c r="F89" s="12">
        <f>DEP!S42</f>
        <v>0</v>
      </c>
      <c r="G89" s="12"/>
      <c r="H89" s="12">
        <v>0</v>
      </c>
      <c r="I89" s="12"/>
      <c r="J89" s="12">
        <v>0</v>
      </c>
      <c r="K89" s="12"/>
      <c r="L89" s="12">
        <v>0</v>
      </c>
      <c r="M89" s="12"/>
      <c r="N89" s="12">
        <v>0</v>
      </c>
      <c r="O89" s="12"/>
      <c r="P89" s="12">
        <f t="shared" si="26"/>
        <v>50000</v>
      </c>
      <c r="Q89" s="9" t="s">
        <v>564</v>
      </c>
      <c r="R89" s="54">
        <v>22639</v>
      </c>
      <c r="S89" s="12"/>
      <c r="T89" s="54">
        <v>0</v>
      </c>
      <c r="U89" s="12"/>
      <c r="V89" s="54">
        <v>13898</v>
      </c>
      <c r="W89" s="12"/>
      <c r="X89" s="54">
        <v>0</v>
      </c>
      <c r="Y89" s="12"/>
      <c r="Z89" s="54">
        <v>0</v>
      </c>
      <c r="AA89" s="12"/>
      <c r="AB89" s="54">
        <v>0</v>
      </c>
      <c r="AC89" s="12"/>
      <c r="AD89" s="54">
        <v>0</v>
      </c>
      <c r="AE89" s="12"/>
      <c r="AF89" s="122">
        <f t="shared" si="27"/>
        <v>36537</v>
      </c>
      <c r="AG89" s="9" t="s">
        <v>564</v>
      </c>
      <c r="AH89" s="12">
        <f t="shared" si="24"/>
        <v>50000</v>
      </c>
      <c r="AI89" s="12"/>
      <c r="AJ89" s="12">
        <f t="shared" si="28"/>
        <v>36537</v>
      </c>
      <c r="AK89" s="12"/>
      <c r="AL89" s="12">
        <f t="shared" si="25"/>
        <v>13463</v>
      </c>
      <c r="AM89" s="12"/>
      <c r="AN89" s="13">
        <f>AH89/AJ89</f>
        <v>1.3684757916632455</v>
      </c>
      <c r="AO89" s="13"/>
      <c r="AP89" s="14">
        <f t="shared" si="30"/>
        <v>0.36847579166324551</v>
      </c>
    </row>
    <row r="90" spans="1:42" s="9" customFormat="1" ht="24.95" customHeight="1" x14ac:dyDescent="0.2">
      <c r="A90" s="9" t="s">
        <v>300</v>
      </c>
      <c r="B90" s="12">
        <f>CNT!S106</f>
        <v>101821.51</v>
      </c>
      <c r="C90" s="12"/>
      <c r="D90" s="12">
        <f>BPM!S44+BPM!S45</f>
        <v>0</v>
      </c>
      <c r="E90" s="12"/>
      <c r="F90" s="12">
        <f>DEP!S45</f>
        <v>222</v>
      </c>
      <c r="G90" s="12"/>
      <c r="H90" s="12">
        <v>0</v>
      </c>
      <c r="J90" s="12">
        <f>BSC!F61</f>
        <v>0</v>
      </c>
      <c r="L90" s="12">
        <v>0</v>
      </c>
      <c r="N90" s="12">
        <v>0</v>
      </c>
      <c r="P90" s="12">
        <f t="shared" si="26"/>
        <v>102043.51</v>
      </c>
      <c r="Q90" s="9" t="s">
        <v>300</v>
      </c>
      <c r="R90" s="54">
        <v>150459.64000000001</v>
      </c>
      <c r="S90" s="12"/>
      <c r="T90" s="54">
        <v>41507.22</v>
      </c>
      <c r="U90" s="12"/>
      <c r="V90" s="54">
        <v>6795.74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7"/>
        <v>198762.6</v>
      </c>
      <c r="AG90" s="9" t="s">
        <v>300</v>
      </c>
      <c r="AH90" s="12">
        <f t="shared" si="24"/>
        <v>102043.51</v>
      </c>
      <c r="AI90" s="12"/>
      <c r="AJ90" s="12">
        <f t="shared" si="28"/>
        <v>198762.6</v>
      </c>
      <c r="AK90" s="12"/>
      <c r="AL90" s="12">
        <f t="shared" si="25"/>
        <v>-96719.090000000011</v>
      </c>
      <c r="AM90" s="12"/>
      <c r="AN90" s="13">
        <f t="shared" si="31"/>
        <v>0.51339391817172841</v>
      </c>
      <c r="AO90" s="13"/>
      <c r="AP90" s="14">
        <f t="shared" si="30"/>
        <v>-0.48660608182827159</v>
      </c>
    </row>
    <row r="91" spans="1:42" s="9" customFormat="1" ht="24.95" customHeight="1" x14ac:dyDescent="0.2">
      <c r="A91" s="9" t="s">
        <v>717</v>
      </c>
      <c r="B91" s="12">
        <f>CNT!S108</f>
        <v>75000</v>
      </c>
      <c r="C91" s="12"/>
      <c r="D91" s="12">
        <v>0</v>
      </c>
      <c r="E91" s="12"/>
      <c r="F91" s="12">
        <v>0</v>
      </c>
      <c r="G91" s="12"/>
      <c r="H91" s="12">
        <v>0</v>
      </c>
      <c r="J91" s="12">
        <v>0</v>
      </c>
      <c r="L91" s="12">
        <v>0</v>
      </c>
      <c r="N91" s="12">
        <v>0</v>
      </c>
      <c r="P91" s="12">
        <f t="shared" si="26"/>
        <v>75000</v>
      </c>
      <c r="Q91" s="9" t="s">
        <v>301</v>
      </c>
      <c r="R91" s="54">
        <v>0</v>
      </c>
      <c r="S91" s="12"/>
      <c r="T91" s="54">
        <v>0</v>
      </c>
      <c r="U91" s="12"/>
      <c r="V91" s="54">
        <v>0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7"/>
        <v>0</v>
      </c>
      <c r="AG91" s="9" t="s">
        <v>301</v>
      </c>
      <c r="AH91" s="12">
        <f t="shared" si="24"/>
        <v>75000</v>
      </c>
      <c r="AI91" s="12"/>
      <c r="AJ91" s="12">
        <f t="shared" si="28"/>
        <v>0</v>
      </c>
      <c r="AK91" s="12"/>
      <c r="AL91" s="12">
        <f t="shared" si="25"/>
        <v>75000</v>
      </c>
      <c r="AM91" s="12"/>
      <c r="AN91" s="13" t="e">
        <f>AH91/AJ91</f>
        <v>#DIV/0!</v>
      </c>
      <c r="AO91" s="13"/>
      <c r="AP91" s="14" t="e">
        <f t="shared" si="30"/>
        <v>#DIV/0!</v>
      </c>
    </row>
    <row r="92" spans="1:42" s="9" customFormat="1" ht="24.95" customHeight="1" x14ac:dyDescent="0.2">
      <c r="A92" s="9" t="s">
        <v>302</v>
      </c>
      <c r="B92" s="12">
        <f>CNT!S109</f>
        <v>3627.71</v>
      </c>
      <c r="C92" s="12"/>
      <c r="D92" s="12">
        <v>0</v>
      </c>
      <c r="E92" s="12"/>
      <c r="F92" s="12">
        <v>0</v>
      </c>
      <c r="G92" s="12"/>
      <c r="H92" s="12">
        <v>0</v>
      </c>
      <c r="J92" s="12">
        <v>0</v>
      </c>
      <c r="L92" s="12">
        <v>0</v>
      </c>
      <c r="N92" s="12">
        <v>0</v>
      </c>
      <c r="P92" s="12">
        <f t="shared" si="26"/>
        <v>3627.71</v>
      </c>
      <c r="Q92" s="9" t="s">
        <v>302</v>
      </c>
      <c r="R92" s="54">
        <v>-4884.8</v>
      </c>
      <c r="S92" s="12"/>
      <c r="T92" s="54">
        <v>0</v>
      </c>
      <c r="U92" s="12"/>
      <c r="V92" s="54">
        <v>0</v>
      </c>
      <c r="W92" s="12"/>
      <c r="X92" s="54">
        <v>0</v>
      </c>
      <c r="Y92" s="12"/>
      <c r="Z92" s="54">
        <v>0</v>
      </c>
      <c r="AA92" s="12"/>
      <c r="AB92" s="54">
        <v>0</v>
      </c>
      <c r="AC92" s="12"/>
      <c r="AD92" s="54">
        <v>0</v>
      </c>
      <c r="AE92" s="12"/>
      <c r="AF92" s="122">
        <f t="shared" si="27"/>
        <v>-4884.8</v>
      </c>
      <c r="AG92" s="9" t="s">
        <v>302</v>
      </c>
      <c r="AH92" s="12">
        <f t="shared" si="24"/>
        <v>3627.71</v>
      </c>
      <c r="AI92" s="12"/>
      <c r="AJ92" s="12">
        <f t="shared" si="28"/>
        <v>-4884.8</v>
      </c>
      <c r="AK92" s="12"/>
      <c r="AL92" s="12">
        <f t="shared" si="25"/>
        <v>8512.51</v>
      </c>
      <c r="AM92" s="12"/>
      <c r="AN92" s="13">
        <v>0</v>
      </c>
      <c r="AO92" s="13"/>
      <c r="AP92" s="14">
        <f t="shared" si="30"/>
        <v>-1</v>
      </c>
    </row>
    <row r="93" spans="1:42" s="9" customFormat="1" ht="24.95" customHeight="1" x14ac:dyDescent="0.2">
      <c r="A93" s="9" t="s">
        <v>303</v>
      </c>
      <c r="B93" s="12">
        <f>CNT!S111</f>
        <v>0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v>0</v>
      </c>
      <c r="P93" s="12">
        <f t="shared" si="26"/>
        <v>0</v>
      </c>
      <c r="Q93" s="9" t="s">
        <v>303</v>
      </c>
      <c r="R93" s="54">
        <v>-96.19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0</v>
      </c>
      <c r="AE93" s="12"/>
      <c r="AF93" s="122">
        <f t="shared" si="27"/>
        <v>-96.19</v>
      </c>
      <c r="AG93" s="9" t="s">
        <v>303</v>
      </c>
      <c r="AH93" s="12">
        <f t="shared" si="24"/>
        <v>0</v>
      </c>
      <c r="AI93" s="12"/>
      <c r="AJ93" s="12">
        <f t="shared" si="28"/>
        <v>-96.19</v>
      </c>
      <c r="AK93" s="12"/>
      <c r="AL93" s="12">
        <f t="shared" si="25"/>
        <v>96.19</v>
      </c>
      <c r="AM93" s="12"/>
      <c r="AN93" s="13">
        <v>0</v>
      </c>
      <c r="AO93" s="13"/>
      <c r="AP93" s="14">
        <f t="shared" si="30"/>
        <v>-1</v>
      </c>
    </row>
    <row r="94" spans="1:42" s="9" customFormat="1" ht="24.95" customHeight="1" x14ac:dyDescent="0.2">
      <c r="A94" s="9" t="s">
        <v>565</v>
      </c>
      <c r="B94" s="12">
        <v>0</v>
      </c>
      <c r="C94" s="12"/>
      <c r="D94" s="12">
        <v>0</v>
      </c>
      <c r="E94" s="12"/>
      <c r="F94" s="12">
        <f>DEP!S41</f>
        <v>22209.67</v>
      </c>
      <c r="G94" s="12"/>
      <c r="H94" s="12">
        <v>0</v>
      </c>
      <c r="J94" s="12">
        <f>BSC!F59</f>
        <v>1400</v>
      </c>
      <c r="L94" s="12">
        <v>0</v>
      </c>
      <c r="N94" s="12">
        <f>'722 Bedford St'!E43</f>
        <v>0</v>
      </c>
      <c r="P94" s="12">
        <f t="shared" si="26"/>
        <v>23609.67</v>
      </c>
      <c r="Q94" s="9" t="s">
        <v>565</v>
      </c>
      <c r="R94" s="54">
        <v>0</v>
      </c>
      <c r="S94" s="12"/>
      <c r="T94" s="54">
        <v>0</v>
      </c>
      <c r="U94" s="12"/>
      <c r="V94" s="54">
        <v>33579.67</v>
      </c>
      <c r="W94" s="12"/>
      <c r="X94" s="54">
        <v>0</v>
      </c>
      <c r="Y94" s="12"/>
      <c r="Z94" s="54">
        <v>945</v>
      </c>
      <c r="AA94" s="12"/>
      <c r="AB94" s="54">
        <v>0</v>
      </c>
      <c r="AC94" s="12"/>
      <c r="AD94" s="54">
        <v>0</v>
      </c>
      <c r="AE94" s="12"/>
      <c r="AF94" s="122">
        <f t="shared" si="27"/>
        <v>34524.67</v>
      </c>
      <c r="AG94" s="9" t="s">
        <v>565</v>
      </c>
      <c r="AH94" s="12">
        <f t="shared" si="24"/>
        <v>23609.67</v>
      </c>
      <c r="AI94" s="12"/>
      <c r="AJ94" s="12">
        <f t="shared" si="28"/>
        <v>34524.67</v>
      </c>
      <c r="AK94" s="12"/>
      <c r="AL94" s="12">
        <f t="shared" si="25"/>
        <v>-10915</v>
      </c>
      <c r="AM94" s="12"/>
      <c r="AN94" s="13">
        <f>AH94/AJ94</f>
        <v>0.68384925909501815</v>
      </c>
      <c r="AO94" s="13"/>
      <c r="AP94" s="14">
        <f t="shared" si="30"/>
        <v>-0.31615074090498185</v>
      </c>
    </row>
    <row r="95" spans="1:42" s="9" customFormat="1" ht="24.95" customHeight="1" x14ac:dyDescent="0.2">
      <c r="A95" s="9" t="s">
        <v>611</v>
      </c>
      <c r="B95" s="12">
        <v>0</v>
      </c>
      <c r="C95" s="12"/>
      <c r="D95" s="12">
        <v>0</v>
      </c>
      <c r="E95" s="12"/>
      <c r="F95" s="12">
        <v>0</v>
      </c>
      <c r="G95" s="12"/>
      <c r="H95" s="12">
        <v>0</v>
      </c>
      <c r="J95" s="12">
        <v>0</v>
      </c>
      <c r="L95" s="12">
        <v>0</v>
      </c>
      <c r="N95" s="12">
        <f>'722 Bedford St'!E39+'722 Bedford St'!E40+'722 Bedford St'!E41+'722 Bedford St'!E42</f>
        <v>0</v>
      </c>
      <c r="P95" s="12">
        <f t="shared" si="26"/>
        <v>0</v>
      </c>
      <c r="Q95" s="9" t="s">
        <v>611</v>
      </c>
      <c r="R95" s="54">
        <v>0</v>
      </c>
      <c r="S95" s="12"/>
      <c r="T95" s="54">
        <v>0</v>
      </c>
      <c r="U95" s="12"/>
      <c r="V95" s="54">
        <v>0</v>
      </c>
      <c r="W95" s="12"/>
      <c r="X95" s="54">
        <v>0</v>
      </c>
      <c r="Y95" s="12"/>
      <c r="Z95" s="54">
        <v>0</v>
      </c>
      <c r="AA95" s="12"/>
      <c r="AB95" s="54">
        <v>0</v>
      </c>
      <c r="AC95" s="12"/>
      <c r="AD95" s="54">
        <v>772203.23</v>
      </c>
      <c r="AE95" s="12"/>
      <c r="AF95" s="122">
        <f t="shared" si="27"/>
        <v>772203.23</v>
      </c>
      <c r="AG95" s="9" t="s">
        <v>611</v>
      </c>
      <c r="AH95" s="12">
        <f t="shared" si="24"/>
        <v>0</v>
      </c>
      <c r="AI95" s="12"/>
      <c r="AJ95" s="12">
        <f t="shared" si="28"/>
        <v>772203.23</v>
      </c>
      <c r="AK95" s="12"/>
      <c r="AL95" s="12">
        <f t="shared" si="25"/>
        <v>-772203.23</v>
      </c>
      <c r="AM95" s="12"/>
      <c r="AN95" s="13">
        <f>AH95/AJ95</f>
        <v>0</v>
      </c>
      <c r="AO95" s="13"/>
      <c r="AP95" s="14">
        <f t="shared" si="30"/>
        <v>-1</v>
      </c>
    </row>
    <row r="96" spans="1:42" s="9" customFormat="1" ht="24.95" customHeight="1" x14ac:dyDescent="0.2">
      <c r="A96" s="9" t="s">
        <v>685</v>
      </c>
      <c r="B96" s="12">
        <f>CNT!S107</f>
        <v>-2594.75</v>
      </c>
      <c r="C96" s="12"/>
      <c r="D96" s="12">
        <v>0</v>
      </c>
      <c r="E96" s="12"/>
      <c r="F96" s="12">
        <f>DEP!S46</f>
        <v>-792</v>
      </c>
      <c r="G96" s="12"/>
      <c r="H96" s="12">
        <v>0</v>
      </c>
      <c r="J96" s="12">
        <v>0</v>
      </c>
      <c r="L96" s="12">
        <v>0</v>
      </c>
      <c r="N96" s="12">
        <v>0</v>
      </c>
      <c r="P96" s="12">
        <f t="shared" si="26"/>
        <v>-3386.75</v>
      </c>
      <c r="Q96" s="9" t="s">
        <v>685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0</v>
      </c>
      <c r="AE96" s="12"/>
      <c r="AF96" s="122">
        <f t="shared" si="27"/>
        <v>0</v>
      </c>
      <c r="AG96" s="9" t="s">
        <v>685</v>
      </c>
      <c r="AH96" s="12">
        <f t="shared" si="24"/>
        <v>-3386.75</v>
      </c>
      <c r="AI96" s="12"/>
      <c r="AJ96" s="12">
        <f t="shared" si="28"/>
        <v>0</v>
      </c>
      <c r="AK96" s="12"/>
      <c r="AL96" s="12">
        <f t="shared" si="25"/>
        <v>-3386.75</v>
      </c>
      <c r="AM96" s="12"/>
      <c r="AN96" s="13" t="e">
        <f>AH96/AJ96</f>
        <v>#DIV/0!</v>
      </c>
      <c r="AO96" s="13"/>
      <c r="AP96" s="14" t="e">
        <f t="shared" si="30"/>
        <v>#DIV/0!</v>
      </c>
    </row>
    <row r="97" spans="1:42" s="9" customFormat="1" ht="24.95" customHeight="1" x14ac:dyDescent="0.2">
      <c r="A97" s="9" t="s">
        <v>739</v>
      </c>
      <c r="B97" s="12">
        <v>0</v>
      </c>
      <c r="C97" s="12"/>
      <c r="D97" s="12">
        <v>0</v>
      </c>
      <c r="E97" s="12"/>
      <c r="F97" s="12">
        <v>0</v>
      </c>
      <c r="G97" s="12"/>
      <c r="H97" s="12">
        <f>Lending!F33</f>
        <v>398.86</v>
      </c>
      <c r="J97" s="12">
        <v>0</v>
      </c>
      <c r="L97" s="12">
        <v>0</v>
      </c>
      <c r="N97" s="12">
        <v>0</v>
      </c>
      <c r="P97" s="12">
        <f t="shared" si="26"/>
        <v>398.86</v>
      </c>
      <c r="Q97" s="9" t="s">
        <v>739</v>
      </c>
      <c r="R97" s="54">
        <v>0</v>
      </c>
      <c r="S97" s="12"/>
      <c r="T97" s="54">
        <v>0</v>
      </c>
      <c r="U97" s="12"/>
      <c r="V97" s="54">
        <v>0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7"/>
        <v>0</v>
      </c>
      <c r="AG97" s="9" t="s">
        <v>739</v>
      </c>
      <c r="AH97" s="12">
        <f t="shared" si="24"/>
        <v>398.86</v>
      </c>
      <c r="AI97" s="12"/>
      <c r="AJ97" s="12">
        <f t="shared" si="28"/>
        <v>0</v>
      </c>
      <c r="AK97" s="12"/>
      <c r="AL97" s="12">
        <f t="shared" si="25"/>
        <v>398.86</v>
      </c>
      <c r="AM97" s="12"/>
      <c r="AN97" s="13" t="e">
        <f>AH97/AJ97</f>
        <v>#DIV/0!</v>
      </c>
      <c r="AO97" s="13"/>
      <c r="AP97" s="14" t="e">
        <f t="shared" si="30"/>
        <v>#DIV/0!</v>
      </c>
    </row>
    <row r="98" spans="1:42" s="9" customFormat="1" ht="24.95" customHeight="1" x14ac:dyDescent="0.2">
      <c r="A98" s="9" t="s">
        <v>304</v>
      </c>
      <c r="B98" s="12">
        <f>CNT!S112</f>
        <v>3319</v>
      </c>
      <c r="C98" s="12"/>
      <c r="D98" s="12">
        <v>0</v>
      </c>
      <c r="E98" s="12"/>
      <c r="F98" s="12">
        <v>0</v>
      </c>
      <c r="G98" s="12"/>
      <c r="H98" s="12">
        <v>0</v>
      </c>
      <c r="J98" s="12">
        <v>0</v>
      </c>
      <c r="L98" s="12">
        <v>0</v>
      </c>
      <c r="N98" s="12">
        <v>0</v>
      </c>
      <c r="P98" s="12">
        <f t="shared" si="26"/>
        <v>3319</v>
      </c>
      <c r="Q98" s="9" t="s">
        <v>304</v>
      </c>
      <c r="R98" s="54">
        <v>-6444.2</v>
      </c>
      <c r="S98" s="12"/>
      <c r="T98" s="54">
        <v>0</v>
      </c>
      <c r="U98" s="12"/>
      <c r="V98" s="54">
        <v>0</v>
      </c>
      <c r="W98" s="12"/>
      <c r="X98" s="54">
        <v>0</v>
      </c>
      <c r="Y98" s="12"/>
      <c r="Z98" s="54">
        <v>0</v>
      </c>
      <c r="AA98" s="12"/>
      <c r="AB98" s="54">
        <v>0</v>
      </c>
      <c r="AC98" s="12"/>
      <c r="AD98" s="54">
        <v>0</v>
      </c>
      <c r="AE98" s="12"/>
      <c r="AF98" s="122">
        <f t="shared" si="27"/>
        <v>-6444.2</v>
      </c>
      <c r="AG98" s="9" t="s">
        <v>304</v>
      </c>
      <c r="AH98" s="12">
        <f t="shared" si="24"/>
        <v>3319</v>
      </c>
      <c r="AI98" s="12"/>
      <c r="AJ98" s="12">
        <f t="shared" si="28"/>
        <v>-6444.2</v>
      </c>
      <c r="AK98" s="12"/>
      <c r="AL98" s="12">
        <f t="shared" si="25"/>
        <v>9763.2000000000007</v>
      </c>
      <c r="AM98" s="12"/>
      <c r="AN98" s="13">
        <v>0</v>
      </c>
      <c r="AO98" s="13"/>
      <c r="AP98" s="14">
        <f t="shared" si="30"/>
        <v>-1</v>
      </c>
    </row>
    <row r="99" spans="1:42" s="9" customFormat="1" ht="24.95" customHeight="1" x14ac:dyDescent="0.2">
      <c r="A99" s="9" t="s">
        <v>305</v>
      </c>
      <c r="B99" s="12">
        <f>CNT!S113</f>
        <v>0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6"/>
        <v>0</v>
      </c>
      <c r="Q99" s="9" t="s">
        <v>305</v>
      </c>
      <c r="R99" s="54">
        <v>0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7"/>
        <v>0</v>
      </c>
      <c r="AG99" s="9" t="s">
        <v>305</v>
      </c>
      <c r="AH99" s="12">
        <f t="shared" si="24"/>
        <v>0</v>
      </c>
      <c r="AI99" s="12"/>
      <c r="AJ99" s="12">
        <f t="shared" si="28"/>
        <v>0</v>
      </c>
      <c r="AK99" s="12"/>
      <c r="AL99" s="12">
        <f t="shared" si="25"/>
        <v>0</v>
      </c>
      <c r="AM99" s="12"/>
      <c r="AN99" s="13">
        <v>0</v>
      </c>
      <c r="AO99" s="13"/>
      <c r="AP99" s="14">
        <f t="shared" si="30"/>
        <v>-1</v>
      </c>
    </row>
    <row r="100" spans="1:42" s="9" customFormat="1" ht="24.95" customHeight="1" x14ac:dyDescent="0.2">
      <c r="A100" s="9" t="s">
        <v>306</v>
      </c>
      <c r="B100" s="12">
        <f>CNT!S114</f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6"/>
        <v>0</v>
      </c>
      <c r="Q100" s="9" t="s">
        <v>306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7"/>
        <v>0</v>
      </c>
      <c r="AG100" s="9" t="s">
        <v>306</v>
      </c>
      <c r="AH100" s="12">
        <f t="shared" si="24"/>
        <v>0</v>
      </c>
      <c r="AI100" s="12"/>
      <c r="AJ100" s="12">
        <f t="shared" si="28"/>
        <v>0</v>
      </c>
      <c r="AK100" s="12"/>
      <c r="AL100" s="12">
        <f t="shared" si="25"/>
        <v>0</v>
      </c>
      <c r="AM100" s="12"/>
      <c r="AN100" s="13">
        <v>0</v>
      </c>
      <c r="AO100" s="13"/>
      <c r="AP100" s="14">
        <f t="shared" si="30"/>
        <v>-1</v>
      </c>
    </row>
    <row r="101" spans="1:42" s="9" customFormat="1" ht="24.95" customHeight="1" x14ac:dyDescent="0.2">
      <c r="A101" s="9" t="s">
        <v>307</v>
      </c>
      <c r="B101" s="12">
        <v>0</v>
      </c>
      <c r="C101" s="12"/>
      <c r="D101" s="12">
        <f>BPM!S47</f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0</v>
      </c>
      <c r="P101" s="12">
        <f t="shared" si="26"/>
        <v>0</v>
      </c>
      <c r="Q101" s="9" t="s">
        <v>307</v>
      </c>
      <c r="R101" s="54">
        <v>0</v>
      </c>
      <c r="S101" s="12"/>
      <c r="T101" s="54">
        <v>2621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0</v>
      </c>
      <c r="AE101" s="12"/>
      <c r="AF101" s="122">
        <f t="shared" si="27"/>
        <v>2621</v>
      </c>
      <c r="AG101" s="9" t="s">
        <v>307</v>
      </c>
      <c r="AH101" s="12">
        <f t="shared" si="24"/>
        <v>0</v>
      </c>
      <c r="AI101" s="12"/>
      <c r="AJ101" s="12">
        <f t="shared" si="28"/>
        <v>2621</v>
      </c>
      <c r="AK101" s="12"/>
      <c r="AL101" s="12">
        <f t="shared" si="25"/>
        <v>-2621</v>
      </c>
      <c r="AM101" s="12"/>
      <c r="AN101" s="13">
        <f>AH101/AJ101</f>
        <v>0</v>
      </c>
      <c r="AO101" s="13"/>
      <c r="AP101" s="14">
        <f t="shared" si="30"/>
        <v>-1</v>
      </c>
    </row>
    <row r="102" spans="1:42" s="9" customFormat="1" ht="24.95" customHeight="1" x14ac:dyDescent="0.2">
      <c r="A102" s="9" t="s">
        <v>308</v>
      </c>
      <c r="B102" s="12">
        <f>CNT!S115</f>
        <v>132276.25</v>
      </c>
      <c r="C102" s="12"/>
      <c r="D102" s="12"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0</v>
      </c>
      <c r="P102" s="12">
        <f t="shared" si="26"/>
        <v>132276.25</v>
      </c>
      <c r="Q102" s="9" t="s">
        <v>308</v>
      </c>
      <c r="R102" s="54">
        <v>119284.99</v>
      </c>
      <c r="S102" s="12"/>
      <c r="T102" s="54">
        <v>0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0</v>
      </c>
      <c r="AE102" s="12"/>
      <c r="AF102" s="122">
        <f t="shared" si="27"/>
        <v>119284.99</v>
      </c>
      <c r="AG102" s="9" t="s">
        <v>308</v>
      </c>
      <c r="AH102" s="12">
        <f t="shared" si="24"/>
        <v>132276.25</v>
      </c>
      <c r="AI102" s="12"/>
      <c r="AJ102" s="12">
        <f t="shared" si="28"/>
        <v>119284.99</v>
      </c>
      <c r="AK102" s="12"/>
      <c r="AL102" s="12">
        <f t="shared" si="25"/>
        <v>12991.259999999995</v>
      </c>
      <c r="AM102" s="12"/>
      <c r="AN102" s="13">
        <f>AH102/AJ102</f>
        <v>1.1089094277494596</v>
      </c>
      <c r="AO102" s="13"/>
      <c r="AP102" s="14">
        <f t="shared" si="30"/>
        <v>0.10890942774945955</v>
      </c>
    </row>
    <row r="103" spans="1:42" s="9" customFormat="1" ht="24.95" customHeight="1" x14ac:dyDescent="0.2">
      <c r="A103" s="9" t="s">
        <v>389</v>
      </c>
      <c r="B103" s="12">
        <v>0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f>BSC!F62</f>
        <v>1035822.26</v>
      </c>
      <c r="L103" s="12">
        <f>'Oliari Co'!F63</f>
        <v>107616.25</v>
      </c>
      <c r="N103" s="12">
        <v>0</v>
      </c>
      <c r="P103" s="12">
        <f t="shared" si="26"/>
        <v>1143438.51</v>
      </c>
      <c r="Q103" s="9" t="s">
        <v>389</v>
      </c>
      <c r="R103" s="54">
        <v>0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963117.74</v>
      </c>
      <c r="AA103" s="12"/>
      <c r="AB103" s="54">
        <v>97285.09</v>
      </c>
      <c r="AC103" s="12"/>
      <c r="AD103" s="54">
        <v>0</v>
      </c>
      <c r="AE103" s="12"/>
      <c r="AF103" s="122">
        <f t="shared" si="27"/>
        <v>1060402.83</v>
      </c>
      <c r="AG103" s="9" t="s">
        <v>389</v>
      </c>
      <c r="AH103" s="12">
        <f t="shared" si="24"/>
        <v>1143438.51</v>
      </c>
      <c r="AI103" s="12"/>
      <c r="AJ103" s="12">
        <f t="shared" si="28"/>
        <v>1060402.83</v>
      </c>
      <c r="AK103" s="12"/>
      <c r="AL103" s="12">
        <f t="shared" si="25"/>
        <v>83035.679999999935</v>
      </c>
      <c r="AM103" s="12"/>
      <c r="AN103" s="13">
        <f>AH103/AJ103</f>
        <v>1.0783057887538832</v>
      </c>
      <c r="AO103" s="13"/>
      <c r="AP103" s="14">
        <f t="shared" si="30"/>
        <v>7.8305788753883165E-2</v>
      </c>
    </row>
    <row r="104" spans="1:42" s="9" customFormat="1" ht="24.95" customHeight="1" x14ac:dyDescent="0.2">
      <c r="A104" s="9" t="s">
        <v>309</v>
      </c>
      <c r="B104" s="12">
        <f>CNT!S116+CNT!S117</f>
        <v>7000000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v>0</v>
      </c>
      <c r="L104" s="12">
        <v>0</v>
      </c>
      <c r="N104" s="12">
        <v>250000</v>
      </c>
      <c r="P104" s="12">
        <f t="shared" si="26"/>
        <v>7250000</v>
      </c>
      <c r="Q104" s="9" t="s">
        <v>309</v>
      </c>
      <c r="R104" s="54">
        <v>5380000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0</v>
      </c>
      <c r="AA104" s="12"/>
      <c r="AB104" s="54">
        <v>0</v>
      </c>
      <c r="AC104" s="12"/>
      <c r="AD104" s="54">
        <v>250000</v>
      </c>
      <c r="AE104" s="12"/>
      <c r="AF104" s="122">
        <f t="shared" si="27"/>
        <v>5630000</v>
      </c>
      <c r="AG104" s="9" t="s">
        <v>309</v>
      </c>
      <c r="AH104" s="12">
        <f t="shared" si="24"/>
        <v>7250000</v>
      </c>
      <c r="AI104" s="12"/>
      <c r="AJ104" s="12">
        <f t="shared" si="28"/>
        <v>5630000</v>
      </c>
      <c r="AK104" s="12"/>
      <c r="AL104" s="12">
        <f t="shared" si="25"/>
        <v>1620000</v>
      </c>
      <c r="AM104" s="12"/>
      <c r="AN104" s="13">
        <f>AH104/AJ104</f>
        <v>1.2877442273534636</v>
      </c>
      <c r="AO104" s="13"/>
      <c r="AP104" s="14">
        <f t="shared" si="30"/>
        <v>0.28774422735346361</v>
      </c>
    </row>
    <row r="105" spans="1:42" s="9" customFormat="1" ht="24.95" customHeight="1" x14ac:dyDescent="0.2">
      <c r="A105" s="9" t="s">
        <v>310</v>
      </c>
      <c r="B105" s="12">
        <f>CNT!S119+CNT!S118+CNT!S132+CNT!S133</f>
        <v>1871759.17</v>
      </c>
      <c r="C105" s="12"/>
      <c r="D105" s="12">
        <f>BPM!S48+BPM!S49</f>
        <v>7132.71</v>
      </c>
      <c r="E105" s="12"/>
      <c r="F105" s="12">
        <f>DEP!S47+DEP!S53</f>
        <v>132713.58000000002</v>
      </c>
      <c r="G105" s="12"/>
      <c r="H105" s="12">
        <f>Lending!F35+Lending!F36+Lending!F34</f>
        <v>472510.81</v>
      </c>
      <c r="J105" s="12">
        <f>BSC!F64+BSC!F70+BSC!F65</f>
        <v>1057781.82</v>
      </c>
      <c r="L105" s="12">
        <f>'Oliari Co'!F61</f>
        <v>0</v>
      </c>
      <c r="N105" s="12">
        <f>'722 Bedford St'!E44+'722 Bedford St'!E45+'722 Bedford St'!E46-250000</f>
        <v>-102686.48000000001</v>
      </c>
      <c r="P105" s="12">
        <f t="shared" si="26"/>
        <v>3439211.61</v>
      </c>
      <c r="Q105" s="9" t="s">
        <v>310</v>
      </c>
      <c r="R105" s="54">
        <v>775450</v>
      </c>
      <c r="S105" s="12"/>
      <c r="T105" s="54">
        <v>85505.01</v>
      </c>
      <c r="U105" s="12"/>
      <c r="V105" s="54">
        <v>202354.48</v>
      </c>
      <c r="W105" s="12"/>
      <c r="X105" s="54">
        <v>278707.85000000003</v>
      </c>
      <c r="Y105" s="12"/>
      <c r="Z105" s="54">
        <v>1173081.9100000001</v>
      </c>
      <c r="AA105" s="12"/>
      <c r="AB105" s="54">
        <v>0</v>
      </c>
      <c r="AC105" s="12"/>
      <c r="AD105" s="54">
        <v>-250000</v>
      </c>
      <c r="AE105" s="12"/>
      <c r="AF105" s="122">
        <f t="shared" si="27"/>
        <v>2265099.25</v>
      </c>
      <c r="AG105" s="9" t="s">
        <v>310</v>
      </c>
      <c r="AH105" s="12">
        <f t="shared" si="24"/>
        <v>3439211.61</v>
      </c>
      <c r="AI105" s="12"/>
      <c r="AJ105" s="12">
        <f t="shared" si="28"/>
        <v>2265099.25</v>
      </c>
      <c r="AK105" s="12"/>
      <c r="AL105" s="12">
        <f t="shared" si="25"/>
        <v>1174112.3599999999</v>
      </c>
      <c r="AM105" s="12"/>
      <c r="AN105" s="13">
        <f>AH105/AJ105</f>
        <v>1.5183491893346395</v>
      </c>
      <c r="AO105" s="13"/>
      <c r="AP105" s="14">
        <f t="shared" si="30"/>
        <v>0.51834918933463947</v>
      </c>
    </row>
    <row r="106" spans="1:42" s="9" customFormat="1" ht="24.95" customHeight="1" x14ac:dyDescent="0.2">
      <c r="A106" s="9" t="s">
        <v>311</v>
      </c>
      <c r="B106" s="12">
        <f>CNT!S123</f>
        <v>0</v>
      </c>
      <c r="C106" s="12"/>
      <c r="D106" s="12">
        <v>0</v>
      </c>
      <c r="E106" s="12"/>
      <c r="F106" s="12">
        <v>0</v>
      </c>
      <c r="G106" s="12"/>
      <c r="H106" s="12">
        <v>0</v>
      </c>
      <c r="J106" s="12">
        <v>0</v>
      </c>
      <c r="L106" s="12">
        <v>0</v>
      </c>
      <c r="N106" s="12">
        <v>0</v>
      </c>
      <c r="P106" s="12">
        <f t="shared" si="26"/>
        <v>0</v>
      </c>
      <c r="Q106" s="9" t="s">
        <v>311</v>
      </c>
      <c r="R106" s="54">
        <v>0</v>
      </c>
      <c r="S106" s="12"/>
      <c r="T106" s="54">
        <v>0</v>
      </c>
      <c r="U106" s="12"/>
      <c r="V106" s="54">
        <v>0</v>
      </c>
      <c r="W106" s="12"/>
      <c r="X106" s="54">
        <v>0</v>
      </c>
      <c r="Y106" s="12"/>
      <c r="Z106" s="54">
        <v>0</v>
      </c>
      <c r="AA106" s="12"/>
      <c r="AB106" s="54">
        <v>0</v>
      </c>
      <c r="AC106" s="12"/>
      <c r="AD106" s="54">
        <v>0</v>
      </c>
      <c r="AE106" s="12"/>
      <c r="AF106" s="122">
        <f t="shared" si="27"/>
        <v>0</v>
      </c>
      <c r="AG106" s="9" t="s">
        <v>311</v>
      </c>
      <c r="AH106" s="12">
        <f t="shared" si="24"/>
        <v>0</v>
      </c>
      <c r="AI106" s="12"/>
      <c r="AJ106" s="12">
        <f t="shared" si="28"/>
        <v>0</v>
      </c>
      <c r="AK106" s="12"/>
      <c r="AL106" s="12">
        <f t="shared" si="25"/>
        <v>0</v>
      </c>
      <c r="AM106" s="12"/>
      <c r="AN106" s="13">
        <v>0</v>
      </c>
      <c r="AO106" s="13"/>
      <c r="AP106" s="14">
        <f t="shared" si="30"/>
        <v>-1</v>
      </c>
    </row>
    <row r="107" spans="1:42" s="9" customFormat="1" ht="24.95" customHeight="1" x14ac:dyDescent="0.2">
      <c r="A107" s="9" t="s">
        <v>591</v>
      </c>
      <c r="B107" s="12">
        <f>CNT!S125</f>
        <v>21712.81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6"/>
        <v>21712.81</v>
      </c>
      <c r="Q107" s="9" t="s">
        <v>591</v>
      </c>
      <c r="R107" s="54">
        <v>-11354.33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7"/>
        <v>-11354.33</v>
      </c>
      <c r="AG107" s="9" t="s">
        <v>591</v>
      </c>
      <c r="AH107" s="12">
        <f t="shared" si="24"/>
        <v>21712.81</v>
      </c>
      <c r="AI107" s="12"/>
      <c r="AJ107" s="12">
        <f t="shared" si="28"/>
        <v>-11354.33</v>
      </c>
      <c r="AK107" s="12"/>
      <c r="AL107" s="12">
        <f t="shared" si="25"/>
        <v>33067.14</v>
      </c>
      <c r="AM107" s="12"/>
      <c r="AN107" s="13">
        <v>0</v>
      </c>
      <c r="AO107" s="13"/>
      <c r="AP107" s="14">
        <f t="shared" si="30"/>
        <v>-1</v>
      </c>
    </row>
    <row r="108" spans="1:42" s="9" customFormat="1" ht="24.95" customHeight="1" x14ac:dyDescent="0.2">
      <c r="A108" s="9" t="s">
        <v>733</v>
      </c>
      <c r="B108" s="12">
        <f>CNT!S126</f>
        <v>87564.36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6"/>
        <v>87564.36</v>
      </c>
      <c r="Q108" s="9" t="s">
        <v>733</v>
      </c>
      <c r="R108" s="54">
        <v>0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7"/>
        <v>0</v>
      </c>
      <c r="AG108" s="9" t="s">
        <v>733</v>
      </c>
      <c r="AH108" s="12">
        <f t="shared" si="24"/>
        <v>87564.36</v>
      </c>
      <c r="AI108" s="12"/>
      <c r="AJ108" s="12">
        <f t="shared" si="28"/>
        <v>0</v>
      </c>
      <c r="AK108" s="12"/>
      <c r="AL108" s="12">
        <f t="shared" si="25"/>
        <v>87564.36</v>
      </c>
      <c r="AM108" s="12"/>
      <c r="AN108" s="13">
        <v>0</v>
      </c>
      <c r="AO108" s="13"/>
      <c r="AP108" s="14">
        <f t="shared" si="30"/>
        <v>-1</v>
      </c>
    </row>
    <row r="109" spans="1:42" s="9" customFormat="1" ht="24.95" customHeight="1" x14ac:dyDescent="0.2">
      <c r="A109" s="9" t="s">
        <v>636</v>
      </c>
      <c r="B109" s="12">
        <f>CNT!S127</f>
        <v>0</v>
      </c>
      <c r="C109" s="12"/>
      <c r="D109" s="12">
        <v>0</v>
      </c>
      <c r="E109" s="12"/>
      <c r="F109" s="12">
        <v>0</v>
      </c>
      <c r="G109" s="12"/>
      <c r="H109" s="12">
        <v>0</v>
      </c>
      <c r="J109" s="12">
        <v>0</v>
      </c>
      <c r="L109" s="12">
        <v>0</v>
      </c>
      <c r="N109" s="12">
        <v>0</v>
      </c>
      <c r="P109" s="12">
        <f t="shared" si="26"/>
        <v>0</v>
      </c>
      <c r="Q109" s="9" t="s">
        <v>636</v>
      </c>
      <c r="R109" s="54">
        <v>228.27</v>
      </c>
      <c r="S109" s="12"/>
      <c r="T109" s="54">
        <v>0</v>
      </c>
      <c r="U109" s="12"/>
      <c r="V109" s="54">
        <v>0</v>
      </c>
      <c r="W109" s="12"/>
      <c r="X109" s="54">
        <v>0</v>
      </c>
      <c r="Y109" s="12"/>
      <c r="Z109" s="54">
        <v>0</v>
      </c>
      <c r="AA109" s="12"/>
      <c r="AB109" s="54">
        <v>0</v>
      </c>
      <c r="AC109" s="12"/>
      <c r="AD109" s="54">
        <v>0</v>
      </c>
      <c r="AE109" s="12"/>
      <c r="AF109" s="122">
        <f t="shared" si="27"/>
        <v>228.27</v>
      </c>
      <c r="AG109" s="9" t="s">
        <v>636</v>
      </c>
      <c r="AH109" s="12">
        <f t="shared" si="24"/>
        <v>0</v>
      </c>
      <c r="AI109" s="12"/>
      <c r="AJ109" s="12">
        <f t="shared" si="28"/>
        <v>228.27</v>
      </c>
      <c r="AK109" s="12"/>
      <c r="AL109" s="12">
        <f t="shared" si="25"/>
        <v>-228.27</v>
      </c>
      <c r="AM109" s="12"/>
      <c r="AN109" s="13">
        <v>0</v>
      </c>
      <c r="AO109" s="13"/>
      <c r="AP109" s="14">
        <f t="shared" si="30"/>
        <v>-1</v>
      </c>
    </row>
    <row r="110" spans="1:42" s="9" customFormat="1" ht="24.95" customHeight="1" x14ac:dyDescent="0.2">
      <c r="A110" s="9" t="s">
        <v>623</v>
      </c>
      <c r="B110" s="12">
        <f>CNT!S128</f>
        <v>0</v>
      </c>
      <c r="C110" s="12"/>
      <c r="D110" s="12">
        <v>0</v>
      </c>
      <c r="E110" s="12"/>
      <c r="F110" s="12">
        <v>0</v>
      </c>
      <c r="G110" s="12"/>
      <c r="H110" s="12">
        <v>0</v>
      </c>
      <c r="J110" s="12">
        <v>0</v>
      </c>
      <c r="L110" s="12">
        <v>0</v>
      </c>
      <c r="N110" s="12">
        <v>0</v>
      </c>
      <c r="P110" s="12">
        <f t="shared" si="26"/>
        <v>0</v>
      </c>
      <c r="Q110" s="9" t="s">
        <v>623</v>
      </c>
      <c r="R110" s="54">
        <v>756</v>
      </c>
      <c r="S110" s="12"/>
      <c r="T110" s="54">
        <v>0</v>
      </c>
      <c r="U110" s="12"/>
      <c r="V110" s="54">
        <v>0</v>
      </c>
      <c r="W110" s="12"/>
      <c r="X110" s="54">
        <v>0</v>
      </c>
      <c r="Y110" s="12"/>
      <c r="Z110" s="54">
        <v>0</v>
      </c>
      <c r="AA110" s="12"/>
      <c r="AB110" s="54">
        <v>0</v>
      </c>
      <c r="AC110" s="12"/>
      <c r="AD110" s="54">
        <v>0</v>
      </c>
      <c r="AE110" s="12"/>
      <c r="AF110" s="122">
        <f t="shared" si="27"/>
        <v>756</v>
      </c>
      <c r="AG110" s="9" t="s">
        <v>623</v>
      </c>
      <c r="AH110" s="12">
        <f t="shared" si="24"/>
        <v>0</v>
      </c>
      <c r="AI110" s="12"/>
      <c r="AJ110" s="12">
        <f t="shared" si="28"/>
        <v>756</v>
      </c>
      <c r="AK110" s="12"/>
      <c r="AL110" s="12">
        <f t="shared" si="25"/>
        <v>-756</v>
      </c>
      <c r="AM110" s="12"/>
      <c r="AN110" s="13">
        <v>0</v>
      </c>
      <c r="AO110" s="13"/>
      <c r="AP110" s="14">
        <f t="shared" si="30"/>
        <v>-1</v>
      </c>
    </row>
    <row r="111" spans="1:42" s="9" customFormat="1" ht="24.95" customHeight="1" x14ac:dyDescent="0.2">
      <c r="A111" s="9" t="s">
        <v>312</v>
      </c>
      <c r="B111" s="16">
        <f>CNT!S124</f>
        <v>4275.2</v>
      </c>
      <c r="C111" s="16"/>
      <c r="D111" s="16">
        <v>0</v>
      </c>
      <c r="E111" s="16"/>
      <c r="F111" s="16">
        <v>0</v>
      </c>
      <c r="G111" s="16"/>
      <c r="H111" s="16">
        <v>0</v>
      </c>
      <c r="I111" s="17"/>
      <c r="J111" s="16">
        <v>0</v>
      </c>
      <c r="K111" s="17"/>
      <c r="L111" s="16">
        <v>0</v>
      </c>
      <c r="M111" s="17"/>
      <c r="N111" s="16">
        <v>0</v>
      </c>
      <c r="O111" s="17"/>
      <c r="P111" s="16">
        <f t="shared" si="26"/>
        <v>4275.2</v>
      </c>
      <c r="Q111" s="9" t="s">
        <v>312</v>
      </c>
      <c r="R111" s="55">
        <v>7593.12</v>
      </c>
      <c r="S111" s="16"/>
      <c r="T111" s="55">
        <v>0</v>
      </c>
      <c r="U111" s="16"/>
      <c r="V111" s="55">
        <v>0</v>
      </c>
      <c r="W111" s="16"/>
      <c r="X111" s="55">
        <v>0</v>
      </c>
      <c r="Y111" s="16"/>
      <c r="Z111" s="55">
        <v>0</v>
      </c>
      <c r="AA111" s="16"/>
      <c r="AB111" s="55">
        <v>0</v>
      </c>
      <c r="AC111" s="16"/>
      <c r="AD111" s="55">
        <v>0</v>
      </c>
      <c r="AE111" s="16"/>
      <c r="AF111" s="16">
        <f t="shared" si="27"/>
        <v>7593.12</v>
      </c>
      <c r="AG111" s="9" t="s">
        <v>312</v>
      </c>
      <c r="AH111" s="16">
        <f t="shared" si="24"/>
        <v>4275.2</v>
      </c>
      <c r="AI111" s="16"/>
      <c r="AJ111" s="16">
        <f t="shared" si="28"/>
        <v>7593.12</v>
      </c>
      <c r="AK111" s="16"/>
      <c r="AL111" s="16">
        <f t="shared" si="25"/>
        <v>-3317.92</v>
      </c>
      <c r="AM111" s="12"/>
      <c r="AN111" s="13">
        <v>0</v>
      </c>
      <c r="AO111" s="13"/>
      <c r="AP111" s="14">
        <f t="shared" si="30"/>
        <v>-1</v>
      </c>
    </row>
    <row r="112" spans="1:42" s="9" customFormat="1" ht="24.95" customHeight="1" x14ac:dyDescent="0.2">
      <c r="A112" s="20" t="s">
        <v>382</v>
      </c>
      <c r="B112" s="12">
        <f>SUM(B73:B111)</f>
        <v>51250923.050000019</v>
      </c>
      <c r="C112" s="12"/>
      <c r="D112" s="12">
        <f>SUM(D73:D111)</f>
        <v>2718.63</v>
      </c>
      <c r="E112" s="12"/>
      <c r="F112" s="12">
        <f>SUM(F73:F111)</f>
        <v>590451.74</v>
      </c>
      <c r="G112" s="12"/>
      <c r="H112" s="12">
        <f>SUM(H73:H111)</f>
        <v>489176.6</v>
      </c>
      <c r="I112" s="12"/>
      <c r="J112" s="12">
        <f>SUM(J73:J111)</f>
        <v>2152624.87</v>
      </c>
      <c r="K112" s="12"/>
      <c r="L112" s="12">
        <f>SUM(L73:L111)</f>
        <v>108966.25</v>
      </c>
      <c r="M112" s="12"/>
      <c r="N112" s="12">
        <f>SUM(N73:N111)</f>
        <v>147313.51999999999</v>
      </c>
      <c r="O112" s="12"/>
      <c r="P112" s="12">
        <f>SUM(P73:P111)</f>
        <v>54742174.659999996</v>
      </c>
      <c r="Q112" s="20" t="s">
        <v>382</v>
      </c>
      <c r="R112" s="54">
        <f>SUM(R72:R111)</f>
        <v>19965981.560000006</v>
      </c>
      <c r="S112" s="12"/>
      <c r="T112" s="54">
        <f>SUM(T72:T111)</f>
        <v>1132712.2299999997</v>
      </c>
      <c r="U112" s="12"/>
      <c r="V112" s="54">
        <f>SUM(V72:V111)</f>
        <v>590774.18000000005</v>
      </c>
      <c r="W112" s="12"/>
      <c r="X112" s="54">
        <f>SUM(X72:X111)</f>
        <v>293605.89</v>
      </c>
      <c r="Y112" s="12"/>
      <c r="Z112" s="54">
        <f>SUM(Z72:Z111)</f>
        <v>2192754.64</v>
      </c>
      <c r="AA112" s="12"/>
      <c r="AB112" s="54">
        <f>SUM(AB72:AB111)</f>
        <v>97960.09</v>
      </c>
      <c r="AC112" s="12"/>
      <c r="AD112" s="54">
        <f>SUM(AD72:AD111)</f>
        <v>772203.23</v>
      </c>
      <c r="AE112" s="12"/>
      <c r="AF112" s="12">
        <f>SUM(AF72:AF111)</f>
        <v>25045991.82</v>
      </c>
      <c r="AG112" s="20" t="s">
        <v>382</v>
      </c>
      <c r="AH112" s="22">
        <f>SUM(AH72:AH111)</f>
        <v>54742174.659999996</v>
      </c>
      <c r="AI112" s="22">
        <f>SUM(AI72:AI111)</f>
        <v>0</v>
      </c>
      <c r="AJ112" s="22">
        <f>SUM(AJ72:AJ111)</f>
        <v>25045991.82</v>
      </c>
      <c r="AK112" s="22">
        <f>SUM(AK72:AK111)</f>
        <v>0</v>
      </c>
      <c r="AL112" s="22">
        <f>SUM(AL72:AL111)</f>
        <v>29696182.840000004</v>
      </c>
      <c r="AM112" s="22"/>
      <c r="AN112" s="13">
        <f>AH112/AJ112</f>
        <v>2.1856660759701549</v>
      </c>
      <c r="AO112" s="13"/>
      <c r="AP112" s="14">
        <f t="shared" si="30"/>
        <v>1.1856660759701549</v>
      </c>
    </row>
    <row r="113" spans="1:42" s="9" customFormat="1" ht="24.95" customHeight="1" x14ac:dyDescent="0.2">
      <c r="B113" s="12"/>
      <c r="C113" s="12"/>
      <c r="D113" s="12"/>
      <c r="E113" s="12"/>
      <c r="F113" s="12"/>
      <c r="G113" s="12"/>
      <c r="P113" s="10"/>
      <c r="R113" s="65"/>
      <c r="T113" s="65"/>
      <c r="V113" s="65"/>
      <c r="X113" s="65"/>
      <c r="Z113" s="65"/>
      <c r="AB113" s="65"/>
      <c r="AD113" s="65"/>
      <c r="AF113" s="10"/>
      <c r="AN113" s="13"/>
      <c r="AO113" s="13"/>
      <c r="AP113" s="19"/>
    </row>
    <row r="114" spans="1:42" s="9" customFormat="1" ht="24.95" customHeight="1" x14ac:dyDescent="0.2">
      <c r="A114" s="8" t="s">
        <v>313</v>
      </c>
      <c r="B114" s="12"/>
      <c r="C114" s="12"/>
      <c r="D114" s="12"/>
      <c r="E114" s="12"/>
      <c r="F114" s="12"/>
      <c r="G114" s="12"/>
      <c r="P114" s="10"/>
      <c r="Q114" s="8" t="s">
        <v>313</v>
      </c>
      <c r="R114" s="65"/>
      <c r="T114" s="65"/>
      <c r="V114" s="65"/>
      <c r="X114" s="65"/>
      <c r="Z114" s="65"/>
      <c r="AB114" s="65"/>
      <c r="AD114" s="65"/>
      <c r="AF114" s="10"/>
      <c r="AG114" s="8" t="s">
        <v>313</v>
      </c>
      <c r="AN114" s="10"/>
      <c r="AO114" s="10"/>
      <c r="AP114" s="19"/>
    </row>
    <row r="115" spans="1:42" s="9" customFormat="1" ht="24.95" customHeight="1" x14ac:dyDescent="0.2">
      <c r="A115" s="9" t="s">
        <v>314</v>
      </c>
      <c r="B115" s="12">
        <v>0</v>
      </c>
      <c r="C115" s="12"/>
      <c r="D115" s="12">
        <v>0</v>
      </c>
      <c r="E115" s="12"/>
      <c r="F115" s="12">
        <v>0</v>
      </c>
      <c r="G115" s="12"/>
      <c r="H115" s="12">
        <v>0</v>
      </c>
      <c r="I115" s="12"/>
      <c r="J115" s="12">
        <v>0</v>
      </c>
      <c r="K115" s="12"/>
      <c r="L115" s="12">
        <v>0</v>
      </c>
      <c r="M115" s="12"/>
      <c r="N115" s="12">
        <v>0</v>
      </c>
      <c r="O115" s="12"/>
      <c r="P115" s="12">
        <f t="shared" ref="P115:P120" si="32">SUM(B115:N115)</f>
        <v>0</v>
      </c>
      <c r="Q115" s="9" t="s">
        <v>314</v>
      </c>
      <c r="R115" s="54">
        <v>0</v>
      </c>
      <c r="S115" s="12"/>
      <c r="T115" s="54">
        <v>0</v>
      </c>
      <c r="U115" s="12"/>
      <c r="V115" s="54">
        <v>0</v>
      </c>
      <c r="W115" s="12"/>
      <c r="X115" s="54">
        <v>0</v>
      </c>
      <c r="Y115" s="12"/>
      <c r="Z115" s="54">
        <v>0</v>
      </c>
      <c r="AA115" s="12"/>
      <c r="AB115" s="54">
        <v>0</v>
      </c>
      <c r="AC115" s="12"/>
      <c r="AD115" s="54">
        <v>0</v>
      </c>
      <c r="AE115" s="12"/>
      <c r="AF115" s="122">
        <f>SUM(R115:AD115)</f>
        <v>0</v>
      </c>
      <c r="AG115" s="9" t="s">
        <v>314</v>
      </c>
      <c r="AH115" s="12">
        <f t="shared" ref="AH115:AH120" si="33">P115</f>
        <v>0</v>
      </c>
      <c r="AI115" s="12"/>
      <c r="AJ115" s="12">
        <f t="shared" ref="AJ115:AJ120" si="34">AF115</f>
        <v>0</v>
      </c>
      <c r="AK115" s="12"/>
      <c r="AL115" s="12">
        <f t="shared" ref="AL115:AL120" si="35">AH115-AJ115</f>
        <v>0</v>
      </c>
      <c r="AM115" s="12"/>
      <c r="AN115" s="13" t="e">
        <f t="shared" ref="AN115:AN121" si="36">AH115/AJ115</f>
        <v>#DIV/0!</v>
      </c>
      <c r="AO115" s="13"/>
      <c r="AP115" s="14" t="e">
        <f t="shared" ref="AP115:AP121" si="37">AN115-1</f>
        <v>#DIV/0!</v>
      </c>
    </row>
    <row r="116" spans="1:42" s="9" customFormat="1" ht="24.95" customHeight="1" x14ac:dyDescent="0.2">
      <c r="A116" s="9" t="s">
        <v>315</v>
      </c>
      <c r="B116" s="12">
        <f>CNT!S134</f>
        <v>0</v>
      </c>
      <c r="C116" s="12"/>
      <c r="D116" s="12">
        <v>0</v>
      </c>
      <c r="E116" s="12"/>
      <c r="F116" s="12">
        <v>0</v>
      </c>
      <c r="G116" s="12"/>
      <c r="H116" s="12">
        <v>0</v>
      </c>
      <c r="J116" s="12">
        <f>BSC!F69</f>
        <v>1038675.03</v>
      </c>
      <c r="L116" s="12">
        <f>'Oliari Co'!F68</f>
        <v>247750</v>
      </c>
      <c r="N116" s="12">
        <f>'722 Bedford St'!E53</f>
        <v>0</v>
      </c>
      <c r="P116" s="12">
        <f t="shared" si="32"/>
        <v>1286425.03</v>
      </c>
      <c r="Q116" s="9" t="s">
        <v>315</v>
      </c>
      <c r="R116" s="54">
        <v>0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1038675.03</v>
      </c>
      <c r="AA116" s="12"/>
      <c r="AB116" s="54">
        <v>247750</v>
      </c>
      <c r="AC116" s="12"/>
      <c r="AD116" s="54">
        <v>3563493</v>
      </c>
      <c r="AE116" s="12"/>
      <c r="AF116" s="122">
        <f t="shared" ref="AF116:AF120" si="38">SUM(R116:AD116)</f>
        <v>4849918.03</v>
      </c>
      <c r="AG116" s="9" t="s">
        <v>315</v>
      </c>
      <c r="AH116" s="12">
        <f t="shared" si="33"/>
        <v>1286425.03</v>
      </c>
      <c r="AI116" s="12"/>
      <c r="AJ116" s="12">
        <f t="shared" si="34"/>
        <v>4849918.03</v>
      </c>
      <c r="AK116" s="12"/>
      <c r="AL116" s="12">
        <f t="shared" si="35"/>
        <v>-3563493</v>
      </c>
      <c r="AM116" s="12"/>
      <c r="AN116" s="13">
        <f t="shared" si="36"/>
        <v>0.26524675717045054</v>
      </c>
      <c r="AO116" s="13"/>
      <c r="AP116" s="14">
        <f t="shared" si="37"/>
        <v>-0.73475324282954946</v>
      </c>
    </row>
    <row r="117" spans="1:42" s="9" customFormat="1" ht="24.95" customHeight="1" x14ac:dyDescent="0.2">
      <c r="A117" s="9" t="s">
        <v>734</v>
      </c>
      <c r="B117" s="12">
        <f>CNT!S138</f>
        <v>2013864.81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v>0</v>
      </c>
      <c r="L117" s="12">
        <v>0</v>
      </c>
      <c r="N117" s="12">
        <v>0</v>
      </c>
      <c r="P117" s="12">
        <f t="shared" si="32"/>
        <v>2013864.81</v>
      </c>
      <c r="Q117" s="9" t="s">
        <v>734</v>
      </c>
      <c r="R117" s="54">
        <v>0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0</v>
      </c>
      <c r="AA117" s="12"/>
      <c r="AB117" s="54">
        <v>0</v>
      </c>
      <c r="AC117" s="12"/>
      <c r="AD117" s="54">
        <v>0</v>
      </c>
      <c r="AE117" s="12"/>
      <c r="AF117" s="122">
        <f t="shared" si="38"/>
        <v>0</v>
      </c>
      <c r="AG117" s="9" t="s">
        <v>734</v>
      </c>
      <c r="AH117" s="12">
        <f t="shared" si="33"/>
        <v>2013864.81</v>
      </c>
      <c r="AI117" s="12"/>
      <c r="AJ117" s="12">
        <f t="shared" si="34"/>
        <v>0</v>
      </c>
      <c r="AK117" s="12"/>
      <c r="AL117" s="12">
        <f t="shared" si="35"/>
        <v>2013864.81</v>
      </c>
      <c r="AM117" s="12"/>
      <c r="AN117" s="13" t="e">
        <f t="shared" si="36"/>
        <v>#DIV/0!</v>
      </c>
      <c r="AO117" s="13"/>
      <c r="AP117" s="14" t="e">
        <f t="shared" si="37"/>
        <v>#DIV/0!</v>
      </c>
    </row>
    <row r="118" spans="1:42" s="9" customFormat="1" ht="24.95" customHeight="1" x14ac:dyDescent="0.2">
      <c r="A118" s="9" t="s">
        <v>316</v>
      </c>
      <c r="B118" s="12">
        <f>CNT!S135</f>
        <v>16949.73</v>
      </c>
      <c r="C118" s="12"/>
      <c r="D118" s="12">
        <v>0</v>
      </c>
      <c r="E118" s="12"/>
      <c r="F118" s="12">
        <v>0</v>
      </c>
      <c r="G118" s="12"/>
      <c r="H118" s="12">
        <v>0</v>
      </c>
      <c r="J118" s="12">
        <v>0</v>
      </c>
      <c r="L118" s="12">
        <v>0</v>
      </c>
      <c r="N118" s="12">
        <f>'722 Bedford St'!E50</f>
        <v>0</v>
      </c>
      <c r="P118" s="12">
        <f t="shared" si="32"/>
        <v>16949.73</v>
      </c>
      <c r="Q118" s="9" t="s">
        <v>316</v>
      </c>
      <c r="R118" s="54">
        <v>16441.310000000001</v>
      </c>
      <c r="S118" s="12"/>
      <c r="T118" s="54">
        <v>0</v>
      </c>
      <c r="U118" s="12"/>
      <c r="V118" s="54">
        <v>0</v>
      </c>
      <c r="W118" s="12"/>
      <c r="X118" s="54">
        <v>0</v>
      </c>
      <c r="Y118" s="12"/>
      <c r="Z118" s="54">
        <v>0</v>
      </c>
      <c r="AA118" s="12"/>
      <c r="AB118" s="54">
        <v>0</v>
      </c>
      <c r="AC118" s="12"/>
      <c r="AD118" s="54">
        <v>819709.5</v>
      </c>
      <c r="AE118" s="12"/>
      <c r="AF118" s="122">
        <f t="shared" si="38"/>
        <v>836150.81</v>
      </c>
      <c r="AG118" s="9" t="s">
        <v>316</v>
      </c>
      <c r="AH118" s="12">
        <f t="shared" si="33"/>
        <v>16949.73</v>
      </c>
      <c r="AI118" s="12"/>
      <c r="AJ118" s="12">
        <f t="shared" si="34"/>
        <v>836150.81</v>
      </c>
      <c r="AK118" s="12"/>
      <c r="AL118" s="12">
        <f t="shared" si="35"/>
        <v>-819201.08000000007</v>
      </c>
      <c r="AM118" s="12"/>
      <c r="AN118" s="13">
        <f t="shared" si="36"/>
        <v>2.0271139843780095E-2</v>
      </c>
      <c r="AO118" s="13"/>
      <c r="AP118" s="14">
        <f t="shared" si="37"/>
        <v>-0.97972886015621996</v>
      </c>
    </row>
    <row r="119" spans="1:42" s="9" customFormat="1" ht="24.95" customHeight="1" x14ac:dyDescent="0.2">
      <c r="A119" s="9" t="s">
        <v>317</v>
      </c>
      <c r="B119" s="12">
        <f>CNT!S136</f>
        <v>4395.7700000000004</v>
      </c>
      <c r="C119" s="12"/>
      <c r="D119" s="12">
        <v>0</v>
      </c>
      <c r="E119" s="12"/>
      <c r="F119" s="12">
        <v>0</v>
      </c>
      <c r="G119" s="12"/>
      <c r="H119" s="12">
        <v>0</v>
      </c>
      <c r="J119" s="12">
        <v>0</v>
      </c>
      <c r="L119" s="12">
        <v>0</v>
      </c>
      <c r="N119" s="12">
        <f>'722 Bedford St'!E51</f>
        <v>0</v>
      </c>
      <c r="P119" s="12">
        <f t="shared" si="32"/>
        <v>4395.7700000000004</v>
      </c>
      <c r="Q119" s="9" t="s">
        <v>317</v>
      </c>
      <c r="R119" s="54">
        <v>4263.71</v>
      </c>
      <c r="S119" s="12"/>
      <c r="T119" s="54">
        <v>0</v>
      </c>
      <c r="U119" s="12"/>
      <c r="V119" s="54">
        <v>0</v>
      </c>
      <c r="W119" s="12"/>
      <c r="X119" s="54">
        <v>0</v>
      </c>
      <c r="Y119" s="12"/>
      <c r="Z119" s="54">
        <v>0</v>
      </c>
      <c r="AA119" s="12"/>
      <c r="AB119" s="54">
        <v>0</v>
      </c>
      <c r="AC119" s="12"/>
      <c r="AD119" s="54">
        <v>855953</v>
      </c>
      <c r="AE119" s="12"/>
      <c r="AF119" s="122">
        <f t="shared" si="38"/>
        <v>860216.71</v>
      </c>
      <c r="AG119" s="9" t="s">
        <v>317</v>
      </c>
      <c r="AH119" s="12">
        <f t="shared" si="33"/>
        <v>4395.7700000000004</v>
      </c>
      <c r="AI119" s="12"/>
      <c r="AJ119" s="12">
        <f t="shared" si="34"/>
        <v>860216.71</v>
      </c>
      <c r="AK119" s="12"/>
      <c r="AL119" s="12">
        <f t="shared" si="35"/>
        <v>-855820.94</v>
      </c>
      <c r="AM119" s="12"/>
      <c r="AN119" s="13">
        <f t="shared" si="36"/>
        <v>5.1100727861936104E-3</v>
      </c>
      <c r="AO119" s="13"/>
      <c r="AP119" s="14">
        <f t="shared" si="37"/>
        <v>-0.99488992721380642</v>
      </c>
    </row>
    <row r="120" spans="1:42" s="9" customFormat="1" ht="24.95" customHeight="1" x14ac:dyDescent="0.2">
      <c r="A120" s="9" t="s">
        <v>318</v>
      </c>
      <c r="B120" s="16">
        <f>CNT!S137</f>
        <v>20053.36</v>
      </c>
      <c r="C120" s="16"/>
      <c r="D120" s="16">
        <v>0</v>
      </c>
      <c r="E120" s="16"/>
      <c r="F120" s="16">
        <v>0</v>
      </c>
      <c r="G120" s="16"/>
      <c r="H120" s="16">
        <v>0</v>
      </c>
      <c r="I120" s="17"/>
      <c r="J120" s="16">
        <v>0</v>
      </c>
      <c r="K120" s="17"/>
      <c r="L120" s="16">
        <v>0</v>
      </c>
      <c r="M120" s="17"/>
      <c r="N120" s="16">
        <f>'722 Bedford St'!E52</f>
        <v>0</v>
      </c>
      <c r="O120" s="17"/>
      <c r="P120" s="16">
        <f t="shared" si="32"/>
        <v>20053.36</v>
      </c>
      <c r="Q120" s="9" t="s">
        <v>318</v>
      </c>
      <c r="R120" s="55">
        <v>19451.63</v>
      </c>
      <c r="S120" s="16"/>
      <c r="T120" s="55">
        <v>0</v>
      </c>
      <c r="U120" s="16"/>
      <c r="V120" s="55">
        <v>0</v>
      </c>
      <c r="W120" s="16"/>
      <c r="X120" s="55">
        <v>0</v>
      </c>
      <c r="Y120" s="16"/>
      <c r="Z120" s="55">
        <v>0</v>
      </c>
      <c r="AA120" s="16"/>
      <c r="AB120" s="55">
        <v>0</v>
      </c>
      <c r="AC120" s="16"/>
      <c r="AD120" s="55">
        <v>686846.65</v>
      </c>
      <c r="AE120" s="16"/>
      <c r="AF120" s="16">
        <f t="shared" si="38"/>
        <v>706298.28</v>
      </c>
      <c r="AG120" s="9" t="s">
        <v>318</v>
      </c>
      <c r="AH120" s="16">
        <f t="shared" si="33"/>
        <v>20053.36</v>
      </c>
      <c r="AI120" s="16"/>
      <c r="AJ120" s="16">
        <f t="shared" si="34"/>
        <v>706298.28</v>
      </c>
      <c r="AK120" s="16"/>
      <c r="AL120" s="16">
        <f t="shared" si="35"/>
        <v>-686244.92</v>
      </c>
      <c r="AM120" s="12"/>
      <c r="AN120" s="13">
        <f t="shared" si="36"/>
        <v>2.8392197132350371E-2</v>
      </c>
      <c r="AO120" s="13"/>
      <c r="AP120" s="14">
        <f t="shared" si="37"/>
        <v>-0.97160780286764958</v>
      </c>
    </row>
    <row r="121" spans="1:42" s="9" customFormat="1" ht="24.95" customHeight="1" x14ac:dyDescent="0.2">
      <c r="A121" s="20" t="s">
        <v>319</v>
      </c>
      <c r="B121" s="12">
        <f>SUM(B115:B120)</f>
        <v>2055263.6700000002</v>
      </c>
      <c r="C121" s="12"/>
      <c r="D121" s="12">
        <f>SUM(D115:D120)</f>
        <v>0</v>
      </c>
      <c r="E121" s="12"/>
      <c r="F121" s="12">
        <f>SUM(F115:F120)</f>
        <v>0</v>
      </c>
      <c r="G121" s="12"/>
      <c r="H121" s="12">
        <f>SUM(H115:H120)</f>
        <v>0</v>
      </c>
      <c r="I121" s="12"/>
      <c r="J121" s="12">
        <f>SUM(J115:J120)</f>
        <v>1038675.03</v>
      </c>
      <c r="K121" s="12"/>
      <c r="L121" s="12">
        <f>SUM(L115:L120)</f>
        <v>247750</v>
      </c>
      <c r="M121" s="12"/>
      <c r="N121" s="12">
        <f>SUM(N115:N120)</f>
        <v>0</v>
      </c>
      <c r="O121" s="12"/>
      <c r="P121" s="12">
        <f>SUM(P115:P120)</f>
        <v>3341688.6999999997</v>
      </c>
      <c r="Q121" s="20" t="s">
        <v>319</v>
      </c>
      <c r="R121" s="54">
        <f>SUM(R115:R120)</f>
        <v>40156.65</v>
      </c>
      <c r="S121" s="12"/>
      <c r="T121" s="54">
        <f>SUM(T115:T120)</f>
        <v>0</v>
      </c>
      <c r="U121" s="12"/>
      <c r="V121" s="54">
        <f>SUM(V115:V120)</f>
        <v>0</v>
      </c>
      <c r="W121" s="12"/>
      <c r="X121" s="54">
        <f>SUM(X115:X120)</f>
        <v>0</v>
      </c>
      <c r="Y121" s="12"/>
      <c r="Z121" s="54">
        <f>SUM(Z115:Z120)</f>
        <v>1038675.03</v>
      </c>
      <c r="AA121" s="12"/>
      <c r="AB121" s="54">
        <f>SUM(AB115:AB120)</f>
        <v>247750</v>
      </c>
      <c r="AC121" s="12"/>
      <c r="AD121" s="54">
        <f>SUM(AD115:AD120)</f>
        <v>5926002.1500000004</v>
      </c>
      <c r="AE121" s="12"/>
      <c r="AF121" s="12">
        <f>SUM(AF115:AF120)</f>
        <v>7252583.8300000001</v>
      </c>
      <c r="AG121" s="20" t="s">
        <v>319</v>
      </c>
      <c r="AH121" s="12">
        <f>SUM(AH115:AH120)</f>
        <v>3341688.6999999997</v>
      </c>
      <c r="AI121" s="12"/>
      <c r="AJ121" s="12">
        <f>SUM(AJ115:AJ120)</f>
        <v>7252583.8300000001</v>
      </c>
      <c r="AK121" s="12"/>
      <c r="AL121" s="12">
        <f>SUM(AL115:AL120)</f>
        <v>-3910895.13</v>
      </c>
      <c r="AM121" s="12"/>
      <c r="AN121" s="13">
        <f t="shared" si="36"/>
        <v>0.460758369476165</v>
      </c>
      <c r="AO121" s="13"/>
      <c r="AP121" s="14">
        <f t="shared" si="37"/>
        <v>-0.539241630523835</v>
      </c>
    </row>
    <row r="122" spans="1:42" s="9" customFormat="1" ht="24.95" customHeight="1" x14ac:dyDescent="0.2">
      <c r="A122" s="20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O122" s="12"/>
      <c r="P122" s="10"/>
      <c r="Q122" s="20"/>
      <c r="R122" s="54"/>
      <c r="S122" s="12"/>
      <c r="T122" s="65"/>
      <c r="V122" s="65"/>
      <c r="X122" s="65"/>
      <c r="Z122" s="65"/>
      <c r="AB122" s="65"/>
      <c r="AD122" s="65"/>
      <c r="AF122" s="10"/>
      <c r="AG122" s="20"/>
      <c r="AN122" s="10"/>
      <c r="AO122" s="10"/>
      <c r="AP122" s="14"/>
    </row>
    <row r="123" spans="1:42" s="9" customFormat="1" ht="24.95" customHeight="1" x14ac:dyDescent="0.2">
      <c r="A123" s="27" t="s">
        <v>320</v>
      </c>
      <c r="B123" s="21">
        <f>B121+B112</f>
        <v>53306186.720000021</v>
      </c>
      <c r="C123" s="21"/>
      <c r="D123" s="21">
        <f>D121+D112</f>
        <v>2718.63</v>
      </c>
      <c r="E123" s="21"/>
      <c r="F123" s="21">
        <f>F121+F112</f>
        <v>590451.74</v>
      </c>
      <c r="G123" s="21"/>
      <c r="H123" s="21">
        <f>H121+H112</f>
        <v>489176.6</v>
      </c>
      <c r="I123" s="21"/>
      <c r="J123" s="21">
        <f>J121+J112</f>
        <v>3191299.9000000004</v>
      </c>
      <c r="K123" s="21"/>
      <c r="L123" s="21">
        <f>L121+L112</f>
        <v>356716.25</v>
      </c>
      <c r="M123" s="21"/>
      <c r="N123" s="21">
        <f>N121+N112</f>
        <v>147313.51999999999</v>
      </c>
      <c r="O123" s="21"/>
      <c r="P123" s="21">
        <f>P121+P112</f>
        <v>58083863.359999999</v>
      </c>
      <c r="Q123" s="27" t="s">
        <v>320</v>
      </c>
      <c r="R123" s="56">
        <f>R121+R112</f>
        <v>20006138.210000005</v>
      </c>
      <c r="S123" s="21"/>
      <c r="T123" s="56">
        <f>T121+T112</f>
        <v>1132712.2299999997</v>
      </c>
      <c r="U123" s="21"/>
      <c r="V123" s="56">
        <f>V121+V112</f>
        <v>590774.18000000005</v>
      </c>
      <c r="W123" s="21"/>
      <c r="X123" s="56">
        <f>X121+X112</f>
        <v>293605.89</v>
      </c>
      <c r="Y123" s="21"/>
      <c r="Z123" s="56">
        <f>Z121+Z112</f>
        <v>3231429.67</v>
      </c>
      <c r="AA123" s="21"/>
      <c r="AB123" s="56">
        <f>AB121+AB112</f>
        <v>345710.08999999997</v>
      </c>
      <c r="AC123" s="21"/>
      <c r="AD123" s="56">
        <f>AD121+AD112</f>
        <v>6698205.3800000008</v>
      </c>
      <c r="AE123" s="21"/>
      <c r="AF123" s="21">
        <f>AF121+AF112</f>
        <v>32298575.649999999</v>
      </c>
      <c r="AG123" s="27" t="s">
        <v>320</v>
      </c>
      <c r="AH123" s="21">
        <f>AH112+AH121</f>
        <v>58083863.359999999</v>
      </c>
      <c r="AI123" s="21"/>
      <c r="AJ123" s="21">
        <f>AJ112+AJ121</f>
        <v>32298575.649999999</v>
      </c>
      <c r="AK123" s="21"/>
      <c r="AL123" s="21">
        <f>AL112+AL121</f>
        <v>25785287.710000005</v>
      </c>
      <c r="AM123" s="12"/>
      <c r="AN123" s="13">
        <f>AH123/AJ123</f>
        <v>1.7983413259277892</v>
      </c>
      <c r="AO123" s="13"/>
      <c r="AP123" s="14">
        <f>AN123-1</f>
        <v>0.79834132592778917</v>
      </c>
    </row>
    <row r="124" spans="1:42" s="9" customFormat="1" ht="24.95" customHeight="1" x14ac:dyDescent="0.2">
      <c r="B124" s="12"/>
      <c r="C124" s="12"/>
      <c r="D124" s="12"/>
      <c r="E124" s="12"/>
      <c r="F124" s="12"/>
      <c r="G124" s="12"/>
      <c r="P124" s="10"/>
      <c r="R124" s="65"/>
      <c r="T124" s="65"/>
      <c r="V124" s="65"/>
      <c r="X124" s="65"/>
      <c r="Z124" s="65"/>
      <c r="AB124" s="65"/>
      <c r="AD124" s="65"/>
      <c r="AF124" s="10"/>
      <c r="AN124" s="10"/>
      <c r="AO124" s="10"/>
      <c r="AP124" s="19"/>
    </row>
    <row r="125" spans="1:42" s="9" customFormat="1" ht="24.95" customHeight="1" x14ac:dyDescent="0.2">
      <c r="A125" s="8" t="s">
        <v>160</v>
      </c>
      <c r="B125" s="12"/>
      <c r="C125" s="12"/>
      <c r="D125" s="12"/>
      <c r="E125" s="12"/>
      <c r="F125" s="12"/>
      <c r="G125" s="12"/>
      <c r="P125" s="10"/>
      <c r="Q125" s="8" t="s">
        <v>160</v>
      </c>
      <c r="R125" s="65"/>
      <c r="T125" s="65"/>
      <c r="V125" s="65"/>
      <c r="X125" s="65"/>
      <c r="Z125" s="65"/>
      <c r="AB125" s="65"/>
      <c r="AD125" s="65"/>
      <c r="AF125" s="10"/>
      <c r="AG125" s="8" t="s">
        <v>160</v>
      </c>
      <c r="AN125" s="10"/>
      <c r="AO125" s="10"/>
      <c r="AP125" s="19"/>
    </row>
    <row r="126" spans="1:42" s="9" customFormat="1" ht="24.95" customHeight="1" x14ac:dyDescent="0.2">
      <c r="A126" s="9" t="s">
        <v>321</v>
      </c>
      <c r="B126" s="12">
        <f>CNT!S145</f>
        <v>152325</v>
      </c>
      <c r="C126" s="12"/>
      <c r="D126" s="12">
        <v>0</v>
      </c>
      <c r="E126" s="12"/>
      <c r="F126" s="12">
        <f>DEP!S57</f>
        <v>1000</v>
      </c>
      <c r="G126" s="12"/>
      <c r="H126" s="12">
        <v>0</v>
      </c>
      <c r="I126" s="12"/>
      <c r="J126" s="12">
        <f>BSC!F74</f>
        <v>24927.59</v>
      </c>
      <c r="K126" s="12"/>
      <c r="L126" s="12">
        <v>0</v>
      </c>
      <c r="M126" s="12"/>
      <c r="N126" s="12">
        <v>0</v>
      </c>
      <c r="O126" s="12"/>
      <c r="P126" s="12">
        <f>SUM(B126:N126)</f>
        <v>178252.59</v>
      </c>
      <c r="Q126" s="9" t="s">
        <v>321</v>
      </c>
      <c r="R126" s="54">
        <v>152325</v>
      </c>
      <c r="S126" s="12"/>
      <c r="T126" s="54">
        <v>0</v>
      </c>
      <c r="U126" s="12"/>
      <c r="V126" s="54">
        <v>1000</v>
      </c>
      <c r="W126" s="12"/>
      <c r="X126" s="54">
        <v>0</v>
      </c>
      <c r="Y126" s="12"/>
      <c r="Z126" s="54">
        <v>25000.03</v>
      </c>
      <c r="AA126" s="12"/>
      <c r="AB126" s="54">
        <v>0</v>
      </c>
      <c r="AC126" s="12"/>
      <c r="AD126" s="54">
        <v>0</v>
      </c>
      <c r="AE126" s="12"/>
      <c r="AF126" s="122">
        <f>SUM(R126:AD126)</f>
        <v>178325.03</v>
      </c>
      <c r="AG126" s="9" t="s">
        <v>321</v>
      </c>
      <c r="AH126" s="12">
        <f t="shared" ref="AH126:AH137" si="39">P126</f>
        <v>178252.59</v>
      </c>
      <c r="AI126" s="12"/>
      <c r="AJ126" s="12">
        <f>AF126</f>
        <v>178325.03</v>
      </c>
      <c r="AK126" s="12"/>
      <c r="AL126" s="12">
        <f t="shared" ref="AL126:AL137" si="40">AH126-AJ126</f>
        <v>-72.440000000002328</v>
      </c>
      <c r="AM126" s="12"/>
      <c r="AN126" s="13">
        <f t="shared" ref="AN126:AN140" si="41">AH126/AJ126</f>
        <v>0.99959377547840589</v>
      </c>
      <c r="AO126" s="13"/>
      <c r="AP126" s="14">
        <f t="shared" ref="AP126:AP140" si="42">AN126-1</f>
        <v>-4.0622452159411182E-4</v>
      </c>
    </row>
    <row r="127" spans="1:42" s="9" customFormat="1" ht="24.95" customHeight="1" x14ac:dyDescent="0.2">
      <c r="A127" s="9" t="s">
        <v>322</v>
      </c>
      <c r="B127" s="12">
        <f>CNT!S146</f>
        <v>1709758</v>
      </c>
      <c r="C127" s="12"/>
      <c r="D127" s="12">
        <v>0</v>
      </c>
      <c r="E127" s="12"/>
      <c r="F127" s="12">
        <v>0</v>
      </c>
      <c r="G127" s="12"/>
      <c r="H127" s="12">
        <v>0</v>
      </c>
      <c r="I127" s="12"/>
      <c r="J127" s="12">
        <v>0</v>
      </c>
      <c r="K127" s="12"/>
      <c r="L127" s="12">
        <v>0</v>
      </c>
      <c r="M127" s="12"/>
      <c r="N127" s="12">
        <v>0</v>
      </c>
      <c r="O127" s="12"/>
      <c r="P127" s="12">
        <f t="shared" ref="P127:P137" si="43">SUM(B127:N127)</f>
        <v>1709758</v>
      </c>
      <c r="Q127" s="9" t="s">
        <v>322</v>
      </c>
      <c r="R127" s="54">
        <v>1709758</v>
      </c>
      <c r="S127" s="12"/>
      <c r="T127" s="54">
        <v>0</v>
      </c>
      <c r="U127" s="12"/>
      <c r="V127" s="54">
        <v>0</v>
      </c>
      <c r="W127" s="12"/>
      <c r="X127" s="54">
        <v>0</v>
      </c>
      <c r="Y127" s="12"/>
      <c r="Z127" s="54">
        <v>0</v>
      </c>
      <c r="AA127" s="12"/>
      <c r="AB127" s="54">
        <v>0</v>
      </c>
      <c r="AC127" s="12"/>
      <c r="AD127" s="54">
        <v>0</v>
      </c>
      <c r="AE127" s="12"/>
      <c r="AF127" s="122">
        <f t="shared" ref="AF127:AF137" si="44">SUM(R127:AD127)</f>
        <v>1709758</v>
      </c>
      <c r="AG127" s="9" t="s">
        <v>322</v>
      </c>
      <c r="AH127" s="12">
        <f t="shared" si="39"/>
        <v>1709758</v>
      </c>
      <c r="AI127" s="12"/>
      <c r="AJ127" s="12">
        <f t="shared" ref="AJ127:AJ137" si="45">AF127</f>
        <v>1709758</v>
      </c>
      <c r="AK127" s="12"/>
      <c r="AL127" s="12">
        <f t="shared" si="40"/>
        <v>0</v>
      </c>
      <c r="AM127" s="12"/>
      <c r="AN127" s="13">
        <f t="shared" si="41"/>
        <v>1</v>
      </c>
      <c r="AO127" s="13"/>
      <c r="AP127" s="14">
        <f t="shared" si="42"/>
        <v>0</v>
      </c>
    </row>
    <row r="128" spans="1:42" s="9" customFormat="1" ht="24.95" customHeight="1" x14ac:dyDescent="0.2">
      <c r="A128" s="9" t="s">
        <v>323</v>
      </c>
      <c r="B128" s="12">
        <f>CNT!S147</f>
        <v>24047943.850000001</v>
      </c>
      <c r="C128" s="12"/>
      <c r="D128" s="12">
        <f>BPM!S57</f>
        <v>-5267.59</v>
      </c>
      <c r="E128" s="12"/>
      <c r="F128" s="12">
        <f>DEP!S58</f>
        <v>1552479.9</v>
      </c>
      <c r="G128" s="12"/>
      <c r="H128" s="12">
        <f>Lending!F43</f>
        <v>22713.119999999999</v>
      </c>
      <c r="I128" s="12"/>
      <c r="J128" s="12">
        <f>BSC!F76</f>
        <v>-32217.29</v>
      </c>
      <c r="K128" s="12"/>
      <c r="L128" s="12">
        <f>'Oliari Co'!F91</f>
        <v>85664.17</v>
      </c>
      <c r="M128" s="12"/>
      <c r="N128" s="12">
        <f>'722 Bedford St'!E68</f>
        <v>116426.5</v>
      </c>
      <c r="O128" s="12"/>
      <c r="P128" s="12">
        <f t="shared" si="43"/>
        <v>25787742.660000004</v>
      </c>
      <c r="Q128" s="9" t="s">
        <v>323</v>
      </c>
      <c r="R128" s="54">
        <v>32987.71</v>
      </c>
      <c r="S128" s="12"/>
      <c r="T128" s="54">
        <v>-146503.4</v>
      </c>
      <c r="U128" s="12"/>
      <c r="V128" s="54">
        <v>472239.42</v>
      </c>
      <c r="W128" s="12"/>
      <c r="X128" s="54">
        <v>17023.599999999999</v>
      </c>
      <c r="Y128" s="12"/>
      <c r="Z128" s="54">
        <v>45773.31</v>
      </c>
      <c r="AA128" s="12"/>
      <c r="AB128" s="54">
        <v>97170.68</v>
      </c>
      <c r="AC128" s="12"/>
      <c r="AD128" s="54">
        <v>14396.85</v>
      </c>
      <c r="AE128" s="12"/>
      <c r="AF128" s="122">
        <f t="shared" si="44"/>
        <v>533088.16999999993</v>
      </c>
      <c r="AG128" s="9" t="s">
        <v>323</v>
      </c>
      <c r="AH128" s="12">
        <f t="shared" si="39"/>
        <v>25787742.660000004</v>
      </c>
      <c r="AI128" s="12"/>
      <c r="AJ128" s="12">
        <f t="shared" si="45"/>
        <v>533088.16999999993</v>
      </c>
      <c r="AK128" s="12"/>
      <c r="AL128" s="12">
        <f t="shared" si="40"/>
        <v>25254654.490000002</v>
      </c>
      <c r="AM128" s="12"/>
      <c r="AN128" s="13">
        <f t="shared" si="41"/>
        <v>48.374254225150047</v>
      </c>
      <c r="AO128" s="13"/>
      <c r="AP128" s="13">
        <f t="shared" si="42"/>
        <v>47.374254225150047</v>
      </c>
    </row>
    <row r="129" spans="1:42" s="9" customFormat="1" ht="24.95" customHeight="1" x14ac:dyDescent="0.2">
      <c r="A129" s="9" t="s">
        <v>324</v>
      </c>
      <c r="B129" s="12">
        <f>CNT!S148</f>
        <v>-51086.91</v>
      </c>
      <c r="C129" s="12"/>
      <c r="D129" s="12">
        <f>BPM!S58</f>
        <v>380826.51</v>
      </c>
      <c r="E129" s="12"/>
      <c r="F129" s="12">
        <f>DEP!S59</f>
        <v>0</v>
      </c>
      <c r="G129" s="12"/>
      <c r="H129" s="12">
        <f>Lending!F42</f>
        <v>425392.02</v>
      </c>
      <c r="I129" s="12"/>
      <c r="J129" s="12">
        <f>BSC!F75</f>
        <v>-1189372.3600000001</v>
      </c>
      <c r="K129" s="12"/>
      <c r="L129" s="12">
        <f>'Oliari Co'!F77+'Oliari Co'!F84+'Oliari Co'!F85+'Oliari Co'!F90</f>
        <v>5029784.25</v>
      </c>
      <c r="M129" s="12"/>
      <c r="N129" s="12">
        <f>'722 Bedford St'!E63+'722 Bedford St'!E64+'722 Bedford St'!E65+'722 Bedford St'!E66+'722 Bedford St'!E67</f>
        <v>2152258.9300000002</v>
      </c>
      <c r="O129" s="12"/>
      <c r="P129" s="12">
        <f t="shared" si="43"/>
        <v>6747802.4399999995</v>
      </c>
      <c r="Q129" s="9" t="s">
        <v>324</v>
      </c>
      <c r="R129" s="54">
        <v>9444105.0399999991</v>
      </c>
      <c r="S129" s="12"/>
      <c r="T129" s="54">
        <v>2285317.17</v>
      </c>
      <c r="U129" s="12"/>
      <c r="V129" s="54">
        <v>0</v>
      </c>
      <c r="W129" s="12"/>
      <c r="X129" s="54">
        <v>390997.51</v>
      </c>
      <c r="Y129" s="12"/>
      <c r="Z129" s="54">
        <v>-1194103.1399999999</v>
      </c>
      <c r="AA129" s="12"/>
      <c r="AB129" s="54">
        <v>4833163.25</v>
      </c>
      <c r="AC129" s="12"/>
      <c r="AD129" s="54">
        <v>1442724.1400000001</v>
      </c>
      <c r="AE129" s="12"/>
      <c r="AF129" s="122">
        <f t="shared" si="44"/>
        <v>17202203.969999999</v>
      </c>
      <c r="AG129" s="9" t="s">
        <v>324</v>
      </c>
      <c r="AH129" s="12">
        <f t="shared" si="39"/>
        <v>6747802.4399999995</v>
      </c>
      <c r="AI129" s="12"/>
      <c r="AJ129" s="12">
        <f t="shared" si="45"/>
        <v>17202203.969999999</v>
      </c>
      <c r="AK129" s="12"/>
      <c r="AL129" s="12">
        <f t="shared" si="40"/>
        <v>-10454401.529999999</v>
      </c>
      <c r="AM129" s="12"/>
      <c r="AN129" s="13">
        <f t="shared" si="41"/>
        <v>0.39226383152809458</v>
      </c>
      <c r="AO129" s="13"/>
      <c r="AP129" s="14">
        <f t="shared" si="42"/>
        <v>-0.60773616847190537</v>
      </c>
    </row>
    <row r="130" spans="1:42" s="9" customFormat="1" ht="24.95" customHeight="1" x14ac:dyDescent="0.2">
      <c r="A130" s="9" t="s">
        <v>548</v>
      </c>
      <c r="B130" s="12">
        <f>CNT!S149</f>
        <v>0</v>
      </c>
      <c r="C130" s="12"/>
      <c r="D130" s="12">
        <v>0</v>
      </c>
      <c r="E130" s="12"/>
      <c r="F130" s="12">
        <f>DEP!S60+DEP!S61+DEP!S62+DEP!S63+DEP!S64</f>
        <v>6646143.8700000001</v>
      </c>
      <c r="G130" s="12"/>
      <c r="H130" s="12">
        <v>0</v>
      </c>
      <c r="I130" s="12"/>
      <c r="J130" s="12">
        <v>0</v>
      </c>
      <c r="K130" s="12"/>
      <c r="L130" s="12">
        <v>0</v>
      </c>
      <c r="M130" s="12"/>
      <c r="N130" s="12">
        <f>'722 Bedford St'!E57+'722 Bedford St'!E58+'722 Bedford St'!E59+'722 Bedford St'!E60+'722 Bedford St'!E61+'722 Bedford St'!E62</f>
        <v>6126127.2300000004</v>
      </c>
      <c r="O130" s="12"/>
      <c r="P130" s="12">
        <f t="shared" si="43"/>
        <v>12772271.100000001</v>
      </c>
      <c r="Q130" s="9" t="s">
        <v>548</v>
      </c>
      <c r="R130" s="54">
        <v>0</v>
      </c>
      <c r="S130" s="12"/>
      <c r="T130" s="54">
        <v>0</v>
      </c>
      <c r="U130" s="12"/>
      <c r="V130" s="54">
        <v>4996824.41</v>
      </c>
      <c r="W130" s="12"/>
      <c r="X130" s="54">
        <v>0</v>
      </c>
      <c r="Y130" s="12"/>
      <c r="Z130" s="54">
        <v>0</v>
      </c>
      <c r="AA130" s="12"/>
      <c r="AB130" s="54">
        <v>0</v>
      </c>
      <c r="AC130" s="12"/>
      <c r="AD130" s="54">
        <v>0</v>
      </c>
      <c r="AE130" s="12"/>
      <c r="AF130" s="122">
        <f t="shared" si="44"/>
        <v>4996824.41</v>
      </c>
      <c r="AG130" s="9" t="s">
        <v>548</v>
      </c>
      <c r="AH130" s="12">
        <f t="shared" si="39"/>
        <v>12772271.100000001</v>
      </c>
      <c r="AI130" s="12"/>
      <c r="AJ130" s="12">
        <f>AF130</f>
        <v>4996824.41</v>
      </c>
      <c r="AK130" s="12"/>
      <c r="AL130" s="12">
        <f t="shared" si="40"/>
        <v>7775446.6900000013</v>
      </c>
      <c r="AM130" s="12"/>
      <c r="AN130" s="13">
        <v>0</v>
      </c>
      <c r="AO130" s="13"/>
      <c r="AP130" s="14">
        <f>AN130-1</f>
        <v>-1</v>
      </c>
    </row>
    <row r="131" spans="1:42" s="9" customFormat="1" ht="24.95" customHeight="1" x14ac:dyDescent="0.2">
      <c r="A131" s="9" t="s">
        <v>325</v>
      </c>
      <c r="B131" s="12">
        <f>CNT!S150</f>
        <v>0</v>
      </c>
      <c r="C131" s="12"/>
      <c r="D131" s="12">
        <v>0</v>
      </c>
      <c r="E131" s="12"/>
      <c r="F131" s="12">
        <v>0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v>0</v>
      </c>
      <c r="O131" s="12"/>
      <c r="P131" s="12">
        <f t="shared" si="43"/>
        <v>0</v>
      </c>
      <c r="Q131" s="9" t="s">
        <v>325</v>
      </c>
      <c r="R131" s="54">
        <v>0</v>
      </c>
      <c r="S131" s="12"/>
      <c r="T131" s="54">
        <v>0</v>
      </c>
      <c r="U131" s="12"/>
      <c r="V131" s="54">
        <v>0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0</v>
      </c>
      <c r="AE131" s="12"/>
      <c r="AF131" s="122">
        <f t="shared" si="44"/>
        <v>0</v>
      </c>
      <c r="AG131" s="9" t="s">
        <v>325</v>
      </c>
      <c r="AH131" s="12">
        <f t="shared" si="39"/>
        <v>0</v>
      </c>
      <c r="AI131" s="12"/>
      <c r="AJ131" s="12">
        <f t="shared" si="45"/>
        <v>0</v>
      </c>
      <c r="AK131" s="12"/>
      <c r="AL131" s="12">
        <f t="shared" si="40"/>
        <v>0</v>
      </c>
      <c r="AM131" s="12"/>
      <c r="AN131" s="13" t="e">
        <f t="shared" si="41"/>
        <v>#DIV/0!</v>
      </c>
      <c r="AO131" s="13"/>
      <c r="AP131" s="14" t="e">
        <f t="shared" si="42"/>
        <v>#DIV/0!</v>
      </c>
    </row>
    <row r="132" spans="1:42" s="9" customFormat="1" ht="24.95" customHeight="1" x14ac:dyDescent="0.2">
      <c r="A132" s="9" t="s">
        <v>326</v>
      </c>
      <c r="B132" s="12">
        <f>CNT!S154</f>
        <v>0</v>
      </c>
      <c r="C132" s="12"/>
      <c r="D132" s="12"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0</v>
      </c>
      <c r="Q132" s="9" t="s">
        <v>326</v>
      </c>
      <c r="R132" s="54">
        <v>0</v>
      </c>
      <c r="S132" s="12"/>
      <c r="T132" s="54">
        <v>0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0</v>
      </c>
      <c r="AG132" s="9" t="s">
        <v>326</v>
      </c>
      <c r="AH132" s="12">
        <f t="shared" si="39"/>
        <v>0</v>
      </c>
      <c r="AI132" s="12"/>
      <c r="AJ132" s="12">
        <f t="shared" si="45"/>
        <v>0</v>
      </c>
      <c r="AK132" s="12"/>
      <c r="AL132" s="12">
        <f t="shared" si="40"/>
        <v>0</v>
      </c>
      <c r="AM132" s="12"/>
      <c r="AN132" s="13" t="e">
        <f t="shared" si="41"/>
        <v>#DIV/0!</v>
      </c>
      <c r="AO132" s="13"/>
      <c r="AP132" s="14" t="e">
        <f t="shared" si="42"/>
        <v>#DIV/0!</v>
      </c>
    </row>
    <row r="133" spans="1:42" s="9" customFormat="1" ht="24.95" customHeight="1" x14ac:dyDescent="0.2">
      <c r="A133" s="9" t="s">
        <v>327</v>
      </c>
      <c r="B133" s="12">
        <v>0</v>
      </c>
      <c r="C133" s="12"/>
      <c r="D133" s="12">
        <f>BPM!S59</f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v>0</v>
      </c>
      <c r="M133" s="12"/>
      <c r="N133" s="12">
        <v>0</v>
      </c>
      <c r="O133" s="12"/>
      <c r="P133" s="12">
        <f t="shared" si="43"/>
        <v>0</v>
      </c>
      <c r="Q133" s="9" t="s">
        <v>327</v>
      </c>
      <c r="R133" s="54">
        <v>0</v>
      </c>
      <c r="S133" s="12"/>
      <c r="T133" s="54">
        <v>-7128.78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-7128.78</v>
      </c>
      <c r="AG133" s="9" t="s">
        <v>327</v>
      </c>
      <c r="AH133" s="12">
        <f t="shared" si="39"/>
        <v>0</v>
      </c>
      <c r="AI133" s="12"/>
      <c r="AJ133" s="12">
        <f t="shared" si="45"/>
        <v>-7128.78</v>
      </c>
      <c r="AK133" s="12"/>
      <c r="AL133" s="12">
        <f t="shared" si="40"/>
        <v>7128.78</v>
      </c>
      <c r="AM133" s="12"/>
      <c r="AN133" s="13">
        <f t="shared" si="41"/>
        <v>0</v>
      </c>
      <c r="AO133" s="13"/>
      <c r="AP133" s="14">
        <f t="shared" si="42"/>
        <v>-1</v>
      </c>
    </row>
    <row r="134" spans="1:42" s="9" customFormat="1" ht="24.95" customHeight="1" x14ac:dyDescent="0.2">
      <c r="A134" s="9" t="s">
        <v>332</v>
      </c>
      <c r="B134" s="12">
        <v>0</v>
      </c>
      <c r="C134" s="12"/>
      <c r="D134" s="12">
        <f>BPM!S63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v>0</v>
      </c>
      <c r="M134" s="12"/>
      <c r="N134" s="12">
        <v>0</v>
      </c>
      <c r="O134" s="12"/>
      <c r="P134" s="12">
        <f t="shared" si="43"/>
        <v>0</v>
      </c>
      <c r="Q134" s="9" t="s">
        <v>332</v>
      </c>
      <c r="R134" s="54">
        <v>0</v>
      </c>
      <c r="S134" s="12"/>
      <c r="T134" s="54">
        <v>-7128.78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-7128.78</v>
      </c>
      <c r="AG134" s="9" t="s">
        <v>332</v>
      </c>
      <c r="AH134" s="12">
        <f t="shared" si="39"/>
        <v>0</v>
      </c>
      <c r="AI134" s="12"/>
      <c r="AJ134" s="12">
        <f t="shared" si="45"/>
        <v>-7128.78</v>
      </c>
      <c r="AK134" s="12"/>
      <c r="AL134" s="12">
        <f t="shared" si="40"/>
        <v>7128.78</v>
      </c>
      <c r="AM134" s="12"/>
      <c r="AN134" s="13">
        <f t="shared" si="41"/>
        <v>0</v>
      </c>
      <c r="AO134" s="13"/>
      <c r="AP134" s="14">
        <f t="shared" si="42"/>
        <v>-1</v>
      </c>
    </row>
    <row r="135" spans="1:42" s="9" customFormat="1" ht="24.95" customHeight="1" x14ac:dyDescent="0.2">
      <c r="A135" s="9" t="s">
        <v>328</v>
      </c>
      <c r="B135" s="12">
        <f>CNT!S151</f>
        <v>-6000</v>
      </c>
      <c r="C135" s="12"/>
      <c r="D135" s="12">
        <f>BPM!S60</f>
        <v>0</v>
      </c>
      <c r="E135" s="12"/>
      <c r="F135" s="12">
        <v>0</v>
      </c>
      <c r="G135" s="12"/>
      <c r="H135" s="12">
        <v>0</v>
      </c>
      <c r="I135" s="12"/>
      <c r="J135" s="12">
        <v>0</v>
      </c>
      <c r="K135" s="12"/>
      <c r="L135" s="12">
        <f>'Oliari Co'!F88</f>
        <v>0</v>
      </c>
      <c r="M135" s="12"/>
      <c r="N135" s="12">
        <v>0</v>
      </c>
      <c r="O135" s="12"/>
      <c r="P135" s="12">
        <f t="shared" si="43"/>
        <v>-6000</v>
      </c>
      <c r="Q135" s="9" t="s">
        <v>328</v>
      </c>
      <c r="R135" s="54">
        <v>-6000</v>
      </c>
      <c r="S135" s="12"/>
      <c r="T135" s="54">
        <v>-470500</v>
      </c>
      <c r="U135" s="12"/>
      <c r="V135" s="54">
        <v>0</v>
      </c>
      <c r="W135" s="12"/>
      <c r="X135" s="54">
        <v>0</v>
      </c>
      <c r="Y135" s="12"/>
      <c r="Z135" s="54">
        <v>0</v>
      </c>
      <c r="AA135" s="12"/>
      <c r="AB135" s="54">
        <v>0</v>
      </c>
      <c r="AC135" s="12"/>
      <c r="AD135" s="54">
        <v>0</v>
      </c>
      <c r="AE135" s="12"/>
      <c r="AF135" s="122">
        <f t="shared" si="44"/>
        <v>-476500</v>
      </c>
      <c r="AG135" s="9" t="s">
        <v>328</v>
      </c>
      <c r="AH135" s="12">
        <f t="shared" si="39"/>
        <v>-6000</v>
      </c>
      <c r="AI135" s="12"/>
      <c r="AJ135" s="12">
        <f t="shared" si="45"/>
        <v>-476500</v>
      </c>
      <c r="AK135" s="12"/>
      <c r="AL135" s="12">
        <f t="shared" si="40"/>
        <v>470500</v>
      </c>
      <c r="AM135" s="12"/>
      <c r="AN135" s="13">
        <f t="shared" si="41"/>
        <v>1.2591815320041973E-2</v>
      </c>
      <c r="AO135" s="13"/>
      <c r="AP135" s="14">
        <f t="shared" si="42"/>
        <v>-0.98740818467995806</v>
      </c>
    </row>
    <row r="136" spans="1:42" s="9" customFormat="1" ht="24.95" customHeight="1" x14ac:dyDescent="0.2">
      <c r="A136" s="9" t="s">
        <v>329</v>
      </c>
      <c r="B136" s="12">
        <f>CNT!S152</f>
        <v>-6000</v>
      </c>
      <c r="C136" s="12"/>
      <c r="D136" s="12">
        <f>BPM!S61</f>
        <v>0</v>
      </c>
      <c r="E136" s="12"/>
      <c r="F136" s="12">
        <v>0</v>
      </c>
      <c r="G136" s="12"/>
      <c r="H136" s="12">
        <v>0</v>
      </c>
      <c r="I136" s="12"/>
      <c r="J136" s="12">
        <v>0</v>
      </c>
      <c r="K136" s="12"/>
      <c r="L136" s="12">
        <f>'Oliari Co'!F87</f>
        <v>0</v>
      </c>
      <c r="M136" s="12"/>
      <c r="N136" s="12">
        <v>0</v>
      </c>
      <c r="O136" s="12"/>
      <c r="P136" s="12">
        <f t="shared" si="43"/>
        <v>-6000</v>
      </c>
      <c r="Q136" s="9" t="s">
        <v>329</v>
      </c>
      <c r="R136" s="54">
        <v>-6000</v>
      </c>
      <c r="S136" s="12"/>
      <c r="T136" s="54">
        <v>-470500</v>
      </c>
      <c r="U136" s="12"/>
      <c r="V136" s="54">
        <v>0</v>
      </c>
      <c r="W136" s="12"/>
      <c r="X136" s="54">
        <v>0</v>
      </c>
      <c r="Y136" s="12"/>
      <c r="Z136" s="54">
        <v>0</v>
      </c>
      <c r="AA136" s="12"/>
      <c r="AB136" s="54">
        <v>0</v>
      </c>
      <c r="AC136" s="12"/>
      <c r="AD136" s="54">
        <v>0</v>
      </c>
      <c r="AE136" s="12"/>
      <c r="AF136" s="122">
        <f t="shared" si="44"/>
        <v>-476500</v>
      </c>
      <c r="AG136" s="9" t="s">
        <v>329</v>
      </c>
      <c r="AH136" s="12">
        <f t="shared" si="39"/>
        <v>-6000</v>
      </c>
      <c r="AI136" s="12"/>
      <c r="AJ136" s="12">
        <f t="shared" si="45"/>
        <v>-476500</v>
      </c>
      <c r="AK136" s="12"/>
      <c r="AL136" s="12">
        <f t="shared" si="40"/>
        <v>470500</v>
      </c>
      <c r="AM136" s="12"/>
      <c r="AN136" s="13">
        <f t="shared" si="41"/>
        <v>1.2591815320041973E-2</v>
      </c>
      <c r="AO136" s="13"/>
      <c r="AP136" s="14">
        <f t="shared" si="42"/>
        <v>-0.98740818467995806</v>
      </c>
    </row>
    <row r="137" spans="1:42" s="9" customFormat="1" ht="24.95" customHeight="1" x14ac:dyDescent="0.2">
      <c r="A137" s="9" t="s">
        <v>330</v>
      </c>
      <c r="B137" s="16">
        <f>CNT!S153</f>
        <v>-6000</v>
      </c>
      <c r="C137" s="16"/>
      <c r="D137" s="16">
        <f>BPM!S62</f>
        <v>0</v>
      </c>
      <c r="E137" s="16"/>
      <c r="F137" s="16">
        <v>0</v>
      </c>
      <c r="G137" s="16"/>
      <c r="H137" s="16">
        <v>0</v>
      </c>
      <c r="I137" s="16"/>
      <c r="J137" s="16">
        <v>0</v>
      </c>
      <c r="K137" s="16"/>
      <c r="L137" s="16">
        <f>'Oliari Co'!F89</f>
        <v>0</v>
      </c>
      <c r="M137" s="16"/>
      <c r="N137" s="16">
        <v>0</v>
      </c>
      <c r="O137" s="16"/>
      <c r="P137" s="16">
        <f t="shared" si="43"/>
        <v>-6000</v>
      </c>
      <c r="Q137" s="9" t="s">
        <v>330</v>
      </c>
      <c r="R137" s="55">
        <v>-6000</v>
      </c>
      <c r="S137" s="16"/>
      <c r="T137" s="55">
        <v>-470500</v>
      </c>
      <c r="U137" s="16"/>
      <c r="V137" s="55">
        <v>0</v>
      </c>
      <c r="W137" s="16"/>
      <c r="X137" s="55">
        <v>0</v>
      </c>
      <c r="Y137" s="16"/>
      <c r="Z137" s="55">
        <v>0</v>
      </c>
      <c r="AA137" s="16"/>
      <c r="AB137" s="55">
        <v>0</v>
      </c>
      <c r="AC137" s="16"/>
      <c r="AD137" s="55">
        <v>0</v>
      </c>
      <c r="AE137" s="16"/>
      <c r="AF137" s="16">
        <f t="shared" si="44"/>
        <v>-476500</v>
      </c>
      <c r="AG137" s="9" t="s">
        <v>330</v>
      </c>
      <c r="AH137" s="16">
        <f t="shared" si="39"/>
        <v>-6000</v>
      </c>
      <c r="AI137" s="16"/>
      <c r="AJ137" s="16">
        <f t="shared" si="45"/>
        <v>-476500</v>
      </c>
      <c r="AK137" s="16"/>
      <c r="AL137" s="16">
        <f t="shared" si="40"/>
        <v>470500</v>
      </c>
      <c r="AM137" s="12"/>
      <c r="AN137" s="13">
        <f t="shared" si="41"/>
        <v>1.2591815320041973E-2</v>
      </c>
      <c r="AO137" s="13"/>
      <c r="AP137" s="14">
        <f t="shared" si="42"/>
        <v>-0.98740818467995806</v>
      </c>
    </row>
    <row r="138" spans="1:42" s="9" customFormat="1" ht="24.95" customHeight="1" x14ac:dyDescent="0.2">
      <c r="A138" s="27" t="s">
        <v>331</v>
      </c>
      <c r="B138" s="12">
        <f>SUM(B126:B137)</f>
        <v>25840939.940000001</v>
      </c>
      <c r="C138" s="12"/>
      <c r="D138" s="12">
        <f>SUM(D126:D137)</f>
        <v>375558.92</v>
      </c>
      <c r="E138" s="12"/>
      <c r="F138" s="12">
        <f>SUM(F126:F137)</f>
        <v>8199623.7699999996</v>
      </c>
      <c r="G138" s="12"/>
      <c r="H138" s="12">
        <f>SUM(H126:H137)</f>
        <v>448105.14</v>
      </c>
      <c r="I138" s="12"/>
      <c r="J138" s="12">
        <f>SUM(J126:J137)</f>
        <v>-1196662.06</v>
      </c>
      <c r="K138" s="12"/>
      <c r="L138" s="12">
        <f>SUM(L126:L137)</f>
        <v>5115448.42</v>
      </c>
      <c r="M138" s="12"/>
      <c r="N138" s="12">
        <f>SUM(N126:N137)</f>
        <v>8394812.6600000001</v>
      </c>
      <c r="O138" s="12"/>
      <c r="P138" s="12">
        <f>SUM(P126:P137)</f>
        <v>47177826.790000007</v>
      </c>
      <c r="Q138" s="27" t="s">
        <v>331</v>
      </c>
      <c r="R138" s="54">
        <f>SUM(R126:R137)</f>
        <v>11321175.75</v>
      </c>
      <c r="S138" s="12"/>
      <c r="T138" s="54">
        <f>SUM(T126:T137)</f>
        <v>713056.21000000043</v>
      </c>
      <c r="U138" s="12"/>
      <c r="V138" s="54">
        <f>SUM(V126:V137)</f>
        <v>5470063.8300000001</v>
      </c>
      <c r="W138" s="12"/>
      <c r="X138" s="54">
        <f>SUM(X126:X137)</f>
        <v>408021.11</v>
      </c>
      <c r="Y138" s="12"/>
      <c r="Z138" s="54">
        <f>SUM(Z126:Z137)</f>
        <v>-1123329.7999999998</v>
      </c>
      <c r="AA138" s="12"/>
      <c r="AB138" s="54">
        <f>SUM(AB126:AB137)</f>
        <v>4930333.93</v>
      </c>
      <c r="AC138" s="12"/>
      <c r="AD138" s="54">
        <f>SUM(AD126:AD137)</f>
        <v>1457120.9900000002</v>
      </c>
      <c r="AE138" s="12"/>
      <c r="AF138" s="12">
        <f>SUM(AF126:AF137)</f>
        <v>23176442.019999996</v>
      </c>
      <c r="AG138" s="27" t="s">
        <v>331</v>
      </c>
      <c r="AH138" s="22">
        <f>SUM(AH126:AH137)</f>
        <v>47177826.790000007</v>
      </c>
      <c r="AI138" s="22"/>
      <c r="AJ138" s="22">
        <f>SUM(AJ126:AJ137)</f>
        <v>23176442.019999996</v>
      </c>
      <c r="AK138" s="22"/>
      <c r="AL138" s="22">
        <f>SUM(AL126:AL137)</f>
        <v>24001384.770000003</v>
      </c>
      <c r="AM138" s="22"/>
      <c r="AN138" s="13">
        <f t="shared" si="41"/>
        <v>2.0355940203974421</v>
      </c>
      <c r="AO138" s="13"/>
      <c r="AP138" s="14">
        <f t="shared" si="42"/>
        <v>1.0355940203974421</v>
      </c>
    </row>
    <row r="139" spans="1:42" s="9" customFormat="1" ht="24.95" customHeight="1" x14ac:dyDescent="0.2">
      <c r="B139" s="12"/>
      <c r="C139" s="12"/>
      <c r="D139" s="12"/>
      <c r="E139" s="12"/>
      <c r="F139" s="12"/>
      <c r="G139" s="12"/>
      <c r="P139" s="10"/>
      <c r="R139" s="65"/>
      <c r="T139" s="65"/>
      <c r="V139" s="65"/>
      <c r="X139" s="65"/>
      <c r="Z139" s="65"/>
      <c r="AB139" s="65"/>
      <c r="AD139" s="65"/>
      <c r="AF139" s="10"/>
      <c r="AN139" s="13"/>
      <c r="AO139" s="13"/>
      <c r="AP139" s="19"/>
    </row>
    <row r="140" spans="1:42" s="9" customFormat="1" ht="24.95" customHeight="1" thickBot="1" x14ac:dyDescent="0.25">
      <c r="A140" s="8" t="s">
        <v>333</v>
      </c>
      <c r="B140" s="23">
        <f>SUM(B138,B121,B112)</f>
        <v>79147126.660000026</v>
      </c>
      <c r="C140" s="23"/>
      <c r="D140" s="23">
        <f>SUM(D138,D121,D112)</f>
        <v>378277.55</v>
      </c>
      <c r="E140" s="23"/>
      <c r="F140" s="23">
        <f>SUM(F138,F121,F112)</f>
        <v>8790075.5099999998</v>
      </c>
      <c r="G140" s="23"/>
      <c r="H140" s="23">
        <f>SUM(H138,H121,H112)</f>
        <v>937281.74</v>
      </c>
      <c r="I140" s="23"/>
      <c r="J140" s="23">
        <f>SUM(J138,J121,J112)</f>
        <v>1994637.84</v>
      </c>
      <c r="K140" s="23"/>
      <c r="L140" s="23">
        <f>SUM(L138,L121,L112)</f>
        <v>5472164.6699999999</v>
      </c>
      <c r="M140" s="23"/>
      <c r="N140" s="23">
        <f>SUM(N138,N121,N112)</f>
        <v>8542126.1799999997</v>
      </c>
      <c r="O140" s="23"/>
      <c r="P140" s="23">
        <f>SUM(P138,P121,P112)</f>
        <v>105261690.15000001</v>
      </c>
      <c r="Q140" s="8" t="s">
        <v>333</v>
      </c>
      <c r="R140" s="57">
        <f>SUM(R138,R121,R112)</f>
        <v>31327313.960000008</v>
      </c>
      <c r="S140" s="23"/>
      <c r="T140" s="57">
        <f>SUM(T138,T121,T112)</f>
        <v>1845768.4400000002</v>
      </c>
      <c r="U140" s="23"/>
      <c r="V140" s="57">
        <f>SUM(V138,V121,V112)</f>
        <v>6060838.0099999998</v>
      </c>
      <c r="W140" s="23"/>
      <c r="X140" s="57">
        <f>SUM(X138,X121,X112)</f>
        <v>701627</v>
      </c>
      <c r="Y140" s="24"/>
      <c r="Z140" s="66">
        <f>SUM(Z138,Z121,Z112)</f>
        <v>2108099.87</v>
      </c>
      <c r="AA140" s="24"/>
      <c r="AB140" s="66">
        <f>SUM(AB138,AB121,AB112)</f>
        <v>5276044.0199999996</v>
      </c>
      <c r="AC140" s="24"/>
      <c r="AD140" s="66">
        <f>SUM(AD138,AD121,AD112)</f>
        <v>8155326.370000001</v>
      </c>
      <c r="AE140" s="24"/>
      <c r="AF140" s="23">
        <f>SUM(AF138,AF121,AF112)</f>
        <v>55475017.669999994</v>
      </c>
      <c r="AG140" s="8" t="s">
        <v>333</v>
      </c>
      <c r="AH140" s="23">
        <f>SUM(AH138,AH121,AH112)</f>
        <v>105261690.15000001</v>
      </c>
      <c r="AI140" s="23"/>
      <c r="AJ140" s="23">
        <f>SUM(AJ138,AJ121,AJ112)</f>
        <v>55475017.669999994</v>
      </c>
      <c r="AK140" s="23"/>
      <c r="AL140" s="23">
        <f>SUM(AL138,AL121,AL112)</f>
        <v>49786672.480000004</v>
      </c>
      <c r="AM140" s="25"/>
      <c r="AN140" s="13">
        <f t="shared" si="41"/>
        <v>1.8974611378433837</v>
      </c>
      <c r="AO140" s="13"/>
      <c r="AP140" s="14">
        <f t="shared" si="42"/>
        <v>0.89746113784338366</v>
      </c>
    </row>
    <row r="141" spans="1:42" ht="15.75" thickTop="1" x14ac:dyDescent="0.2">
      <c r="B141" s="3">
        <f>B140-B68</f>
        <v>0</v>
      </c>
      <c r="C141" s="3"/>
      <c r="D141" s="3">
        <f>D140-D68</f>
        <v>0</v>
      </c>
      <c r="E141" s="3"/>
      <c r="F141" s="3">
        <f>F140-F68</f>
        <v>0</v>
      </c>
      <c r="G141" s="3"/>
      <c r="H141" s="3">
        <f>H140-H68</f>
        <v>0</v>
      </c>
      <c r="I141" s="3"/>
      <c r="J141" s="3">
        <f>J140-J68</f>
        <v>0</v>
      </c>
      <c r="K141" s="3"/>
      <c r="L141" s="3">
        <f>L140-L68</f>
        <v>0</v>
      </c>
      <c r="M141" s="3"/>
      <c r="N141" s="3">
        <f>N140-N68</f>
        <v>0</v>
      </c>
      <c r="O141" s="3"/>
      <c r="P141" s="3">
        <f>P140-P68</f>
        <v>0</v>
      </c>
      <c r="R141" s="58">
        <f>R68-R140</f>
        <v>-3.7252902984619141E-8</v>
      </c>
      <c r="S141" s="3"/>
      <c r="T141" s="58">
        <f>T140-T68</f>
        <v>0</v>
      </c>
      <c r="U141" s="3"/>
      <c r="V141" s="58">
        <f>V140-V68</f>
        <v>0</v>
      </c>
      <c r="W141" s="3"/>
      <c r="X141" s="58">
        <f>X140-X68</f>
        <v>0</v>
      </c>
      <c r="Y141" s="3"/>
      <c r="Z141" s="58">
        <f>Z140-Z68</f>
        <v>0</v>
      </c>
      <c r="AA141" s="3"/>
      <c r="AB141" s="58">
        <f>AB140-AB68</f>
        <v>0</v>
      </c>
      <c r="AC141" s="3"/>
      <c r="AD141" s="58">
        <f>AD140-AD68</f>
        <v>0</v>
      </c>
      <c r="AE141" s="3"/>
      <c r="AF141" s="3">
        <f>AF140-AF68</f>
        <v>0</v>
      </c>
      <c r="AG141" s="3"/>
      <c r="AH141" s="3">
        <f>AH140-AH68</f>
        <v>0</v>
      </c>
      <c r="AI141" s="3"/>
      <c r="AJ141" s="3">
        <f>AJ140-AJ68</f>
        <v>271177.6799999848</v>
      </c>
      <c r="AK141" s="3"/>
      <c r="AL141" s="3">
        <f>AL140-AL68</f>
        <v>-271177.6800000146</v>
      </c>
      <c r="AM141" s="3"/>
      <c r="AN141" s="4">
        <f>AN140-AN68</f>
        <v>-9.3208934259598752E-3</v>
      </c>
      <c r="AO141" s="3"/>
      <c r="AP141" s="3">
        <f>AP140-AP68</f>
        <v>-9.3208934259598752E-3</v>
      </c>
    </row>
    <row r="142" spans="1:42" x14ac:dyDescent="0.2">
      <c r="B142" s="3">
        <f>B140-CNT!U157</f>
        <v>0</v>
      </c>
      <c r="C142" s="3"/>
      <c r="D142" s="3">
        <f>D140-BPM!U69</f>
        <v>0</v>
      </c>
      <c r="E142" s="3"/>
      <c r="F142" s="3">
        <f>F140-DEP!U67</f>
        <v>0</v>
      </c>
      <c r="G142" s="3"/>
      <c r="H142" s="38">
        <f>H140-Lending!F45</f>
        <v>0</v>
      </c>
      <c r="J142" s="38">
        <f>J140-BSC!F78</f>
        <v>0</v>
      </c>
      <c r="L142" s="38">
        <f>L140-'Oliari Co'!F93</f>
        <v>0</v>
      </c>
      <c r="N142" s="38">
        <f>N140-'722 Bedford St'!E70</f>
        <v>0</v>
      </c>
      <c r="P142" s="7">
        <f>P140-SUM(B140:N140)</f>
        <v>0</v>
      </c>
    </row>
    <row r="143" spans="1:42" x14ac:dyDescent="0.2">
      <c r="R143" s="58"/>
      <c r="S143" s="3"/>
      <c r="T143" s="58"/>
      <c r="U143" s="3"/>
      <c r="V143" s="58"/>
      <c r="W143" s="3"/>
      <c r="X143" s="58"/>
      <c r="Y143" s="3"/>
      <c r="Z143" s="58"/>
      <c r="AA143" s="3"/>
      <c r="AB143" s="58"/>
      <c r="AC143" s="3"/>
      <c r="AD143" s="58"/>
    </row>
    <row r="144" spans="1:42" x14ac:dyDescent="0.2">
      <c r="R144" s="58"/>
      <c r="T144" s="58"/>
      <c r="V144" s="58"/>
      <c r="X144" s="58"/>
      <c r="Z144" s="58"/>
      <c r="AB144" s="58"/>
      <c r="AD144" s="58"/>
    </row>
    <row r="145" spans="1:17" x14ac:dyDescent="0.2">
      <c r="A145" s="50" t="s">
        <v>533</v>
      </c>
    </row>
    <row r="146" spans="1:17" x14ac:dyDescent="0.2">
      <c r="A146" s="50"/>
    </row>
    <row r="147" spans="1:17" x14ac:dyDescent="0.2">
      <c r="A147" s="50"/>
      <c r="F147" s="38"/>
      <c r="H147" s="38"/>
    </row>
    <row r="148" spans="1:17" x14ac:dyDescent="0.2">
      <c r="A148" s="2" t="s">
        <v>534</v>
      </c>
      <c r="B148" s="38">
        <f t="shared" ref="B148:N148" si="46">B11</f>
        <v>559113.94999999995</v>
      </c>
      <c r="C148" s="38">
        <f t="shared" si="46"/>
        <v>0</v>
      </c>
      <c r="D148" s="38">
        <f t="shared" si="46"/>
        <v>300000</v>
      </c>
      <c r="E148" s="38">
        <f t="shared" si="46"/>
        <v>0</v>
      </c>
      <c r="F148" s="38">
        <f t="shared" si="46"/>
        <v>6847313.5199999996</v>
      </c>
      <c r="G148" s="38">
        <f t="shared" si="46"/>
        <v>0</v>
      </c>
      <c r="H148" s="38">
        <f t="shared" si="46"/>
        <v>0</v>
      </c>
      <c r="I148" s="38">
        <f t="shared" si="46"/>
        <v>0</v>
      </c>
      <c r="J148" s="38">
        <f t="shared" si="46"/>
        <v>200000</v>
      </c>
      <c r="K148" s="38">
        <f t="shared" si="46"/>
        <v>0</v>
      </c>
      <c r="L148" s="38">
        <f t="shared" si="46"/>
        <v>2211548.09</v>
      </c>
      <c r="M148" s="38">
        <f t="shared" si="46"/>
        <v>0</v>
      </c>
      <c r="N148" s="38">
        <f t="shared" si="46"/>
        <v>630930</v>
      </c>
      <c r="P148" s="7">
        <f>SUM(B148:N148)</f>
        <v>10748905.559999999</v>
      </c>
    </row>
    <row r="149" spans="1:17" x14ac:dyDescent="0.2">
      <c r="A149" s="2" t="s">
        <v>535</v>
      </c>
      <c r="B149" s="38">
        <f>B105+B104</f>
        <v>8871759.1699999999</v>
      </c>
      <c r="C149" s="38">
        <f t="shared" ref="C149:M149" si="47">C105+C104</f>
        <v>0</v>
      </c>
      <c r="D149" s="38">
        <f>D105+D104</f>
        <v>7132.71</v>
      </c>
      <c r="E149" s="38">
        <f t="shared" si="47"/>
        <v>0</v>
      </c>
      <c r="F149" s="38">
        <f>F105+F104</f>
        <v>132713.58000000002</v>
      </c>
      <c r="G149" s="38">
        <f t="shared" si="47"/>
        <v>0</v>
      </c>
      <c r="H149" s="38">
        <f>H105+H104</f>
        <v>472510.81</v>
      </c>
      <c r="I149" s="38">
        <f t="shared" si="47"/>
        <v>0</v>
      </c>
      <c r="J149" s="38">
        <f>J105+J104+J80</f>
        <v>1099484.06</v>
      </c>
      <c r="K149" s="38">
        <f t="shared" si="47"/>
        <v>0</v>
      </c>
      <c r="L149" s="38">
        <f>L105+L104</f>
        <v>0</v>
      </c>
      <c r="M149" s="38">
        <f t="shared" si="47"/>
        <v>0</v>
      </c>
      <c r="N149" s="38">
        <f>N105+N104</f>
        <v>147313.51999999999</v>
      </c>
      <c r="P149" s="7">
        <f>SUM(B149:N149)</f>
        <v>10730913.850000001</v>
      </c>
    </row>
    <row r="150" spans="1:17" x14ac:dyDescent="0.2">
      <c r="A150" s="2" t="s">
        <v>536</v>
      </c>
      <c r="H150" s="38"/>
      <c r="P150" s="68">
        <f>P148-P149</f>
        <v>17991.709999997169</v>
      </c>
    </row>
    <row r="151" spans="1:17" x14ac:dyDescent="0.2">
      <c r="Q151" s="62"/>
    </row>
    <row r="152" spans="1:17" x14ac:dyDescent="0.2">
      <c r="A152" s="2" t="s">
        <v>538</v>
      </c>
      <c r="B152" s="3">
        <v>-9046717.2699999996</v>
      </c>
      <c r="D152" s="3">
        <v>-17763.09</v>
      </c>
      <c r="F152" s="3">
        <v>-797776.31</v>
      </c>
      <c r="H152" s="3">
        <v>0</v>
      </c>
      <c r="J152" s="3">
        <v>-2545935.86</v>
      </c>
      <c r="L152" s="3">
        <v>-1557487.12</v>
      </c>
      <c r="N152" s="3">
        <v>-1265921.3999999999</v>
      </c>
      <c r="Q152" s="51"/>
    </row>
    <row r="153" spans="1:17" x14ac:dyDescent="0.2">
      <c r="A153" s="2" t="s">
        <v>539</v>
      </c>
      <c r="B153" s="63">
        <f>B63</f>
        <v>-9653813.2599999998</v>
      </c>
      <c r="C153" s="48"/>
      <c r="D153" s="63">
        <f>D63</f>
        <v>-20272.830000000002</v>
      </c>
      <c r="E153" s="48"/>
      <c r="F153" s="63">
        <f>F63</f>
        <v>-879190.39</v>
      </c>
      <c r="G153" s="48"/>
      <c r="H153" s="63">
        <f>H63</f>
        <v>0</v>
      </c>
      <c r="I153" s="48"/>
      <c r="J153" s="63">
        <f>J63</f>
        <v>-2596398.91</v>
      </c>
      <c r="K153" s="48"/>
      <c r="L153" s="63">
        <f>L63</f>
        <v>-1612508.68</v>
      </c>
      <c r="M153" s="48"/>
      <c r="N153" s="63">
        <f>N63</f>
        <v>-1353199.92</v>
      </c>
      <c r="O153" s="48"/>
      <c r="P153" s="49">
        <f>SUM(B153:N153)</f>
        <v>-16115383.99</v>
      </c>
    </row>
    <row r="154" spans="1:17" x14ac:dyDescent="0.2">
      <c r="A154" s="2" t="s">
        <v>540</v>
      </c>
      <c r="B154" s="38">
        <f>B152-B153</f>
        <v>607095.99000000022</v>
      </c>
      <c r="D154" s="38">
        <f>D152-D153</f>
        <v>2509.7400000000016</v>
      </c>
      <c r="F154" s="38">
        <f>F152-F153</f>
        <v>81414.079999999958</v>
      </c>
      <c r="H154" s="38">
        <f>H152-H153</f>
        <v>0</v>
      </c>
      <c r="J154" s="38">
        <f>J152-J153</f>
        <v>50463.050000000279</v>
      </c>
      <c r="L154" s="38">
        <f>L152-L153</f>
        <v>55021.559999999823</v>
      </c>
      <c r="N154" s="38">
        <f>N152-N153</f>
        <v>87278.520000000019</v>
      </c>
    </row>
    <row r="155" spans="1:17" x14ac:dyDescent="0.2">
      <c r="B155" s="38"/>
      <c r="D155" s="38"/>
      <c r="F155" s="38"/>
      <c r="H155" s="38"/>
      <c r="J155" s="38"/>
      <c r="L155" s="38"/>
      <c r="N155" s="38"/>
    </row>
    <row r="156" spans="1:17" x14ac:dyDescent="0.2">
      <c r="A156" s="2" t="s">
        <v>537</v>
      </c>
      <c r="B156" s="38">
        <f>'[1]Comp YTD 2020-2019 '!$B$65</f>
        <v>644318.15</v>
      </c>
      <c r="D156" s="38">
        <f>'[1]Comp YTD 2020-2019 '!$C$65</f>
        <v>2509.7400000000002</v>
      </c>
      <c r="F156" s="38">
        <f>'[1]Comp YTD 2020-2019 '!$D$65</f>
        <v>81414.080000000002</v>
      </c>
      <c r="H156" s="38">
        <f>'[1]Comp YTD 2020-2019 '!$E$65</f>
        <v>0</v>
      </c>
      <c r="J156" s="38">
        <f>'[1]Comp YTD 2020-2019 '!$F$65</f>
        <v>50463.049999999996</v>
      </c>
      <c r="L156" s="38">
        <f>'[1]Comp YTD 2020-2019 '!$G$65</f>
        <v>55509.62</v>
      </c>
      <c r="N156" s="38">
        <f>'[1]Comp YTD 2020-2019 '!$H$65</f>
        <v>87278.52</v>
      </c>
      <c r="P156" s="7">
        <f>SUM(B156:N156)</f>
        <v>921493.16</v>
      </c>
    </row>
    <row r="157" spans="1:17" x14ac:dyDescent="0.2">
      <c r="A157" s="2" t="s">
        <v>536</v>
      </c>
      <c r="B157" s="71">
        <f>B154-B156</f>
        <v>-37222.1599999998</v>
      </c>
      <c r="C157" s="70"/>
      <c r="D157" s="71">
        <f>D154-D156</f>
        <v>0</v>
      </c>
      <c r="E157" s="70"/>
      <c r="F157" s="71">
        <f>F154-F156</f>
        <v>0</v>
      </c>
      <c r="G157" s="70"/>
      <c r="H157" s="71">
        <f>H154-H156</f>
        <v>0</v>
      </c>
      <c r="I157" s="70"/>
      <c r="J157" s="71">
        <f>J154-J156</f>
        <v>2.8376234695315361E-10</v>
      </c>
      <c r="K157" s="70"/>
      <c r="L157" s="71">
        <f>L154-L156</f>
        <v>-488.06000000017957</v>
      </c>
      <c r="M157" s="70"/>
      <c r="N157" s="71">
        <f>N154-N156</f>
        <v>0</v>
      </c>
    </row>
    <row r="159" spans="1:17" x14ac:dyDescent="0.2">
      <c r="A159" s="2" t="s">
        <v>558</v>
      </c>
      <c r="B159" s="69">
        <f>B128-'[1]Comp YTD 2020-2019 '!$B$177</f>
        <v>-1.9259750843048096E-6</v>
      </c>
      <c r="C159" s="70" t="s">
        <v>536</v>
      </c>
      <c r="D159" s="69">
        <f>D128-'[1]Comp YTD 2020-2019 '!$C$180</f>
        <v>7.5306161306798458E-10</v>
      </c>
      <c r="E159" s="70"/>
      <c r="F159" s="69">
        <f>F128-'[1]Comp YTD 2020-2019 '!$D$177</f>
        <v>0</v>
      </c>
      <c r="G159" s="70"/>
      <c r="H159" s="69">
        <f>H128-'[1]Comp YTD 2020-2019 '!$E$177</f>
        <v>0</v>
      </c>
      <c r="I159" s="70"/>
      <c r="J159" s="69">
        <f>J128-'[1]Comp YTD 2020-2019 '!$F$177</f>
        <v>0</v>
      </c>
      <c r="K159" s="70"/>
      <c r="L159" s="69">
        <f>L128-'[1]Comp YTD 2020-2019 '!$G$177</f>
        <v>0</v>
      </c>
      <c r="M159" s="70"/>
      <c r="N159" s="69">
        <f>N128-'[1]Comp YTD 2020-2019 '!$H$177</f>
        <v>0</v>
      </c>
      <c r="O159" s="70"/>
      <c r="P159" s="68">
        <v>0</v>
      </c>
      <c r="Q159" s="2" t="s">
        <v>536</v>
      </c>
    </row>
    <row r="160" spans="1:17" x14ac:dyDescent="0.2">
      <c r="B160" s="38"/>
    </row>
    <row r="162" spans="2:2" x14ac:dyDescent="0.2">
      <c r="B162" s="3">
        <v>36750</v>
      </c>
    </row>
    <row r="164" spans="2:2" x14ac:dyDescent="0.2">
      <c r="B164" s="38">
        <f>B157+B162+B163</f>
        <v>-472.15999999979977</v>
      </c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4" max="16383" man="1"/>
    <brk id="68" max="33" man="1"/>
    <brk id="112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outlinePr summaryBelow="0"/>
    <pageSetUpPr autoPageBreaks="0" fitToPage="1"/>
  </sheetPr>
  <dimension ref="A1:AH163"/>
  <sheetViews>
    <sheetView showGridLines="0" topLeftCell="A119" workbookViewId="0">
      <selection activeCell="T106" sqref="T106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4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5" ht="12" customHeight="1" x14ac:dyDescent="0.2"/>
    <row r="3" spans="1:25" ht="12" customHeight="1" x14ac:dyDescent="0.2">
      <c r="A3" s="164" t="s">
        <v>735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5" ht="12" customHeight="1" x14ac:dyDescent="0.2">
      <c r="A4" s="165" t="s">
        <v>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</row>
    <row r="5" spans="1:25" ht="12" customHeight="1" x14ac:dyDescent="0.2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25" ht="12" customHeight="1" x14ac:dyDescent="0.2"/>
    <row r="7" spans="1:25" ht="12" customHeight="1" x14ac:dyDescent="0.2">
      <c r="B7" s="156" t="s">
        <v>3</v>
      </c>
      <c r="C7" s="156"/>
      <c r="D7" s="156"/>
      <c r="E7" s="156"/>
      <c r="F7" s="156"/>
      <c r="G7" s="156"/>
      <c r="H7" s="156"/>
      <c r="I7" s="156"/>
      <c r="J7" s="156"/>
      <c r="K7" s="156"/>
    </row>
    <row r="8" spans="1:25" ht="12" customHeight="1" x14ac:dyDescent="0.2"/>
    <row r="9" spans="1:25" ht="12" customHeight="1" x14ac:dyDescent="0.2">
      <c r="C9" s="158">
        <v>1120</v>
      </c>
      <c r="D9" s="158"/>
      <c r="E9" s="158"/>
      <c r="F9" s="158"/>
      <c r="H9" s="76" t="s">
        <v>217</v>
      </c>
      <c r="S9" s="148"/>
    </row>
    <row r="10" spans="1:25" ht="12" customHeight="1" x14ac:dyDescent="0.2">
      <c r="C10" s="158" t="s">
        <v>4</v>
      </c>
      <c r="D10" s="158"/>
      <c r="E10" s="158"/>
      <c r="F10" s="158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8">
        <v>500</v>
      </c>
    </row>
    <row r="11" spans="1:25" ht="12" customHeight="1" x14ac:dyDescent="0.2">
      <c r="C11" s="158" t="s">
        <v>6</v>
      </c>
      <c r="D11" s="158"/>
      <c r="E11" s="158"/>
      <c r="F11" s="158"/>
      <c r="H11" s="76" t="s">
        <v>7</v>
      </c>
      <c r="I11" s="76"/>
      <c r="J11" s="76"/>
      <c r="K11" s="76"/>
      <c r="L11" s="76"/>
      <c r="M11" s="76"/>
      <c r="N11" s="76"/>
      <c r="O11" s="76"/>
      <c r="P11" s="76"/>
      <c r="Q11" s="76"/>
      <c r="S11" s="148">
        <v>-135075.85</v>
      </c>
    </row>
    <row r="12" spans="1:25" ht="12" customHeight="1" x14ac:dyDescent="0.2">
      <c r="C12" s="158" t="s">
        <v>8</v>
      </c>
      <c r="D12" s="158"/>
      <c r="E12" s="158"/>
      <c r="F12" s="158"/>
      <c r="H12" s="76" t="s">
        <v>9</v>
      </c>
      <c r="I12" s="76"/>
      <c r="J12" s="76"/>
      <c r="K12" s="76"/>
      <c r="L12" s="76"/>
      <c r="M12" s="76"/>
      <c r="N12" s="76"/>
      <c r="O12" s="76"/>
      <c r="P12" s="76"/>
      <c r="Q12" s="76"/>
      <c r="S12" s="148">
        <v>10693172.039999999</v>
      </c>
    </row>
    <row r="13" spans="1:25" ht="12" hidden="1" customHeight="1" x14ac:dyDescent="0.2">
      <c r="C13" s="158" t="s">
        <v>10</v>
      </c>
      <c r="D13" s="158"/>
      <c r="E13" s="158"/>
      <c r="F13" s="158"/>
      <c r="H13" s="76" t="s">
        <v>11</v>
      </c>
      <c r="I13" s="76"/>
      <c r="J13" s="76"/>
      <c r="K13" s="76"/>
      <c r="L13" s="76"/>
      <c r="M13" s="76"/>
      <c r="N13" s="76"/>
      <c r="O13" s="76"/>
      <c r="P13" s="76"/>
      <c r="Q13" s="76"/>
      <c r="S13" s="148"/>
      <c r="Y13" s="76"/>
    </row>
    <row r="14" spans="1:25" ht="12" customHeight="1" x14ac:dyDescent="0.2">
      <c r="C14" s="158" t="s">
        <v>12</v>
      </c>
      <c r="D14" s="158"/>
      <c r="E14" s="158"/>
      <c r="F14" s="158"/>
      <c r="H14" s="76" t="s">
        <v>13</v>
      </c>
      <c r="I14" s="76"/>
      <c r="J14" s="76"/>
      <c r="K14" s="76"/>
      <c r="L14" s="76"/>
      <c r="M14" s="76"/>
      <c r="N14" s="76"/>
      <c r="O14" s="76"/>
      <c r="P14" s="76"/>
      <c r="Q14" s="76"/>
      <c r="S14" s="148">
        <v>11808.49</v>
      </c>
    </row>
    <row r="15" spans="1:25" ht="12" customHeight="1" x14ac:dyDescent="0.2">
      <c r="C15" s="158" t="s">
        <v>14</v>
      </c>
      <c r="D15" s="158"/>
      <c r="E15" s="158"/>
      <c r="F15" s="158"/>
      <c r="H15" s="76" t="s">
        <v>15</v>
      </c>
      <c r="I15" s="76"/>
      <c r="J15" s="76"/>
      <c r="K15" s="76"/>
      <c r="L15" s="76"/>
      <c r="M15" s="76"/>
      <c r="N15" s="76"/>
      <c r="O15" s="76"/>
      <c r="P15" s="76"/>
      <c r="Q15" s="76"/>
      <c r="S15" s="148">
        <v>915531.15</v>
      </c>
    </row>
    <row r="16" spans="1:25" ht="12" customHeight="1" x14ac:dyDescent="0.2">
      <c r="C16" s="158" t="s">
        <v>16</v>
      </c>
      <c r="D16" s="158"/>
      <c r="E16" s="158"/>
      <c r="F16" s="158"/>
      <c r="H16" s="76" t="s">
        <v>17</v>
      </c>
      <c r="I16" s="76"/>
      <c r="J16" s="76"/>
      <c r="K16" s="76"/>
      <c r="L16" s="76"/>
      <c r="M16" s="76"/>
      <c r="N16" s="76"/>
      <c r="O16" s="76"/>
      <c r="P16" s="76"/>
      <c r="Q16" s="76"/>
      <c r="S16" s="148">
        <v>67881480.700000003</v>
      </c>
    </row>
    <row r="17" spans="3:34" ht="12" customHeight="1" x14ac:dyDescent="0.2">
      <c r="C17" s="158">
        <v>1220</v>
      </c>
      <c r="D17" s="158"/>
      <c r="E17" s="158"/>
      <c r="F17" s="158"/>
      <c r="H17" s="76" t="s">
        <v>585</v>
      </c>
      <c r="I17" s="76"/>
      <c r="J17" s="76"/>
      <c r="K17" s="76"/>
      <c r="L17" s="76"/>
      <c r="M17" s="76"/>
      <c r="N17" s="76"/>
      <c r="O17" s="76"/>
      <c r="P17" s="76"/>
      <c r="Q17" s="76"/>
      <c r="S17" s="148">
        <v>7871.23</v>
      </c>
    </row>
    <row r="18" spans="3:34" ht="12" customHeight="1" x14ac:dyDescent="0.2">
      <c r="C18" s="158" t="s">
        <v>18</v>
      </c>
      <c r="D18" s="158"/>
      <c r="E18" s="158"/>
      <c r="F18" s="158"/>
      <c r="H18" s="76" t="s">
        <v>19</v>
      </c>
      <c r="I18" s="76"/>
      <c r="J18" s="76"/>
      <c r="K18" s="76"/>
      <c r="L18" s="76"/>
      <c r="M18" s="76"/>
      <c r="N18" s="76"/>
      <c r="O18" s="76"/>
      <c r="P18" s="76"/>
      <c r="Q18" s="76"/>
      <c r="S18" s="148">
        <v>71555683.040000007</v>
      </c>
      <c r="AG18" s="76"/>
    </row>
    <row r="19" spans="3:34" ht="12" customHeight="1" x14ac:dyDescent="0.2">
      <c r="C19" s="158" t="s">
        <v>20</v>
      </c>
      <c r="D19" s="158"/>
      <c r="E19" s="158"/>
      <c r="F19" s="158"/>
      <c r="H19" s="76" t="s">
        <v>21</v>
      </c>
      <c r="I19" s="76"/>
      <c r="J19" s="76"/>
      <c r="K19" s="76"/>
      <c r="L19" s="76"/>
      <c r="M19" s="76"/>
      <c r="N19" s="76"/>
      <c r="O19" s="76"/>
      <c r="P19" s="76"/>
      <c r="Q19" s="76"/>
      <c r="S19" s="148">
        <v>123160903.56999999</v>
      </c>
    </row>
    <row r="20" spans="3:34" ht="12" customHeight="1" x14ac:dyDescent="0.2">
      <c r="C20" s="158" t="s">
        <v>22</v>
      </c>
      <c r="D20" s="158"/>
      <c r="E20" s="158"/>
      <c r="F20" s="158"/>
      <c r="H20" s="76" t="s">
        <v>23</v>
      </c>
      <c r="I20" s="76"/>
      <c r="J20" s="76"/>
      <c r="K20" s="76"/>
      <c r="L20" s="76"/>
      <c r="M20" s="76"/>
      <c r="N20" s="76"/>
      <c r="O20" s="76"/>
      <c r="P20" s="76"/>
      <c r="Q20" s="76"/>
      <c r="S20" s="148">
        <v>20982.61</v>
      </c>
    </row>
    <row r="21" spans="3:34" ht="12" customHeight="1" x14ac:dyDescent="0.2">
      <c r="C21" s="158" t="s">
        <v>24</v>
      </c>
      <c r="D21" s="158"/>
      <c r="E21" s="158"/>
      <c r="F21" s="158"/>
      <c r="H21" s="76" t="s">
        <v>25</v>
      </c>
      <c r="I21" s="76"/>
      <c r="J21" s="76"/>
      <c r="K21" s="76"/>
      <c r="L21" s="76"/>
      <c r="M21" s="76"/>
      <c r="N21" s="76"/>
      <c r="O21" s="76"/>
      <c r="P21" s="76"/>
      <c r="Q21" s="76"/>
      <c r="S21" s="148">
        <v>768039.05</v>
      </c>
      <c r="AH21" s="76"/>
    </row>
    <row r="22" spans="3:34" ht="12" customHeight="1" x14ac:dyDescent="0.2">
      <c r="C22" s="158" t="s">
        <v>26</v>
      </c>
      <c r="D22" s="158"/>
      <c r="E22" s="158"/>
      <c r="F22" s="158"/>
      <c r="H22" s="76" t="s">
        <v>27</v>
      </c>
      <c r="I22" s="76"/>
      <c r="J22" s="76"/>
      <c r="K22" s="76"/>
      <c r="L22" s="76"/>
      <c r="M22" s="76"/>
      <c r="N22" s="76"/>
      <c r="O22" s="76"/>
      <c r="P22" s="76"/>
      <c r="Q22" s="76"/>
      <c r="S22" s="148">
        <v>-421</v>
      </c>
      <c r="AH22" s="76"/>
    </row>
    <row r="23" spans="3:34" ht="12" customHeight="1" x14ac:dyDescent="0.2">
      <c r="C23" s="158" t="s">
        <v>28</v>
      </c>
      <c r="D23" s="158"/>
      <c r="E23" s="158"/>
      <c r="F23" s="158"/>
      <c r="H23" s="76" t="s">
        <v>29</v>
      </c>
      <c r="I23" s="76"/>
      <c r="J23" s="76"/>
      <c r="K23" s="76"/>
      <c r="L23" s="76"/>
      <c r="M23" s="76"/>
      <c r="N23" s="76"/>
      <c r="O23" s="76"/>
      <c r="P23" s="76"/>
      <c r="Q23" s="76"/>
      <c r="S23" s="148">
        <v>47628.54</v>
      </c>
    </row>
    <row r="24" spans="3:34" ht="12" customHeight="1" x14ac:dyDescent="0.2">
      <c r="C24" s="158" t="s">
        <v>30</v>
      </c>
      <c r="D24" s="158"/>
      <c r="E24" s="158"/>
      <c r="F24" s="158"/>
      <c r="H24" s="76" t="s">
        <v>31</v>
      </c>
      <c r="I24" s="76"/>
      <c r="J24" s="76"/>
      <c r="K24" s="76"/>
      <c r="L24" s="76"/>
      <c r="M24" s="76"/>
      <c r="N24" s="76"/>
      <c r="O24" s="76"/>
      <c r="P24" s="76"/>
      <c r="Q24" s="76"/>
      <c r="S24" s="148">
        <v>123775.01</v>
      </c>
    </row>
    <row r="25" spans="3:34" ht="12" customHeight="1" x14ac:dyDescent="0.2">
      <c r="C25" s="158" t="s">
        <v>32</v>
      </c>
      <c r="D25" s="158"/>
      <c r="E25" s="158"/>
      <c r="F25" s="158"/>
      <c r="H25" s="76" t="s">
        <v>33</v>
      </c>
      <c r="I25" s="76"/>
      <c r="J25" s="76"/>
      <c r="K25" s="76"/>
      <c r="L25" s="76"/>
      <c r="M25" s="76"/>
      <c r="N25" s="76"/>
      <c r="O25" s="76"/>
      <c r="P25" s="76"/>
      <c r="Q25" s="76"/>
      <c r="S25" s="148">
        <v>-44958634.229999997</v>
      </c>
    </row>
    <row r="26" spans="3:34" ht="12" customHeight="1" x14ac:dyDescent="0.2">
      <c r="C26" s="158" t="s">
        <v>34</v>
      </c>
      <c r="D26" s="158"/>
      <c r="E26" s="158"/>
      <c r="F26" s="158"/>
      <c r="H26" s="76" t="s">
        <v>35</v>
      </c>
      <c r="I26" s="76"/>
      <c r="J26" s="76"/>
      <c r="K26" s="76"/>
      <c r="L26" s="76"/>
      <c r="M26" s="76"/>
      <c r="N26" s="76"/>
      <c r="O26" s="76"/>
      <c r="P26" s="76"/>
      <c r="Q26" s="76"/>
      <c r="S26" s="148">
        <v>-159577460.50999999</v>
      </c>
    </row>
    <row r="27" spans="3:34" ht="12" customHeight="1" x14ac:dyDescent="0.2">
      <c r="C27" s="158" t="s">
        <v>36</v>
      </c>
      <c r="D27" s="158"/>
      <c r="E27" s="158"/>
      <c r="F27" s="158"/>
      <c r="H27" s="76" t="s">
        <v>37</v>
      </c>
      <c r="I27" s="76"/>
      <c r="J27" s="76"/>
      <c r="K27" s="76"/>
      <c r="L27" s="76"/>
      <c r="M27" s="76"/>
      <c r="N27" s="76"/>
      <c r="O27" s="76"/>
      <c r="P27" s="76"/>
      <c r="Q27" s="76"/>
      <c r="S27" s="148">
        <v>-30081777.469999999</v>
      </c>
    </row>
    <row r="28" spans="3:34" ht="12" customHeight="1" x14ac:dyDescent="0.2">
      <c r="C28" s="158" t="s">
        <v>38</v>
      </c>
      <c r="D28" s="158"/>
      <c r="E28" s="158"/>
      <c r="F28" s="158"/>
      <c r="H28" s="76" t="s">
        <v>39</v>
      </c>
      <c r="I28" s="76"/>
      <c r="J28" s="76"/>
      <c r="K28" s="76"/>
      <c r="L28" s="76"/>
      <c r="M28" s="76"/>
      <c r="N28" s="76"/>
      <c r="O28" s="76"/>
      <c r="P28" s="76"/>
      <c r="Q28" s="76"/>
      <c r="S28" s="148">
        <v>0</v>
      </c>
    </row>
    <row r="29" spans="3:34" ht="12" customHeight="1" x14ac:dyDescent="0.2">
      <c r="C29" s="158" t="s">
        <v>40</v>
      </c>
      <c r="D29" s="158"/>
      <c r="E29" s="158"/>
      <c r="F29" s="158"/>
      <c r="H29" s="76" t="s">
        <v>41</v>
      </c>
      <c r="I29" s="76"/>
      <c r="J29" s="76"/>
      <c r="K29" s="76"/>
      <c r="L29" s="76"/>
      <c r="M29" s="76"/>
      <c r="N29" s="76"/>
      <c r="O29" s="76"/>
      <c r="P29" s="76"/>
      <c r="Q29" s="76"/>
      <c r="S29" s="148">
        <v>107713.59</v>
      </c>
    </row>
    <row r="30" spans="3:34" ht="12" customHeight="1" x14ac:dyDescent="0.2">
      <c r="C30" s="158" t="s">
        <v>42</v>
      </c>
      <c r="D30" s="158"/>
      <c r="E30" s="158"/>
      <c r="F30" s="158"/>
      <c r="H30" s="76" t="s">
        <v>43</v>
      </c>
      <c r="I30" s="76"/>
      <c r="J30" s="76"/>
      <c r="K30" s="76"/>
      <c r="L30" s="76"/>
      <c r="M30" s="76"/>
      <c r="N30" s="76"/>
      <c r="O30" s="76"/>
      <c r="P30" s="76"/>
      <c r="Q30" s="76"/>
      <c r="S30" s="148">
        <v>-28243.19</v>
      </c>
    </row>
    <row r="31" spans="3:34" ht="12" customHeight="1" x14ac:dyDescent="0.2">
      <c r="C31" s="158">
        <v>1238</v>
      </c>
      <c r="D31" s="158"/>
      <c r="E31" s="158"/>
      <c r="F31" s="158"/>
      <c r="H31" s="76" t="s">
        <v>586</v>
      </c>
      <c r="I31" s="76"/>
      <c r="J31" s="76"/>
      <c r="K31" s="76"/>
      <c r="L31" s="76"/>
      <c r="M31" s="76"/>
      <c r="N31" s="76"/>
      <c r="O31" s="76"/>
      <c r="P31" s="76"/>
      <c r="Q31" s="76"/>
      <c r="S31" s="148"/>
    </row>
    <row r="32" spans="3:34" ht="12" customHeight="1" x14ac:dyDescent="0.2">
      <c r="C32" s="158" t="s">
        <v>44</v>
      </c>
      <c r="D32" s="158"/>
      <c r="E32" s="158"/>
      <c r="F32" s="158"/>
      <c r="H32" s="76" t="s">
        <v>45</v>
      </c>
      <c r="I32" s="76"/>
      <c r="J32" s="76"/>
      <c r="K32" s="76"/>
      <c r="L32" s="76"/>
      <c r="M32" s="76"/>
      <c r="N32" s="76"/>
      <c r="O32" s="76"/>
      <c r="P32" s="76"/>
      <c r="Q32" s="76"/>
      <c r="S32" s="148"/>
    </row>
    <row r="33" spans="3:19" ht="12" customHeight="1" x14ac:dyDescent="0.2">
      <c r="C33" s="158" t="s">
        <v>46</v>
      </c>
      <c r="D33" s="158"/>
      <c r="E33" s="158"/>
      <c r="F33" s="158"/>
      <c r="H33" s="76" t="s">
        <v>47</v>
      </c>
      <c r="I33" s="76"/>
      <c r="J33" s="76"/>
      <c r="K33" s="76"/>
      <c r="L33" s="76"/>
      <c r="M33" s="76"/>
      <c r="N33" s="76"/>
      <c r="O33" s="76"/>
      <c r="P33" s="76"/>
      <c r="Q33" s="76"/>
      <c r="S33" s="148"/>
    </row>
    <row r="34" spans="3:19" ht="12" customHeight="1" x14ac:dyDescent="0.2">
      <c r="C34" s="158" t="s">
        <v>48</v>
      </c>
      <c r="D34" s="158"/>
      <c r="E34" s="158"/>
      <c r="F34" s="158"/>
      <c r="H34" s="76" t="s">
        <v>49</v>
      </c>
      <c r="I34" s="76"/>
      <c r="J34" s="76"/>
      <c r="K34" s="76"/>
      <c r="L34" s="76"/>
      <c r="M34" s="76"/>
      <c r="N34" s="76"/>
      <c r="O34" s="76"/>
      <c r="P34" s="76"/>
      <c r="Q34" s="76"/>
      <c r="S34" s="148">
        <v>154894.29999999999</v>
      </c>
    </row>
    <row r="35" spans="3:19" ht="12" customHeight="1" x14ac:dyDescent="0.2">
      <c r="C35" s="158" t="s">
        <v>50</v>
      </c>
      <c r="D35" s="158"/>
      <c r="E35" s="158"/>
      <c r="F35" s="158"/>
      <c r="H35" s="76" t="s">
        <v>51</v>
      </c>
      <c r="I35" s="76"/>
      <c r="J35" s="76"/>
      <c r="K35" s="76"/>
      <c r="L35" s="76"/>
      <c r="M35" s="76"/>
      <c r="N35" s="76"/>
      <c r="O35" s="76"/>
      <c r="P35" s="76"/>
      <c r="Q35" s="76"/>
      <c r="S35" s="148">
        <v>22577970.039999999</v>
      </c>
    </row>
    <row r="36" spans="3:19" ht="12" customHeight="1" x14ac:dyDescent="0.2">
      <c r="C36" s="158" t="s">
        <v>52</v>
      </c>
      <c r="D36" s="158"/>
      <c r="E36" s="158"/>
      <c r="F36" s="158"/>
      <c r="H36" s="76" t="s">
        <v>53</v>
      </c>
      <c r="I36" s="76"/>
      <c r="J36" s="76"/>
      <c r="K36" s="76"/>
      <c r="L36" s="76"/>
      <c r="M36" s="76"/>
      <c r="N36" s="76"/>
      <c r="O36" s="76"/>
      <c r="P36" s="76"/>
      <c r="Q36" s="76"/>
      <c r="S36" s="148">
        <v>344556.71</v>
      </c>
    </row>
    <row r="37" spans="3:19" ht="12" customHeight="1" x14ac:dyDescent="0.2">
      <c r="C37" s="158" t="s">
        <v>54</v>
      </c>
      <c r="D37" s="158"/>
      <c r="E37" s="158"/>
      <c r="F37" s="158"/>
      <c r="H37" s="76" t="s">
        <v>55</v>
      </c>
      <c r="I37" s="76"/>
      <c r="J37" s="76"/>
      <c r="K37" s="76"/>
      <c r="L37" s="76"/>
      <c r="M37" s="76"/>
      <c r="N37" s="76"/>
      <c r="O37" s="76"/>
      <c r="P37" s="76"/>
      <c r="Q37" s="76"/>
      <c r="S37" s="148">
        <v>135279</v>
      </c>
    </row>
    <row r="38" spans="3:19" ht="12" customHeight="1" x14ac:dyDescent="0.2">
      <c r="C38" s="158">
        <v>1248</v>
      </c>
      <c r="D38" s="158"/>
      <c r="E38" s="158"/>
      <c r="F38" s="158"/>
      <c r="H38" s="76" t="s">
        <v>603</v>
      </c>
      <c r="I38" s="76"/>
      <c r="J38" s="76"/>
      <c r="K38" s="76"/>
      <c r="L38" s="76"/>
      <c r="M38" s="76"/>
      <c r="N38" s="76"/>
      <c r="O38" s="76"/>
      <c r="P38" s="76"/>
      <c r="Q38" s="76"/>
      <c r="S38" s="148"/>
    </row>
    <row r="39" spans="3:19" ht="12" customHeight="1" x14ac:dyDescent="0.2">
      <c r="C39" s="158">
        <v>1249</v>
      </c>
      <c r="D39" s="158"/>
      <c r="E39" s="158"/>
      <c r="F39" s="158"/>
      <c r="H39" s="76" t="s">
        <v>662</v>
      </c>
      <c r="I39" s="76"/>
      <c r="J39" s="76"/>
      <c r="K39" s="76"/>
      <c r="L39" s="76"/>
      <c r="M39" s="76"/>
      <c r="N39" s="76"/>
      <c r="O39" s="76"/>
      <c r="P39" s="76"/>
      <c r="Q39" s="76"/>
      <c r="S39" s="148">
        <v>7965.86</v>
      </c>
    </row>
    <row r="40" spans="3:19" ht="12" customHeight="1" x14ac:dyDescent="0.2">
      <c r="C40" s="158" t="s">
        <v>58</v>
      </c>
      <c r="D40" s="158"/>
      <c r="E40" s="158"/>
      <c r="F40" s="158"/>
      <c r="H40" s="76" t="s">
        <v>59</v>
      </c>
      <c r="I40" s="76"/>
      <c r="J40" s="76"/>
      <c r="K40" s="76"/>
      <c r="L40" s="76"/>
      <c r="M40" s="76"/>
      <c r="N40" s="76"/>
      <c r="O40" s="76"/>
      <c r="P40" s="76"/>
      <c r="Q40" s="76"/>
      <c r="S40" s="148">
        <v>-1547959.67</v>
      </c>
    </row>
    <row r="41" spans="3:19" ht="12" customHeight="1" x14ac:dyDescent="0.2">
      <c r="C41" s="158">
        <v>1252</v>
      </c>
      <c r="D41" s="158"/>
      <c r="E41" s="158"/>
      <c r="F41" s="158"/>
      <c r="H41" s="76" t="s">
        <v>589</v>
      </c>
      <c r="I41" s="76"/>
      <c r="J41" s="76"/>
      <c r="K41" s="76"/>
      <c r="L41" s="76"/>
      <c r="M41" s="76"/>
      <c r="N41" s="76"/>
      <c r="O41" s="76"/>
      <c r="P41" s="76"/>
      <c r="Q41" s="76"/>
      <c r="S41" s="148">
        <v>2240.61</v>
      </c>
    </row>
    <row r="42" spans="3:19" ht="12" customHeight="1" x14ac:dyDescent="0.2">
      <c r="C42" s="158">
        <v>1253</v>
      </c>
      <c r="D42" s="158"/>
      <c r="E42" s="158"/>
      <c r="F42" s="158"/>
      <c r="H42" s="76" t="s">
        <v>200</v>
      </c>
      <c r="I42" s="76"/>
      <c r="J42" s="76"/>
      <c r="K42" s="76"/>
      <c r="L42" s="76"/>
      <c r="M42" s="76"/>
      <c r="N42" s="76"/>
      <c r="O42" s="76"/>
      <c r="P42" s="76"/>
      <c r="Q42" s="76"/>
      <c r="S42" s="148">
        <v>2340</v>
      </c>
    </row>
    <row r="43" spans="3:19" ht="12" customHeight="1" x14ac:dyDescent="0.2">
      <c r="C43" s="158">
        <v>1255</v>
      </c>
      <c r="D43" s="158"/>
      <c r="E43" s="158"/>
      <c r="F43" s="158"/>
      <c r="H43" s="76" t="s">
        <v>554</v>
      </c>
      <c r="I43" s="76"/>
      <c r="J43" s="76"/>
      <c r="K43" s="76"/>
      <c r="L43" s="76"/>
      <c r="M43" s="76"/>
      <c r="N43" s="76"/>
      <c r="O43" s="76"/>
      <c r="P43" s="76"/>
      <c r="Q43" s="76"/>
      <c r="S43" s="148">
        <v>466055.17</v>
      </c>
    </row>
    <row r="44" spans="3:19" ht="12" customHeight="1" x14ac:dyDescent="0.2">
      <c r="C44" s="158" t="s">
        <v>60</v>
      </c>
      <c r="D44" s="158"/>
      <c r="E44" s="158"/>
      <c r="F44" s="158"/>
      <c r="H44" s="76" t="s">
        <v>61</v>
      </c>
      <c r="I44" s="76"/>
      <c r="J44" s="76"/>
      <c r="K44" s="76"/>
      <c r="L44" s="76"/>
      <c r="M44" s="76"/>
      <c r="N44" s="76"/>
      <c r="O44" s="76"/>
      <c r="P44" s="76"/>
      <c r="Q44" s="76"/>
      <c r="S44" s="148">
        <v>6455.67</v>
      </c>
    </row>
    <row r="45" spans="3:19" ht="12" customHeight="1" x14ac:dyDescent="0.2">
      <c r="C45" s="158" t="s">
        <v>62</v>
      </c>
      <c r="D45" s="158"/>
      <c r="E45" s="158"/>
      <c r="F45" s="158"/>
      <c r="H45" s="76" t="s">
        <v>63</v>
      </c>
      <c r="I45" s="76"/>
      <c r="J45" s="76"/>
      <c r="K45" s="76"/>
      <c r="L45" s="76"/>
      <c r="M45" s="76"/>
      <c r="N45" s="76"/>
      <c r="O45" s="76"/>
      <c r="P45" s="76"/>
      <c r="Q45" s="76"/>
      <c r="S45" s="148">
        <v>7132.71</v>
      </c>
    </row>
    <row r="46" spans="3:19" ht="12" customHeight="1" x14ac:dyDescent="0.2">
      <c r="C46" s="158" t="s">
        <v>64</v>
      </c>
      <c r="D46" s="158"/>
      <c r="E46" s="158"/>
      <c r="F46" s="158"/>
      <c r="H46" s="76" t="s">
        <v>65</v>
      </c>
      <c r="I46" s="76"/>
      <c r="J46" s="76"/>
      <c r="K46" s="76"/>
      <c r="L46" s="76"/>
      <c r="M46" s="76"/>
      <c r="N46" s="76"/>
      <c r="O46" s="76"/>
      <c r="P46" s="76"/>
      <c r="Q46" s="76"/>
      <c r="S46" s="148">
        <v>10155946.189999999</v>
      </c>
    </row>
    <row r="47" spans="3:19" ht="12" customHeight="1" x14ac:dyDescent="0.2">
      <c r="C47" s="158" t="s">
        <v>66</v>
      </c>
      <c r="D47" s="158"/>
      <c r="E47" s="158"/>
      <c r="F47" s="158"/>
      <c r="H47" s="76" t="s">
        <v>67</v>
      </c>
      <c r="I47" s="76"/>
      <c r="J47" s="76"/>
      <c r="K47" s="76"/>
      <c r="L47" s="76"/>
      <c r="M47" s="76"/>
      <c r="N47" s="76"/>
      <c r="O47" s="76"/>
      <c r="P47" s="76"/>
      <c r="Q47" s="76"/>
      <c r="S47" s="148">
        <v>-366644.47999999998</v>
      </c>
    </row>
    <row r="48" spans="3:19" ht="12" customHeight="1" x14ac:dyDescent="0.2">
      <c r="C48" s="158" t="s">
        <v>68</v>
      </c>
      <c r="D48" s="158"/>
      <c r="E48" s="158"/>
      <c r="F48" s="158"/>
      <c r="H48" s="76" t="s">
        <v>69</v>
      </c>
      <c r="I48" s="76"/>
      <c r="J48" s="76"/>
      <c r="K48" s="76"/>
      <c r="L48" s="76"/>
      <c r="M48" s="76"/>
      <c r="N48" s="76"/>
      <c r="O48" s="76"/>
      <c r="P48" s="76"/>
      <c r="Q48" s="76"/>
      <c r="S48" s="148">
        <v>-2250456.7400000002</v>
      </c>
    </row>
    <row r="49" spans="2:27" ht="12" customHeight="1" x14ac:dyDescent="0.2">
      <c r="C49" s="158" t="s">
        <v>70</v>
      </c>
      <c r="D49" s="158"/>
      <c r="E49" s="158"/>
      <c r="F49" s="158"/>
      <c r="H49" s="76" t="s">
        <v>397</v>
      </c>
      <c r="I49" s="76"/>
      <c r="J49" s="76"/>
      <c r="K49" s="76"/>
      <c r="L49" s="76"/>
      <c r="M49" s="76"/>
      <c r="N49" s="76"/>
      <c r="O49" s="76"/>
      <c r="P49" s="76"/>
      <c r="Q49" s="76"/>
      <c r="S49" s="148">
        <v>117215.29</v>
      </c>
    </row>
    <row r="50" spans="2:27" ht="12" customHeight="1" x14ac:dyDescent="0.2">
      <c r="C50" s="158" t="s">
        <v>71</v>
      </c>
      <c r="D50" s="158"/>
      <c r="E50" s="158"/>
      <c r="F50" s="158"/>
      <c r="H50" s="76" t="s">
        <v>398</v>
      </c>
      <c r="I50" s="76"/>
      <c r="J50" s="76"/>
      <c r="K50" s="76"/>
      <c r="L50" s="76"/>
      <c r="M50" s="76"/>
      <c r="N50" s="76"/>
      <c r="O50" s="76"/>
      <c r="P50" s="76"/>
      <c r="Q50" s="76"/>
      <c r="S50" s="148">
        <v>130640.73</v>
      </c>
    </row>
    <row r="51" spans="2:27" ht="12" customHeight="1" x14ac:dyDescent="0.2">
      <c r="C51" s="158" t="s">
        <v>72</v>
      </c>
      <c r="D51" s="158"/>
      <c r="E51" s="158"/>
      <c r="F51" s="158"/>
      <c r="H51" s="76" t="s">
        <v>399</v>
      </c>
      <c r="I51" s="76"/>
      <c r="J51" s="76"/>
      <c r="K51" s="76"/>
      <c r="L51" s="76"/>
      <c r="M51" s="76"/>
      <c r="N51" s="76"/>
      <c r="O51" s="76"/>
      <c r="P51" s="76"/>
      <c r="Q51" s="76"/>
      <c r="S51" s="148">
        <v>113321.48</v>
      </c>
    </row>
    <row r="52" spans="2:27" ht="12" customHeight="1" x14ac:dyDescent="0.2">
      <c r="C52" s="158" t="s">
        <v>619</v>
      </c>
      <c r="D52" s="158"/>
      <c r="E52" s="158"/>
      <c r="F52" s="158"/>
      <c r="H52" s="76" t="s">
        <v>620</v>
      </c>
      <c r="I52" s="76"/>
      <c r="J52" s="76"/>
      <c r="K52" s="76"/>
      <c r="L52" s="76"/>
      <c r="M52" s="76"/>
      <c r="N52" s="76"/>
      <c r="O52" s="76"/>
      <c r="P52" s="76"/>
      <c r="Q52" s="76"/>
      <c r="S52" s="148"/>
    </row>
    <row r="53" spans="2:27" ht="12" customHeight="1" x14ac:dyDescent="0.2">
      <c r="C53" s="158" t="s">
        <v>628</v>
      </c>
      <c r="D53" s="158"/>
      <c r="E53" s="158"/>
      <c r="F53" s="158"/>
      <c r="H53" s="76" t="s">
        <v>713</v>
      </c>
      <c r="I53" s="76"/>
      <c r="J53" s="76"/>
      <c r="K53" s="76"/>
      <c r="L53" s="76"/>
      <c r="M53" s="76"/>
      <c r="N53" s="76"/>
      <c r="O53" s="76"/>
      <c r="P53" s="76"/>
      <c r="Q53" s="76"/>
      <c r="S53" s="148"/>
    </row>
    <row r="54" spans="2:27" ht="12" customHeight="1" x14ac:dyDescent="0.2">
      <c r="C54" s="158" t="s">
        <v>618</v>
      </c>
      <c r="D54" s="158"/>
      <c r="E54" s="158"/>
      <c r="F54" s="158"/>
      <c r="H54" s="76" t="s">
        <v>617</v>
      </c>
      <c r="I54" s="76"/>
      <c r="J54" s="76"/>
      <c r="K54" s="76"/>
      <c r="L54" s="76"/>
      <c r="M54" s="76"/>
      <c r="N54" s="76"/>
      <c r="O54" s="76"/>
      <c r="P54" s="76"/>
      <c r="Q54" s="76"/>
      <c r="S54" s="148">
        <v>18.21</v>
      </c>
    </row>
    <row r="55" spans="2:27" ht="12" customHeight="1" x14ac:dyDescent="0.2">
      <c r="C55" s="146" t="s">
        <v>552</v>
      </c>
      <c r="D55" s="146"/>
      <c r="E55" s="146"/>
      <c r="F55" s="146"/>
      <c r="H55" s="76" t="s">
        <v>553</v>
      </c>
      <c r="I55" s="76"/>
      <c r="J55" s="76"/>
      <c r="K55" s="76"/>
      <c r="L55" s="76"/>
      <c r="M55" s="76"/>
      <c r="N55" s="76"/>
      <c r="O55" s="76"/>
      <c r="P55" s="76"/>
      <c r="Q55" s="76"/>
      <c r="S55" s="148">
        <v>1060.95</v>
      </c>
    </row>
    <row r="56" spans="2:27" ht="12" customHeight="1" x14ac:dyDescent="0.2">
      <c r="C56" s="146" t="s">
        <v>598</v>
      </c>
      <c r="D56" s="146"/>
      <c r="E56" s="146"/>
      <c r="F56" s="146"/>
      <c r="H56" s="76" t="s">
        <v>599</v>
      </c>
      <c r="I56" s="76"/>
      <c r="J56" s="76"/>
      <c r="K56" s="76"/>
      <c r="L56" s="76"/>
      <c r="M56" s="76"/>
      <c r="N56" s="76"/>
      <c r="O56" s="76"/>
      <c r="P56" s="76"/>
      <c r="Q56" s="76"/>
      <c r="S56" s="148">
        <v>6.93</v>
      </c>
    </row>
    <row r="57" spans="2:27" ht="12" customHeight="1" x14ac:dyDescent="0.2">
      <c r="C57" s="158" t="s">
        <v>401</v>
      </c>
      <c r="D57" s="158"/>
      <c r="E57" s="158"/>
      <c r="F57" s="158"/>
      <c r="H57" s="76" t="s">
        <v>400</v>
      </c>
      <c r="I57" s="76"/>
      <c r="J57" s="76"/>
      <c r="K57" s="76"/>
      <c r="L57" s="76"/>
      <c r="M57" s="76"/>
      <c r="N57" s="76"/>
      <c r="O57" s="76"/>
      <c r="P57" s="76"/>
      <c r="Q57" s="76"/>
      <c r="S57" s="148">
        <v>13939.01</v>
      </c>
    </row>
    <row r="58" spans="2:27" ht="12" customHeight="1" x14ac:dyDescent="0.2">
      <c r="C58" s="158"/>
      <c r="D58" s="158"/>
      <c r="E58" s="158"/>
      <c r="F58" s="158"/>
      <c r="H58" s="76"/>
      <c r="I58" s="76"/>
      <c r="J58" s="76"/>
      <c r="K58" s="76"/>
      <c r="L58" s="76"/>
      <c r="M58" s="76"/>
      <c r="N58" s="76"/>
      <c r="O58" s="76"/>
      <c r="P58" s="76"/>
      <c r="Q58" s="76"/>
      <c r="S58" s="148"/>
    </row>
    <row r="59" spans="2:27" ht="12" customHeight="1" x14ac:dyDescent="0.2">
      <c r="H59" s="156" t="s">
        <v>73</v>
      </c>
      <c r="I59" s="156"/>
      <c r="J59" s="156"/>
      <c r="K59" s="156"/>
      <c r="L59" s="156"/>
      <c r="M59" s="156"/>
      <c r="N59" s="156"/>
      <c r="O59" s="156"/>
      <c r="P59" s="156"/>
      <c r="U59" s="157">
        <f>SUM(S9:S57)</f>
        <v>70585454.740000099</v>
      </c>
      <c r="V59" s="157"/>
      <c r="W59" s="157"/>
      <c r="Y59" s="77"/>
      <c r="AA59" s="77"/>
    </row>
    <row r="60" spans="2:27" ht="12" customHeight="1" x14ac:dyDescent="0.2"/>
    <row r="61" spans="2:27" ht="12" customHeight="1" x14ac:dyDescent="0.2">
      <c r="B61" s="156" t="s">
        <v>74</v>
      </c>
      <c r="C61" s="156"/>
      <c r="D61" s="156"/>
      <c r="E61" s="156"/>
      <c r="F61" s="156"/>
      <c r="G61" s="156"/>
      <c r="H61" s="156"/>
      <c r="I61" s="156"/>
      <c r="J61" s="156"/>
      <c r="K61" s="156"/>
    </row>
    <row r="62" spans="2:27" ht="12" customHeight="1" x14ac:dyDescent="0.2"/>
    <row r="63" spans="2:27" ht="12" customHeight="1" x14ac:dyDescent="0.2">
      <c r="C63" s="158" t="s">
        <v>75</v>
      </c>
      <c r="D63" s="158"/>
      <c r="E63" s="158"/>
      <c r="F63" s="158"/>
      <c r="H63" s="158" t="s">
        <v>76</v>
      </c>
      <c r="I63" s="158"/>
      <c r="J63" s="158"/>
      <c r="K63" s="158"/>
      <c r="L63" s="158"/>
      <c r="M63" s="158"/>
      <c r="N63" s="158"/>
      <c r="O63" s="158"/>
      <c r="P63" s="158"/>
      <c r="Q63" s="158"/>
      <c r="S63" s="148">
        <v>1114391.1100000001</v>
      </c>
    </row>
    <row r="64" spans="2:27" ht="12" customHeight="1" x14ac:dyDescent="0.2">
      <c r="C64" s="158" t="s">
        <v>77</v>
      </c>
      <c r="D64" s="158"/>
      <c r="E64" s="158"/>
      <c r="F64" s="158"/>
      <c r="H64" s="158" t="s">
        <v>78</v>
      </c>
      <c r="I64" s="158"/>
      <c r="J64" s="158"/>
      <c r="K64" s="158"/>
      <c r="L64" s="158"/>
      <c r="M64" s="158"/>
      <c r="N64" s="158"/>
      <c r="O64" s="158"/>
      <c r="P64" s="158"/>
      <c r="Q64" s="158"/>
      <c r="S64" s="148">
        <v>45071.88</v>
      </c>
    </row>
    <row r="65" spans="3:19" ht="12" customHeight="1" x14ac:dyDescent="0.2">
      <c r="C65" s="158" t="s">
        <v>79</v>
      </c>
      <c r="D65" s="158"/>
      <c r="E65" s="158"/>
      <c r="F65" s="158"/>
      <c r="H65" s="158" t="s">
        <v>80</v>
      </c>
      <c r="I65" s="158"/>
      <c r="J65" s="158"/>
      <c r="K65" s="158"/>
      <c r="L65" s="158"/>
      <c r="M65" s="158"/>
      <c r="N65" s="158"/>
      <c r="O65" s="158"/>
      <c r="P65" s="158"/>
      <c r="Q65" s="158"/>
      <c r="S65" s="148">
        <v>715632.48</v>
      </c>
    </row>
    <row r="66" spans="3:19" ht="12" customHeight="1" x14ac:dyDescent="0.2">
      <c r="C66" s="158" t="s">
        <v>81</v>
      </c>
      <c r="D66" s="158"/>
      <c r="E66" s="158"/>
      <c r="F66" s="158"/>
      <c r="H66" s="158" t="s">
        <v>82</v>
      </c>
      <c r="I66" s="158"/>
      <c r="J66" s="158"/>
      <c r="K66" s="158"/>
      <c r="L66" s="158"/>
      <c r="M66" s="158"/>
      <c r="N66" s="158"/>
      <c r="O66" s="158"/>
      <c r="P66" s="158"/>
      <c r="Q66" s="158"/>
      <c r="S66" s="148">
        <v>4714695.95</v>
      </c>
    </row>
    <row r="67" spans="3:19" ht="12" customHeight="1" x14ac:dyDescent="0.2">
      <c r="C67" s="158" t="s">
        <v>83</v>
      </c>
      <c r="D67" s="158"/>
      <c r="E67" s="158"/>
      <c r="F67" s="158"/>
      <c r="H67" s="158" t="s">
        <v>84</v>
      </c>
      <c r="I67" s="158"/>
      <c r="J67" s="158"/>
      <c r="K67" s="158"/>
      <c r="L67" s="158"/>
      <c r="M67" s="158"/>
      <c r="N67" s="158"/>
      <c r="O67" s="158"/>
      <c r="P67" s="158"/>
      <c r="Q67" s="158"/>
      <c r="S67" s="148">
        <v>460539.38</v>
      </c>
    </row>
    <row r="68" spans="3:19" ht="14.25" customHeight="1" x14ac:dyDescent="0.2">
      <c r="C68" s="158" t="s">
        <v>85</v>
      </c>
      <c r="D68" s="158"/>
      <c r="E68" s="158"/>
      <c r="F68" s="158"/>
      <c r="H68" s="158" t="s">
        <v>86</v>
      </c>
      <c r="I68" s="158"/>
      <c r="J68" s="158"/>
      <c r="K68" s="158"/>
      <c r="L68" s="158"/>
      <c r="M68" s="158"/>
      <c r="N68" s="158"/>
      <c r="O68" s="158"/>
      <c r="P68" s="158"/>
      <c r="Q68" s="158"/>
      <c r="S68" s="148">
        <v>0</v>
      </c>
    </row>
    <row r="69" spans="3:19" ht="12" customHeight="1" x14ac:dyDescent="0.2">
      <c r="C69" s="158" t="s">
        <v>87</v>
      </c>
      <c r="D69" s="158"/>
      <c r="E69" s="158"/>
      <c r="F69" s="158"/>
      <c r="H69" s="158" t="s">
        <v>88</v>
      </c>
      <c r="I69" s="158"/>
      <c r="J69" s="158"/>
      <c r="K69" s="158"/>
      <c r="L69" s="158"/>
      <c r="M69" s="158"/>
      <c r="N69" s="158"/>
      <c r="O69" s="158"/>
      <c r="P69" s="158"/>
      <c r="Q69" s="158"/>
      <c r="S69" s="151">
        <v>3131039.97</v>
      </c>
    </row>
    <row r="70" spans="3:19" ht="12.75" customHeight="1" x14ac:dyDescent="0.2">
      <c r="C70" s="158" t="s">
        <v>89</v>
      </c>
      <c r="D70" s="158"/>
      <c r="E70" s="158"/>
      <c r="F70" s="158"/>
      <c r="H70" s="158" t="s">
        <v>90</v>
      </c>
      <c r="I70" s="158"/>
      <c r="J70" s="158"/>
      <c r="K70" s="158"/>
      <c r="L70" s="158"/>
      <c r="M70" s="158"/>
      <c r="N70" s="158"/>
      <c r="O70" s="158"/>
      <c r="P70" s="158"/>
      <c r="Q70" s="158"/>
      <c r="S70" s="151">
        <v>11428.88</v>
      </c>
    </row>
    <row r="71" spans="3:19" ht="12" customHeight="1" x14ac:dyDescent="0.2">
      <c r="C71" s="158" t="s">
        <v>91</v>
      </c>
      <c r="D71" s="158"/>
      <c r="E71" s="158"/>
      <c r="F71" s="158"/>
      <c r="H71" s="158" t="s">
        <v>92</v>
      </c>
      <c r="I71" s="158"/>
      <c r="J71" s="158"/>
      <c r="K71" s="158"/>
      <c r="L71" s="158"/>
      <c r="M71" s="158"/>
      <c r="N71" s="158"/>
      <c r="O71" s="158"/>
      <c r="P71" s="158"/>
      <c r="Q71" s="158"/>
      <c r="S71" s="151">
        <v>384818.56</v>
      </c>
    </row>
    <row r="72" spans="3:19" ht="12" customHeight="1" x14ac:dyDescent="0.2">
      <c r="C72" s="158" t="s">
        <v>93</v>
      </c>
      <c r="D72" s="158"/>
      <c r="E72" s="158"/>
      <c r="F72" s="158"/>
      <c r="H72" s="158" t="s">
        <v>94</v>
      </c>
      <c r="I72" s="158"/>
      <c r="J72" s="158"/>
      <c r="K72" s="158"/>
      <c r="L72" s="158"/>
      <c r="M72" s="158"/>
      <c r="N72" s="158"/>
      <c r="O72" s="158"/>
      <c r="P72" s="158"/>
      <c r="Q72" s="158"/>
      <c r="S72" s="148">
        <v>2027573.66</v>
      </c>
    </row>
    <row r="73" spans="3:19" ht="12" customHeight="1" x14ac:dyDescent="0.2">
      <c r="C73" s="158" t="s">
        <v>95</v>
      </c>
      <c r="D73" s="158"/>
      <c r="E73" s="158"/>
      <c r="F73" s="158"/>
      <c r="H73" s="158" t="s">
        <v>96</v>
      </c>
      <c r="I73" s="158"/>
      <c r="J73" s="158"/>
      <c r="K73" s="158"/>
      <c r="L73" s="158"/>
      <c r="M73" s="158"/>
      <c r="N73" s="158"/>
      <c r="O73" s="158"/>
      <c r="P73" s="158"/>
      <c r="Q73" s="158"/>
      <c r="S73" s="148">
        <v>5406652.4800000004</v>
      </c>
    </row>
    <row r="74" spans="3:19" ht="12" customHeight="1" x14ac:dyDescent="0.2">
      <c r="C74" s="158">
        <v>1327</v>
      </c>
      <c r="D74" s="158"/>
      <c r="E74" s="158"/>
      <c r="F74" s="158"/>
      <c r="H74" s="146" t="s">
        <v>663</v>
      </c>
      <c r="I74" s="146"/>
      <c r="J74" s="146"/>
      <c r="K74" s="146"/>
      <c r="L74" s="146"/>
      <c r="M74" s="146"/>
      <c r="N74" s="146"/>
      <c r="O74" s="146"/>
      <c r="P74" s="146"/>
      <c r="Q74" s="146"/>
      <c r="S74" s="148">
        <v>0</v>
      </c>
    </row>
    <row r="75" spans="3:19" ht="12" customHeight="1" x14ac:dyDescent="0.2">
      <c r="C75" s="158" t="s">
        <v>97</v>
      </c>
      <c r="D75" s="158"/>
      <c r="E75" s="158"/>
      <c r="F75" s="158"/>
      <c r="H75" s="158" t="s">
        <v>98</v>
      </c>
      <c r="I75" s="158"/>
      <c r="J75" s="158"/>
      <c r="K75" s="158"/>
      <c r="L75" s="158"/>
      <c r="M75" s="158"/>
      <c r="N75" s="158"/>
      <c r="O75" s="158"/>
      <c r="P75" s="158"/>
      <c r="Q75" s="158"/>
      <c r="S75" s="148">
        <v>76523.81</v>
      </c>
    </row>
    <row r="76" spans="3:19" ht="12" customHeight="1" x14ac:dyDescent="0.2">
      <c r="C76" s="158">
        <v>1336</v>
      </c>
      <c r="D76" s="158"/>
      <c r="E76" s="158"/>
      <c r="F76" s="158"/>
      <c r="H76" s="158" t="s">
        <v>672</v>
      </c>
      <c r="I76" s="158"/>
      <c r="J76" s="158"/>
      <c r="K76" s="158"/>
      <c r="L76" s="158"/>
      <c r="M76" s="158"/>
      <c r="N76" s="158"/>
      <c r="O76" s="158"/>
      <c r="P76" s="158"/>
      <c r="Q76" s="158"/>
      <c r="S76" s="148">
        <v>0</v>
      </c>
    </row>
    <row r="77" spans="3:19" ht="12" customHeight="1" x14ac:dyDescent="0.2">
      <c r="C77" s="158">
        <v>1340</v>
      </c>
      <c r="D77" s="158"/>
      <c r="E77" s="158"/>
      <c r="F77" s="158"/>
      <c r="H77" s="158" t="s">
        <v>728</v>
      </c>
      <c r="I77" s="158"/>
      <c r="J77" s="158"/>
      <c r="K77" s="158"/>
      <c r="L77" s="158"/>
      <c r="M77" s="158"/>
      <c r="N77" s="158"/>
      <c r="O77" s="158"/>
      <c r="P77" s="158"/>
      <c r="Q77" s="158"/>
      <c r="S77" s="148">
        <v>89356.25</v>
      </c>
    </row>
    <row r="78" spans="3:19" ht="12" customHeight="1" x14ac:dyDescent="0.2">
      <c r="C78" s="158">
        <v>1350</v>
      </c>
      <c r="D78" s="158"/>
      <c r="E78" s="158"/>
      <c r="F78" s="158"/>
      <c r="H78" s="158" t="s">
        <v>720</v>
      </c>
      <c r="I78" s="158"/>
      <c r="J78" s="158"/>
      <c r="K78" s="158"/>
      <c r="L78" s="158"/>
      <c r="M78" s="158"/>
      <c r="N78" s="158"/>
      <c r="O78" s="158"/>
      <c r="P78" s="158"/>
      <c r="Q78" s="158"/>
      <c r="S78" s="148">
        <v>37760.769999999997</v>
      </c>
    </row>
    <row r="79" spans="3:19" ht="12" customHeight="1" x14ac:dyDescent="0.2">
      <c r="C79" s="158" t="s">
        <v>99</v>
      </c>
      <c r="D79" s="158"/>
      <c r="E79" s="158"/>
      <c r="F79" s="158"/>
      <c r="H79" s="158" t="s">
        <v>100</v>
      </c>
      <c r="I79" s="158"/>
      <c r="J79" s="158"/>
      <c r="K79" s="158"/>
      <c r="L79" s="158"/>
      <c r="M79" s="158"/>
      <c r="N79" s="158"/>
      <c r="O79" s="158"/>
      <c r="P79" s="158"/>
      <c r="Q79" s="158"/>
      <c r="S79" s="148">
        <v>-9653813.2599999998</v>
      </c>
    </row>
    <row r="80" spans="3:19" ht="12" customHeight="1" x14ac:dyDescent="0.2">
      <c r="C80" s="158" t="s">
        <v>101</v>
      </c>
      <c r="D80" s="158"/>
      <c r="E80" s="158"/>
      <c r="F80" s="158"/>
      <c r="H80" s="158" t="s">
        <v>102</v>
      </c>
      <c r="I80" s="158"/>
      <c r="J80" s="158"/>
      <c r="K80" s="158"/>
      <c r="L80" s="158"/>
      <c r="M80" s="158"/>
      <c r="N80" s="158"/>
      <c r="O80" s="158"/>
      <c r="P80" s="158"/>
      <c r="Q80" s="158"/>
      <c r="S80" s="148"/>
    </row>
    <row r="81" spans="1:23" ht="12" customHeight="1" x14ac:dyDescent="0.2">
      <c r="H81" s="156" t="s">
        <v>103</v>
      </c>
      <c r="I81" s="156"/>
      <c r="J81" s="156"/>
      <c r="K81" s="156"/>
      <c r="L81" s="156"/>
      <c r="M81" s="156"/>
      <c r="N81" s="156"/>
      <c r="O81" s="156"/>
      <c r="P81" s="156"/>
      <c r="U81" s="160">
        <f>SUM(S63:S80)</f>
        <v>8561671.9199999999</v>
      </c>
      <c r="V81" s="160"/>
      <c r="W81" s="160"/>
    </row>
    <row r="82" spans="1:23" ht="12" customHeight="1" x14ac:dyDescent="0.2">
      <c r="H82" s="147"/>
      <c r="I82" s="147"/>
      <c r="J82" s="147"/>
      <c r="K82" s="147"/>
      <c r="L82" s="147"/>
      <c r="M82" s="147"/>
      <c r="N82" s="147"/>
      <c r="O82" s="147"/>
      <c r="P82" s="147"/>
      <c r="U82" s="78"/>
      <c r="V82" s="78"/>
      <c r="W82" s="78"/>
    </row>
    <row r="83" spans="1:23" ht="12" customHeight="1" x14ac:dyDescent="0.2">
      <c r="D83" s="158" t="s">
        <v>101</v>
      </c>
      <c r="E83" s="158"/>
      <c r="F83" s="158"/>
      <c r="G83" s="158"/>
      <c r="H83" s="158" t="s">
        <v>673</v>
      </c>
      <c r="I83" s="158"/>
      <c r="J83" s="158"/>
      <c r="K83" s="158"/>
      <c r="L83" s="158"/>
      <c r="M83" s="158"/>
      <c r="N83" s="158"/>
      <c r="O83" s="158"/>
      <c r="P83" s="158"/>
      <c r="Q83" s="158"/>
      <c r="S83" s="148">
        <v>0</v>
      </c>
      <c r="U83" s="78"/>
      <c r="V83" s="78"/>
      <c r="W83" s="78"/>
    </row>
    <row r="84" spans="1:23" ht="12" customHeight="1" thickBot="1" x14ac:dyDescent="0.25">
      <c r="I84" s="156" t="s">
        <v>104</v>
      </c>
      <c r="J84" s="156"/>
      <c r="K84" s="156"/>
      <c r="L84" s="156"/>
      <c r="M84" s="156"/>
      <c r="N84" s="156"/>
      <c r="O84" s="156"/>
      <c r="P84" s="156"/>
      <c r="U84" s="163">
        <f>U59+U81+S83</f>
        <v>79147126.660000101</v>
      </c>
      <c r="V84" s="163"/>
      <c r="W84" s="163"/>
    </row>
    <row r="85" spans="1:23" ht="12" customHeight="1" x14ac:dyDescent="0.2"/>
    <row r="86" spans="1:23" ht="12" customHeight="1" x14ac:dyDescent="0.2">
      <c r="A86" s="156" t="s">
        <v>105</v>
      </c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</row>
    <row r="87" spans="1:23" ht="12" customHeight="1" x14ac:dyDescent="0.2"/>
    <row r="88" spans="1:23" ht="12" customHeight="1" x14ac:dyDescent="0.2">
      <c r="B88" s="156" t="s">
        <v>106</v>
      </c>
      <c r="C88" s="156"/>
      <c r="D88" s="156"/>
      <c r="E88" s="156"/>
      <c r="F88" s="156"/>
      <c r="G88" s="156"/>
      <c r="H88" s="156"/>
      <c r="I88" s="156"/>
      <c r="J88" s="156"/>
      <c r="K88" s="156"/>
    </row>
    <row r="89" spans="1:23" ht="12" customHeight="1" x14ac:dyDescent="0.2">
      <c r="C89" s="158" t="s">
        <v>107</v>
      </c>
      <c r="D89" s="158"/>
      <c r="E89" s="158"/>
      <c r="F89" s="158"/>
      <c r="H89" s="76" t="s">
        <v>108</v>
      </c>
      <c r="I89" s="76"/>
      <c r="J89" s="76"/>
      <c r="K89" s="76"/>
      <c r="L89" s="76"/>
      <c r="M89" s="76"/>
      <c r="N89" s="76"/>
      <c r="O89" s="76"/>
      <c r="P89" s="76"/>
      <c r="Q89" s="76"/>
      <c r="S89" s="148">
        <v>0</v>
      </c>
    </row>
    <row r="90" spans="1:23" ht="12" customHeight="1" x14ac:dyDescent="0.2">
      <c r="C90" s="158" t="s">
        <v>109</v>
      </c>
      <c r="D90" s="158"/>
      <c r="E90" s="158"/>
      <c r="F90" s="158"/>
      <c r="H90" s="76" t="s">
        <v>110</v>
      </c>
      <c r="I90" s="76"/>
      <c r="J90" s="76"/>
      <c r="K90" s="76"/>
      <c r="L90" s="76"/>
      <c r="M90" s="76"/>
      <c r="N90" s="76"/>
      <c r="O90" s="76"/>
      <c r="P90" s="76"/>
      <c r="Q90" s="76"/>
      <c r="S90" s="148">
        <v>28619313.16</v>
      </c>
    </row>
    <row r="91" spans="1:23" ht="12" customHeight="1" x14ac:dyDescent="0.2">
      <c r="C91" s="158" t="s">
        <v>111</v>
      </c>
      <c r="D91" s="158"/>
      <c r="E91" s="158"/>
      <c r="F91" s="158"/>
      <c r="H91" s="76" t="s">
        <v>112</v>
      </c>
      <c r="I91" s="76"/>
      <c r="J91" s="76"/>
      <c r="K91" s="76"/>
      <c r="L91" s="76"/>
      <c r="M91" s="76"/>
      <c r="N91" s="76"/>
      <c r="O91" s="76"/>
      <c r="P91" s="76"/>
      <c r="Q91" s="76"/>
      <c r="S91" s="148">
        <v>-6.46</v>
      </c>
    </row>
    <row r="92" spans="1:23" ht="12" customHeight="1" x14ac:dyDescent="0.2">
      <c r="C92" s="158">
        <v>2125</v>
      </c>
      <c r="D92" s="158"/>
      <c r="E92" s="158"/>
      <c r="F92" s="158"/>
      <c r="H92" s="76" t="s">
        <v>680</v>
      </c>
      <c r="I92" s="76"/>
      <c r="J92" s="76"/>
      <c r="K92" s="76"/>
      <c r="L92" s="76"/>
      <c r="M92" s="76"/>
      <c r="N92" s="76"/>
      <c r="O92" s="76"/>
      <c r="P92" s="76"/>
      <c r="Q92" s="76"/>
      <c r="S92" s="148">
        <v>123.41</v>
      </c>
    </row>
    <row r="93" spans="1:23" ht="12" customHeight="1" x14ac:dyDescent="0.2">
      <c r="C93" s="158" t="s">
        <v>113</v>
      </c>
      <c r="D93" s="158"/>
      <c r="E93" s="158"/>
      <c r="F93" s="158"/>
      <c r="H93" s="76" t="s">
        <v>114</v>
      </c>
      <c r="I93" s="76"/>
      <c r="J93" s="76"/>
      <c r="K93" s="76"/>
      <c r="L93" s="76"/>
      <c r="M93" s="76"/>
      <c r="N93" s="76"/>
      <c r="O93" s="76"/>
      <c r="P93" s="76"/>
      <c r="Q93" s="76"/>
      <c r="S93" s="148">
        <v>6300.94</v>
      </c>
    </row>
    <row r="94" spans="1:23" ht="12" customHeight="1" x14ac:dyDescent="0.2">
      <c r="C94" s="158">
        <v>2127</v>
      </c>
      <c r="D94" s="158"/>
      <c r="E94" s="158"/>
      <c r="F94" s="158"/>
      <c r="H94" s="76" t="s">
        <v>714</v>
      </c>
      <c r="I94" s="76"/>
      <c r="J94" s="76"/>
      <c r="K94" s="76"/>
      <c r="L94" s="76"/>
      <c r="M94" s="76"/>
      <c r="N94" s="76"/>
      <c r="O94" s="76"/>
      <c r="P94" s="76"/>
      <c r="Q94" s="76"/>
      <c r="S94" s="148">
        <v>133.44</v>
      </c>
    </row>
    <row r="95" spans="1:23" ht="12" customHeight="1" x14ac:dyDescent="0.2">
      <c r="C95" s="158">
        <v>2150</v>
      </c>
      <c r="D95" s="158"/>
      <c r="E95" s="158"/>
      <c r="F95" s="158"/>
      <c r="H95" s="76" t="s">
        <v>189</v>
      </c>
      <c r="I95" s="76"/>
      <c r="J95" s="76"/>
      <c r="K95" s="76"/>
      <c r="L95" s="76"/>
      <c r="M95" s="76"/>
      <c r="N95" s="76"/>
      <c r="O95" s="76"/>
      <c r="P95" s="76"/>
      <c r="Q95" s="76"/>
      <c r="S95" s="148">
        <v>43.91</v>
      </c>
    </row>
    <row r="96" spans="1:23" ht="12" customHeight="1" x14ac:dyDescent="0.2">
      <c r="C96" s="158">
        <v>2155</v>
      </c>
      <c r="D96" s="158"/>
      <c r="E96" s="158"/>
      <c r="F96" s="158"/>
      <c r="H96" s="76" t="s">
        <v>681</v>
      </c>
      <c r="I96" s="76"/>
      <c r="J96" s="76"/>
      <c r="K96" s="76"/>
      <c r="L96" s="76"/>
      <c r="M96" s="76"/>
      <c r="N96" s="76"/>
      <c r="O96" s="76"/>
      <c r="P96" s="76"/>
      <c r="Q96" s="76"/>
      <c r="S96" s="148">
        <v>0</v>
      </c>
    </row>
    <row r="97" spans="3:19" ht="12" customHeight="1" x14ac:dyDescent="0.2">
      <c r="C97" s="158" t="s">
        <v>115</v>
      </c>
      <c r="D97" s="158"/>
      <c r="E97" s="158"/>
      <c r="F97" s="158"/>
      <c r="H97" s="76" t="s">
        <v>116</v>
      </c>
      <c r="I97" s="76"/>
      <c r="J97" s="76"/>
      <c r="K97" s="76"/>
      <c r="L97" s="76"/>
      <c r="M97" s="76"/>
      <c r="N97" s="76"/>
      <c r="O97" s="76"/>
      <c r="P97" s="76"/>
      <c r="Q97" s="76"/>
      <c r="S97" s="148">
        <v>0</v>
      </c>
    </row>
    <row r="98" spans="3:19" ht="12" customHeight="1" x14ac:dyDescent="0.2">
      <c r="C98" s="149" t="s">
        <v>600</v>
      </c>
      <c r="D98" s="146"/>
      <c r="E98" s="146"/>
      <c r="F98" s="146"/>
      <c r="H98" s="76" t="s">
        <v>601</v>
      </c>
      <c r="I98" s="76"/>
      <c r="J98" s="76"/>
      <c r="K98" s="76"/>
      <c r="L98" s="76"/>
      <c r="M98" s="76"/>
      <c r="N98" s="76"/>
      <c r="O98" s="76"/>
      <c r="P98" s="76"/>
      <c r="Q98" s="76"/>
      <c r="S98" s="148">
        <v>0</v>
      </c>
    </row>
    <row r="99" spans="3:19" ht="12" customHeight="1" x14ac:dyDescent="0.2">
      <c r="C99" s="158" t="s">
        <v>117</v>
      </c>
      <c r="D99" s="158"/>
      <c r="E99" s="158"/>
      <c r="F99" s="158"/>
      <c r="H99" s="76" t="s">
        <v>118</v>
      </c>
      <c r="I99" s="76"/>
      <c r="J99" s="76"/>
      <c r="K99" s="76"/>
      <c r="L99" s="76"/>
      <c r="M99" s="76"/>
      <c r="N99" s="76"/>
      <c r="O99" s="76"/>
      <c r="P99" s="76"/>
      <c r="Q99" s="76"/>
      <c r="S99" s="148">
        <v>9590919.6400000006</v>
      </c>
    </row>
    <row r="100" spans="3:19" ht="12" customHeight="1" x14ac:dyDescent="0.2">
      <c r="C100" s="158" t="s">
        <v>119</v>
      </c>
      <c r="D100" s="158"/>
      <c r="E100" s="158"/>
      <c r="F100" s="158"/>
      <c r="H100" s="76" t="s">
        <v>120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8">
        <v>15108.08</v>
      </c>
    </row>
    <row r="101" spans="3:19" ht="12" customHeight="1" x14ac:dyDescent="0.2">
      <c r="C101" s="158" t="s">
        <v>121</v>
      </c>
      <c r="D101" s="158"/>
      <c r="E101" s="158"/>
      <c r="F101" s="158"/>
      <c r="H101" s="76" t="s">
        <v>122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8">
        <v>208405.21</v>
      </c>
    </row>
    <row r="102" spans="3:19" ht="12" customHeight="1" x14ac:dyDescent="0.2">
      <c r="C102" s="158" t="s">
        <v>123</v>
      </c>
      <c r="D102" s="158"/>
      <c r="E102" s="158"/>
      <c r="F102" s="158"/>
      <c r="H102" s="76" t="s">
        <v>124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8">
        <v>6357.56</v>
      </c>
    </row>
    <row r="103" spans="3:19" ht="12" customHeight="1" x14ac:dyDescent="0.2">
      <c r="C103" s="158" t="s">
        <v>125</v>
      </c>
      <c r="D103" s="158"/>
      <c r="E103" s="158"/>
      <c r="F103" s="158"/>
      <c r="H103" s="76" t="s">
        <v>126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8">
        <v>116060.88</v>
      </c>
    </row>
    <row r="104" spans="3:19" ht="12" customHeight="1" x14ac:dyDescent="0.2">
      <c r="C104" s="158" t="s">
        <v>127</v>
      </c>
      <c r="D104" s="158"/>
      <c r="E104" s="158"/>
      <c r="F104" s="158"/>
      <c r="H104" s="76" t="s">
        <v>128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8">
        <v>174756.17</v>
      </c>
    </row>
    <row r="105" spans="3:19" ht="12" customHeight="1" x14ac:dyDescent="0.2">
      <c r="C105" s="158">
        <v>2231</v>
      </c>
      <c r="D105" s="158"/>
      <c r="E105" s="158"/>
      <c r="F105" s="158"/>
      <c r="H105" s="76" t="s">
        <v>686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8">
        <v>3164645.85</v>
      </c>
    </row>
    <row r="106" spans="3:19" ht="12" customHeight="1" x14ac:dyDescent="0.2">
      <c r="C106" s="158" t="s">
        <v>129</v>
      </c>
      <c r="D106" s="158"/>
      <c r="E106" s="158"/>
      <c r="F106" s="158"/>
      <c r="H106" s="76" t="s">
        <v>130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8">
        <v>101821.51</v>
      </c>
    </row>
    <row r="107" spans="3:19" ht="12" customHeight="1" x14ac:dyDescent="0.2">
      <c r="C107" s="158">
        <v>2241</v>
      </c>
      <c r="D107" s="158"/>
      <c r="E107" s="158"/>
      <c r="F107" s="158"/>
      <c r="H107" s="76" t="s">
        <v>684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8">
        <v>-2594.75</v>
      </c>
    </row>
    <row r="108" spans="3:19" ht="12" customHeight="1" x14ac:dyDescent="0.2">
      <c r="C108" s="158" t="s">
        <v>131</v>
      </c>
      <c r="D108" s="158"/>
      <c r="E108" s="158"/>
      <c r="F108" s="158"/>
      <c r="H108" s="76" t="s">
        <v>716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8">
        <v>75000</v>
      </c>
    </row>
    <row r="109" spans="3:19" ht="12" customHeight="1" x14ac:dyDescent="0.2">
      <c r="C109" s="158" t="s">
        <v>132</v>
      </c>
      <c r="D109" s="158"/>
      <c r="E109" s="158"/>
      <c r="F109" s="158"/>
      <c r="H109" s="76" t="s">
        <v>133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8">
        <v>3627.71</v>
      </c>
    </row>
    <row r="110" spans="3:19" ht="12" customHeight="1" x14ac:dyDescent="0.2">
      <c r="C110" s="158">
        <v>2245</v>
      </c>
      <c r="D110" s="158"/>
      <c r="E110" s="158"/>
      <c r="F110" s="158"/>
      <c r="H110" s="76" t="s">
        <v>633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8">
        <v>50000</v>
      </c>
    </row>
    <row r="111" spans="3:19" ht="12" customHeight="1" x14ac:dyDescent="0.2">
      <c r="C111" s="158" t="s">
        <v>134</v>
      </c>
      <c r="D111" s="158"/>
      <c r="E111" s="158"/>
      <c r="F111" s="158"/>
      <c r="H111" s="76" t="s">
        <v>135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8">
        <v>0</v>
      </c>
    </row>
    <row r="112" spans="3:19" ht="12" customHeight="1" x14ac:dyDescent="0.2">
      <c r="C112" s="158" t="s">
        <v>136</v>
      </c>
      <c r="D112" s="158"/>
      <c r="E112" s="158"/>
      <c r="F112" s="158"/>
      <c r="H112" s="76" t="s">
        <v>137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8">
        <v>3319</v>
      </c>
    </row>
    <row r="113" spans="3:19" ht="12" customHeight="1" x14ac:dyDescent="0.2">
      <c r="C113" s="158" t="s">
        <v>138</v>
      </c>
      <c r="D113" s="158"/>
      <c r="E113" s="158"/>
      <c r="F113" s="158"/>
      <c r="H113" s="76" t="s">
        <v>139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8"/>
    </row>
    <row r="114" spans="3:19" ht="12" customHeight="1" x14ac:dyDescent="0.2">
      <c r="C114" s="158" t="s">
        <v>140</v>
      </c>
      <c r="D114" s="158"/>
      <c r="E114" s="158"/>
      <c r="F114" s="158"/>
      <c r="H114" s="76" t="s">
        <v>141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8"/>
    </row>
    <row r="115" spans="3:19" ht="12" customHeight="1" x14ac:dyDescent="0.2">
      <c r="C115" s="158" t="s">
        <v>142</v>
      </c>
      <c r="D115" s="158"/>
      <c r="E115" s="158"/>
      <c r="F115" s="158"/>
      <c r="H115" s="76" t="s">
        <v>143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48">
        <v>132276.25</v>
      </c>
    </row>
    <row r="116" spans="3:19" ht="12" customHeight="1" x14ac:dyDescent="0.2">
      <c r="C116" s="158" t="s">
        <v>144</v>
      </c>
      <c r="D116" s="158"/>
      <c r="E116" s="158"/>
      <c r="F116" s="158"/>
      <c r="H116" s="76" t="s">
        <v>402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8">
        <v>6700000</v>
      </c>
    </row>
    <row r="117" spans="3:19" ht="12" customHeight="1" x14ac:dyDescent="0.2">
      <c r="C117" s="158">
        <v>2301</v>
      </c>
      <c r="D117" s="158"/>
      <c r="E117" s="158"/>
      <c r="F117" s="158"/>
      <c r="H117" s="76" t="s">
        <v>403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48">
        <v>300000</v>
      </c>
    </row>
    <row r="118" spans="3:19" ht="12" customHeight="1" x14ac:dyDescent="0.2">
      <c r="C118" s="162" t="s">
        <v>236</v>
      </c>
      <c r="D118" s="162"/>
      <c r="E118" s="162"/>
      <c r="F118" s="162"/>
      <c r="H118" s="162" t="s">
        <v>574</v>
      </c>
      <c r="I118" s="162"/>
      <c r="J118" s="162"/>
      <c r="K118" s="162"/>
      <c r="L118" s="162"/>
      <c r="M118" s="162"/>
      <c r="N118" s="162"/>
      <c r="O118" s="162"/>
      <c r="P118" s="162"/>
      <c r="Q118" s="162"/>
      <c r="S118" s="148">
        <v>605930</v>
      </c>
    </row>
    <row r="119" spans="3:19" ht="12" customHeight="1" x14ac:dyDescent="0.2">
      <c r="C119" s="162" t="s">
        <v>236</v>
      </c>
      <c r="D119" s="162"/>
      <c r="E119" s="162"/>
      <c r="F119" s="162"/>
      <c r="H119" s="162" t="s">
        <v>568</v>
      </c>
      <c r="I119" s="162"/>
      <c r="J119" s="162"/>
      <c r="K119" s="162"/>
      <c r="L119" s="162"/>
      <c r="M119" s="162"/>
      <c r="N119" s="162"/>
      <c r="O119" s="162"/>
      <c r="P119" s="162"/>
      <c r="Q119" s="162"/>
      <c r="S119" s="148">
        <v>15829.17</v>
      </c>
    </row>
    <row r="120" spans="3:19" ht="12" customHeight="1" x14ac:dyDescent="0.2">
      <c r="C120" s="159" t="s">
        <v>541</v>
      </c>
      <c r="D120" s="158"/>
      <c r="E120" s="158"/>
      <c r="F120" s="158"/>
      <c r="H120" s="158" t="s">
        <v>545</v>
      </c>
      <c r="I120" s="158"/>
      <c r="J120" s="158"/>
      <c r="K120" s="158"/>
      <c r="L120" s="158"/>
      <c r="M120" s="158"/>
      <c r="N120" s="158"/>
      <c r="O120" s="158"/>
      <c r="P120" s="158"/>
      <c r="Q120" s="158"/>
      <c r="S120" s="148"/>
    </row>
    <row r="121" spans="3:19" ht="12" customHeight="1" x14ac:dyDescent="0.2">
      <c r="C121" s="159" t="s">
        <v>542</v>
      </c>
      <c r="D121" s="158"/>
      <c r="E121" s="158"/>
      <c r="F121" s="158"/>
      <c r="H121" s="158" t="s">
        <v>543</v>
      </c>
      <c r="I121" s="158"/>
      <c r="J121" s="158"/>
      <c r="K121" s="158"/>
      <c r="L121" s="158"/>
      <c r="M121" s="158"/>
      <c r="N121" s="158"/>
      <c r="O121" s="158"/>
      <c r="P121" s="158"/>
      <c r="Q121" s="158"/>
      <c r="S121" s="148"/>
    </row>
    <row r="122" spans="3:19" ht="12" customHeight="1" x14ac:dyDescent="0.2">
      <c r="C122" s="159">
        <v>2433</v>
      </c>
      <c r="D122" s="158"/>
      <c r="E122" s="158"/>
      <c r="F122" s="158"/>
      <c r="H122" s="158" t="s">
        <v>544</v>
      </c>
      <c r="I122" s="158"/>
      <c r="J122" s="158"/>
      <c r="K122" s="158"/>
      <c r="L122" s="158"/>
      <c r="M122" s="158"/>
      <c r="N122" s="158"/>
      <c r="O122" s="158"/>
      <c r="P122" s="158"/>
      <c r="Q122" s="158"/>
      <c r="S122" s="148"/>
    </row>
    <row r="123" spans="3:19" ht="12" customHeight="1" x14ac:dyDescent="0.2">
      <c r="C123" s="158" t="s">
        <v>146</v>
      </c>
      <c r="D123" s="158"/>
      <c r="E123" s="158"/>
      <c r="F123" s="158"/>
      <c r="H123" s="76" t="s">
        <v>404</v>
      </c>
      <c r="I123" s="76"/>
      <c r="J123" s="76"/>
      <c r="K123" s="76"/>
      <c r="L123" s="76"/>
      <c r="M123" s="76"/>
      <c r="N123" s="76"/>
      <c r="O123" s="76"/>
      <c r="P123" s="76"/>
      <c r="Q123" s="76"/>
      <c r="S123" s="148"/>
    </row>
    <row r="124" spans="3:19" ht="12" customHeight="1" x14ac:dyDescent="0.2">
      <c r="C124" s="158" t="s">
        <v>147</v>
      </c>
      <c r="D124" s="158"/>
      <c r="E124" s="158"/>
      <c r="F124" s="158"/>
      <c r="H124" s="76" t="s">
        <v>556</v>
      </c>
      <c r="I124" s="76"/>
      <c r="J124" s="76"/>
      <c r="K124" s="76"/>
      <c r="L124" s="76"/>
      <c r="M124" s="76"/>
      <c r="N124" s="76"/>
      <c r="O124" s="76"/>
      <c r="P124" s="76"/>
      <c r="Q124" s="76"/>
      <c r="S124" s="148">
        <v>4275.2</v>
      </c>
    </row>
    <row r="125" spans="3:19" ht="12" customHeight="1" x14ac:dyDescent="0.2">
      <c r="C125" s="158" t="s">
        <v>587</v>
      </c>
      <c r="D125" s="158"/>
      <c r="E125" s="158"/>
      <c r="F125" s="158"/>
      <c r="H125" s="76" t="s">
        <v>588</v>
      </c>
      <c r="I125" s="76"/>
      <c r="J125" s="76"/>
      <c r="K125" s="76"/>
      <c r="L125" s="76"/>
      <c r="M125" s="76"/>
      <c r="N125" s="76"/>
      <c r="O125" s="76"/>
      <c r="P125" s="76"/>
      <c r="Q125" s="76"/>
      <c r="S125" s="148">
        <v>21712.81</v>
      </c>
    </row>
    <row r="126" spans="3:19" ht="12" customHeight="1" x14ac:dyDescent="0.2">
      <c r="C126" s="158" t="s">
        <v>729</v>
      </c>
      <c r="D126" s="158"/>
      <c r="E126" s="158"/>
      <c r="F126" s="158"/>
      <c r="H126" s="76" t="s">
        <v>730</v>
      </c>
      <c r="I126" s="76"/>
      <c r="J126" s="76"/>
      <c r="K126" s="76"/>
      <c r="L126" s="76"/>
      <c r="M126" s="76"/>
      <c r="N126" s="76"/>
      <c r="O126" s="76"/>
      <c r="P126" s="76"/>
      <c r="Q126" s="76"/>
      <c r="S126" s="148">
        <v>87564.36</v>
      </c>
    </row>
    <row r="127" spans="3:19" ht="12" customHeight="1" x14ac:dyDescent="0.2">
      <c r="C127" s="158" t="s">
        <v>634</v>
      </c>
      <c r="D127" s="158"/>
      <c r="E127" s="158"/>
      <c r="F127" s="158"/>
      <c r="H127" s="76" t="s">
        <v>635</v>
      </c>
      <c r="I127" s="76"/>
      <c r="J127" s="76"/>
      <c r="K127" s="76"/>
      <c r="L127" s="76"/>
      <c r="M127" s="76"/>
      <c r="N127" s="76"/>
      <c r="O127" s="76"/>
      <c r="P127" s="76"/>
      <c r="Q127" s="76"/>
      <c r="S127" s="148">
        <v>0</v>
      </c>
    </row>
    <row r="128" spans="3:19" ht="12" customHeight="1" x14ac:dyDescent="0.2">
      <c r="C128" s="158" t="s">
        <v>621</v>
      </c>
      <c r="D128" s="158"/>
      <c r="E128" s="158"/>
      <c r="F128" s="158"/>
      <c r="H128" s="76" t="s">
        <v>622</v>
      </c>
      <c r="I128" s="76"/>
      <c r="J128" s="76"/>
      <c r="K128" s="76"/>
      <c r="L128" s="76"/>
      <c r="M128" s="76"/>
      <c r="N128" s="76"/>
      <c r="O128" s="76"/>
      <c r="P128" s="76"/>
      <c r="Q128" s="76"/>
      <c r="S128" s="148">
        <v>0</v>
      </c>
    </row>
    <row r="129" spans="1:25" ht="12" customHeight="1" x14ac:dyDescent="0.2">
      <c r="H129" s="156" t="s">
        <v>148</v>
      </c>
      <c r="I129" s="156"/>
      <c r="J129" s="156"/>
      <c r="K129" s="156"/>
      <c r="L129" s="156"/>
      <c r="M129" s="156"/>
      <c r="N129" s="156"/>
      <c r="O129" s="156"/>
      <c r="P129" s="156"/>
      <c r="U129" s="157">
        <f>SUM(S89:S128)</f>
        <v>50000923.050000019</v>
      </c>
      <c r="V129" s="157"/>
      <c r="W129" s="157"/>
      <c r="Y129" s="77"/>
    </row>
    <row r="130" spans="1:25" ht="12" customHeight="1" x14ac:dyDescent="0.2"/>
    <row r="131" spans="1:25" ht="12" customHeight="1" x14ac:dyDescent="0.2">
      <c r="B131" s="156" t="s">
        <v>149</v>
      </c>
      <c r="C131" s="156"/>
      <c r="D131" s="156"/>
      <c r="E131" s="156"/>
      <c r="F131" s="156"/>
      <c r="G131" s="156"/>
      <c r="H131" s="156"/>
      <c r="I131" s="156"/>
      <c r="J131" s="156"/>
      <c r="K131" s="156"/>
    </row>
    <row r="132" spans="1:25" ht="12" customHeight="1" x14ac:dyDescent="0.2">
      <c r="B132" s="147"/>
      <c r="C132" s="158">
        <v>2403</v>
      </c>
      <c r="D132" s="158"/>
      <c r="E132" s="158"/>
      <c r="F132" s="158"/>
      <c r="G132" s="147"/>
      <c r="H132" s="158" t="s">
        <v>664</v>
      </c>
      <c r="I132" s="158"/>
      <c r="J132" s="158"/>
      <c r="K132" s="158"/>
      <c r="L132" s="158"/>
      <c r="M132" s="158"/>
      <c r="N132" s="158"/>
      <c r="O132" s="158"/>
      <c r="P132" s="158"/>
      <c r="Q132" s="158"/>
      <c r="S132" s="148">
        <v>200000</v>
      </c>
    </row>
    <row r="133" spans="1:25" ht="12" customHeight="1" x14ac:dyDescent="0.2">
      <c r="B133" s="147"/>
      <c r="C133" s="158">
        <v>2404</v>
      </c>
      <c r="D133" s="158"/>
      <c r="E133" s="158"/>
      <c r="F133" s="158"/>
      <c r="G133" s="147"/>
      <c r="H133" s="158" t="s">
        <v>665</v>
      </c>
      <c r="I133" s="158"/>
      <c r="J133" s="158"/>
      <c r="K133" s="158"/>
      <c r="L133" s="158"/>
      <c r="M133" s="158"/>
      <c r="N133" s="158"/>
      <c r="O133" s="158"/>
      <c r="P133" s="158"/>
      <c r="Q133" s="158"/>
      <c r="S133" s="148">
        <v>1050000</v>
      </c>
    </row>
    <row r="134" spans="1:25" ht="12" customHeight="1" x14ac:dyDescent="0.2">
      <c r="C134" s="158" t="s">
        <v>150</v>
      </c>
      <c r="D134" s="158"/>
      <c r="E134" s="158"/>
      <c r="F134" s="158"/>
      <c r="H134" s="158" t="s">
        <v>151</v>
      </c>
      <c r="I134" s="158"/>
      <c r="J134" s="158"/>
      <c r="K134" s="158"/>
      <c r="L134" s="158"/>
      <c r="M134" s="158"/>
      <c r="N134" s="158"/>
      <c r="O134" s="158"/>
      <c r="P134" s="158"/>
      <c r="Q134" s="158"/>
      <c r="S134" s="148">
        <v>0</v>
      </c>
    </row>
    <row r="135" spans="1:25" ht="12" customHeight="1" x14ac:dyDescent="0.2">
      <c r="C135" s="158" t="s">
        <v>152</v>
      </c>
      <c r="D135" s="158"/>
      <c r="E135" s="158"/>
      <c r="F135" s="158"/>
      <c r="H135" s="158" t="s">
        <v>153</v>
      </c>
      <c r="I135" s="158"/>
      <c r="J135" s="158"/>
      <c r="K135" s="158"/>
      <c r="L135" s="158"/>
      <c r="M135" s="158"/>
      <c r="N135" s="158"/>
      <c r="O135" s="158"/>
      <c r="P135" s="158"/>
      <c r="Q135" s="158"/>
      <c r="S135" s="148">
        <v>16949.73</v>
      </c>
    </row>
    <row r="136" spans="1:25" ht="12" customHeight="1" x14ac:dyDescent="0.2">
      <c r="C136" s="158" t="s">
        <v>154</v>
      </c>
      <c r="D136" s="158"/>
      <c r="E136" s="158"/>
      <c r="F136" s="158"/>
      <c r="H136" s="158" t="s">
        <v>155</v>
      </c>
      <c r="I136" s="158"/>
      <c r="J136" s="158"/>
      <c r="K136" s="158"/>
      <c r="L136" s="158"/>
      <c r="M136" s="158"/>
      <c r="N136" s="158"/>
      <c r="O136" s="158"/>
      <c r="P136" s="158"/>
      <c r="Q136" s="158"/>
      <c r="S136" s="148">
        <v>4395.7700000000004</v>
      </c>
    </row>
    <row r="137" spans="1:25" ht="12" customHeight="1" x14ac:dyDescent="0.2">
      <c r="C137" s="158" t="s">
        <v>156</v>
      </c>
      <c r="D137" s="158"/>
      <c r="E137" s="158"/>
      <c r="F137" s="158"/>
      <c r="H137" s="158" t="s">
        <v>157</v>
      </c>
      <c r="I137" s="158"/>
      <c r="J137" s="158"/>
      <c r="K137" s="158"/>
      <c r="L137" s="158"/>
      <c r="M137" s="158"/>
      <c r="N137" s="158"/>
      <c r="O137" s="158"/>
      <c r="P137" s="158"/>
      <c r="Q137" s="158"/>
      <c r="S137" s="148">
        <v>20053.36</v>
      </c>
    </row>
    <row r="138" spans="1:25" ht="12" customHeight="1" x14ac:dyDescent="0.2">
      <c r="C138" s="158">
        <v>2434</v>
      </c>
      <c r="D138" s="158"/>
      <c r="E138" s="158"/>
      <c r="F138" s="158"/>
      <c r="H138" s="158" t="s">
        <v>731</v>
      </c>
      <c r="I138" s="158"/>
      <c r="J138" s="158"/>
      <c r="K138" s="158"/>
      <c r="L138" s="158"/>
      <c r="M138" s="158"/>
      <c r="N138" s="158"/>
      <c r="O138" s="158"/>
      <c r="P138" s="158"/>
      <c r="Q138" s="158"/>
      <c r="S138" s="148">
        <v>2013864.81</v>
      </c>
    </row>
    <row r="139" spans="1:25" ht="12" customHeight="1" x14ac:dyDescent="0.2">
      <c r="C139" s="146"/>
      <c r="D139" s="146"/>
      <c r="E139" s="146"/>
      <c r="F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S139" s="148"/>
    </row>
    <row r="140" spans="1:25" ht="12" customHeight="1" x14ac:dyDescent="0.2">
      <c r="H140" s="156" t="s">
        <v>158</v>
      </c>
      <c r="I140" s="156"/>
      <c r="J140" s="156"/>
      <c r="K140" s="156"/>
      <c r="L140" s="156"/>
      <c r="M140" s="156"/>
      <c r="N140" s="156"/>
      <c r="O140" s="156"/>
      <c r="P140" s="156"/>
      <c r="U140" s="160">
        <f>SUM(S132:S138)</f>
        <v>3305263.67</v>
      </c>
      <c r="V140" s="160"/>
      <c r="W140" s="160"/>
    </row>
    <row r="141" spans="1:25" ht="12" customHeight="1" x14ac:dyDescent="0.2"/>
    <row r="142" spans="1:25" ht="12" customHeight="1" x14ac:dyDescent="0.2">
      <c r="I142" s="156" t="s">
        <v>159</v>
      </c>
      <c r="J142" s="156"/>
      <c r="K142" s="156"/>
      <c r="L142" s="156"/>
      <c r="M142" s="156"/>
      <c r="N142" s="156"/>
      <c r="O142" s="156"/>
      <c r="P142" s="156"/>
      <c r="U142" s="157">
        <f>U129+U140</f>
        <v>53306186.720000021</v>
      </c>
      <c r="V142" s="157"/>
      <c r="W142" s="157"/>
    </row>
    <row r="143" spans="1:25" ht="12" customHeight="1" x14ac:dyDescent="0.2"/>
    <row r="144" spans="1:25" ht="12" customHeight="1" x14ac:dyDescent="0.2">
      <c r="A144" s="156" t="s">
        <v>160</v>
      </c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</row>
    <row r="145" spans="3:23" ht="12" customHeight="1" x14ac:dyDescent="0.2">
      <c r="C145" s="158" t="s">
        <v>161</v>
      </c>
      <c r="D145" s="158"/>
      <c r="E145" s="158"/>
      <c r="F145" s="158"/>
      <c r="H145" s="158" t="s">
        <v>162</v>
      </c>
      <c r="I145" s="158"/>
      <c r="J145" s="158"/>
      <c r="K145" s="158"/>
      <c r="L145" s="158"/>
      <c r="M145" s="158"/>
      <c r="N145" s="158"/>
      <c r="O145" s="158"/>
      <c r="P145" s="158"/>
      <c r="Q145" s="158"/>
      <c r="S145" s="148">
        <v>152325</v>
      </c>
    </row>
    <row r="146" spans="3:23" ht="12" customHeight="1" x14ac:dyDescent="0.2">
      <c r="C146" s="158" t="s">
        <v>163</v>
      </c>
      <c r="D146" s="158"/>
      <c r="E146" s="158"/>
      <c r="F146" s="158"/>
      <c r="H146" s="158" t="s">
        <v>164</v>
      </c>
      <c r="I146" s="158"/>
      <c r="J146" s="158"/>
      <c r="K146" s="158"/>
      <c r="L146" s="158"/>
      <c r="M146" s="158"/>
      <c r="N146" s="158"/>
      <c r="O146" s="158"/>
      <c r="P146" s="158"/>
      <c r="Q146" s="158"/>
      <c r="S146" s="148">
        <v>1709758</v>
      </c>
    </row>
    <row r="147" spans="3:23" ht="12" customHeight="1" x14ac:dyDescent="0.2">
      <c r="C147" s="158" t="s">
        <v>165</v>
      </c>
      <c r="D147" s="158"/>
      <c r="E147" s="158"/>
      <c r="F147" s="158"/>
      <c r="H147" s="158" t="s">
        <v>166</v>
      </c>
      <c r="I147" s="158"/>
      <c r="J147" s="158"/>
      <c r="K147" s="158"/>
      <c r="L147" s="158"/>
      <c r="M147" s="158"/>
      <c r="N147" s="158"/>
      <c r="O147" s="158"/>
      <c r="P147" s="158"/>
      <c r="Q147" s="158"/>
      <c r="S147" s="148">
        <v>24047943.850000001</v>
      </c>
    </row>
    <row r="148" spans="3:23" ht="11.25" customHeight="1" x14ac:dyDescent="0.2">
      <c r="C148" s="158" t="s">
        <v>165</v>
      </c>
      <c r="D148" s="158"/>
      <c r="E148" s="158"/>
      <c r="F148" s="158"/>
      <c r="H148" s="158" t="s">
        <v>167</v>
      </c>
      <c r="I148" s="158"/>
      <c r="J148" s="158"/>
      <c r="K148" s="158"/>
      <c r="L148" s="158"/>
      <c r="M148" s="158"/>
      <c r="N148" s="158"/>
      <c r="O148" s="158"/>
      <c r="P148" s="158"/>
      <c r="Q148" s="158"/>
      <c r="S148" s="148">
        <v>-51086.91</v>
      </c>
    </row>
    <row r="149" spans="3:23" ht="11.25" customHeight="1" x14ac:dyDescent="0.2">
      <c r="C149" s="159" t="s">
        <v>546</v>
      </c>
      <c r="D149" s="158"/>
      <c r="E149" s="158"/>
      <c r="F149" s="158"/>
      <c r="H149" s="158" t="s">
        <v>547</v>
      </c>
      <c r="I149" s="158"/>
      <c r="J149" s="158"/>
      <c r="K149" s="158"/>
      <c r="L149" s="158"/>
      <c r="M149" s="158"/>
      <c r="N149" s="158"/>
      <c r="O149" s="158"/>
      <c r="P149" s="158"/>
      <c r="Q149" s="158"/>
      <c r="S149" s="148">
        <v>0</v>
      </c>
    </row>
    <row r="150" spans="3:23" ht="12" customHeight="1" x14ac:dyDescent="0.2">
      <c r="C150" s="158" t="s">
        <v>168</v>
      </c>
      <c r="D150" s="158"/>
      <c r="E150" s="158"/>
      <c r="F150" s="158"/>
      <c r="H150" s="158" t="s">
        <v>169</v>
      </c>
      <c r="I150" s="158"/>
      <c r="J150" s="158"/>
      <c r="K150" s="158"/>
      <c r="L150" s="158"/>
      <c r="M150" s="158"/>
      <c r="N150" s="158"/>
      <c r="O150" s="158"/>
      <c r="P150" s="158"/>
      <c r="Q150" s="158"/>
      <c r="S150" s="148">
        <v>0</v>
      </c>
    </row>
    <row r="151" spans="3:23" ht="12" customHeight="1" x14ac:dyDescent="0.2">
      <c r="C151" s="158" t="s">
        <v>170</v>
      </c>
      <c r="D151" s="158"/>
      <c r="E151" s="158"/>
      <c r="F151" s="158"/>
      <c r="H151" s="158" t="s">
        <v>171</v>
      </c>
      <c r="I151" s="158"/>
      <c r="J151" s="158"/>
      <c r="K151" s="158"/>
      <c r="L151" s="158"/>
      <c r="M151" s="158"/>
      <c r="N151" s="158"/>
      <c r="O151" s="158"/>
      <c r="P151" s="158"/>
      <c r="Q151" s="158"/>
      <c r="S151" s="148">
        <v>-6000</v>
      </c>
    </row>
    <row r="152" spans="3:23" ht="12" customHeight="1" x14ac:dyDescent="0.2">
      <c r="C152" s="158" t="s">
        <v>172</v>
      </c>
      <c r="D152" s="158"/>
      <c r="E152" s="158"/>
      <c r="F152" s="158"/>
      <c r="H152" s="158" t="s">
        <v>173</v>
      </c>
      <c r="I152" s="158"/>
      <c r="J152" s="158"/>
      <c r="K152" s="158"/>
      <c r="L152" s="158"/>
      <c r="M152" s="158"/>
      <c r="N152" s="158"/>
      <c r="O152" s="158"/>
      <c r="P152" s="158"/>
      <c r="Q152" s="158"/>
      <c r="S152" s="148">
        <v>-6000</v>
      </c>
    </row>
    <row r="153" spans="3:23" ht="12" customHeight="1" x14ac:dyDescent="0.2">
      <c r="C153" s="158" t="s">
        <v>174</v>
      </c>
      <c r="D153" s="158"/>
      <c r="E153" s="158"/>
      <c r="F153" s="158"/>
      <c r="H153" s="158" t="s">
        <v>175</v>
      </c>
      <c r="I153" s="158"/>
      <c r="J153" s="158"/>
      <c r="K153" s="158"/>
      <c r="L153" s="158"/>
      <c r="M153" s="158"/>
      <c r="N153" s="158"/>
      <c r="O153" s="158"/>
      <c r="P153" s="158"/>
      <c r="Q153" s="158"/>
      <c r="S153" s="78">
        <v>-6000</v>
      </c>
    </row>
    <row r="154" spans="3:23" ht="12" customHeight="1" x14ac:dyDescent="0.2">
      <c r="C154" s="158">
        <v>3554</v>
      </c>
      <c r="D154" s="158"/>
      <c r="E154" s="158"/>
      <c r="F154" s="158"/>
      <c r="H154" s="158" t="s">
        <v>232</v>
      </c>
      <c r="I154" s="158"/>
      <c r="J154" s="158"/>
      <c r="K154" s="158"/>
      <c r="L154" s="158"/>
      <c r="M154" s="158"/>
      <c r="N154" s="158"/>
      <c r="O154" s="158"/>
      <c r="P154" s="158"/>
      <c r="Q154" s="158"/>
      <c r="S154" s="150">
        <v>0</v>
      </c>
    </row>
    <row r="155" spans="3:23" ht="12" customHeight="1" x14ac:dyDescent="0.2">
      <c r="I155" s="156" t="s">
        <v>176</v>
      </c>
      <c r="J155" s="156"/>
      <c r="K155" s="156"/>
      <c r="L155" s="156"/>
      <c r="M155" s="156"/>
      <c r="N155" s="156"/>
      <c r="O155" s="156"/>
      <c r="P155" s="156"/>
      <c r="U155" s="157">
        <f>SUM(S145:S154)</f>
        <v>25840939.940000001</v>
      </c>
      <c r="V155" s="157"/>
      <c r="W155" s="157"/>
    </row>
    <row r="156" spans="3:23" ht="12" customHeight="1" x14ac:dyDescent="0.2">
      <c r="I156" s="156" t="s">
        <v>177</v>
      </c>
      <c r="J156" s="156"/>
      <c r="K156" s="156"/>
      <c r="L156" s="156"/>
      <c r="M156" s="156"/>
      <c r="N156" s="156"/>
      <c r="O156" s="156"/>
      <c r="P156" s="156"/>
    </row>
    <row r="157" spans="3:23" ht="12" customHeight="1" thickBot="1" x14ac:dyDescent="0.25">
      <c r="I157" s="156"/>
      <c r="J157" s="156"/>
      <c r="K157" s="156"/>
      <c r="L157" s="156"/>
      <c r="M157" s="156"/>
      <c r="N157" s="156"/>
      <c r="O157" s="156"/>
      <c r="P157" s="156"/>
      <c r="U157" s="161">
        <f>U142+U155</f>
        <v>79147126.660000026</v>
      </c>
      <c r="V157" s="161"/>
      <c r="W157" s="161"/>
    </row>
    <row r="158" spans="3:23" ht="12" customHeight="1" thickTop="1" x14ac:dyDescent="0.2">
      <c r="U158" s="157"/>
      <c r="V158" s="157"/>
      <c r="W158" s="157"/>
    </row>
    <row r="159" spans="3:23" ht="12" customHeight="1" x14ac:dyDescent="0.2">
      <c r="U159" s="157"/>
      <c r="V159" s="157"/>
      <c r="W159" s="157"/>
    </row>
    <row r="160" spans="3:23" ht="12" customHeight="1" x14ac:dyDescent="0.2">
      <c r="S160" s="75" t="s">
        <v>405</v>
      </c>
      <c r="U160" s="157">
        <f>U84-U157</f>
        <v>0</v>
      </c>
      <c r="V160" s="157"/>
      <c r="W160" s="157"/>
    </row>
    <row r="161" ht="12" customHeight="1" x14ac:dyDescent="0.2"/>
    <row r="162" ht="12" customHeight="1" x14ac:dyDescent="0.2"/>
    <row r="163" ht="12" customHeight="1" x14ac:dyDescent="0.2"/>
  </sheetData>
  <mergeCells count="192">
    <mergeCell ref="C138:F138"/>
    <mergeCell ref="H138:Q138"/>
    <mergeCell ref="C21:F21"/>
    <mergeCell ref="C22:F22"/>
    <mergeCell ref="C23:F23"/>
    <mergeCell ref="C65:F65"/>
    <mergeCell ref="H65:Q65"/>
    <mergeCell ref="C66:F66"/>
    <mergeCell ref="H66:Q66"/>
    <mergeCell ref="C67:F67"/>
    <mergeCell ref="H67:Q67"/>
    <mergeCell ref="C27:F27"/>
    <mergeCell ref="H59:P59"/>
    <mergeCell ref="C63:F63"/>
    <mergeCell ref="H63:Q63"/>
    <mergeCell ref="C64:F64"/>
    <mergeCell ref="H64:Q64"/>
    <mergeCell ref="C38:F38"/>
    <mergeCell ref="C53:F53"/>
    <mergeCell ref="C42:F42"/>
    <mergeCell ref="C73:F73"/>
    <mergeCell ref="H73:Q73"/>
    <mergeCell ref="C75:F75"/>
    <mergeCell ref="H75:Q75"/>
    <mergeCell ref="C79:F79"/>
    <mergeCell ref="H79:Q79"/>
    <mergeCell ref="C107:F107"/>
    <mergeCell ref="C80:F80"/>
    <mergeCell ref="C78:F78"/>
    <mergeCell ref="H78:Q78"/>
    <mergeCell ref="C74:F74"/>
    <mergeCell ref="C77:F77"/>
    <mergeCell ref="H77:Q77"/>
    <mergeCell ref="H80:Q80"/>
    <mergeCell ref="H81:P81"/>
    <mergeCell ref="C76:F76"/>
    <mergeCell ref="H76:Q76"/>
    <mergeCell ref="C97:F97"/>
    <mergeCell ref="C99:F99"/>
    <mergeCell ref="C100:F100"/>
    <mergeCell ref="C96:F96"/>
    <mergeCell ref="C94:F94"/>
    <mergeCell ref="C95:F95"/>
    <mergeCell ref="C68:F68"/>
    <mergeCell ref="H68:Q68"/>
    <mergeCell ref="C69:F69"/>
    <mergeCell ref="H69:Q69"/>
    <mergeCell ref="C70:F70"/>
    <mergeCell ref="H70:Q70"/>
    <mergeCell ref="C71:F71"/>
    <mergeCell ref="H71:Q71"/>
    <mergeCell ref="C72:F72"/>
    <mergeCell ref="H72:Q72"/>
    <mergeCell ref="A1:X1"/>
    <mergeCell ref="A3:X3"/>
    <mergeCell ref="A4:X4"/>
    <mergeCell ref="A5:M5"/>
    <mergeCell ref="B7:K7"/>
    <mergeCell ref="C10:F10"/>
    <mergeCell ref="C14:F14"/>
    <mergeCell ref="C15:F15"/>
    <mergeCell ref="C16:F16"/>
    <mergeCell ref="C11:F11"/>
    <mergeCell ref="C12:F12"/>
    <mergeCell ref="C13:F13"/>
    <mergeCell ref="C17:F17"/>
    <mergeCell ref="C9:F9"/>
    <mergeCell ref="C37:F37"/>
    <mergeCell ref="C40:F40"/>
    <mergeCell ref="C43:F43"/>
    <mergeCell ref="C50:F50"/>
    <mergeCell ref="C51:F51"/>
    <mergeCell ref="C28:F28"/>
    <mergeCell ref="C29:F29"/>
    <mergeCell ref="C24:F24"/>
    <mergeCell ref="C25:F25"/>
    <mergeCell ref="C26:F26"/>
    <mergeCell ref="C34:F34"/>
    <mergeCell ref="C35:F35"/>
    <mergeCell ref="C36:F36"/>
    <mergeCell ref="C30:F30"/>
    <mergeCell ref="C32:F32"/>
    <mergeCell ref="C33:F33"/>
    <mergeCell ref="C31:F31"/>
    <mergeCell ref="C41:F41"/>
    <mergeCell ref="C39:F39"/>
    <mergeCell ref="C18:F18"/>
    <mergeCell ref="C19:F19"/>
    <mergeCell ref="C20:F20"/>
    <mergeCell ref="U59:W59"/>
    <mergeCell ref="C47:F47"/>
    <mergeCell ref="C48:F48"/>
    <mergeCell ref="C49:F49"/>
    <mergeCell ref="C57:F57"/>
    <mergeCell ref="B61:K61"/>
    <mergeCell ref="C58:F58"/>
    <mergeCell ref="C44:F44"/>
    <mergeCell ref="C45:F45"/>
    <mergeCell ref="C46:F46"/>
    <mergeCell ref="C54:F54"/>
    <mergeCell ref="C52:F52"/>
    <mergeCell ref="C116:F116"/>
    <mergeCell ref="C109:F109"/>
    <mergeCell ref="C111:F111"/>
    <mergeCell ref="C112:F112"/>
    <mergeCell ref="C104:F104"/>
    <mergeCell ref="C106:F106"/>
    <mergeCell ref="C108:F108"/>
    <mergeCell ref="C101:F101"/>
    <mergeCell ref="C102:F102"/>
    <mergeCell ref="C103:F103"/>
    <mergeCell ref="C113:F113"/>
    <mergeCell ref="C114:F114"/>
    <mergeCell ref="C115:F115"/>
    <mergeCell ref="C105:F105"/>
    <mergeCell ref="U81:W81"/>
    <mergeCell ref="C90:F90"/>
    <mergeCell ref="C91:F91"/>
    <mergeCell ref="C93:F93"/>
    <mergeCell ref="I84:P84"/>
    <mergeCell ref="U84:W84"/>
    <mergeCell ref="A86:M86"/>
    <mergeCell ref="B88:K88"/>
    <mergeCell ref="C89:F89"/>
    <mergeCell ref="D83:G83"/>
    <mergeCell ref="H83:Q83"/>
    <mergeCell ref="C92:F92"/>
    <mergeCell ref="C118:F118"/>
    <mergeCell ref="H120:Q120"/>
    <mergeCell ref="H121:Q121"/>
    <mergeCell ref="H122:Q122"/>
    <mergeCell ref="H135:Q135"/>
    <mergeCell ref="H136:Q136"/>
    <mergeCell ref="C119:F119"/>
    <mergeCell ref="H119:Q119"/>
    <mergeCell ref="H129:P129"/>
    <mergeCell ref="C123:F123"/>
    <mergeCell ref="C124:F124"/>
    <mergeCell ref="C133:F133"/>
    <mergeCell ref="C132:F132"/>
    <mergeCell ref="H133:Q133"/>
    <mergeCell ref="H132:Q132"/>
    <mergeCell ref="H118:Q118"/>
    <mergeCell ref="C126:F126"/>
    <mergeCell ref="C117:F117"/>
    <mergeCell ref="C120:F120"/>
    <mergeCell ref="C121:F121"/>
    <mergeCell ref="C122:F122"/>
    <mergeCell ref="C125:F125"/>
    <mergeCell ref="C128:F128"/>
    <mergeCell ref="C110:F110"/>
    <mergeCell ref="C127:F127"/>
    <mergeCell ref="U160:W160"/>
    <mergeCell ref="I155:P155"/>
    <mergeCell ref="U155:W155"/>
    <mergeCell ref="I156:P157"/>
    <mergeCell ref="U157:W157"/>
    <mergeCell ref="U158:W158"/>
    <mergeCell ref="H151:Q151"/>
    <mergeCell ref="C152:F152"/>
    <mergeCell ref="H152:Q152"/>
    <mergeCell ref="C153:F153"/>
    <mergeCell ref="H153:Q153"/>
    <mergeCell ref="C154:F154"/>
    <mergeCell ref="H154:Q154"/>
    <mergeCell ref="C150:F150"/>
    <mergeCell ref="C151:F151"/>
    <mergeCell ref="H150:Q150"/>
    <mergeCell ref="I142:P142"/>
    <mergeCell ref="U142:W142"/>
    <mergeCell ref="A144:M144"/>
    <mergeCell ref="U159:W159"/>
    <mergeCell ref="C145:F145"/>
    <mergeCell ref="H145:Q145"/>
    <mergeCell ref="C146:F146"/>
    <mergeCell ref="U129:W129"/>
    <mergeCell ref="B131:K131"/>
    <mergeCell ref="C134:F134"/>
    <mergeCell ref="H134:Q134"/>
    <mergeCell ref="C136:F136"/>
    <mergeCell ref="C135:F135"/>
    <mergeCell ref="H146:Q146"/>
    <mergeCell ref="C149:F149"/>
    <mergeCell ref="H149:Q149"/>
    <mergeCell ref="H140:P140"/>
    <mergeCell ref="C147:F147"/>
    <mergeCell ref="H147:Q147"/>
    <mergeCell ref="C148:F148"/>
    <mergeCell ref="H148:Q148"/>
    <mergeCell ref="U140:W140"/>
    <mergeCell ref="C137:F137"/>
    <mergeCell ref="H137:Q137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outlinePr summaryBelow="0"/>
    <pageSetUpPr autoPageBreaks="0"/>
  </sheetPr>
  <dimension ref="A1:X70"/>
  <sheetViews>
    <sheetView showGridLines="0" topLeftCell="A25" workbookViewId="0">
      <selection activeCell="AK62" sqref="AK62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4" ht="12" customHeight="1" x14ac:dyDescent="0.2">
      <c r="A2" s="164" t="s">
        <v>735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</row>
    <row r="3" spans="1:24" ht="12" customHeight="1" x14ac:dyDescent="0.2">
      <c r="A3" s="165" t="s">
        <v>194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</row>
    <row r="4" spans="1:24" ht="12" customHeight="1" x14ac:dyDescent="0.2"/>
    <row r="5" spans="1:24" ht="12" customHeight="1" x14ac:dyDescent="0.2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24" ht="12" customHeight="1" x14ac:dyDescent="0.2">
      <c r="B6" s="156" t="s">
        <v>3</v>
      </c>
      <c r="C6" s="156"/>
      <c r="D6" s="156"/>
      <c r="E6" s="156"/>
      <c r="F6" s="156"/>
      <c r="G6" s="156"/>
      <c r="H6" s="156"/>
      <c r="I6" s="156"/>
      <c r="J6" s="156"/>
      <c r="K6" s="156"/>
    </row>
    <row r="7" spans="1:24" ht="12" customHeight="1" x14ac:dyDescent="0.2">
      <c r="C7" s="158" t="s">
        <v>6</v>
      </c>
      <c r="D7" s="158"/>
      <c r="E7" s="158"/>
      <c r="F7" s="158"/>
      <c r="H7" s="158" t="s">
        <v>195</v>
      </c>
      <c r="I7" s="158"/>
      <c r="J7" s="158"/>
      <c r="K7" s="158"/>
      <c r="L7" s="158"/>
      <c r="M7" s="158"/>
      <c r="N7" s="158"/>
      <c r="O7" s="158"/>
      <c r="P7" s="158"/>
      <c r="Q7" s="158"/>
      <c r="S7" s="125">
        <v>834584.21</v>
      </c>
    </row>
    <row r="8" spans="1:24" ht="12" customHeight="1" x14ac:dyDescent="0.2">
      <c r="C8" s="158" t="s">
        <v>16</v>
      </c>
      <c r="D8" s="158"/>
      <c r="E8" s="158"/>
      <c r="F8" s="158"/>
      <c r="H8" s="158" t="s">
        <v>17</v>
      </c>
      <c r="I8" s="158"/>
      <c r="J8" s="158"/>
      <c r="K8" s="158"/>
      <c r="L8" s="158"/>
      <c r="M8" s="158"/>
      <c r="N8" s="158"/>
      <c r="O8" s="158"/>
      <c r="P8" s="158"/>
      <c r="Q8" s="158"/>
      <c r="S8" s="125">
        <v>8625.5300000000007</v>
      </c>
    </row>
    <row r="9" spans="1:24" ht="12" customHeight="1" x14ac:dyDescent="0.2">
      <c r="A9" s="75">
        <v>1235</v>
      </c>
      <c r="C9" s="158" t="s">
        <v>182</v>
      </c>
      <c r="D9" s="158"/>
      <c r="E9" s="158"/>
      <c r="F9" s="158"/>
      <c r="H9" s="158" t="s">
        <v>61</v>
      </c>
      <c r="I9" s="158"/>
      <c r="J9" s="158"/>
      <c r="K9" s="158"/>
      <c r="L9" s="158"/>
      <c r="M9" s="158"/>
      <c r="N9" s="158"/>
      <c r="O9" s="158"/>
      <c r="P9" s="158"/>
      <c r="Q9" s="158"/>
      <c r="S9" s="125"/>
    </row>
    <row r="10" spans="1:24" ht="12" customHeight="1" x14ac:dyDescent="0.2">
      <c r="C10" s="158" t="s">
        <v>182</v>
      </c>
      <c r="D10" s="158"/>
      <c r="E10" s="158"/>
      <c r="F10" s="158"/>
      <c r="H10" s="158" t="s">
        <v>183</v>
      </c>
      <c r="I10" s="158"/>
      <c r="J10" s="158"/>
      <c r="K10" s="158"/>
      <c r="L10" s="158"/>
      <c r="M10" s="158"/>
      <c r="N10" s="158"/>
      <c r="O10" s="158"/>
      <c r="P10" s="158"/>
      <c r="Q10" s="158"/>
      <c r="S10" s="145">
        <v>6700000</v>
      </c>
    </row>
    <row r="11" spans="1:24" ht="12" customHeight="1" x14ac:dyDescent="0.2">
      <c r="C11" s="158">
        <v>1239</v>
      </c>
      <c r="D11" s="158"/>
      <c r="E11" s="158"/>
      <c r="F11" s="158"/>
      <c r="H11" s="158" t="s">
        <v>45</v>
      </c>
      <c r="I11" s="158"/>
      <c r="J11" s="158"/>
      <c r="K11" s="158"/>
      <c r="L11" s="158"/>
      <c r="M11" s="158"/>
      <c r="N11" s="158"/>
      <c r="O11" s="158"/>
      <c r="P11" s="158"/>
      <c r="Q11" s="158"/>
      <c r="S11" s="125">
        <v>147313.51999999999</v>
      </c>
    </row>
    <row r="12" spans="1:24" ht="12" customHeight="1" x14ac:dyDescent="0.2">
      <c r="C12" s="158" t="s">
        <v>46</v>
      </c>
      <c r="D12" s="158"/>
      <c r="E12" s="158"/>
      <c r="F12" s="158"/>
      <c r="H12" s="158" t="s">
        <v>196</v>
      </c>
      <c r="I12" s="158"/>
      <c r="J12" s="158"/>
      <c r="K12" s="158"/>
      <c r="L12" s="158"/>
      <c r="M12" s="158"/>
      <c r="N12" s="158"/>
      <c r="O12" s="158"/>
      <c r="P12" s="158"/>
      <c r="Q12" s="158"/>
      <c r="S12" s="125">
        <v>1638</v>
      </c>
    </row>
    <row r="13" spans="1:24" ht="12" customHeight="1" x14ac:dyDescent="0.2">
      <c r="C13" s="158" t="s">
        <v>48</v>
      </c>
      <c r="D13" s="158"/>
      <c r="E13" s="158"/>
      <c r="F13" s="158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95382.78</v>
      </c>
    </row>
    <row r="14" spans="1:24" ht="12" customHeight="1" x14ac:dyDescent="0.2">
      <c r="C14" s="158">
        <v>1243</v>
      </c>
      <c r="D14" s="158"/>
      <c r="E14" s="158"/>
      <c r="F14" s="158"/>
      <c r="H14" s="124" t="s">
        <v>627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58" t="s">
        <v>197</v>
      </c>
      <c r="D15" s="158"/>
      <c r="E15" s="158"/>
      <c r="F15" s="158"/>
      <c r="H15" s="158" t="s">
        <v>198</v>
      </c>
      <c r="I15" s="158"/>
      <c r="J15" s="158"/>
      <c r="K15" s="158"/>
      <c r="L15" s="158"/>
      <c r="M15" s="158"/>
      <c r="N15" s="158"/>
      <c r="O15" s="158"/>
      <c r="P15" s="158"/>
      <c r="Q15" s="158"/>
      <c r="S15" s="125">
        <v>27192.05</v>
      </c>
    </row>
    <row r="16" spans="1:24" ht="12" customHeight="1" x14ac:dyDescent="0.2">
      <c r="C16" s="158">
        <v>1251</v>
      </c>
      <c r="D16" s="158"/>
      <c r="E16" s="158"/>
      <c r="F16" s="158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136318.44</v>
      </c>
    </row>
    <row r="17" spans="2:23" ht="12" customHeight="1" x14ac:dyDescent="0.2">
      <c r="C17" s="158">
        <v>1252</v>
      </c>
      <c r="D17" s="158"/>
      <c r="E17" s="158"/>
      <c r="F17" s="158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8000</v>
      </c>
    </row>
    <row r="18" spans="2:23" ht="12" customHeight="1" x14ac:dyDescent="0.2">
      <c r="C18" s="158">
        <v>1253</v>
      </c>
      <c r="D18" s="158"/>
      <c r="E18" s="158"/>
      <c r="F18" s="158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127">
        <v>60807.57</v>
      </c>
    </row>
    <row r="19" spans="2:23" ht="12" customHeight="1" x14ac:dyDescent="0.2">
      <c r="H19" s="156" t="s">
        <v>73</v>
      </c>
      <c r="I19" s="156"/>
      <c r="J19" s="156"/>
      <c r="K19" s="156"/>
      <c r="L19" s="156"/>
      <c r="M19" s="156"/>
      <c r="N19" s="156"/>
      <c r="O19" s="156"/>
      <c r="P19" s="156"/>
      <c r="U19" s="157">
        <f>SUM(S7:S18)</f>
        <v>8019862.1000000006</v>
      </c>
      <c r="V19" s="157"/>
      <c r="W19" s="157"/>
    </row>
    <row r="20" spans="2:23" ht="12" customHeight="1" x14ac:dyDescent="0.2"/>
    <row r="21" spans="2:23" ht="12" customHeight="1" x14ac:dyDescent="0.2">
      <c r="B21" s="156" t="s">
        <v>74</v>
      </c>
      <c r="C21" s="156"/>
      <c r="D21" s="156"/>
      <c r="E21" s="156"/>
      <c r="F21" s="156"/>
      <c r="G21" s="156"/>
      <c r="H21" s="156"/>
      <c r="I21" s="156"/>
      <c r="J21" s="156"/>
      <c r="K21" s="156"/>
    </row>
    <row r="22" spans="2:23" ht="12" customHeight="1" x14ac:dyDescent="0.2">
      <c r="C22" s="158" t="s">
        <v>75</v>
      </c>
      <c r="D22" s="158"/>
      <c r="E22" s="158"/>
      <c r="F22" s="158"/>
      <c r="H22" s="158" t="s">
        <v>186</v>
      </c>
      <c r="I22" s="158"/>
      <c r="J22" s="158"/>
      <c r="K22" s="158"/>
      <c r="L22" s="158"/>
      <c r="M22" s="158"/>
      <c r="N22" s="158"/>
      <c r="O22" s="158"/>
      <c r="P22" s="158"/>
      <c r="Q22" s="158"/>
      <c r="S22" s="125">
        <v>138413.75</v>
      </c>
    </row>
    <row r="23" spans="2:23" ht="12" customHeight="1" x14ac:dyDescent="0.2">
      <c r="C23" s="158" t="s">
        <v>81</v>
      </c>
      <c r="D23" s="158"/>
      <c r="E23" s="158"/>
      <c r="F23" s="158"/>
      <c r="H23" s="158" t="s">
        <v>201</v>
      </c>
      <c r="I23" s="158"/>
      <c r="J23" s="158"/>
      <c r="K23" s="158"/>
      <c r="L23" s="158"/>
      <c r="M23" s="158"/>
      <c r="N23" s="158"/>
      <c r="O23" s="158"/>
      <c r="P23" s="158"/>
      <c r="Q23" s="158"/>
      <c r="S23" s="125">
        <v>193555.25</v>
      </c>
    </row>
    <row r="24" spans="2:23" ht="12" customHeight="1" x14ac:dyDescent="0.2">
      <c r="C24" s="158" t="s">
        <v>87</v>
      </c>
      <c r="D24" s="158"/>
      <c r="E24" s="158"/>
      <c r="F24" s="158"/>
      <c r="H24" s="158" t="s">
        <v>88</v>
      </c>
      <c r="I24" s="158"/>
      <c r="J24" s="158"/>
      <c r="K24" s="158"/>
      <c r="L24" s="158"/>
      <c r="M24" s="158"/>
      <c r="N24" s="158"/>
      <c r="O24" s="158"/>
      <c r="P24" s="158"/>
      <c r="Q24" s="158"/>
      <c r="S24" s="125">
        <v>734062.14</v>
      </c>
    </row>
    <row r="25" spans="2:23" ht="12" customHeight="1" x14ac:dyDescent="0.2">
      <c r="C25" s="158">
        <v>1335</v>
      </c>
      <c r="D25" s="158"/>
      <c r="E25" s="158"/>
      <c r="F25" s="158"/>
      <c r="H25" s="158" t="s">
        <v>720</v>
      </c>
      <c r="I25" s="158"/>
      <c r="J25" s="158"/>
      <c r="K25" s="158"/>
      <c r="L25" s="158"/>
      <c r="M25" s="158"/>
      <c r="N25" s="158"/>
      <c r="O25" s="158"/>
      <c r="P25" s="158"/>
      <c r="Q25" s="158"/>
      <c r="S25" s="145">
        <v>22262</v>
      </c>
    </row>
    <row r="26" spans="2:23" ht="12" customHeight="1" x14ac:dyDescent="0.2">
      <c r="C26" s="158">
        <v>1335</v>
      </c>
      <c r="D26" s="158"/>
      <c r="E26" s="158"/>
      <c r="F26" s="158"/>
      <c r="H26" s="94" t="s">
        <v>94</v>
      </c>
      <c r="I26" s="124"/>
      <c r="J26" s="124"/>
      <c r="K26" s="124"/>
      <c r="L26" s="124"/>
      <c r="M26" s="124"/>
      <c r="N26" s="124"/>
      <c r="O26" s="124"/>
      <c r="P26" s="124"/>
      <c r="Q26" s="124"/>
      <c r="S26" s="125">
        <v>557749</v>
      </c>
    </row>
    <row r="27" spans="2:23" ht="12" customHeight="1" x14ac:dyDescent="0.2">
      <c r="C27" s="158" t="s">
        <v>99</v>
      </c>
      <c r="D27" s="158"/>
      <c r="E27" s="158"/>
      <c r="F27" s="158"/>
      <c r="H27" s="158" t="s">
        <v>187</v>
      </c>
      <c r="I27" s="158"/>
      <c r="J27" s="158"/>
      <c r="K27" s="158"/>
      <c r="L27" s="158"/>
      <c r="M27" s="158"/>
      <c r="N27" s="158"/>
      <c r="O27" s="158"/>
      <c r="P27" s="158"/>
      <c r="Q27" s="158"/>
      <c r="S27" s="126">
        <v>-879190.39</v>
      </c>
    </row>
    <row r="28" spans="2:23" ht="12" customHeight="1" x14ac:dyDescent="0.2">
      <c r="H28" s="156" t="s">
        <v>103</v>
      </c>
      <c r="I28" s="156"/>
      <c r="J28" s="156"/>
      <c r="K28" s="156"/>
      <c r="L28" s="156"/>
      <c r="M28" s="156"/>
      <c r="N28" s="156"/>
      <c r="O28" s="156"/>
      <c r="P28" s="156"/>
      <c r="U28" s="160">
        <f>SUM(S22:S27)</f>
        <v>766851.75000000012</v>
      </c>
      <c r="V28" s="160"/>
      <c r="W28" s="160"/>
    </row>
    <row r="29" spans="2:23" ht="12" customHeight="1" x14ac:dyDescent="0.2"/>
    <row r="30" spans="2:23" ht="12" customHeight="1" x14ac:dyDescent="0.2">
      <c r="B30" s="156" t="s">
        <v>218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33"/>
      <c r="M30" s="133"/>
      <c r="N30" s="133"/>
      <c r="O30" s="133"/>
      <c r="P30" s="133"/>
      <c r="U30" s="78"/>
      <c r="V30" s="78"/>
      <c r="W30" s="78"/>
    </row>
    <row r="31" spans="2:23" ht="12" customHeight="1" x14ac:dyDescent="0.2">
      <c r="C31" s="158">
        <v>1420</v>
      </c>
      <c r="D31" s="158"/>
      <c r="E31" s="158"/>
      <c r="F31" s="158"/>
      <c r="H31" s="158" t="s">
        <v>697</v>
      </c>
      <c r="I31" s="158"/>
      <c r="J31" s="158"/>
      <c r="K31" s="158"/>
      <c r="L31" s="158"/>
      <c r="M31" s="158"/>
      <c r="N31" s="158"/>
      <c r="O31" s="158"/>
      <c r="P31" s="158"/>
      <c r="Q31" s="158"/>
      <c r="S31" s="141">
        <v>3361.66</v>
      </c>
      <c r="U31" s="78"/>
      <c r="V31" s="78"/>
      <c r="W31" s="78"/>
    </row>
    <row r="32" spans="2:23" ht="12" customHeight="1" x14ac:dyDescent="0.2">
      <c r="I32" s="133"/>
      <c r="J32" s="133"/>
      <c r="K32" s="133"/>
      <c r="L32" s="133"/>
      <c r="M32" s="133"/>
      <c r="N32" s="133"/>
      <c r="O32" s="133"/>
      <c r="P32" s="133"/>
      <c r="U32" s="78"/>
      <c r="V32" s="78"/>
      <c r="W32" s="78"/>
    </row>
    <row r="33" spans="1:23" ht="12" customHeight="1" thickBot="1" x14ac:dyDescent="0.25">
      <c r="I33" s="156" t="s">
        <v>104</v>
      </c>
      <c r="J33" s="156"/>
      <c r="K33" s="156"/>
      <c r="L33" s="156"/>
      <c r="M33" s="156"/>
      <c r="N33" s="156"/>
      <c r="O33" s="156"/>
      <c r="P33" s="156"/>
      <c r="U33" s="163">
        <f>U19+U28+S31</f>
        <v>8790075.5100000016</v>
      </c>
      <c r="V33" s="163"/>
      <c r="W33" s="163"/>
    </row>
    <row r="34" spans="1:23" ht="12" customHeight="1" thickTop="1" x14ac:dyDescent="0.2"/>
    <row r="35" spans="1:23" ht="12" customHeight="1" x14ac:dyDescent="0.2">
      <c r="A35" s="156" t="s">
        <v>105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  <row r="36" spans="1:23" ht="12" customHeight="1" x14ac:dyDescent="0.2">
      <c r="B36" s="156" t="s">
        <v>106</v>
      </c>
      <c r="C36" s="156"/>
      <c r="D36" s="156"/>
      <c r="E36" s="156"/>
      <c r="F36" s="156"/>
      <c r="G36" s="156"/>
      <c r="H36" s="156"/>
      <c r="I36" s="156"/>
      <c r="J36" s="156"/>
      <c r="K36" s="156"/>
    </row>
    <row r="37" spans="1:23" ht="12" customHeight="1" x14ac:dyDescent="0.2">
      <c r="C37" s="158" t="s">
        <v>109</v>
      </c>
      <c r="D37" s="158"/>
      <c r="E37" s="158"/>
      <c r="F37" s="158"/>
      <c r="H37" s="158" t="s">
        <v>110</v>
      </c>
      <c r="I37" s="158"/>
      <c r="J37" s="158"/>
      <c r="K37" s="158"/>
      <c r="L37" s="158"/>
      <c r="M37" s="158"/>
      <c r="N37" s="158"/>
      <c r="O37" s="158"/>
      <c r="P37" s="158"/>
      <c r="Q37" s="158"/>
      <c r="S37" s="125">
        <v>22153.119999999999</v>
      </c>
    </row>
    <row r="38" spans="1:23" ht="12" customHeight="1" x14ac:dyDescent="0.2">
      <c r="C38" s="158">
        <v>2124</v>
      </c>
      <c r="D38" s="158"/>
      <c r="E38" s="158"/>
      <c r="F38" s="158"/>
      <c r="H38" s="94" t="s">
        <v>395</v>
      </c>
      <c r="I38" s="124"/>
      <c r="J38" s="124"/>
      <c r="K38" s="124"/>
      <c r="L38" s="124"/>
      <c r="M38" s="124"/>
      <c r="N38" s="124"/>
      <c r="O38" s="124"/>
      <c r="P38" s="124"/>
      <c r="Q38" s="124"/>
      <c r="S38" s="125">
        <v>5.85</v>
      </c>
    </row>
    <row r="39" spans="1:23" ht="12" customHeight="1" x14ac:dyDescent="0.2">
      <c r="C39" s="158">
        <v>2125</v>
      </c>
      <c r="D39" s="158"/>
      <c r="E39" s="158"/>
      <c r="F39" s="158"/>
      <c r="H39" s="124" t="s">
        <v>238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/>
    </row>
    <row r="40" spans="1:23" ht="12" customHeight="1" x14ac:dyDescent="0.2">
      <c r="C40" s="158" t="s">
        <v>117</v>
      </c>
      <c r="D40" s="158"/>
      <c r="E40" s="158"/>
      <c r="F40" s="158"/>
      <c r="H40" s="158" t="s">
        <v>118</v>
      </c>
      <c r="I40" s="158"/>
      <c r="J40" s="158"/>
      <c r="K40" s="158"/>
      <c r="L40" s="158"/>
      <c r="M40" s="158"/>
      <c r="N40" s="158"/>
      <c r="O40" s="158"/>
      <c r="P40" s="158"/>
      <c r="Q40" s="158"/>
      <c r="S40" s="125">
        <v>354103.58</v>
      </c>
    </row>
    <row r="41" spans="1:23" ht="12" customHeight="1" x14ac:dyDescent="0.2">
      <c r="C41" s="158" t="s">
        <v>119</v>
      </c>
      <c r="D41" s="158"/>
      <c r="E41" s="158"/>
      <c r="F41" s="158"/>
      <c r="H41" s="158" t="s">
        <v>190</v>
      </c>
      <c r="I41" s="158"/>
      <c r="J41" s="158"/>
      <c r="K41" s="158"/>
      <c r="L41" s="158"/>
      <c r="M41" s="158"/>
      <c r="N41" s="158"/>
      <c r="O41" s="158"/>
      <c r="P41" s="158"/>
      <c r="Q41" s="158"/>
      <c r="S41" s="125">
        <v>22209.67</v>
      </c>
    </row>
    <row r="42" spans="1:23" ht="12" customHeight="1" x14ac:dyDescent="0.2">
      <c r="C42" s="158">
        <v>2215</v>
      </c>
      <c r="D42" s="158"/>
      <c r="E42" s="158"/>
      <c r="F42" s="158"/>
      <c r="H42" s="158" t="s">
        <v>637</v>
      </c>
      <c r="I42" s="158"/>
      <c r="J42" s="158"/>
      <c r="K42" s="158"/>
      <c r="L42" s="158"/>
      <c r="M42" s="158"/>
      <c r="N42" s="158"/>
      <c r="O42" s="158"/>
      <c r="P42" s="158"/>
      <c r="Q42" s="158"/>
      <c r="S42" s="125"/>
    </row>
    <row r="43" spans="1:23" ht="12" customHeight="1" x14ac:dyDescent="0.2">
      <c r="C43" s="158" t="s">
        <v>125</v>
      </c>
      <c r="D43" s="158"/>
      <c r="E43" s="158"/>
      <c r="F43" s="158"/>
      <c r="H43" s="158" t="s">
        <v>202</v>
      </c>
      <c r="I43" s="158"/>
      <c r="J43" s="158"/>
      <c r="K43" s="158"/>
      <c r="L43" s="158"/>
      <c r="M43" s="158"/>
      <c r="N43" s="158"/>
      <c r="O43" s="158"/>
      <c r="P43" s="158"/>
      <c r="Q43" s="158"/>
      <c r="S43" s="125">
        <v>2040.28</v>
      </c>
    </row>
    <row r="44" spans="1:23" ht="12" customHeight="1" x14ac:dyDescent="0.2">
      <c r="C44" s="158" t="s">
        <v>127</v>
      </c>
      <c r="D44" s="158"/>
      <c r="E44" s="158"/>
      <c r="F44" s="158"/>
      <c r="H44" s="158" t="s">
        <v>203</v>
      </c>
      <c r="I44" s="158"/>
      <c r="J44" s="158"/>
      <c r="K44" s="158"/>
      <c r="L44" s="158"/>
      <c r="M44" s="158"/>
      <c r="N44" s="158"/>
      <c r="O44" s="158"/>
      <c r="P44" s="158"/>
      <c r="Q44" s="158"/>
      <c r="S44" s="125">
        <v>57795.66</v>
      </c>
    </row>
    <row r="45" spans="1:23" ht="12" customHeight="1" x14ac:dyDescent="0.2">
      <c r="C45" s="158" t="s">
        <v>129</v>
      </c>
      <c r="D45" s="158"/>
      <c r="E45" s="158"/>
      <c r="F45" s="158"/>
      <c r="H45" s="158" t="s">
        <v>191</v>
      </c>
      <c r="I45" s="158"/>
      <c r="J45" s="158"/>
      <c r="K45" s="158"/>
      <c r="L45" s="158"/>
      <c r="M45" s="158"/>
      <c r="N45" s="158"/>
      <c r="O45" s="158"/>
      <c r="P45" s="158"/>
      <c r="Q45" s="158"/>
      <c r="S45" s="125">
        <v>222</v>
      </c>
    </row>
    <row r="46" spans="1:23" ht="12" customHeight="1" x14ac:dyDescent="0.2">
      <c r="C46" s="158">
        <v>2241</v>
      </c>
      <c r="D46" s="158"/>
      <c r="E46" s="158"/>
      <c r="F46" s="158"/>
      <c r="H46" s="158" t="s">
        <v>684</v>
      </c>
      <c r="I46" s="158"/>
      <c r="J46" s="158"/>
      <c r="K46" s="158"/>
      <c r="L46" s="158"/>
      <c r="M46" s="158"/>
      <c r="N46" s="158"/>
      <c r="O46" s="158"/>
      <c r="P46" s="158"/>
      <c r="Q46" s="158"/>
      <c r="S46" s="125">
        <v>-792</v>
      </c>
    </row>
    <row r="47" spans="1:23" ht="12" customHeight="1" x14ac:dyDescent="0.2">
      <c r="C47" s="158" t="s">
        <v>204</v>
      </c>
      <c r="D47" s="158"/>
      <c r="E47" s="158"/>
      <c r="F47" s="158"/>
      <c r="H47" s="158" t="s">
        <v>205</v>
      </c>
      <c r="I47" s="158"/>
      <c r="J47" s="158"/>
      <c r="K47" s="158"/>
      <c r="L47" s="158"/>
      <c r="M47" s="158"/>
      <c r="N47" s="158"/>
      <c r="O47" s="158"/>
      <c r="P47" s="158"/>
      <c r="Q47" s="158"/>
      <c r="S47" s="125">
        <v>107713.58</v>
      </c>
    </row>
    <row r="48" spans="1:23" ht="12" customHeight="1" x14ac:dyDescent="0.2">
      <c r="H48" s="156" t="s">
        <v>148</v>
      </c>
      <c r="I48" s="156"/>
      <c r="J48" s="156"/>
      <c r="K48" s="156"/>
      <c r="L48" s="156"/>
      <c r="M48" s="156"/>
      <c r="N48" s="156"/>
      <c r="O48" s="156"/>
      <c r="P48" s="156"/>
      <c r="U48" s="166">
        <f>SUM(S37:S47)</f>
        <v>565451.74</v>
      </c>
      <c r="V48" s="166"/>
      <c r="W48" s="166"/>
    </row>
    <row r="49" spans="1:23" ht="12" customHeight="1" x14ac:dyDescent="0.2">
      <c r="I49" s="156" t="s">
        <v>159</v>
      </c>
      <c r="J49" s="156"/>
      <c r="K49" s="156"/>
      <c r="L49" s="156"/>
      <c r="M49" s="156"/>
      <c r="N49" s="156"/>
      <c r="O49" s="156"/>
      <c r="P49" s="156"/>
      <c r="U49" s="167">
        <f>U48</f>
        <v>565451.74</v>
      </c>
      <c r="V49" s="167"/>
      <c r="W49" s="167"/>
    </row>
    <row r="50" spans="1:23" ht="12" customHeight="1" x14ac:dyDescent="0.2"/>
    <row r="51" spans="1:23" ht="12" customHeight="1" x14ac:dyDescent="0.2">
      <c r="A51" s="156" t="s">
        <v>105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</row>
    <row r="52" spans="1:23" ht="12" customHeight="1" x14ac:dyDescent="0.2">
      <c r="B52" s="156" t="s">
        <v>149</v>
      </c>
      <c r="C52" s="156"/>
      <c r="D52" s="156"/>
      <c r="E52" s="156"/>
      <c r="F52" s="156"/>
      <c r="G52" s="156"/>
      <c r="H52" s="156"/>
      <c r="I52" s="156"/>
      <c r="J52" s="156"/>
      <c r="K52" s="156"/>
    </row>
    <row r="53" spans="1:23" ht="12" customHeight="1" x14ac:dyDescent="0.2">
      <c r="C53" s="158">
        <v>2402</v>
      </c>
      <c r="D53" s="158"/>
      <c r="E53" s="158"/>
      <c r="F53" s="158"/>
      <c r="H53" s="158" t="s">
        <v>555</v>
      </c>
      <c r="I53" s="158"/>
      <c r="J53" s="158"/>
      <c r="K53" s="158"/>
      <c r="L53" s="158"/>
      <c r="M53" s="158"/>
      <c r="N53" s="158"/>
      <c r="O53" s="158"/>
      <c r="P53" s="158"/>
      <c r="Q53" s="158"/>
      <c r="S53" s="125">
        <v>25000</v>
      </c>
    </row>
    <row r="54" spans="1:23" ht="12" customHeight="1" x14ac:dyDescent="0.2">
      <c r="H54" s="156" t="s">
        <v>148</v>
      </c>
      <c r="I54" s="156"/>
      <c r="J54" s="156"/>
      <c r="K54" s="156"/>
      <c r="L54" s="156"/>
      <c r="M54" s="156"/>
      <c r="N54" s="156"/>
      <c r="O54" s="156"/>
      <c r="P54" s="156"/>
      <c r="U54" s="166">
        <f>SUM(S53:S53)</f>
        <v>25000</v>
      </c>
      <c r="V54" s="166"/>
      <c r="W54" s="166"/>
    </row>
    <row r="55" spans="1:23" ht="12" customHeight="1" x14ac:dyDescent="0.2">
      <c r="I55" s="156" t="s">
        <v>159</v>
      </c>
      <c r="J55" s="156"/>
      <c r="K55" s="156"/>
      <c r="L55" s="156"/>
      <c r="M55" s="156"/>
      <c r="N55" s="156"/>
      <c r="O55" s="156"/>
      <c r="P55" s="156"/>
      <c r="U55" s="167">
        <f>U54</f>
        <v>25000</v>
      </c>
      <c r="V55" s="167"/>
      <c r="W55" s="167"/>
    </row>
    <row r="56" spans="1:23" ht="12" customHeight="1" x14ac:dyDescent="0.2">
      <c r="A56" s="156" t="s">
        <v>160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</row>
    <row r="57" spans="1:23" ht="12" customHeight="1" x14ac:dyDescent="0.2">
      <c r="C57" s="158" t="s">
        <v>161</v>
      </c>
      <c r="D57" s="158"/>
      <c r="E57" s="158"/>
      <c r="F57" s="158"/>
      <c r="H57" s="158" t="s">
        <v>162</v>
      </c>
      <c r="I57" s="158"/>
      <c r="J57" s="158"/>
      <c r="K57" s="158"/>
      <c r="L57" s="158"/>
      <c r="M57" s="158"/>
      <c r="N57" s="158"/>
      <c r="O57" s="158"/>
      <c r="P57" s="158"/>
      <c r="Q57" s="158"/>
      <c r="S57" s="125">
        <v>1000</v>
      </c>
    </row>
    <row r="58" spans="1:23" ht="12" customHeight="1" x14ac:dyDescent="0.2">
      <c r="C58" s="158" t="s">
        <v>165</v>
      </c>
      <c r="D58" s="158"/>
      <c r="E58" s="158"/>
      <c r="F58" s="158"/>
      <c r="H58" s="158" t="s">
        <v>166</v>
      </c>
      <c r="I58" s="158"/>
      <c r="J58" s="158"/>
      <c r="K58" s="158"/>
      <c r="L58" s="158"/>
      <c r="M58" s="158"/>
      <c r="N58" s="158"/>
      <c r="O58" s="158"/>
      <c r="P58" s="158"/>
      <c r="Q58" s="158"/>
      <c r="S58" s="143">
        <v>1552479.9</v>
      </c>
      <c r="W58" s="143"/>
    </row>
    <row r="59" spans="1:23" ht="12" customHeight="1" x14ac:dyDescent="0.2">
      <c r="C59" s="158" t="s">
        <v>165</v>
      </c>
      <c r="D59" s="158"/>
      <c r="E59" s="158"/>
      <c r="F59" s="158"/>
      <c r="H59" s="158" t="s">
        <v>193</v>
      </c>
      <c r="I59" s="158"/>
      <c r="J59" s="158"/>
      <c r="K59" s="158"/>
      <c r="L59" s="158"/>
      <c r="M59" s="158"/>
      <c r="N59" s="158"/>
      <c r="O59" s="158"/>
      <c r="P59" s="158"/>
      <c r="Q59" s="158"/>
      <c r="S59" s="143">
        <v>0</v>
      </c>
    </row>
    <row r="60" spans="1:23" ht="12" customHeight="1" x14ac:dyDescent="0.2">
      <c r="C60" s="158" t="s">
        <v>206</v>
      </c>
      <c r="D60" s="158"/>
      <c r="E60" s="158"/>
      <c r="F60" s="158"/>
      <c r="H60" s="158" t="s">
        <v>207</v>
      </c>
      <c r="I60" s="158"/>
      <c r="J60" s="158"/>
      <c r="K60" s="158"/>
      <c r="L60" s="158"/>
      <c r="M60" s="158"/>
      <c r="N60" s="158"/>
      <c r="O60" s="158"/>
      <c r="P60" s="158"/>
      <c r="Q60" s="158"/>
      <c r="S60" s="125">
        <v>33230.769999999997</v>
      </c>
    </row>
    <row r="61" spans="1:23" ht="12" customHeight="1" x14ac:dyDescent="0.2">
      <c r="C61" s="158" t="s">
        <v>208</v>
      </c>
      <c r="D61" s="158"/>
      <c r="E61" s="158"/>
      <c r="F61" s="158"/>
      <c r="H61" s="158" t="s">
        <v>209</v>
      </c>
      <c r="I61" s="158"/>
      <c r="J61" s="158"/>
      <c r="K61" s="158"/>
      <c r="L61" s="158"/>
      <c r="M61" s="158"/>
      <c r="N61" s="158"/>
      <c r="O61" s="158"/>
      <c r="P61" s="158"/>
      <c r="Q61" s="158"/>
      <c r="S61" s="125">
        <v>2193227.4500000002</v>
      </c>
    </row>
    <row r="62" spans="1:23" ht="12" customHeight="1" x14ac:dyDescent="0.2">
      <c r="C62" s="158" t="s">
        <v>210</v>
      </c>
      <c r="D62" s="158"/>
      <c r="E62" s="158"/>
      <c r="F62" s="158"/>
      <c r="H62" s="158" t="s">
        <v>211</v>
      </c>
      <c r="I62" s="158"/>
      <c r="J62" s="158"/>
      <c r="K62" s="158"/>
      <c r="L62" s="158"/>
      <c r="M62" s="158"/>
      <c r="N62" s="158"/>
      <c r="O62" s="158"/>
      <c r="P62" s="158"/>
      <c r="Q62" s="158"/>
      <c r="S62" s="125">
        <v>2193227.4500000002</v>
      </c>
    </row>
    <row r="63" spans="1:23" ht="12" customHeight="1" x14ac:dyDescent="0.2">
      <c r="C63" s="158" t="s">
        <v>212</v>
      </c>
      <c r="D63" s="158"/>
      <c r="E63" s="158"/>
      <c r="F63" s="158"/>
      <c r="H63" s="158" t="s">
        <v>213</v>
      </c>
      <c r="I63" s="158"/>
      <c r="J63" s="158"/>
      <c r="K63" s="158"/>
      <c r="L63" s="158"/>
      <c r="M63" s="158"/>
      <c r="N63" s="158"/>
      <c r="O63" s="158"/>
      <c r="P63" s="158"/>
      <c r="Q63" s="158"/>
      <c r="S63" s="125">
        <v>2193227.4500000002</v>
      </c>
    </row>
    <row r="64" spans="1:23" ht="12" customHeight="1" x14ac:dyDescent="0.2">
      <c r="C64" s="158" t="s">
        <v>214</v>
      </c>
      <c r="D64" s="158"/>
      <c r="E64" s="158"/>
      <c r="F64" s="158"/>
      <c r="H64" s="158" t="s">
        <v>215</v>
      </c>
      <c r="I64" s="158"/>
      <c r="J64" s="158"/>
      <c r="K64" s="158"/>
      <c r="L64" s="158"/>
      <c r="M64" s="158"/>
      <c r="N64" s="158"/>
      <c r="O64" s="158"/>
      <c r="P64" s="158"/>
      <c r="Q64" s="158"/>
      <c r="S64" s="127">
        <v>33230.75</v>
      </c>
    </row>
    <row r="65" spans="9:23" ht="12" customHeight="1" x14ac:dyDescent="0.2">
      <c r="I65" s="156" t="s">
        <v>176</v>
      </c>
      <c r="J65" s="156"/>
      <c r="K65" s="156"/>
      <c r="L65" s="156"/>
      <c r="M65" s="156"/>
      <c r="N65" s="156"/>
      <c r="O65" s="156"/>
      <c r="P65" s="156"/>
      <c r="U65" s="166">
        <f>SUM(S57:S64)</f>
        <v>8199623.7700000005</v>
      </c>
      <c r="V65" s="166"/>
      <c r="W65" s="166"/>
    </row>
    <row r="66" spans="9:23" ht="12" customHeight="1" x14ac:dyDescent="0.2">
      <c r="I66" s="156" t="s">
        <v>177</v>
      </c>
      <c r="J66" s="156"/>
      <c r="K66" s="156"/>
      <c r="L66" s="156"/>
      <c r="M66" s="156"/>
      <c r="N66" s="156"/>
      <c r="O66" s="156"/>
      <c r="P66" s="156"/>
    </row>
    <row r="67" spans="9:23" ht="12" customHeight="1" thickBot="1" x14ac:dyDescent="0.25">
      <c r="I67" s="156"/>
      <c r="J67" s="156"/>
      <c r="K67" s="156"/>
      <c r="L67" s="156"/>
      <c r="M67" s="156"/>
      <c r="N67" s="156"/>
      <c r="O67" s="156"/>
      <c r="P67" s="156"/>
      <c r="U67" s="163">
        <f>U49+U55+U65</f>
        <v>8790075.5099999998</v>
      </c>
      <c r="V67" s="163"/>
      <c r="W67" s="163"/>
    </row>
    <row r="68" spans="9:23" ht="6" customHeight="1" thickTop="1" x14ac:dyDescent="0.2"/>
    <row r="69" spans="9:23" ht="12.75" customHeight="1" thickBot="1" x14ac:dyDescent="0.25">
      <c r="U69" s="163">
        <f>U67-U33</f>
        <v>0</v>
      </c>
      <c r="V69" s="163"/>
    </row>
    <row r="70" spans="9:23" ht="12.75" customHeight="1" thickTop="1" x14ac:dyDescent="0.2"/>
  </sheetData>
  <mergeCells count="101">
    <mergeCell ref="U55:W55"/>
    <mergeCell ref="U49:W49"/>
    <mergeCell ref="U48:W48"/>
    <mergeCell ref="B30:K30"/>
    <mergeCell ref="C31:F31"/>
    <mergeCell ref="H31:Q31"/>
    <mergeCell ref="C46:F46"/>
    <mergeCell ref="H46:Q46"/>
    <mergeCell ref="U54:W54"/>
    <mergeCell ref="I33:P33"/>
    <mergeCell ref="U33:W33"/>
    <mergeCell ref="A35:M35"/>
    <mergeCell ref="B36:K36"/>
    <mergeCell ref="C37:F37"/>
    <mergeCell ref="H37:Q37"/>
    <mergeCell ref="C40:F40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C12:F12"/>
    <mergeCell ref="H12:Q12"/>
    <mergeCell ref="C42:F42"/>
    <mergeCell ref="H42:Q42"/>
    <mergeCell ref="U19:W19"/>
    <mergeCell ref="C16:F16"/>
    <mergeCell ref="C17:F17"/>
    <mergeCell ref="C18:F18"/>
    <mergeCell ref="H41:Q41"/>
    <mergeCell ref="C39:F39"/>
    <mergeCell ref="C24:F24"/>
    <mergeCell ref="H24:Q24"/>
    <mergeCell ref="C27:F27"/>
    <mergeCell ref="H27:Q27"/>
    <mergeCell ref="H28:P28"/>
    <mergeCell ref="U28:W28"/>
    <mergeCell ref="H40:Q40"/>
    <mergeCell ref="C41:F41"/>
    <mergeCell ref="C14:F14"/>
    <mergeCell ref="B21:K21"/>
    <mergeCell ref="C22:F22"/>
    <mergeCell ref="H22:Q22"/>
    <mergeCell ref="C23:F23"/>
    <mergeCell ref="H23:Q23"/>
    <mergeCell ref="C15:F15"/>
    <mergeCell ref="H15:Q15"/>
    <mergeCell ref="H19:P19"/>
    <mergeCell ref="C25:F25"/>
    <mergeCell ref="H25:Q25"/>
    <mergeCell ref="C47:F47"/>
    <mergeCell ref="H47:Q47"/>
    <mergeCell ref="H48:P48"/>
    <mergeCell ref="I49:P49"/>
    <mergeCell ref="A56:M56"/>
    <mergeCell ref="C43:F43"/>
    <mergeCell ref="H43:Q43"/>
    <mergeCell ref="C44:F44"/>
    <mergeCell ref="H44:Q44"/>
    <mergeCell ref="C45:F45"/>
    <mergeCell ref="H45:Q45"/>
    <mergeCell ref="C61:F61"/>
    <mergeCell ref="H61:Q61"/>
    <mergeCell ref="C57:F57"/>
    <mergeCell ref="H57:Q57"/>
    <mergeCell ref="A51:M51"/>
    <mergeCell ref="B52:K52"/>
    <mergeCell ref="C53:F53"/>
    <mergeCell ref="H53:Q53"/>
    <mergeCell ref="H54:P54"/>
    <mergeCell ref="I55:P55"/>
    <mergeCell ref="C11:F11"/>
    <mergeCell ref="H11:Q11"/>
    <mergeCell ref="C9:F9"/>
    <mergeCell ref="H9:Q9"/>
    <mergeCell ref="U69:V69"/>
    <mergeCell ref="C13:F13"/>
    <mergeCell ref="C26:F26"/>
    <mergeCell ref="C38:F38"/>
    <mergeCell ref="I65:P65"/>
    <mergeCell ref="U65:W65"/>
    <mergeCell ref="I66:P67"/>
    <mergeCell ref="U67:W67"/>
    <mergeCell ref="C62:F62"/>
    <mergeCell ref="H62:Q62"/>
    <mergeCell ref="C58:F58"/>
    <mergeCell ref="H58:Q58"/>
    <mergeCell ref="C63:F63"/>
    <mergeCell ref="H63:Q63"/>
    <mergeCell ref="C64:F64"/>
    <mergeCell ref="H64:Q64"/>
    <mergeCell ref="C59:F59"/>
    <mergeCell ref="H59:Q59"/>
    <mergeCell ref="C60:F60"/>
    <mergeCell ref="H60:Q60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outlinePr summaryBelow="0"/>
    <pageSetUpPr autoPageBreaks="0"/>
  </sheetPr>
  <dimension ref="A1:X73"/>
  <sheetViews>
    <sheetView showGridLines="0" topLeftCell="A19" workbookViewId="0">
      <selection activeCell="AH57" sqref="AH57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</row>
    <row r="2" spans="1:24" ht="9.9499999999999993" customHeight="1" x14ac:dyDescent="0.2"/>
    <row r="3" spans="1:24" ht="12.75" customHeight="1" x14ac:dyDescent="0.2">
      <c r="A3" s="164" t="s">
        <v>727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</row>
    <row r="4" spans="1:24" ht="16.5" customHeight="1" x14ac:dyDescent="0.2">
      <c r="A4" s="165" t="s">
        <v>178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56" t="s">
        <v>2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24" ht="9.9499999999999993" customHeight="1" x14ac:dyDescent="0.2"/>
    <row r="9" spans="1:24" ht="9.9499999999999993" customHeight="1" x14ac:dyDescent="0.2">
      <c r="B9" s="156" t="s">
        <v>3</v>
      </c>
      <c r="C9" s="156"/>
      <c r="D9" s="156"/>
      <c r="E9" s="156"/>
      <c r="F9" s="156"/>
      <c r="G9" s="156"/>
      <c r="H9" s="156"/>
      <c r="I9" s="156"/>
      <c r="J9" s="156"/>
      <c r="K9" s="156"/>
    </row>
    <row r="10" spans="1:24" ht="9.9499999999999993" customHeight="1" x14ac:dyDescent="0.2"/>
    <row r="11" spans="1:24" ht="9.9499999999999993" customHeight="1" x14ac:dyDescent="0.2">
      <c r="C11" s="158" t="s">
        <v>8</v>
      </c>
      <c r="D11" s="158"/>
      <c r="E11" s="158"/>
      <c r="F11" s="158"/>
      <c r="H11" s="158" t="s">
        <v>179</v>
      </c>
      <c r="I11" s="158"/>
      <c r="J11" s="158"/>
      <c r="K11" s="158"/>
      <c r="L11" s="158"/>
      <c r="M11" s="158"/>
      <c r="N11" s="158"/>
      <c r="O11" s="158"/>
      <c r="P11" s="158"/>
      <c r="Q11" s="158"/>
      <c r="S11" s="89">
        <v>56979.62</v>
      </c>
    </row>
    <row r="12" spans="1:24" ht="9.9499999999999993" customHeight="1" x14ac:dyDescent="0.2">
      <c r="C12" s="158" t="s">
        <v>16</v>
      </c>
      <c r="D12" s="158"/>
      <c r="E12" s="158"/>
      <c r="F12" s="158"/>
      <c r="H12" s="158" t="s">
        <v>17</v>
      </c>
      <c r="I12" s="158"/>
      <c r="J12" s="158"/>
      <c r="K12" s="158"/>
      <c r="L12" s="158"/>
      <c r="M12" s="158"/>
      <c r="N12" s="158"/>
      <c r="O12" s="158"/>
      <c r="P12" s="158"/>
      <c r="Q12" s="158"/>
      <c r="S12" s="89">
        <v>9086.7999999999993</v>
      </c>
    </row>
    <row r="13" spans="1:24" ht="9.9499999999999993" customHeight="1" x14ac:dyDescent="0.2">
      <c r="C13" s="158" t="s">
        <v>180</v>
      </c>
      <c r="D13" s="158"/>
      <c r="E13" s="158"/>
      <c r="F13" s="158"/>
      <c r="H13" s="158" t="s">
        <v>181</v>
      </c>
      <c r="I13" s="158"/>
      <c r="J13" s="158"/>
      <c r="K13" s="158"/>
      <c r="L13" s="158"/>
      <c r="M13" s="158"/>
      <c r="N13" s="158"/>
      <c r="O13" s="158"/>
      <c r="P13" s="158"/>
      <c r="Q13" s="158"/>
      <c r="S13" s="89"/>
    </row>
    <row r="14" spans="1:24" ht="9.9499999999999993" customHeight="1" x14ac:dyDescent="0.2">
      <c r="C14" s="158" t="s">
        <v>18</v>
      </c>
      <c r="D14" s="158"/>
      <c r="E14" s="158"/>
      <c r="F14" s="158"/>
      <c r="H14" s="158" t="s">
        <v>19</v>
      </c>
      <c r="I14" s="158"/>
      <c r="J14" s="158"/>
      <c r="K14" s="158"/>
      <c r="L14" s="158"/>
      <c r="M14" s="158"/>
      <c r="N14" s="158"/>
      <c r="O14" s="158"/>
      <c r="P14" s="158"/>
      <c r="Q14" s="158"/>
      <c r="S14" s="89"/>
    </row>
    <row r="15" spans="1:24" ht="9.9499999999999993" customHeight="1" x14ac:dyDescent="0.2">
      <c r="C15" s="158" t="s">
        <v>20</v>
      </c>
      <c r="D15" s="158"/>
      <c r="E15" s="158"/>
      <c r="F15" s="158"/>
      <c r="H15" s="158" t="s">
        <v>21</v>
      </c>
      <c r="I15" s="158"/>
      <c r="J15" s="158"/>
      <c r="K15" s="158"/>
      <c r="L15" s="158"/>
      <c r="M15" s="158"/>
      <c r="N15" s="158"/>
      <c r="O15" s="158"/>
      <c r="P15" s="158"/>
      <c r="Q15" s="158"/>
      <c r="S15" s="89"/>
    </row>
    <row r="16" spans="1:24" ht="9.9499999999999993" customHeight="1" x14ac:dyDescent="0.2">
      <c r="C16" s="158" t="s">
        <v>22</v>
      </c>
      <c r="D16" s="158"/>
      <c r="E16" s="158"/>
      <c r="F16" s="158"/>
      <c r="H16" s="158" t="s">
        <v>23</v>
      </c>
      <c r="I16" s="158"/>
      <c r="J16" s="158"/>
      <c r="K16" s="158"/>
      <c r="L16" s="158"/>
      <c r="M16" s="158"/>
      <c r="N16" s="158"/>
      <c r="O16" s="158"/>
      <c r="P16" s="158"/>
      <c r="Q16" s="158"/>
      <c r="S16" s="89"/>
    </row>
    <row r="17" spans="2:23" ht="9.9499999999999993" customHeight="1" x14ac:dyDescent="0.2">
      <c r="C17" s="158">
        <v>1226</v>
      </c>
      <c r="D17" s="158"/>
      <c r="E17" s="158"/>
      <c r="F17" s="158"/>
      <c r="H17" s="158" t="s">
        <v>234</v>
      </c>
      <c r="I17" s="158"/>
      <c r="J17" s="158"/>
      <c r="K17" s="158"/>
      <c r="L17" s="158"/>
      <c r="M17" s="158"/>
      <c r="N17" s="158"/>
      <c r="O17" s="158"/>
      <c r="P17" s="158"/>
      <c r="Q17" s="158"/>
      <c r="S17" s="89"/>
    </row>
    <row r="18" spans="2:23" ht="9.9499999999999993" customHeight="1" x14ac:dyDescent="0.2">
      <c r="C18" s="158" t="s">
        <v>182</v>
      </c>
      <c r="D18" s="158"/>
      <c r="E18" s="158"/>
      <c r="F18" s="158"/>
      <c r="H18" s="158" t="s">
        <v>183</v>
      </c>
      <c r="I18" s="158"/>
      <c r="J18" s="158"/>
      <c r="K18" s="158"/>
      <c r="L18" s="158"/>
      <c r="M18" s="158"/>
      <c r="N18" s="158"/>
      <c r="O18" s="158"/>
      <c r="P18" s="158"/>
      <c r="Q18" s="158"/>
      <c r="S18" s="89">
        <v>300000</v>
      </c>
    </row>
    <row r="19" spans="2:23" ht="9.9499999999999993" customHeight="1" x14ac:dyDescent="0.2">
      <c r="C19" s="158" t="s">
        <v>54</v>
      </c>
      <c r="D19" s="158"/>
      <c r="E19" s="158"/>
      <c r="F19" s="158"/>
      <c r="H19" s="158" t="s">
        <v>184</v>
      </c>
      <c r="I19" s="158"/>
      <c r="J19" s="158"/>
      <c r="K19" s="158"/>
      <c r="L19" s="158"/>
      <c r="M19" s="158"/>
      <c r="N19" s="158"/>
      <c r="O19" s="158"/>
      <c r="P19" s="158"/>
      <c r="Q19" s="158"/>
      <c r="S19" s="89">
        <v>3669</v>
      </c>
    </row>
    <row r="20" spans="2:23" ht="9.9499999999999993" customHeight="1" x14ac:dyDescent="0.2">
      <c r="C20" s="158" t="s">
        <v>56</v>
      </c>
      <c r="D20" s="158"/>
      <c r="E20" s="158"/>
      <c r="F20" s="158"/>
      <c r="H20" s="158" t="s">
        <v>185</v>
      </c>
      <c r="I20" s="158"/>
      <c r="J20" s="158"/>
      <c r="K20" s="158"/>
      <c r="L20" s="158"/>
      <c r="M20" s="158"/>
      <c r="N20" s="158"/>
      <c r="O20" s="158"/>
      <c r="P20" s="158"/>
      <c r="Q20" s="158"/>
      <c r="S20" s="89">
        <v>0</v>
      </c>
    </row>
    <row r="21" spans="2:23" ht="9.9499999999999993" customHeight="1" x14ac:dyDescent="0.2">
      <c r="C21" s="158">
        <v>1250</v>
      </c>
      <c r="D21" s="158"/>
      <c r="E21" s="158"/>
      <c r="F21" s="158"/>
      <c r="H21" s="158" t="s">
        <v>59</v>
      </c>
      <c r="I21" s="158"/>
      <c r="J21" s="158"/>
      <c r="K21" s="158"/>
      <c r="L21" s="158"/>
      <c r="M21" s="158"/>
      <c r="N21" s="158"/>
      <c r="O21" s="158"/>
      <c r="P21" s="158"/>
      <c r="Q21" s="158"/>
      <c r="S21" s="91"/>
    </row>
    <row r="22" spans="2:23" ht="9.9499999999999993" customHeight="1" x14ac:dyDescent="0.2"/>
    <row r="23" spans="2:23" ht="9.9499999999999993" customHeight="1" x14ac:dyDescent="0.2">
      <c r="H23" s="156" t="s">
        <v>73</v>
      </c>
      <c r="I23" s="156"/>
      <c r="J23" s="156"/>
      <c r="K23" s="156"/>
      <c r="L23" s="156"/>
      <c r="M23" s="156"/>
      <c r="N23" s="156"/>
      <c r="O23" s="156"/>
      <c r="P23" s="156"/>
      <c r="U23" s="157">
        <f>SUM(S11:S21)</f>
        <v>369735.42</v>
      </c>
      <c r="V23" s="157"/>
      <c r="W23" s="157"/>
    </row>
    <row r="24" spans="2:23" ht="9.9499999999999993" customHeight="1" x14ac:dyDescent="0.2"/>
    <row r="25" spans="2:23" ht="9.9499999999999993" customHeight="1" x14ac:dyDescent="0.2">
      <c r="B25" s="156" t="s">
        <v>74</v>
      </c>
      <c r="C25" s="156"/>
      <c r="D25" s="156"/>
      <c r="E25" s="156"/>
      <c r="F25" s="156"/>
      <c r="G25" s="156"/>
      <c r="H25" s="156"/>
      <c r="I25" s="156"/>
      <c r="J25" s="156"/>
      <c r="K25" s="156"/>
    </row>
    <row r="26" spans="2:23" ht="9.9499999999999993" customHeight="1" x14ac:dyDescent="0.2"/>
    <row r="27" spans="2:23" ht="9.9499999999999993" customHeight="1" x14ac:dyDescent="0.2">
      <c r="C27" s="158" t="s">
        <v>75</v>
      </c>
      <c r="D27" s="158"/>
      <c r="E27" s="158"/>
      <c r="F27" s="158"/>
      <c r="H27" s="158" t="s">
        <v>186</v>
      </c>
      <c r="I27" s="158"/>
      <c r="J27" s="158"/>
      <c r="K27" s="158"/>
      <c r="L27" s="158"/>
      <c r="M27" s="158"/>
      <c r="N27" s="158"/>
      <c r="O27" s="158"/>
      <c r="P27" s="158"/>
      <c r="Q27" s="158"/>
      <c r="S27" s="89">
        <v>8577.17</v>
      </c>
    </row>
    <row r="28" spans="2:23" ht="9.9499999999999993" customHeight="1" x14ac:dyDescent="0.2">
      <c r="C28" s="158" t="s">
        <v>87</v>
      </c>
      <c r="D28" s="158"/>
      <c r="E28" s="158"/>
      <c r="F28" s="158"/>
      <c r="H28" s="158" t="s">
        <v>88</v>
      </c>
      <c r="I28" s="158"/>
      <c r="J28" s="158"/>
      <c r="K28" s="158"/>
      <c r="L28" s="158"/>
      <c r="M28" s="158"/>
      <c r="N28" s="158"/>
      <c r="O28" s="158"/>
      <c r="P28" s="158"/>
      <c r="Q28" s="158"/>
      <c r="S28" s="89">
        <v>20237.79</v>
      </c>
    </row>
    <row r="29" spans="2:23" ht="9.9499999999999993" customHeight="1" x14ac:dyDescent="0.2">
      <c r="C29" s="158" t="s">
        <v>99</v>
      </c>
      <c r="D29" s="158"/>
      <c r="E29" s="158"/>
      <c r="F29" s="158"/>
      <c r="H29" s="158" t="s">
        <v>187</v>
      </c>
      <c r="I29" s="158"/>
      <c r="J29" s="158"/>
      <c r="K29" s="158"/>
      <c r="L29" s="158"/>
      <c r="M29" s="158"/>
      <c r="N29" s="158"/>
      <c r="O29" s="158"/>
      <c r="P29" s="158"/>
      <c r="Q29" s="158"/>
      <c r="S29" s="91">
        <v>-20272.830000000002</v>
      </c>
    </row>
    <row r="30" spans="2:23" ht="9.9499999999999993" customHeight="1" x14ac:dyDescent="0.2"/>
    <row r="31" spans="2:23" ht="9.9499999999999993" customHeight="1" x14ac:dyDescent="0.2">
      <c r="H31" s="156" t="s">
        <v>103</v>
      </c>
      <c r="I31" s="156"/>
      <c r="J31" s="156"/>
      <c r="K31" s="156"/>
      <c r="L31" s="156"/>
      <c r="M31" s="156"/>
      <c r="N31" s="156"/>
      <c r="O31" s="156"/>
      <c r="P31" s="156"/>
      <c r="U31" s="160">
        <f>SUM(S27:S29)</f>
        <v>8542.1299999999974</v>
      </c>
      <c r="V31" s="160"/>
      <c r="W31" s="160"/>
    </row>
    <row r="32" spans="2:23" ht="9.9499999999999993" customHeight="1" x14ac:dyDescent="0.2"/>
    <row r="33" spans="1:23" ht="9.9499999999999993" customHeight="1" thickBot="1" x14ac:dyDescent="0.25">
      <c r="I33" s="156" t="s">
        <v>104</v>
      </c>
      <c r="J33" s="156"/>
      <c r="K33" s="156"/>
      <c r="L33" s="156"/>
      <c r="M33" s="156"/>
      <c r="N33" s="156"/>
      <c r="O33" s="156"/>
      <c r="P33" s="156"/>
      <c r="U33" s="163">
        <f>U23+U31</f>
        <v>378277.55</v>
      </c>
      <c r="V33" s="163"/>
      <c r="W33" s="163"/>
    </row>
    <row r="34" spans="1:23" ht="9.9499999999999993" customHeight="1" thickTop="1" x14ac:dyDescent="0.2"/>
    <row r="35" spans="1:23" ht="9.9499999999999993" customHeight="1" x14ac:dyDescent="0.2">
      <c r="A35" s="156" t="s">
        <v>105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  <row r="36" spans="1:23" ht="9.9499999999999993" customHeight="1" x14ac:dyDescent="0.2"/>
    <row r="37" spans="1:23" ht="9.9499999999999993" customHeight="1" x14ac:dyDescent="0.2">
      <c r="B37" s="156" t="s">
        <v>106</v>
      </c>
      <c r="C37" s="156"/>
      <c r="D37" s="156"/>
      <c r="E37" s="156"/>
      <c r="F37" s="156"/>
      <c r="G37" s="156"/>
      <c r="H37" s="156"/>
      <c r="I37" s="156"/>
      <c r="J37" s="156"/>
      <c r="K37" s="156"/>
    </row>
    <row r="38" spans="1:23" ht="9.9499999999999993" customHeight="1" x14ac:dyDescent="0.2"/>
    <row r="39" spans="1:23" ht="9.9499999999999993" customHeight="1" x14ac:dyDescent="0.2">
      <c r="C39" s="158" t="s">
        <v>109</v>
      </c>
      <c r="D39" s="158"/>
      <c r="E39" s="158"/>
      <c r="F39" s="158"/>
      <c r="H39" s="158" t="s">
        <v>110</v>
      </c>
      <c r="I39" s="158"/>
      <c r="J39" s="158"/>
      <c r="K39" s="158"/>
      <c r="L39" s="158"/>
      <c r="M39" s="158"/>
      <c r="N39" s="158"/>
      <c r="O39" s="158"/>
      <c r="P39" s="158"/>
      <c r="Q39" s="158"/>
      <c r="S39" s="89">
        <v>0</v>
      </c>
    </row>
    <row r="40" spans="1:23" ht="9.9499999999999993" customHeight="1" x14ac:dyDescent="0.2">
      <c r="C40" s="158" t="s">
        <v>188</v>
      </c>
      <c r="D40" s="158"/>
      <c r="E40" s="158"/>
      <c r="F40" s="158"/>
      <c r="H40" s="158" t="s">
        <v>189</v>
      </c>
      <c r="I40" s="158"/>
      <c r="J40" s="158"/>
      <c r="K40" s="158"/>
      <c r="L40" s="158"/>
      <c r="M40" s="158"/>
      <c r="N40" s="158"/>
      <c r="O40" s="158"/>
      <c r="P40" s="158"/>
      <c r="Q40" s="158"/>
      <c r="S40" s="89"/>
    </row>
    <row r="41" spans="1:23" ht="9.9499999999999993" customHeight="1" x14ac:dyDescent="0.2">
      <c r="C41" s="158">
        <v>2175</v>
      </c>
      <c r="D41" s="158"/>
      <c r="E41" s="158"/>
      <c r="F41" s="158"/>
      <c r="H41" s="158" t="s">
        <v>118</v>
      </c>
      <c r="I41" s="158"/>
      <c r="J41" s="158"/>
      <c r="K41" s="158"/>
      <c r="L41" s="158"/>
      <c r="M41" s="158"/>
      <c r="N41" s="158"/>
      <c r="O41" s="158"/>
      <c r="P41" s="158"/>
      <c r="Q41" s="158"/>
      <c r="S41" s="89"/>
    </row>
    <row r="42" spans="1:23" ht="9.9499999999999993" customHeight="1" x14ac:dyDescent="0.2">
      <c r="C42" s="158" t="s">
        <v>121</v>
      </c>
      <c r="D42" s="158"/>
      <c r="E42" s="158"/>
      <c r="F42" s="158"/>
      <c r="H42" s="158" t="s">
        <v>190</v>
      </c>
      <c r="I42" s="158"/>
      <c r="J42" s="158"/>
      <c r="K42" s="158"/>
      <c r="L42" s="158"/>
      <c r="M42" s="158"/>
      <c r="N42" s="158"/>
      <c r="O42" s="158"/>
      <c r="P42" s="158"/>
      <c r="Q42" s="158"/>
      <c r="S42" s="89">
        <v>-4576.92</v>
      </c>
    </row>
    <row r="43" spans="1:23" ht="9.9499999999999993" customHeight="1" x14ac:dyDescent="0.2">
      <c r="C43" s="158">
        <v>2230</v>
      </c>
      <c r="D43" s="158"/>
      <c r="E43" s="158"/>
      <c r="F43" s="158"/>
      <c r="H43" s="158" t="s">
        <v>597</v>
      </c>
      <c r="I43" s="158"/>
      <c r="J43" s="158"/>
      <c r="K43" s="158"/>
      <c r="L43" s="158"/>
      <c r="M43" s="158"/>
      <c r="N43" s="158"/>
      <c r="O43" s="158"/>
      <c r="P43" s="158"/>
      <c r="Q43" s="158"/>
      <c r="S43" s="89">
        <v>162.84</v>
      </c>
    </row>
    <row r="44" spans="1:23" ht="9.9499999999999993" customHeight="1" x14ac:dyDescent="0.2">
      <c r="C44" s="158" t="s">
        <v>129</v>
      </c>
      <c r="D44" s="158"/>
      <c r="E44" s="158"/>
      <c r="F44" s="158"/>
      <c r="H44" s="158" t="s">
        <v>191</v>
      </c>
      <c r="I44" s="158"/>
      <c r="J44" s="158"/>
      <c r="K44" s="158"/>
      <c r="L44" s="158"/>
      <c r="M44" s="158"/>
      <c r="N44" s="158"/>
      <c r="O44" s="158"/>
      <c r="P44" s="158"/>
      <c r="Q44" s="158"/>
      <c r="S44" s="89">
        <v>0</v>
      </c>
    </row>
    <row r="45" spans="1:23" ht="9.9499999999999993" customHeight="1" x14ac:dyDescent="0.2">
      <c r="C45" s="158">
        <v>2241</v>
      </c>
      <c r="D45" s="158"/>
      <c r="E45" s="158"/>
      <c r="F45" s="158"/>
      <c r="H45" s="158" t="s">
        <v>584</v>
      </c>
      <c r="I45" s="158"/>
      <c r="J45" s="158"/>
      <c r="K45" s="158"/>
      <c r="L45" s="158"/>
      <c r="M45" s="158"/>
      <c r="N45" s="158"/>
      <c r="O45" s="158"/>
      <c r="P45" s="158"/>
      <c r="Q45" s="158"/>
      <c r="S45" s="89">
        <v>0</v>
      </c>
    </row>
    <row r="46" spans="1:23" ht="9.9499999999999993" customHeight="1" x14ac:dyDescent="0.2">
      <c r="S46" s="89"/>
    </row>
    <row r="47" spans="1:23" ht="9.9499999999999993" customHeight="1" x14ac:dyDescent="0.2">
      <c r="C47" s="158" t="s">
        <v>131</v>
      </c>
      <c r="D47" s="158"/>
      <c r="E47" s="158"/>
      <c r="F47" s="158"/>
      <c r="H47" s="158" t="s">
        <v>192</v>
      </c>
      <c r="I47" s="158"/>
      <c r="J47" s="158"/>
      <c r="K47" s="158"/>
      <c r="L47" s="158"/>
      <c r="M47" s="158"/>
      <c r="N47" s="158"/>
      <c r="O47" s="158"/>
      <c r="P47" s="158"/>
      <c r="Q47" s="158"/>
      <c r="S47" s="89">
        <v>0</v>
      </c>
    </row>
    <row r="48" spans="1:23" ht="9.9499999999999993" customHeight="1" x14ac:dyDescent="0.2">
      <c r="C48" s="158">
        <v>2400</v>
      </c>
      <c r="D48" s="158"/>
      <c r="E48" s="158"/>
      <c r="F48" s="158"/>
      <c r="H48" s="158" t="s">
        <v>205</v>
      </c>
      <c r="I48" s="158"/>
      <c r="J48" s="158"/>
      <c r="K48" s="158"/>
      <c r="L48" s="158"/>
      <c r="M48" s="158"/>
      <c r="N48" s="158"/>
      <c r="O48" s="158"/>
      <c r="P48" s="158"/>
      <c r="Q48" s="158"/>
      <c r="S48" s="89">
        <v>7132.71</v>
      </c>
    </row>
    <row r="49" spans="1:23" ht="9.9499999999999993" customHeight="1" x14ac:dyDescent="0.2">
      <c r="C49" s="158">
        <v>2401</v>
      </c>
      <c r="D49" s="158"/>
      <c r="E49" s="158"/>
      <c r="F49" s="158"/>
      <c r="H49" s="158" t="s">
        <v>575</v>
      </c>
      <c r="I49" s="158"/>
      <c r="J49" s="158"/>
      <c r="K49" s="158"/>
      <c r="L49" s="158"/>
      <c r="M49" s="158"/>
      <c r="N49" s="158"/>
      <c r="O49" s="158"/>
      <c r="P49" s="158"/>
      <c r="Q49" s="158"/>
      <c r="S49" s="79">
        <v>0</v>
      </c>
    </row>
    <row r="50" spans="1:23" ht="9.9499999999999993" customHeight="1" x14ac:dyDescent="0.2"/>
    <row r="51" spans="1:23" ht="9.9499999999999993" customHeight="1" x14ac:dyDescent="0.2">
      <c r="H51" s="156" t="s">
        <v>148</v>
      </c>
      <c r="I51" s="156"/>
      <c r="J51" s="156"/>
      <c r="K51" s="156"/>
      <c r="L51" s="156"/>
      <c r="M51" s="156"/>
      <c r="N51" s="156"/>
      <c r="O51" s="156"/>
      <c r="P51" s="156"/>
      <c r="U51" s="157">
        <f>SUM(S39:S49)</f>
        <v>2718.63</v>
      </c>
      <c r="V51" s="157"/>
      <c r="W51" s="157"/>
    </row>
    <row r="52" spans="1:23" ht="9.9499999999999993" customHeight="1" x14ac:dyDescent="0.2"/>
    <row r="53" spans="1:23" ht="9.9499999999999993" customHeight="1" x14ac:dyDescent="0.2">
      <c r="I53" s="156" t="s">
        <v>159</v>
      </c>
      <c r="J53" s="156"/>
      <c r="K53" s="156"/>
      <c r="L53" s="156"/>
      <c r="M53" s="156"/>
      <c r="N53" s="156"/>
      <c r="O53" s="156"/>
      <c r="P53" s="156"/>
      <c r="U53" s="157">
        <f>U51</f>
        <v>2718.63</v>
      </c>
      <c r="V53" s="157"/>
      <c r="W53" s="157"/>
    </row>
    <row r="54" spans="1:23" ht="9.9499999999999993" customHeight="1" x14ac:dyDescent="0.2"/>
    <row r="55" spans="1:23" ht="9.9499999999999993" customHeight="1" x14ac:dyDescent="0.2">
      <c r="A55" s="156" t="s">
        <v>160</v>
      </c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</row>
    <row r="56" spans="1:23" ht="9.9499999999999993" customHeight="1" x14ac:dyDescent="0.2"/>
    <row r="57" spans="1:23" ht="9.9499999999999993" customHeight="1" x14ac:dyDescent="0.2">
      <c r="C57" s="158" t="s">
        <v>165</v>
      </c>
      <c r="D57" s="158"/>
      <c r="E57" s="158"/>
      <c r="F57" s="158"/>
      <c r="H57" s="158" t="s">
        <v>166</v>
      </c>
      <c r="I57" s="158"/>
      <c r="J57" s="158"/>
      <c r="K57" s="158"/>
      <c r="L57" s="158"/>
      <c r="M57" s="158"/>
      <c r="N57" s="158"/>
      <c r="O57" s="158"/>
      <c r="P57" s="158"/>
      <c r="Q57" s="158"/>
      <c r="S57" s="89">
        <v>-5267.59</v>
      </c>
    </row>
    <row r="58" spans="1:23" ht="9.9499999999999993" customHeight="1" x14ac:dyDescent="0.2">
      <c r="C58" s="158" t="s">
        <v>165</v>
      </c>
      <c r="D58" s="158"/>
      <c r="E58" s="158"/>
      <c r="F58" s="158"/>
      <c r="H58" s="158" t="s">
        <v>193</v>
      </c>
      <c r="I58" s="158"/>
      <c r="J58" s="158"/>
      <c r="K58" s="158"/>
      <c r="L58" s="158"/>
      <c r="M58" s="158"/>
      <c r="N58" s="158"/>
      <c r="O58" s="158"/>
      <c r="P58" s="158"/>
      <c r="Q58" s="158"/>
      <c r="S58" s="78">
        <v>380826.51</v>
      </c>
    </row>
    <row r="59" spans="1:23" ht="9.9499999999999993" customHeight="1" x14ac:dyDescent="0.2">
      <c r="C59" s="158">
        <v>3550</v>
      </c>
      <c r="D59" s="158"/>
      <c r="E59" s="158"/>
      <c r="F59" s="158"/>
      <c r="H59" s="158" t="s">
        <v>646</v>
      </c>
      <c r="I59" s="158"/>
      <c r="J59" s="158"/>
      <c r="K59" s="158"/>
      <c r="L59" s="158"/>
      <c r="M59" s="158"/>
      <c r="N59" s="158"/>
      <c r="O59" s="158"/>
      <c r="P59" s="158"/>
      <c r="Q59" s="158"/>
      <c r="S59" s="78"/>
    </row>
    <row r="60" spans="1:23" ht="9.9499999999999993" customHeight="1" x14ac:dyDescent="0.2">
      <c r="C60" s="158">
        <v>3551</v>
      </c>
      <c r="D60" s="158"/>
      <c r="E60" s="158"/>
      <c r="F60" s="158"/>
      <c r="H60" s="90" t="s">
        <v>647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58">
        <v>3552</v>
      </c>
      <c r="D61" s="158"/>
      <c r="E61" s="158"/>
      <c r="F61" s="158"/>
      <c r="H61" s="90" t="s">
        <v>648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58">
        <v>3553</v>
      </c>
      <c r="D62" s="158"/>
      <c r="E62" s="158"/>
      <c r="F62" s="158"/>
      <c r="H62" s="90" t="s">
        <v>649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58">
        <v>3554</v>
      </c>
      <c r="D63" s="158"/>
      <c r="E63" s="158"/>
      <c r="F63" s="158"/>
      <c r="H63" s="90" t="s">
        <v>650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56" t="s">
        <v>176</v>
      </c>
      <c r="J66" s="156"/>
      <c r="K66" s="156"/>
      <c r="L66" s="156"/>
      <c r="M66" s="156"/>
      <c r="N66" s="156"/>
      <c r="O66" s="156"/>
      <c r="P66" s="156"/>
      <c r="U66" s="157">
        <f>SUM(S57:S65)</f>
        <v>375558.92</v>
      </c>
      <c r="V66" s="157"/>
      <c r="W66" s="157"/>
    </row>
    <row r="67" spans="1:23" ht="9.9499999999999993" customHeight="1" x14ac:dyDescent="0.2"/>
    <row r="68" spans="1:23" ht="9.9499999999999993" customHeight="1" x14ac:dyDescent="0.2">
      <c r="I68" s="156" t="s">
        <v>177</v>
      </c>
      <c r="J68" s="156"/>
      <c r="K68" s="156"/>
      <c r="L68" s="156"/>
      <c r="M68" s="156"/>
      <c r="N68" s="156"/>
      <c r="O68" s="156"/>
      <c r="P68" s="156"/>
      <c r="U68" s="157"/>
      <c r="V68" s="157"/>
      <c r="W68" s="157"/>
    </row>
    <row r="69" spans="1:23" ht="9.9499999999999993" customHeight="1" x14ac:dyDescent="0.2">
      <c r="I69" s="156"/>
      <c r="J69" s="156"/>
      <c r="K69" s="156"/>
      <c r="L69" s="156"/>
      <c r="M69" s="156"/>
      <c r="N69" s="156"/>
      <c r="O69" s="156"/>
      <c r="P69" s="156"/>
      <c r="U69" s="157">
        <f>U53+U66</f>
        <v>378277.55</v>
      </c>
      <c r="V69" s="157"/>
      <c r="W69" s="157"/>
    </row>
    <row r="70" spans="1:23" ht="9.9499999999999993" customHeight="1" x14ac:dyDescent="0.2">
      <c r="U70" s="157"/>
      <c r="V70" s="157"/>
      <c r="W70" s="157"/>
    </row>
    <row r="71" spans="1:23" ht="6" customHeight="1" x14ac:dyDescent="0.2"/>
    <row r="72" spans="1:23" ht="12" customHeight="1" x14ac:dyDescent="0.2">
      <c r="A72" s="168"/>
      <c r="B72" s="168"/>
      <c r="C72" s="168"/>
      <c r="D72" s="168"/>
      <c r="F72" s="170"/>
      <c r="G72" s="170"/>
      <c r="H72" s="170"/>
      <c r="I72" s="170"/>
      <c r="J72" s="170"/>
      <c r="V72" s="92">
        <f>U33-U69</f>
        <v>0</v>
      </c>
      <c r="W72" s="93"/>
    </row>
    <row r="73" spans="1:23" ht="12" customHeight="1" x14ac:dyDescent="0.2">
      <c r="A73" s="168"/>
      <c r="B73" s="168"/>
      <c r="C73" s="168"/>
      <c r="D73" s="168"/>
      <c r="F73" s="169"/>
      <c r="G73" s="169"/>
      <c r="H73" s="169"/>
      <c r="I73" s="169"/>
    </row>
  </sheetData>
  <mergeCells count="87">
    <mergeCell ref="H59:Q59"/>
    <mergeCell ref="C59:F59"/>
    <mergeCell ref="C60:F60"/>
    <mergeCell ref="C61:F61"/>
    <mergeCell ref="C62:F62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A1:X1"/>
    <mergeCell ref="A3:X3"/>
    <mergeCell ref="A4:X4"/>
    <mergeCell ref="A7:M7"/>
    <mergeCell ref="B9:K9"/>
    <mergeCell ref="H19:Q19"/>
    <mergeCell ref="C17:F17"/>
    <mergeCell ref="H17:Q17"/>
    <mergeCell ref="C20:F20"/>
    <mergeCell ref="H20:Q20"/>
    <mergeCell ref="H23:P23"/>
    <mergeCell ref="U23:W23"/>
    <mergeCell ref="B25:K25"/>
    <mergeCell ref="C21:F21"/>
    <mergeCell ref="H21:Q21"/>
    <mergeCell ref="C27:F27"/>
    <mergeCell ref="H27:Q27"/>
    <mergeCell ref="C28:F28"/>
    <mergeCell ref="H28:Q28"/>
    <mergeCell ref="C29:F29"/>
    <mergeCell ref="H29:Q29"/>
    <mergeCell ref="H31:P31"/>
    <mergeCell ref="U31:W31"/>
    <mergeCell ref="I33:P33"/>
    <mergeCell ref="U33:W33"/>
    <mergeCell ref="A35:M35"/>
    <mergeCell ref="B37:K37"/>
    <mergeCell ref="C39:F39"/>
    <mergeCell ref="H39:Q39"/>
    <mergeCell ref="C40:F40"/>
    <mergeCell ref="H40:Q40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S47"/>
  <sheetViews>
    <sheetView topLeftCell="A10" workbookViewId="0">
      <selection activeCell="J45" sqref="J45"/>
    </sheetView>
  </sheetViews>
  <sheetFormatPr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71" t="s">
        <v>737</v>
      </c>
      <c r="B2" s="172"/>
      <c r="C2" s="172"/>
      <c r="D2" s="172"/>
      <c r="E2" s="172"/>
      <c r="F2" s="173"/>
    </row>
    <row r="3" spans="1:19" x14ac:dyDescent="0.2">
      <c r="A3" s="174"/>
      <c r="B3" s="175"/>
      <c r="C3" s="175"/>
      <c r="D3" s="175"/>
      <c r="E3" s="175"/>
      <c r="F3" s="176"/>
    </row>
    <row r="4" spans="1:19" x14ac:dyDescent="0.2">
      <c r="A4" s="174"/>
      <c r="B4" s="175"/>
      <c r="C4" s="175"/>
      <c r="D4" s="175"/>
      <c r="E4" s="175"/>
      <c r="F4" s="176"/>
    </row>
    <row r="5" spans="1:19" x14ac:dyDescent="0.2">
      <c r="A5" s="177"/>
      <c r="B5" s="178"/>
      <c r="C5" s="178"/>
      <c r="D5" s="178"/>
      <c r="E5" s="178"/>
      <c r="F5" s="179"/>
    </row>
    <row r="8" spans="1:19" ht="13.5" thickBot="1" x14ac:dyDescent="0.25">
      <c r="A8" s="87"/>
      <c r="B8" s="87"/>
      <c r="C8" s="87"/>
      <c r="D8" s="87"/>
      <c r="E8" s="87"/>
      <c r="F8" s="113" t="s">
        <v>736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1918.79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1918.79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932709.95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932709.95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0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1228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653</v>
      </c>
      <c r="E21" s="80"/>
      <c r="F21" s="114">
        <v>1425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2653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937281.74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937281.74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0</v>
      </c>
    </row>
    <row r="33" spans="1:6" x14ac:dyDescent="0.2">
      <c r="A33" s="80"/>
      <c r="B33" s="80"/>
      <c r="C33" s="80"/>
      <c r="D33" s="80"/>
      <c r="E33" s="80" t="s">
        <v>738</v>
      </c>
      <c r="F33" s="114">
        <v>398.86</v>
      </c>
    </row>
    <row r="34" spans="1:6" x14ac:dyDescent="0.2">
      <c r="A34" s="80"/>
      <c r="B34" s="80"/>
      <c r="C34" s="80"/>
      <c r="D34" s="80"/>
      <c r="E34" s="80" t="s">
        <v>573</v>
      </c>
      <c r="F34" s="114">
        <v>0</v>
      </c>
    </row>
    <row r="35" spans="1:6" x14ac:dyDescent="0.2">
      <c r="A35" s="80"/>
      <c r="B35" s="80"/>
      <c r="C35" s="80"/>
      <c r="D35" s="80"/>
      <c r="E35" s="80" t="s">
        <v>518</v>
      </c>
      <c r="F35" s="114">
        <v>466055.14</v>
      </c>
    </row>
    <row r="36" spans="1:6" x14ac:dyDescent="0.2">
      <c r="A36" s="80"/>
      <c r="B36" s="80"/>
      <c r="C36" s="80"/>
      <c r="D36" s="80"/>
      <c r="E36" s="80" t="s">
        <v>529</v>
      </c>
      <c r="F36" s="114">
        <v>6455.67</v>
      </c>
    </row>
    <row r="37" spans="1:6" ht="13.5" thickBot="1" x14ac:dyDescent="0.25">
      <c r="A37" s="80"/>
      <c r="B37" s="80"/>
      <c r="C37" s="80"/>
      <c r="D37" s="80"/>
      <c r="E37" s="80" t="s">
        <v>519</v>
      </c>
      <c r="F37" s="114">
        <v>16266.93</v>
      </c>
    </row>
    <row r="38" spans="1:6" ht="13.5" thickBot="1" x14ac:dyDescent="0.25">
      <c r="A38" s="80"/>
      <c r="B38" s="80"/>
      <c r="C38" s="80"/>
      <c r="D38" s="80" t="s">
        <v>381</v>
      </c>
      <c r="E38" s="80"/>
      <c r="F38" s="116">
        <f>F32+F35+F36+F37+F34+F33</f>
        <v>489176.6</v>
      </c>
    </row>
    <row r="39" spans="1:6" ht="13.5" thickBot="1" x14ac:dyDescent="0.25">
      <c r="A39" s="80"/>
      <c r="B39" s="80"/>
      <c r="C39" s="80" t="s">
        <v>382</v>
      </c>
      <c r="D39" s="80"/>
      <c r="E39" s="80"/>
      <c r="F39" s="118">
        <f>F30+F38</f>
        <v>489176.6</v>
      </c>
    </row>
    <row r="40" spans="1:6" x14ac:dyDescent="0.2">
      <c r="A40" s="80"/>
      <c r="B40" s="80" t="s">
        <v>320</v>
      </c>
      <c r="C40" s="80"/>
      <c r="D40" s="80"/>
      <c r="E40" s="80"/>
      <c r="F40" s="114">
        <f>F39</f>
        <v>489176.6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520</v>
      </c>
      <c r="D42" s="80"/>
      <c r="E42" s="80"/>
      <c r="F42" s="114">
        <v>425392.02</v>
      </c>
    </row>
    <row r="43" spans="1:6" ht="13.5" thickBot="1" x14ac:dyDescent="0.25">
      <c r="A43" s="80"/>
      <c r="B43" s="80"/>
      <c r="C43" s="80" t="s">
        <v>387</v>
      </c>
      <c r="D43" s="80"/>
      <c r="E43" s="80"/>
      <c r="F43" s="114">
        <v>22713.119999999999</v>
      </c>
    </row>
    <row r="44" spans="1:6" ht="13.5" thickBot="1" x14ac:dyDescent="0.25">
      <c r="A44" s="80"/>
      <c r="B44" s="80" t="s">
        <v>331</v>
      </c>
      <c r="C44" s="80"/>
      <c r="D44" s="80"/>
      <c r="E44" s="80"/>
      <c r="F44" s="116">
        <f>F42+F43</f>
        <v>448105.14</v>
      </c>
    </row>
    <row r="45" spans="1:6" ht="13.5" thickBot="1" x14ac:dyDescent="0.25">
      <c r="A45" s="80" t="s">
        <v>388</v>
      </c>
      <c r="B45" s="80"/>
      <c r="C45" s="80"/>
      <c r="D45" s="80"/>
      <c r="E45" s="80"/>
      <c r="F45" s="117">
        <f>F40+F44</f>
        <v>937281.74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I80"/>
  <sheetViews>
    <sheetView topLeftCell="A40" zoomScaleNormal="100" workbookViewId="0">
      <selection activeCell="Q78" sqref="Q78"/>
    </sheetView>
  </sheetViews>
  <sheetFormatPr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736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80"/>
      <c r="I4" s="180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80"/>
      <c r="I5" s="180"/>
    </row>
    <row r="6" spans="1:9" x14ac:dyDescent="0.2">
      <c r="A6" s="81"/>
      <c r="B6" s="81"/>
      <c r="C6" s="81"/>
      <c r="D6" s="81" t="s">
        <v>338</v>
      </c>
      <c r="E6" s="81"/>
      <c r="F6" s="103">
        <v>147111.92000000001</v>
      </c>
      <c r="H6" s="180"/>
      <c r="I6" s="180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30084.26</v>
      </c>
      <c r="H7" s="180"/>
      <c r="I7" s="180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177431.18</v>
      </c>
      <c r="H8" s="180"/>
      <c r="I8" s="180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177431.18</v>
      </c>
      <c r="H9" s="180"/>
      <c r="I9" s="180"/>
    </row>
    <row r="10" spans="1:9" x14ac:dyDescent="0.2">
      <c r="A10" s="81"/>
      <c r="B10" s="81" t="s">
        <v>409</v>
      </c>
      <c r="C10" s="81"/>
      <c r="D10" s="81"/>
      <c r="E10" s="81"/>
      <c r="F10" s="103"/>
      <c r="H10" s="180"/>
      <c r="I10" s="180"/>
    </row>
    <row r="11" spans="1:9" x14ac:dyDescent="0.2">
      <c r="A11" s="81"/>
      <c r="B11" s="81"/>
      <c r="C11" s="81"/>
      <c r="D11" s="81" t="s">
        <v>660</v>
      </c>
      <c r="E11" s="81"/>
      <c r="F11" s="103">
        <v>0</v>
      </c>
      <c r="H11" s="180"/>
      <c r="I11" s="180"/>
    </row>
    <row r="12" spans="1:9" x14ac:dyDescent="0.2">
      <c r="A12" s="81"/>
      <c r="B12" s="81"/>
      <c r="C12" s="81"/>
      <c r="D12" s="81" t="s">
        <v>708</v>
      </c>
      <c r="E12" s="81"/>
      <c r="F12" s="142">
        <v>0</v>
      </c>
      <c r="H12" s="180"/>
      <c r="I12" s="180"/>
    </row>
    <row r="13" spans="1:9" ht="13.5" thickBot="1" x14ac:dyDescent="0.25">
      <c r="A13" s="81"/>
      <c r="B13" s="81"/>
      <c r="C13" s="81"/>
      <c r="D13" s="81" t="s">
        <v>661</v>
      </c>
      <c r="E13" s="81"/>
      <c r="F13" s="109">
        <v>200000</v>
      </c>
      <c r="H13" s="180"/>
      <c r="I13" s="180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200000</v>
      </c>
      <c r="H14" s="180"/>
      <c r="I14" s="180"/>
    </row>
    <row r="15" spans="1:9" x14ac:dyDescent="0.2">
      <c r="A15" s="81"/>
      <c r="B15" s="81" t="s">
        <v>341</v>
      </c>
      <c r="C15" s="81"/>
      <c r="D15" s="81"/>
      <c r="E15" s="81"/>
      <c r="F15" s="103"/>
      <c r="H15" s="180"/>
      <c r="I15" s="180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458729.25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7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7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7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7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7" x14ac:dyDescent="0.2">
      <c r="A37" s="81"/>
      <c r="B37" s="81"/>
      <c r="C37" s="81" t="s">
        <v>670</v>
      </c>
      <c r="D37" s="81"/>
      <c r="E37" s="81"/>
      <c r="F37" s="103">
        <v>25212.82</v>
      </c>
    </row>
    <row r="38" spans="1:7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7" x14ac:dyDescent="0.2">
      <c r="A39" s="81"/>
      <c r="B39" s="81"/>
      <c r="C39" s="81" t="s">
        <v>612</v>
      </c>
      <c r="D39" s="81"/>
      <c r="E39" s="81"/>
      <c r="F39" s="103">
        <v>234546.72</v>
      </c>
    </row>
    <row r="40" spans="1:7" x14ac:dyDescent="0.2">
      <c r="A40" s="81"/>
      <c r="B40" s="81"/>
      <c r="C40" s="81" t="s">
        <v>659</v>
      </c>
      <c r="D40" s="81"/>
      <c r="E40" s="86"/>
      <c r="F40" s="103">
        <v>3505.19</v>
      </c>
    </row>
    <row r="41" spans="1:7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7" ht="13.5" thickBot="1" x14ac:dyDescent="0.25">
      <c r="A42" s="81"/>
      <c r="B42" s="81"/>
      <c r="C42" s="81" t="s">
        <v>365</v>
      </c>
      <c r="D42" s="81"/>
      <c r="E42" s="81"/>
      <c r="F42" s="109">
        <v>-2596398.91</v>
      </c>
    </row>
    <row r="43" spans="1:7" x14ac:dyDescent="0.2">
      <c r="A43" s="81"/>
      <c r="B43" s="81" t="s">
        <v>366</v>
      </c>
      <c r="C43" s="81"/>
      <c r="D43" s="81"/>
      <c r="E43" s="81"/>
      <c r="F43" s="103">
        <f>ROUND(SUM(F15:F42),5)</f>
        <v>1606373.32</v>
      </c>
    </row>
    <row r="44" spans="1:7" x14ac:dyDescent="0.2">
      <c r="A44" s="81"/>
      <c r="B44" s="81" t="s">
        <v>218</v>
      </c>
      <c r="C44" s="81"/>
      <c r="D44" s="81"/>
      <c r="E44" s="81"/>
      <c r="F44" s="103"/>
    </row>
    <row r="45" spans="1:7" x14ac:dyDescent="0.2">
      <c r="A45" s="81"/>
      <c r="B45" s="81"/>
      <c r="C45" s="81" t="s">
        <v>396</v>
      </c>
      <c r="D45" s="81"/>
      <c r="E45" s="81"/>
      <c r="F45" s="103">
        <v>0</v>
      </c>
    </row>
    <row r="46" spans="1:7" ht="13.5" thickBot="1" x14ac:dyDescent="0.25">
      <c r="A46" s="81"/>
      <c r="B46" s="81"/>
      <c r="C46" s="81" t="s">
        <v>367</v>
      </c>
      <c r="D46" s="81"/>
      <c r="E46" s="81"/>
      <c r="F46" s="103">
        <v>10833.34</v>
      </c>
    </row>
    <row r="47" spans="1:7" ht="13.5" thickBot="1" x14ac:dyDescent="0.25">
      <c r="A47" s="81"/>
      <c r="B47" s="81" t="s">
        <v>368</v>
      </c>
      <c r="C47" s="81"/>
      <c r="D47" s="81"/>
      <c r="E47" s="81"/>
      <c r="F47" s="105">
        <f>ROUND(SUM(F44:F46),5)</f>
        <v>10833.34</v>
      </c>
    </row>
    <row r="48" spans="1:7" ht="13.5" thickBot="1" x14ac:dyDescent="0.25">
      <c r="A48" s="83" t="s">
        <v>369</v>
      </c>
      <c r="B48" s="83"/>
      <c r="C48" s="83"/>
      <c r="D48" s="83"/>
      <c r="E48" s="83"/>
      <c r="F48" s="106">
        <f>ROUND(F2+F9+F43+F47+F14,5)</f>
        <v>1994637.84</v>
      </c>
      <c r="G48" s="100"/>
    </row>
    <row r="49" spans="1:6" ht="13.5" thickTop="1" x14ac:dyDescent="0.2">
      <c r="A49" s="81" t="s">
        <v>370</v>
      </c>
      <c r="B49" s="81"/>
      <c r="C49" s="81"/>
      <c r="D49" s="81"/>
      <c r="E49" s="81"/>
      <c r="F49" s="103"/>
    </row>
    <row r="50" spans="1:6" x14ac:dyDescent="0.2">
      <c r="A50" s="81"/>
      <c r="B50" s="81" t="s">
        <v>105</v>
      </c>
      <c r="C50" s="81"/>
      <c r="D50" s="81"/>
      <c r="E50" s="81"/>
      <c r="F50" s="103"/>
    </row>
    <row r="51" spans="1:6" x14ac:dyDescent="0.2">
      <c r="A51" s="81"/>
      <c r="B51" s="81"/>
      <c r="C51" s="81" t="s">
        <v>106</v>
      </c>
      <c r="D51" s="81"/>
      <c r="E51" s="81"/>
      <c r="F51" s="103"/>
    </row>
    <row r="52" spans="1:6" x14ac:dyDescent="0.2">
      <c r="A52" s="81"/>
      <c r="B52" s="81"/>
      <c r="C52" s="81"/>
      <c r="D52" s="81" t="s">
        <v>371</v>
      </c>
      <c r="E52" s="81"/>
      <c r="F52" s="103"/>
    </row>
    <row r="53" spans="1:6" x14ac:dyDescent="0.2">
      <c r="A53" s="81"/>
      <c r="B53" s="81"/>
      <c r="C53" s="81"/>
      <c r="D53" s="81"/>
      <c r="E53" s="81" t="s">
        <v>613</v>
      </c>
      <c r="F53" s="103"/>
    </row>
    <row r="54" spans="1:6" x14ac:dyDescent="0.2">
      <c r="A54" s="81"/>
      <c r="B54" s="81"/>
      <c r="C54" s="81"/>
      <c r="D54" s="81"/>
      <c r="E54" s="81" t="s">
        <v>372</v>
      </c>
      <c r="F54" s="103"/>
    </row>
    <row r="55" spans="1:6" x14ac:dyDescent="0.2">
      <c r="A55" s="81"/>
      <c r="B55" s="81"/>
      <c r="C55" s="81"/>
      <c r="D55" s="81"/>
      <c r="E55" s="81" t="s">
        <v>373</v>
      </c>
      <c r="F55" s="103">
        <v>3000</v>
      </c>
    </row>
    <row r="56" spans="1:6" x14ac:dyDescent="0.2">
      <c r="A56" s="81"/>
      <c r="B56" s="81"/>
      <c r="C56" s="81"/>
      <c r="D56" s="81"/>
      <c r="E56" s="81" t="s">
        <v>374</v>
      </c>
      <c r="F56" s="103"/>
    </row>
    <row r="57" spans="1:6" x14ac:dyDescent="0.2">
      <c r="A57" s="81"/>
      <c r="B57" s="81"/>
      <c r="C57" s="81"/>
      <c r="D57" s="81"/>
      <c r="E57" s="81" t="s">
        <v>592</v>
      </c>
      <c r="F57" s="103">
        <v>4500</v>
      </c>
    </row>
    <row r="58" spans="1:6" x14ac:dyDescent="0.2">
      <c r="A58" s="81"/>
      <c r="B58" s="81"/>
      <c r="C58" s="81"/>
      <c r="D58" s="81"/>
      <c r="E58" s="81" t="s">
        <v>375</v>
      </c>
      <c r="F58" s="103">
        <v>249.99</v>
      </c>
    </row>
    <row r="59" spans="1:6" x14ac:dyDescent="0.2">
      <c r="A59" s="81"/>
      <c r="B59" s="81"/>
      <c r="C59" s="81"/>
      <c r="D59" s="81"/>
      <c r="E59" s="81" t="s">
        <v>376</v>
      </c>
      <c r="F59" s="103">
        <v>1400</v>
      </c>
    </row>
    <row r="60" spans="1:6" x14ac:dyDescent="0.2">
      <c r="A60" s="81"/>
      <c r="B60" s="81"/>
      <c r="C60" s="81"/>
      <c r="D60" s="81"/>
      <c r="E60" s="81" t="s">
        <v>530</v>
      </c>
      <c r="F60" s="103">
        <v>8168.56</v>
      </c>
    </row>
    <row r="61" spans="1:6" x14ac:dyDescent="0.2">
      <c r="A61" s="81"/>
      <c r="B61" s="81"/>
      <c r="C61" s="81"/>
      <c r="D61" s="81"/>
      <c r="E61" s="81" t="s">
        <v>377</v>
      </c>
      <c r="F61" s="103"/>
    </row>
    <row r="62" spans="1:6" x14ac:dyDescent="0.2">
      <c r="A62" s="81"/>
      <c r="B62" s="81"/>
      <c r="C62" s="81"/>
      <c r="D62" s="81"/>
      <c r="E62" s="81" t="s">
        <v>378</v>
      </c>
      <c r="F62" s="103">
        <v>1035822.26</v>
      </c>
    </row>
    <row r="63" spans="1:6" x14ac:dyDescent="0.2">
      <c r="A63" s="81"/>
      <c r="B63" s="81"/>
      <c r="C63" s="81"/>
      <c r="D63" s="81"/>
      <c r="E63" s="81" t="s">
        <v>379</v>
      </c>
      <c r="F63" s="103">
        <v>41702.239999999998</v>
      </c>
    </row>
    <row r="64" spans="1:6" x14ac:dyDescent="0.2">
      <c r="A64" s="81"/>
      <c r="B64" s="81"/>
      <c r="C64" s="81"/>
      <c r="D64" s="81"/>
      <c r="E64" s="81" t="s">
        <v>380</v>
      </c>
      <c r="F64" s="103">
        <v>-28243.19</v>
      </c>
    </row>
    <row r="65" spans="1:7" ht="13.5" thickBot="1" x14ac:dyDescent="0.25">
      <c r="A65" s="81"/>
      <c r="B65" s="81"/>
      <c r="C65" s="81"/>
      <c r="D65" s="81"/>
      <c r="E65" s="81" t="s">
        <v>615</v>
      </c>
      <c r="F65" s="103"/>
    </row>
    <row r="66" spans="1:7" ht="13.5" thickBot="1" x14ac:dyDescent="0.25">
      <c r="A66" s="81"/>
      <c r="B66" s="81"/>
      <c r="C66" s="81"/>
      <c r="D66" s="81" t="s">
        <v>381</v>
      </c>
      <c r="E66" s="81"/>
      <c r="F66" s="104">
        <f>ROUND(SUM(F52:F65),5)</f>
        <v>1066599.8600000001</v>
      </c>
    </row>
    <row r="67" spans="1:7" x14ac:dyDescent="0.2">
      <c r="A67" s="81"/>
      <c r="B67" s="81"/>
      <c r="C67" s="81" t="s">
        <v>382</v>
      </c>
      <c r="D67" s="81"/>
      <c r="E67" s="81"/>
      <c r="F67" s="103">
        <f>ROUND(F51+F66,5)</f>
        <v>1066599.8600000001</v>
      </c>
    </row>
    <row r="68" spans="1:7" x14ac:dyDescent="0.2">
      <c r="A68" s="81"/>
      <c r="B68" s="81"/>
      <c r="C68" s="81" t="s">
        <v>149</v>
      </c>
      <c r="D68" s="81"/>
      <c r="E68" s="81"/>
      <c r="F68" s="103"/>
    </row>
    <row r="69" spans="1:7" x14ac:dyDescent="0.2">
      <c r="A69" s="81"/>
      <c r="B69" s="81"/>
      <c r="C69" s="81"/>
      <c r="D69" s="81" t="s">
        <v>383</v>
      </c>
      <c r="E69" s="81"/>
      <c r="F69" s="103">
        <v>1038675.03</v>
      </c>
    </row>
    <row r="70" spans="1:7" ht="13.5" thickBot="1" x14ac:dyDescent="0.25">
      <c r="A70" s="81"/>
      <c r="B70" s="81"/>
      <c r="C70" s="81"/>
      <c r="D70" s="81" t="s">
        <v>384</v>
      </c>
      <c r="E70" s="81"/>
      <c r="F70" s="103">
        <v>1086025.01</v>
      </c>
    </row>
    <row r="71" spans="1:7" ht="13.5" thickBot="1" x14ac:dyDescent="0.25">
      <c r="A71" s="81"/>
      <c r="B71" s="81"/>
      <c r="C71" s="81" t="s">
        <v>319</v>
      </c>
      <c r="D71" s="81"/>
      <c r="E71" s="81"/>
      <c r="F71" s="104">
        <f>ROUND(SUM(F68:F70),5)</f>
        <v>2124700.04</v>
      </c>
    </row>
    <row r="72" spans="1:7" x14ac:dyDescent="0.2">
      <c r="A72" s="81"/>
      <c r="B72" s="81" t="s">
        <v>320</v>
      </c>
      <c r="C72" s="81"/>
      <c r="D72" s="81"/>
      <c r="E72" s="81"/>
      <c r="F72" s="103">
        <f>ROUND(F50+F67+F71,5)</f>
        <v>3191299.9</v>
      </c>
    </row>
    <row r="73" spans="1:7" x14ac:dyDescent="0.2">
      <c r="A73" s="81"/>
      <c r="B73" s="81" t="s">
        <v>160</v>
      </c>
      <c r="C73" s="81"/>
      <c r="D73" s="81"/>
      <c r="E73" s="81"/>
      <c r="F73" s="103"/>
    </row>
    <row r="74" spans="1:7" x14ac:dyDescent="0.2">
      <c r="A74" s="81"/>
      <c r="B74" s="81"/>
      <c r="C74" s="81" t="s">
        <v>385</v>
      </c>
      <c r="D74" s="81"/>
      <c r="E74" s="81"/>
      <c r="F74" s="103">
        <v>24927.59</v>
      </c>
    </row>
    <row r="75" spans="1:7" x14ac:dyDescent="0.2">
      <c r="A75" s="81"/>
      <c r="B75" s="81"/>
      <c r="C75" s="81" t="s">
        <v>386</v>
      </c>
      <c r="D75" s="81"/>
      <c r="E75" s="81"/>
      <c r="F75" s="103">
        <v>-1189372.3600000001</v>
      </c>
    </row>
    <row r="76" spans="1:7" ht="13.5" thickBot="1" x14ac:dyDescent="0.25">
      <c r="A76" s="81"/>
      <c r="B76" s="81"/>
      <c r="C76" s="81" t="s">
        <v>387</v>
      </c>
      <c r="D76" s="81"/>
      <c r="E76" s="81"/>
      <c r="F76" s="103">
        <v>-32217.29</v>
      </c>
    </row>
    <row r="77" spans="1:7" ht="13.5" thickBot="1" x14ac:dyDescent="0.25">
      <c r="A77" s="81"/>
      <c r="B77" s="81" t="s">
        <v>331</v>
      </c>
      <c r="C77" s="81"/>
      <c r="D77" s="81"/>
      <c r="E77" s="81"/>
      <c r="F77" s="105">
        <f>ROUND(SUM(F73:F76),5)</f>
        <v>-1196662.06</v>
      </c>
    </row>
    <row r="78" spans="1:7" ht="13.5" thickBot="1" x14ac:dyDescent="0.25">
      <c r="A78" s="83" t="s">
        <v>388</v>
      </c>
      <c r="B78" s="83"/>
      <c r="C78" s="83"/>
      <c r="D78" s="83"/>
      <c r="E78" s="83"/>
      <c r="F78" s="106">
        <f>ROUND(F49+F72+F77,5)</f>
        <v>1994637.84</v>
      </c>
      <c r="G78" s="100"/>
    </row>
    <row r="79" spans="1:7" ht="13.5" thickTop="1" x14ac:dyDescent="0.2"/>
    <row r="80" spans="1:7" x14ac:dyDescent="0.2">
      <c r="E80" s="85" t="s">
        <v>392</v>
      </c>
      <c r="F80" s="108">
        <f>F48-F78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S110"/>
  <sheetViews>
    <sheetView topLeftCell="A67" workbookViewId="0">
      <selection activeCell="J104" sqref="J104"/>
    </sheetView>
  </sheetViews>
  <sheetFormatPr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81" t="s">
        <v>407</v>
      </c>
      <c r="C2" s="181"/>
      <c r="D2" s="181"/>
      <c r="E2" s="181"/>
      <c r="F2" s="181"/>
    </row>
    <row r="3" spans="1:19" x14ac:dyDescent="0.2">
      <c r="A3" s="100"/>
      <c r="B3" s="181"/>
      <c r="C3" s="181"/>
      <c r="D3" s="181"/>
      <c r="E3" s="181"/>
      <c r="F3" s="181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736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62482.7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62482.7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411</v>
      </c>
      <c r="E12" s="83"/>
      <c r="F12" s="103">
        <v>1127727.25</v>
      </c>
    </row>
    <row r="13" spans="1:19" x14ac:dyDescent="0.2">
      <c r="A13" s="83"/>
      <c r="B13" s="83"/>
      <c r="C13" s="83"/>
      <c r="D13" s="83" t="s">
        <v>569</v>
      </c>
      <c r="E13" s="83"/>
      <c r="F13" s="103">
        <f>1050000+33820.84</f>
        <v>1083820.8400000001</v>
      </c>
    </row>
    <row r="14" spans="1:19" x14ac:dyDescent="0.2">
      <c r="A14" s="83"/>
      <c r="B14" s="83"/>
      <c r="C14" s="83"/>
      <c r="D14" s="83" t="s">
        <v>576</v>
      </c>
      <c r="E14" s="83"/>
      <c r="F14" s="103">
        <v>0</v>
      </c>
    </row>
    <row r="15" spans="1:19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19" ht="13.5" thickBot="1" x14ac:dyDescent="0.25">
      <c r="A16" s="83"/>
      <c r="B16" s="83"/>
      <c r="C16" s="83"/>
      <c r="D16" s="83" t="s">
        <v>669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2211548.09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2274030.79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-1612508.68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115547.33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5472164.6699999999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651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1350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107616.25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108966.25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108966.25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356716.25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2988.06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85664.17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5115448.42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5472164.6699999999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2:S72"/>
  <sheetViews>
    <sheetView zoomScaleNormal="100" workbookViewId="0">
      <selection activeCell="L38" sqref="L38"/>
    </sheetView>
  </sheetViews>
  <sheetFormatPr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19" x14ac:dyDescent="0.2">
      <c r="B2" s="181" t="s">
        <v>502</v>
      </c>
      <c r="C2" s="181"/>
      <c r="D2" s="181"/>
      <c r="E2" s="181"/>
    </row>
    <row r="3" spans="1:19" x14ac:dyDescent="0.2">
      <c r="B3" s="181"/>
      <c r="C3" s="181"/>
      <c r="D3" s="181"/>
      <c r="E3" s="181"/>
    </row>
    <row r="5" spans="1:19" ht="13.5" thickBot="1" x14ac:dyDescent="0.25">
      <c r="A5" s="101"/>
      <c r="B5" s="101"/>
      <c r="C5" s="101"/>
      <c r="D5" s="101"/>
      <c r="E5" s="102" t="s">
        <v>736</v>
      </c>
    </row>
    <row r="6" spans="1:19" ht="13.5" thickTop="1" x14ac:dyDescent="0.2">
      <c r="A6" s="83" t="s">
        <v>335</v>
      </c>
      <c r="B6" s="83"/>
      <c r="C6" s="83"/>
      <c r="D6" s="83"/>
      <c r="E6" s="103"/>
    </row>
    <row r="7" spans="1:19" x14ac:dyDescent="0.2">
      <c r="A7" s="83"/>
      <c r="B7" s="83" t="s">
        <v>3</v>
      </c>
      <c r="C7" s="83"/>
      <c r="D7" s="83"/>
      <c r="E7" s="103"/>
    </row>
    <row r="8" spans="1:19" x14ac:dyDescent="0.2">
      <c r="A8" s="83"/>
      <c r="B8" s="83"/>
      <c r="C8" s="83" t="s">
        <v>336</v>
      </c>
      <c r="D8" s="83"/>
      <c r="E8" s="103"/>
    </row>
    <row r="9" spans="1:19" ht="13.5" thickBot="1" x14ac:dyDescent="0.25">
      <c r="A9" s="83"/>
      <c r="B9" s="83"/>
      <c r="C9" s="83" t="s">
        <v>481</v>
      </c>
      <c r="E9" s="103">
        <v>72795.11</v>
      </c>
      <c r="S9" s="75">
        <v>0</v>
      </c>
    </row>
    <row r="10" spans="1:19" ht="13.5" thickBot="1" x14ac:dyDescent="0.25">
      <c r="A10" s="83"/>
      <c r="B10" s="83"/>
      <c r="C10" s="83" t="s">
        <v>340</v>
      </c>
      <c r="D10" s="83"/>
      <c r="E10" s="104">
        <f>ROUND(SUM(E8:E9),5)</f>
        <v>72795.11</v>
      </c>
      <c r="S10" s="75">
        <v>0</v>
      </c>
    </row>
    <row r="11" spans="1:19" x14ac:dyDescent="0.2">
      <c r="A11" s="83"/>
      <c r="B11" s="83"/>
      <c r="C11" s="83"/>
      <c r="D11" s="83"/>
      <c r="E11" s="103"/>
    </row>
    <row r="12" spans="1:19" x14ac:dyDescent="0.2">
      <c r="A12" s="83"/>
      <c r="B12" s="83"/>
      <c r="C12" s="83" t="s">
        <v>550</v>
      </c>
      <c r="D12" s="83"/>
      <c r="E12" s="103"/>
    </row>
    <row r="13" spans="1:19" x14ac:dyDescent="0.2">
      <c r="A13" s="83"/>
      <c r="B13" s="83"/>
      <c r="C13" s="83" t="s">
        <v>551</v>
      </c>
      <c r="E13" s="103">
        <v>25000</v>
      </c>
    </row>
    <row r="14" spans="1:19" x14ac:dyDescent="0.2">
      <c r="A14" s="83"/>
      <c r="B14" s="83"/>
      <c r="C14" s="83" t="s">
        <v>571</v>
      </c>
      <c r="E14" s="103">
        <f>600000+5930</f>
        <v>605930</v>
      </c>
      <c r="G14" s="75" t="s">
        <v>572</v>
      </c>
    </row>
    <row r="15" spans="1:19" x14ac:dyDescent="0.2">
      <c r="A15" s="83"/>
      <c r="B15" s="83"/>
      <c r="C15" s="83" t="s">
        <v>652</v>
      </c>
      <c r="E15" s="103">
        <v>775.02</v>
      </c>
    </row>
    <row r="16" spans="1:19" ht="13.5" thickBot="1" x14ac:dyDescent="0.25">
      <c r="A16" s="83"/>
      <c r="B16" s="83"/>
      <c r="C16" s="83" t="s">
        <v>671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631705.02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704500.13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-1040315.22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-120835.5</v>
      </c>
    </row>
    <row r="24" spans="1:5" x14ac:dyDescent="0.2">
      <c r="A24" s="83"/>
      <c r="B24" s="83"/>
      <c r="C24" s="83" t="s">
        <v>485</v>
      </c>
      <c r="D24" s="83"/>
      <c r="E24" s="103">
        <v>-182655</v>
      </c>
    </row>
    <row r="25" spans="1:5" x14ac:dyDescent="0.2">
      <c r="A25" s="83"/>
      <c r="B25" s="83"/>
      <c r="C25" s="83" t="s">
        <v>638</v>
      </c>
      <c r="D25" s="83"/>
      <c r="E25" s="103">
        <v>0</v>
      </c>
    </row>
    <row r="26" spans="1:5" x14ac:dyDescent="0.2">
      <c r="A26" s="83"/>
      <c r="B26" s="83"/>
      <c r="C26" s="83" t="s">
        <v>486</v>
      </c>
      <c r="D26" s="83"/>
      <c r="E26" s="103">
        <v>6396505.0499999998</v>
      </c>
    </row>
    <row r="27" spans="1:5" x14ac:dyDescent="0.2">
      <c r="A27" s="83"/>
      <c r="B27" s="83"/>
      <c r="C27" s="83" t="s">
        <v>504</v>
      </c>
      <c r="D27" s="83"/>
      <c r="E27" s="103">
        <v>503894.53</v>
      </c>
    </row>
    <row r="28" spans="1:5" x14ac:dyDescent="0.2">
      <c r="A28" s="83"/>
      <c r="B28" s="83"/>
      <c r="C28" s="83" t="s">
        <v>487</v>
      </c>
      <c r="D28" s="83"/>
      <c r="E28" s="103">
        <v>9394.19</v>
      </c>
    </row>
    <row r="29" spans="1:5" x14ac:dyDescent="0.2">
      <c r="A29" s="83"/>
      <c r="B29" s="83"/>
      <c r="C29" s="83" t="s">
        <v>488</v>
      </c>
      <c r="D29" s="83"/>
      <c r="E29" s="103">
        <v>1898482.76</v>
      </c>
    </row>
    <row r="30" spans="1:5" x14ac:dyDescent="0.2">
      <c r="A30" s="83"/>
      <c r="B30" s="83"/>
      <c r="C30" s="83" t="s">
        <v>489</v>
      </c>
      <c r="D30" s="83"/>
      <c r="E30" s="103">
        <v>152311.53</v>
      </c>
    </row>
    <row r="31" spans="1:5" x14ac:dyDescent="0.2">
      <c r="A31" s="83"/>
      <c r="B31" s="83"/>
      <c r="C31" s="83" t="s">
        <v>490</v>
      </c>
      <c r="D31" s="83"/>
      <c r="E31" s="103">
        <v>230237.91</v>
      </c>
    </row>
    <row r="32" spans="1:5" ht="13.5" thickBot="1" x14ac:dyDescent="0.25">
      <c r="A32" s="83"/>
      <c r="B32" s="83"/>
      <c r="C32" s="83" t="s">
        <v>578</v>
      </c>
      <c r="D32" s="83"/>
      <c r="E32" s="103">
        <v>0</v>
      </c>
    </row>
    <row r="33" spans="1:5" ht="13.5" thickBot="1" x14ac:dyDescent="0.25">
      <c r="A33" s="83"/>
      <c r="B33" s="83" t="s">
        <v>366</v>
      </c>
      <c r="C33" s="83"/>
      <c r="D33" s="83"/>
      <c r="E33" s="105">
        <f>ROUND(SUM(E20:E32),5)</f>
        <v>7837626.0499999998</v>
      </c>
    </row>
    <row r="34" spans="1:5" ht="13.5" thickBot="1" x14ac:dyDescent="0.25">
      <c r="A34" s="83" t="s">
        <v>369</v>
      </c>
      <c r="B34" s="83"/>
      <c r="C34" s="83"/>
      <c r="D34" s="83"/>
      <c r="E34" s="106">
        <f>ROUND(E6+E19+E33,5)</f>
        <v>8542126.1799999997</v>
      </c>
    </row>
    <row r="35" spans="1:5" ht="13.5" thickTop="1" x14ac:dyDescent="0.2">
      <c r="A35" s="83" t="s">
        <v>370</v>
      </c>
      <c r="B35" s="83"/>
      <c r="C35" s="83"/>
      <c r="D35" s="83"/>
      <c r="E35" s="103"/>
    </row>
    <row r="36" spans="1:5" x14ac:dyDescent="0.2">
      <c r="A36" s="83"/>
      <c r="B36" s="83" t="s">
        <v>105</v>
      </c>
      <c r="C36" s="83"/>
      <c r="D36" s="83"/>
      <c r="E36" s="103"/>
    </row>
    <row r="37" spans="1:5" x14ac:dyDescent="0.2">
      <c r="A37" s="83"/>
      <c r="B37" s="83"/>
      <c r="C37" s="83" t="s">
        <v>106</v>
      </c>
      <c r="D37" s="83"/>
      <c r="E37" s="103"/>
    </row>
    <row r="38" spans="1:5" x14ac:dyDescent="0.2">
      <c r="A38" s="83"/>
      <c r="B38" s="83"/>
      <c r="C38" s="83" t="s">
        <v>371</v>
      </c>
      <c r="D38" s="83"/>
      <c r="E38" s="103"/>
    </row>
    <row r="39" spans="1:5" x14ac:dyDescent="0.2">
      <c r="A39" s="83"/>
      <c r="B39" s="83"/>
      <c r="C39" s="83" t="s">
        <v>639</v>
      </c>
      <c r="D39" s="83"/>
      <c r="E39" s="103">
        <v>0</v>
      </c>
    </row>
    <row r="40" spans="1:5" x14ac:dyDescent="0.2">
      <c r="A40" s="83"/>
      <c r="B40" s="83"/>
      <c r="C40" s="83" t="s">
        <v>640</v>
      </c>
      <c r="D40" s="83"/>
      <c r="E40" s="103">
        <v>0</v>
      </c>
    </row>
    <row r="41" spans="1:5" x14ac:dyDescent="0.2">
      <c r="A41" s="83"/>
      <c r="B41" s="83"/>
      <c r="C41" s="83" t="s">
        <v>641</v>
      </c>
      <c r="D41" s="83"/>
      <c r="E41" s="103">
        <v>0</v>
      </c>
    </row>
    <row r="42" spans="1:5" x14ac:dyDescent="0.2">
      <c r="A42" s="83"/>
      <c r="B42" s="83"/>
      <c r="C42" s="83" t="s">
        <v>642</v>
      </c>
      <c r="D42" s="83"/>
      <c r="E42" s="103">
        <v>0</v>
      </c>
    </row>
    <row r="43" spans="1:5" x14ac:dyDescent="0.2">
      <c r="A43" s="83"/>
      <c r="B43" s="83"/>
      <c r="C43" s="83" t="s">
        <v>626</v>
      </c>
      <c r="D43" s="83"/>
      <c r="E43" s="103">
        <v>0</v>
      </c>
    </row>
    <row r="44" spans="1:5" x14ac:dyDescent="0.2">
      <c r="A44" s="83"/>
      <c r="B44" s="83"/>
      <c r="C44" s="83" t="s">
        <v>491</v>
      </c>
      <c r="E44" s="103">
        <v>0</v>
      </c>
    </row>
    <row r="45" spans="1:5" x14ac:dyDescent="0.2">
      <c r="A45" s="83"/>
      <c r="B45" s="83"/>
      <c r="C45" s="83" t="s">
        <v>579</v>
      </c>
      <c r="E45" s="103">
        <v>147313.51999999999</v>
      </c>
    </row>
    <row r="46" spans="1:5" ht="13.5" thickBot="1" x14ac:dyDescent="0.25">
      <c r="A46" s="83"/>
      <c r="B46" s="83"/>
      <c r="C46" s="83" t="s">
        <v>492</v>
      </c>
      <c r="E46" s="103">
        <v>0</v>
      </c>
    </row>
    <row r="47" spans="1:5" ht="13.5" thickBot="1" x14ac:dyDescent="0.25">
      <c r="A47" s="83"/>
      <c r="B47" s="83"/>
      <c r="C47" s="83" t="s">
        <v>381</v>
      </c>
      <c r="D47" s="83"/>
      <c r="E47" s="104">
        <f>ROUND(SUM(E38:E46),5)</f>
        <v>147313.51999999999</v>
      </c>
    </row>
    <row r="48" spans="1:5" x14ac:dyDescent="0.2">
      <c r="A48" s="83"/>
      <c r="B48" s="83"/>
      <c r="C48" s="83" t="s">
        <v>382</v>
      </c>
      <c r="D48" s="83"/>
      <c r="E48" s="103">
        <f>ROUND(E37+E47,5)</f>
        <v>147313.51999999999</v>
      </c>
    </row>
    <row r="49" spans="1:5" x14ac:dyDescent="0.2">
      <c r="A49" s="83"/>
      <c r="B49" s="83"/>
      <c r="C49" s="83" t="s">
        <v>149</v>
      </c>
      <c r="D49" s="83"/>
      <c r="E49" s="103"/>
    </row>
    <row r="50" spans="1:5" x14ac:dyDescent="0.2">
      <c r="A50" s="83"/>
      <c r="B50" s="83"/>
      <c r="C50" s="83" t="s">
        <v>493</v>
      </c>
      <c r="D50" s="83"/>
      <c r="E50" s="103">
        <v>0</v>
      </c>
    </row>
    <row r="51" spans="1:5" x14ac:dyDescent="0.2">
      <c r="A51" s="83"/>
      <c r="B51" s="83"/>
      <c r="C51" s="83" t="s">
        <v>494</v>
      </c>
      <c r="D51" s="83"/>
      <c r="E51" s="103">
        <v>0</v>
      </c>
    </row>
    <row r="52" spans="1:5" x14ac:dyDescent="0.2">
      <c r="A52" s="83"/>
      <c r="B52" s="83"/>
      <c r="C52" s="83" t="s">
        <v>495</v>
      </c>
      <c r="D52" s="83"/>
      <c r="E52" s="103">
        <v>0</v>
      </c>
    </row>
    <row r="53" spans="1:5" ht="13.5" thickBot="1" x14ac:dyDescent="0.25">
      <c r="A53" s="83"/>
      <c r="B53" s="83"/>
      <c r="C53" s="83" t="s">
        <v>496</v>
      </c>
      <c r="D53" s="83"/>
      <c r="E53" s="103">
        <v>0</v>
      </c>
    </row>
    <row r="54" spans="1:5" ht="13.5" thickBot="1" x14ac:dyDescent="0.25">
      <c r="A54" s="83"/>
      <c r="B54" s="83"/>
      <c r="C54" s="83" t="s">
        <v>319</v>
      </c>
      <c r="D54" s="83"/>
      <c r="E54" s="104">
        <f>ROUND(SUM(E49:E53),5)</f>
        <v>0</v>
      </c>
    </row>
    <row r="55" spans="1:5" x14ac:dyDescent="0.2">
      <c r="A55" s="83"/>
      <c r="B55" s="83" t="s">
        <v>320</v>
      </c>
      <c r="C55" s="83"/>
      <c r="D55" s="83"/>
      <c r="E55" s="103">
        <f>ROUND(E36+E48+E54,5)</f>
        <v>147313.51999999999</v>
      </c>
    </row>
    <row r="56" spans="1:5" x14ac:dyDescent="0.2">
      <c r="A56" s="83"/>
      <c r="B56" s="83" t="s">
        <v>160</v>
      </c>
      <c r="C56" s="83"/>
      <c r="D56" s="83"/>
      <c r="E56" s="103"/>
    </row>
    <row r="57" spans="1:5" x14ac:dyDescent="0.2">
      <c r="A57" s="83"/>
      <c r="B57" s="83"/>
      <c r="C57" s="83" t="s">
        <v>505</v>
      </c>
      <c r="D57" s="83"/>
      <c r="E57" s="103">
        <v>200125.23</v>
      </c>
    </row>
    <row r="58" spans="1:5" x14ac:dyDescent="0.2">
      <c r="A58" s="83"/>
      <c r="B58" s="83"/>
      <c r="C58" s="83" t="s">
        <v>722</v>
      </c>
      <c r="D58" s="83"/>
      <c r="E58" s="103">
        <v>819710</v>
      </c>
    </row>
    <row r="59" spans="1:5" x14ac:dyDescent="0.2">
      <c r="A59" s="83"/>
      <c r="B59" s="83"/>
      <c r="C59" s="83" t="s">
        <v>723</v>
      </c>
      <c r="D59" s="83"/>
      <c r="E59" s="103">
        <v>1781746</v>
      </c>
    </row>
    <row r="60" spans="1:5" x14ac:dyDescent="0.2">
      <c r="A60" s="83"/>
      <c r="B60" s="83"/>
      <c r="C60" s="83" t="s">
        <v>724</v>
      </c>
      <c r="D60" s="83"/>
      <c r="E60" s="103">
        <v>1781746</v>
      </c>
    </row>
    <row r="61" spans="1:5" x14ac:dyDescent="0.2">
      <c r="A61" s="83"/>
      <c r="B61" s="83"/>
      <c r="C61" s="83" t="s">
        <v>725</v>
      </c>
      <c r="D61" s="83"/>
      <c r="E61" s="103">
        <v>855953</v>
      </c>
    </row>
    <row r="62" spans="1:5" x14ac:dyDescent="0.2">
      <c r="A62" s="83"/>
      <c r="B62" s="83"/>
      <c r="C62" s="83" t="s">
        <v>726</v>
      </c>
      <c r="D62" s="83"/>
      <c r="E62" s="103">
        <v>686847</v>
      </c>
    </row>
    <row r="63" spans="1:5" x14ac:dyDescent="0.2">
      <c r="A63" s="83"/>
      <c r="B63" s="83"/>
      <c r="C63" s="83" t="s">
        <v>497</v>
      </c>
      <c r="D63" s="83"/>
      <c r="E63" s="103">
        <v>691658.71</v>
      </c>
    </row>
    <row r="64" spans="1:5" x14ac:dyDescent="0.2">
      <c r="A64" s="83"/>
      <c r="B64" s="83"/>
      <c r="C64" s="83" t="s">
        <v>498</v>
      </c>
      <c r="D64" s="83"/>
      <c r="E64" s="103">
        <v>38643.300000000003</v>
      </c>
    </row>
    <row r="65" spans="1:5" x14ac:dyDescent="0.2">
      <c r="A65" s="83"/>
      <c r="B65" s="83"/>
      <c r="C65" s="83" t="s">
        <v>499</v>
      </c>
      <c r="D65" s="83"/>
      <c r="E65" s="103">
        <v>38642.300000000003</v>
      </c>
    </row>
    <row r="66" spans="1:5" x14ac:dyDescent="0.2">
      <c r="A66" s="83"/>
      <c r="B66" s="83"/>
      <c r="C66" s="83" t="s">
        <v>500</v>
      </c>
      <c r="D66" s="83"/>
      <c r="E66" s="103">
        <v>691659.03</v>
      </c>
    </row>
    <row r="67" spans="1:5" x14ac:dyDescent="0.2">
      <c r="A67" s="83"/>
      <c r="B67" s="83"/>
      <c r="C67" s="83" t="s">
        <v>501</v>
      </c>
      <c r="D67" s="83"/>
      <c r="E67" s="103">
        <v>691655.59</v>
      </c>
    </row>
    <row r="68" spans="1:5" ht="13.5" thickBot="1" x14ac:dyDescent="0.25">
      <c r="A68" s="83"/>
      <c r="B68" s="83"/>
      <c r="C68" s="83" t="s">
        <v>387</v>
      </c>
      <c r="D68" s="83"/>
      <c r="E68" s="103">
        <v>116426.5</v>
      </c>
    </row>
    <row r="69" spans="1:5" ht="13.5" thickBot="1" x14ac:dyDescent="0.25">
      <c r="A69" s="83"/>
      <c r="B69" s="83" t="s">
        <v>331</v>
      </c>
      <c r="C69" s="83"/>
      <c r="D69" s="83"/>
      <c r="E69" s="105">
        <f>SUM(E57:E68)</f>
        <v>8394812.6600000001</v>
      </c>
    </row>
    <row r="70" spans="1:5" ht="13.5" thickBot="1" x14ac:dyDescent="0.25">
      <c r="A70" s="83" t="s">
        <v>388</v>
      </c>
      <c r="B70" s="83"/>
      <c r="C70" s="83"/>
      <c r="D70" s="83"/>
      <c r="E70" s="106">
        <f>ROUND(E35+E55+E69,5)</f>
        <v>8542126.1799999997</v>
      </c>
    </row>
    <row r="71" spans="1:5" ht="13.5" thickTop="1" x14ac:dyDescent="0.2"/>
    <row r="72" spans="1:5" x14ac:dyDescent="0.2">
      <c r="E72" s="108">
        <f>E34-E70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Mark Pezza</cp:lastModifiedBy>
  <cp:lastPrinted>2020-05-29T15:26:20Z</cp:lastPrinted>
  <dcterms:created xsi:type="dcterms:W3CDTF">2018-05-14T12:52:26Z</dcterms:created>
  <dcterms:modified xsi:type="dcterms:W3CDTF">2020-08-19T18:44:07Z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