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F9932A45-C953-4872-83AC-8D7CAA867F59}" xr6:coauthVersionLast="45" xr6:coauthVersionMax="45" xr10:uidLastSave="{00000000-0000-0000-0000-000000000000}"/>
  <bookViews>
    <workbookView xWindow="28680" yWindow="-120" windowWidth="29040" windowHeight="16440" firstSheet="1" activeTab="3" xr2:uid="{00000000-000D-0000-FFFF-FFFF00000000}"/>
  </bookViews>
  <sheets>
    <sheet name="1Summary YTD10.31.19 (condensd)" sheetId="16" r:id="rId1"/>
    <sheet name="Summary YTD 10.31.19" sheetId="11" r:id="rId2"/>
    <sheet name="Comp Summary YTD 2020-2019 " sheetId="15" r:id="rId3"/>
    <sheet name="Comp YTD 2020-2019 " sheetId="12" r:id="rId4"/>
    <sheet name="Budgets &amp; Projections 2019 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'1Summary YTD10.31.19 (condensd)'!$A$1:$I$64</definedName>
    <definedName name="_xlnm.Print_Area" localSheetId="10">'722 Bedford St'!$A$1:$N$30</definedName>
    <definedName name="_xlnm.Print_Area" localSheetId="6">BPM!$A$1:$N$92</definedName>
    <definedName name="_xlnm.Print_Area" localSheetId="8">'BSC (Dome)'!$A$1:$N$84</definedName>
    <definedName name="_xlnm.Print_Area" localSheetId="4">'Budgets &amp; Projections 2019 '!$A$747:$O$863</definedName>
    <definedName name="_xlnm.Print_Area" localSheetId="11">CNT!$A$1:$N$300</definedName>
    <definedName name="_xlnm.Print_Area" localSheetId="2">'Comp Summary YTD 2020-2019 '!$A$9:$AE$37</definedName>
    <definedName name="_xlnm.Print_Area" localSheetId="3">'Comp YTD 2020-2019 '!$A$1:$L$440</definedName>
    <definedName name="_xlnm.Print_Area" localSheetId="5">DEP!$A$1:$N$89</definedName>
    <definedName name="_xlnm.Print_Area" localSheetId="7">Lending!$A$1:$N$22</definedName>
    <definedName name="_xlnm.Print_Area" localSheetId="9">'Oliari Co.'!$A$1:$N$32</definedName>
    <definedName name="_xlnm.Print_Area" localSheetId="1">'Summary YTD 10.31.19'!$A$1:$I$112</definedName>
    <definedName name="_xlnm.Print_Titles" localSheetId="0">'1Summary YTD10.31.19 (condensd)'!$1:$6</definedName>
    <definedName name="_xlnm.Print_Titles" localSheetId="6">BPM!$1:$6</definedName>
    <definedName name="_xlnm.Print_Titles" localSheetId="8">'BSC (Dome)'!$1:$6</definedName>
    <definedName name="_xlnm.Print_Titles" localSheetId="4">'Budgets &amp; Projections 2019 '!$1:$6</definedName>
    <definedName name="_xlnm.Print_Titles" localSheetId="11">CNT!$A:$A,CNT!$1:$3</definedName>
    <definedName name="_xlnm.Print_Titles" localSheetId="2">'Comp Summary YTD 2020-2019 '!$9:$18</definedName>
    <definedName name="_xlnm.Print_Titles" localSheetId="5">DEP!$1:$6</definedName>
    <definedName name="_xlnm.Print_Titles" localSheetId="1">'Summary YTD 10.31.19'!$1:$6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0" l="1"/>
  <c r="C85" i="11"/>
  <c r="C96" i="12"/>
  <c r="N67" i="6"/>
  <c r="B42" i="5"/>
  <c r="B36" i="5"/>
  <c r="B38" i="12" l="1"/>
  <c r="B87" i="2"/>
  <c r="C87" i="2"/>
  <c r="D87" i="2"/>
  <c r="E87" i="2"/>
  <c r="E89" i="2" s="1"/>
  <c r="E98" i="2" s="1"/>
  <c r="F87" i="2"/>
  <c r="G87" i="2"/>
  <c r="H87" i="2"/>
  <c r="I87" i="2"/>
  <c r="I89" i="2" s="1"/>
  <c r="I98" i="2" s="1"/>
  <c r="J87" i="2"/>
  <c r="K87" i="2"/>
  <c r="L87" i="2"/>
  <c r="B88" i="2"/>
  <c r="B89" i="2" s="1"/>
  <c r="C88" i="2"/>
  <c r="D88" i="2"/>
  <c r="D89" i="2" s="1"/>
  <c r="D98" i="2" s="1"/>
  <c r="E88" i="2"/>
  <c r="F88" i="2"/>
  <c r="F89" i="2" s="1"/>
  <c r="G88" i="2"/>
  <c r="H88" i="2"/>
  <c r="H89" i="2" s="1"/>
  <c r="H98" i="2" s="1"/>
  <c r="I88" i="2"/>
  <c r="J88" i="2"/>
  <c r="J89" i="2" s="1"/>
  <c r="K88" i="2"/>
  <c r="L88" i="2"/>
  <c r="L89" i="2" s="1"/>
  <c r="L98" i="2" s="1"/>
  <c r="C89" i="2"/>
  <c r="G89" i="2"/>
  <c r="K89" i="2"/>
  <c r="B92" i="2"/>
  <c r="C92" i="2"/>
  <c r="D92" i="2"/>
  <c r="D97" i="2" s="1"/>
  <c r="E92" i="2"/>
  <c r="F92" i="2"/>
  <c r="G92" i="2"/>
  <c r="H92" i="2"/>
  <c r="H97" i="2" s="1"/>
  <c r="I92" i="2"/>
  <c r="J92" i="2"/>
  <c r="K92" i="2"/>
  <c r="L92" i="2"/>
  <c r="L97" i="2" s="1"/>
  <c r="B93" i="2"/>
  <c r="C93" i="2"/>
  <c r="D93" i="2"/>
  <c r="E93" i="2"/>
  <c r="F93" i="2"/>
  <c r="G93" i="2"/>
  <c r="H93" i="2"/>
  <c r="I93" i="2"/>
  <c r="J93" i="2"/>
  <c r="K93" i="2"/>
  <c r="L93" i="2"/>
  <c r="B94" i="2"/>
  <c r="B97" i="2" s="1"/>
  <c r="C94" i="2"/>
  <c r="D94" i="2"/>
  <c r="E94" i="2"/>
  <c r="F94" i="2"/>
  <c r="F97" i="2" s="1"/>
  <c r="G94" i="2"/>
  <c r="H94" i="2"/>
  <c r="I94" i="2"/>
  <c r="J94" i="2"/>
  <c r="J97" i="2" s="1"/>
  <c r="K94" i="2"/>
  <c r="L94" i="2"/>
  <c r="B95" i="2"/>
  <c r="C95" i="2"/>
  <c r="C97" i="2" s="1"/>
  <c r="D95" i="2"/>
  <c r="E95" i="2"/>
  <c r="F95" i="2"/>
  <c r="G95" i="2"/>
  <c r="G97" i="2" s="1"/>
  <c r="H95" i="2"/>
  <c r="I95" i="2"/>
  <c r="J95" i="2"/>
  <c r="K95" i="2"/>
  <c r="K97" i="2" s="1"/>
  <c r="L95" i="2"/>
  <c r="B96" i="2"/>
  <c r="C96" i="2"/>
  <c r="D96" i="2"/>
  <c r="E96" i="2"/>
  <c r="F96" i="2"/>
  <c r="G96" i="2"/>
  <c r="H96" i="2"/>
  <c r="I96" i="2"/>
  <c r="J96" i="2"/>
  <c r="K96" i="2"/>
  <c r="L96" i="2"/>
  <c r="E97" i="2"/>
  <c r="I97" i="2"/>
  <c r="B57" i="2"/>
  <c r="C57" i="2"/>
  <c r="D57" i="2"/>
  <c r="E57" i="2"/>
  <c r="F57" i="2"/>
  <c r="G57" i="2"/>
  <c r="H57" i="2"/>
  <c r="I57" i="2"/>
  <c r="J57" i="2"/>
  <c r="K57" i="2"/>
  <c r="L57" i="2"/>
  <c r="B58" i="2"/>
  <c r="B61" i="2" s="1"/>
  <c r="B72" i="2" s="1"/>
  <c r="B80" i="2" s="1"/>
  <c r="B302" i="2" s="1"/>
  <c r="C58" i="2"/>
  <c r="D58" i="2"/>
  <c r="D61" i="2" s="1"/>
  <c r="D72" i="2" s="1"/>
  <c r="D80" i="2" s="1"/>
  <c r="E58" i="2"/>
  <c r="F58" i="2"/>
  <c r="F61" i="2" s="1"/>
  <c r="F72" i="2" s="1"/>
  <c r="F80" i="2" s="1"/>
  <c r="G58" i="2"/>
  <c r="H58" i="2"/>
  <c r="H61" i="2" s="1"/>
  <c r="H72" i="2" s="1"/>
  <c r="H80" i="2" s="1"/>
  <c r="I58" i="2"/>
  <c r="J58" i="2"/>
  <c r="J61" i="2" s="1"/>
  <c r="J72" i="2" s="1"/>
  <c r="J80" i="2" s="1"/>
  <c r="K58" i="2"/>
  <c r="L58" i="2"/>
  <c r="L61" i="2" s="1"/>
  <c r="L72" i="2" s="1"/>
  <c r="L80" i="2" s="1"/>
  <c r="B59" i="2"/>
  <c r="C59" i="2"/>
  <c r="C61" i="2" s="1"/>
  <c r="C72" i="2" s="1"/>
  <c r="C80" i="2" s="1"/>
  <c r="D59" i="2"/>
  <c r="E59" i="2"/>
  <c r="F59" i="2"/>
  <c r="G59" i="2"/>
  <c r="G61" i="2" s="1"/>
  <c r="G72" i="2" s="1"/>
  <c r="G80" i="2" s="1"/>
  <c r="H59" i="2"/>
  <c r="I59" i="2"/>
  <c r="J59" i="2"/>
  <c r="K59" i="2"/>
  <c r="K61" i="2" s="1"/>
  <c r="K72" i="2" s="1"/>
  <c r="K80" i="2" s="1"/>
  <c r="L59" i="2"/>
  <c r="B60" i="2"/>
  <c r="C60" i="2"/>
  <c r="D60" i="2"/>
  <c r="E60" i="2"/>
  <c r="F60" i="2"/>
  <c r="G60" i="2"/>
  <c r="H60" i="2"/>
  <c r="I60" i="2"/>
  <c r="J60" i="2"/>
  <c r="K60" i="2"/>
  <c r="L60" i="2"/>
  <c r="E61" i="2"/>
  <c r="E72" i="2" s="1"/>
  <c r="E80" i="2" s="1"/>
  <c r="I61" i="2"/>
  <c r="I72" i="2" s="1"/>
  <c r="I80" i="2" s="1"/>
  <c r="B63" i="2"/>
  <c r="B71" i="2" s="1"/>
  <c r="C63" i="2"/>
  <c r="D63" i="2"/>
  <c r="D71" i="2" s="1"/>
  <c r="E63" i="2"/>
  <c r="F63" i="2"/>
  <c r="F71" i="2" s="1"/>
  <c r="G63" i="2"/>
  <c r="H63" i="2"/>
  <c r="H71" i="2" s="1"/>
  <c r="I63" i="2"/>
  <c r="J63" i="2"/>
  <c r="J71" i="2" s="1"/>
  <c r="K63" i="2"/>
  <c r="L63" i="2"/>
  <c r="L71" i="2" s="1"/>
  <c r="B64" i="2"/>
  <c r="C64" i="2"/>
  <c r="C71" i="2" s="1"/>
  <c r="D64" i="2"/>
  <c r="E64" i="2"/>
  <c r="F64" i="2"/>
  <c r="G64" i="2"/>
  <c r="G71" i="2" s="1"/>
  <c r="H64" i="2"/>
  <c r="I64" i="2"/>
  <c r="J64" i="2"/>
  <c r="K64" i="2"/>
  <c r="K71" i="2" s="1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7" i="2"/>
  <c r="C67" i="2"/>
  <c r="D67" i="2"/>
  <c r="E67" i="2"/>
  <c r="F67" i="2"/>
  <c r="G67" i="2"/>
  <c r="H67" i="2"/>
  <c r="I67" i="2"/>
  <c r="J67" i="2"/>
  <c r="K67" i="2"/>
  <c r="L67" i="2"/>
  <c r="B68" i="2"/>
  <c r="C68" i="2"/>
  <c r="D68" i="2"/>
  <c r="E68" i="2"/>
  <c r="F68" i="2"/>
  <c r="G68" i="2"/>
  <c r="H68" i="2"/>
  <c r="I68" i="2"/>
  <c r="J68" i="2"/>
  <c r="K68" i="2"/>
  <c r="L68" i="2"/>
  <c r="B70" i="2"/>
  <c r="C70" i="2"/>
  <c r="D70" i="2"/>
  <c r="E70" i="2"/>
  <c r="F70" i="2"/>
  <c r="G70" i="2"/>
  <c r="H70" i="2"/>
  <c r="I70" i="2"/>
  <c r="J70" i="2"/>
  <c r="K70" i="2"/>
  <c r="L70" i="2"/>
  <c r="E71" i="2"/>
  <c r="I71" i="2"/>
  <c r="B74" i="2"/>
  <c r="C74" i="2"/>
  <c r="C79" i="2" s="1"/>
  <c r="D74" i="2"/>
  <c r="E74" i="2"/>
  <c r="F74" i="2"/>
  <c r="G74" i="2"/>
  <c r="G79" i="2" s="1"/>
  <c r="H74" i="2"/>
  <c r="I74" i="2"/>
  <c r="J74" i="2"/>
  <c r="K74" i="2"/>
  <c r="K79" i="2" s="1"/>
  <c r="L74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E79" i="2" s="1"/>
  <c r="F76" i="2"/>
  <c r="G76" i="2"/>
  <c r="H76" i="2"/>
  <c r="I76" i="2"/>
  <c r="I79" i="2" s="1"/>
  <c r="J76" i="2"/>
  <c r="K76" i="2"/>
  <c r="L76" i="2"/>
  <c r="B77" i="2"/>
  <c r="B79" i="2" s="1"/>
  <c r="C77" i="2"/>
  <c r="D77" i="2"/>
  <c r="E77" i="2"/>
  <c r="F77" i="2"/>
  <c r="F79" i="2" s="1"/>
  <c r="G77" i="2"/>
  <c r="H77" i="2"/>
  <c r="I77" i="2"/>
  <c r="J77" i="2"/>
  <c r="J79" i="2" s="1"/>
  <c r="K77" i="2"/>
  <c r="L77" i="2"/>
  <c r="B78" i="2"/>
  <c r="C78" i="2"/>
  <c r="D78" i="2"/>
  <c r="E78" i="2"/>
  <c r="F78" i="2"/>
  <c r="G78" i="2"/>
  <c r="H78" i="2"/>
  <c r="I78" i="2"/>
  <c r="J78" i="2"/>
  <c r="K78" i="2"/>
  <c r="L78" i="2"/>
  <c r="D79" i="2"/>
  <c r="H79" i="2"/>
  <c r="L79" i="2"/>
  <c r="B282" i="2"/>
  <c r="B247" i="2"/>
  <c r="B222" i="2"/>
  <c r="B205" i="2"/>
  <c r="B133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M5" i="2"/>
  <c r="N220" i="2"/>
  <c r="G98" i="2" l="1"/>
  <c r="J98" i="2"/>
  <c r="F98" i="2"/>
  <c r="B98" i="2"/>
  <c r="C98" i="2"/>
  <c r="K98" i="2"/>
  <c r="J6" i="12"/>
  <c r="I364" i="12"/>
  <c r="I362" i="12"/>
  <c r="G364" i="12"/>
  <c r="G363" i="12"/>
  <c r="C420" i="12"/>
  <c r="E420" i="12"/>
  <c r="C364" i="12"/>
  <c r="E364" i="12"/>
  <c r="M54" i="6" l="1"/>
  <c r="N34" i="6"/>
  <c r="M39" i="5"/>
  <c r="M60" i="2" l="1"/>
  <c r="M87" i="2"/>
  <c r="M88" i="2"/>
  <c r="M94" i="2"/>
  <c r="M95" i="2"/>
  <c r="M96" i="2"/>
  <c r="M57" i="2"/>
  <c r="M58" i="2"/>
  <c r="M59" i="2"/>
  <c r="M63" i="2"/>
  <c r="M64" i="2"/>
  <c r="M93" i="2" s="1"/>
  <c r="M65" i="2"/>
  <c r="M66" i="2"/>
  <c r="M67" i="2"/>
  <c r="M68" i="2"/>
  <c r="M70" i="2"/>
  <c r="M78" i="2"/>
  <c r="M14" i="2"/>
  <c r="M15" i="2"/>
  <c r="M16" i="2"/>
  <c r="M17" i="2"/>
  <c r="M18" i="2"/>
  <c r="M19" i="2"/>
  <c r="M34" i="2" s="1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3" i="2"/>
  <c r="N120" i="2"/>
  <c r="M71" i="2" l="1"/>
  <c r="M92" i="2"/>
  <c r="M97" i="2" s="1"/>
  <c r="M61" i="2"/>
  <c r="M72" i="2" s="1"/>
  <c r="M89" i="2"/>
  <c r="M98" i="2" l="1"/>
  <c r="D307" i="12"/>
  <c r="B307" i="12"/>
  <c r="I220" i="12"/>
  <c r="E348" i="12" s="1"/>
  <c r="I264" i="12"/>
  <c r="E394" i="12" s="1"/>
  <c r="I305" i="12"/>
  <c r="E436" i="12" s="1"/>
  <c r="C307" i="12"/>
  <c r="E307" i="12"/>
  <c r="F307" i="12"/>
  <c r="G307" i="12"/>
  <c r="H307" i="12"/>
  <c r="B282" i="12"/>
  <c r="C282" i="12"/>
  <c r="D282" i="12"/>
  <c r="E282" i="12"/>
  <c r="F282" i="12"/>
  <c r="G282" i="12"/>
  <c r="H282" i="12"/>
  <c r="I307" i="12" l="1"/>
  <c r="N44" i="2" l="1"/>
  <c r="N41" i="2"/>
  <c r="N49" i="2"/>
  <c r="L51" i="2" l="1"/>
  <c r="L54" i="6" l="1"/>
  <c r="N84" i="5"/>
  <c r="D110" i="12" s="1"/>
  <c r="D99" i="11" s="1"/>
  <c r="K51" i="2" l="1"/>
  <c r="K282" i="2"/>
  <c r="K283" i="2" s="1"/>
  <c r="K54" i="6" l="1"/>
  <c r="K39" i="5" l="1"/>
  <c r="H102" i="11" l="1"/>
  <c r="H60" i="16" s="1"/>
  <c r="G102" i="11"/>
  <c r="G60" i="16" s="1"/>
  <c r="F102" i="11"/>
  <c r="E102" i="11"/>
  <c r="E60" i="16" s="1"/>
  <c r="D102" i="11"/>
  <c r="D60" i="16" s="1"/>
  <c r="C102" i="11"/>
  <c r="C60" i="16" s="1"/>
  <c r="N291" i="2"/>
  <c r="B113" i="12" s="1"/>
  <c r="I113" i="12" s="1"/>
  <c r="I205" i="2"/>
  <c r="J133" i="2"/>
  <c r="B102" i="11" l="1"/>
  <c r="B60" i="16" s="1"/>
  <c r="F60" i="16"/>
  <c r="I60" i="16" l="1"/>
  <c r="I102" i="11"/>
  <c r="J39" i="5"/>
  <c r="J54" i="6" l="1"/>
  <c r="I306" i="12" l="1"/>
  <c r="N77" i="6" l="1"/>
  <c r="C89" i="11" s="1"/>
  <c r="I54" i="6"/>
  <c r="C100" i="12" l="1"/>
  <c r="N53" i="5"/>
  <c r="D87" i="11" s="1"/>
  <c r="I39" i="5"/>
  <c r="D98" i="12" l="1"/>
  <c r="H54" i="6"/>
  <c r="I247" i="2"/>
  <c r="J247" i="2"/>
  <c r="K247" i="2"/>
  <c r="L247" i="2"/>
  <c r="M247" i="2"/>
  <c r="M75" i="2" s="1"/>
  <c r="H247" i="2"/>
  <c r="G247" i="2"/>
  <c r="N246" i="2"/>
  <c r="F247" i="2"/>
  <c r="E247" i="2"/>
  <c r="D247" i="2"/>
  <c r="C247" i="2"/>
  <c r="H39" i="5" l="1"/>
  <c r="N281" i="2" l="1"/>
  <c r="C282" i="2"/>
  <c r="D282" i="2"/>
  <c r="E282" i="2"/>
  <c r="F282" i="2"/>
  <c r="G282" i="2"/>
  <c r="H282" i="2"/>
  <c r="I282" i="2"/>
  <c r="J282" i="2"/>
  <c r="L282" i="2"/>
  <c r="M282" i="2"/>
  <c r="M76" i="2" s="1"/>
  <c r="G28" i="17" l="1"/>
  <c r="N25" i="17"/>
  <c r="H110" i="12" s="1"/>
  <c r="G14" i="14"/>
  <c r="H14" i="14"/>
  <c r="I14" i="14"/>
  <c r="J14" i="14"/>
  <c r="K14" i="14"/>
  <c r="L14" i="14"/>
  <c r="M14" i="14"/>
  <c r="F14" i="14"/>
  <c r="G54" i="6"/>
  <c r="H99" i="11" l="1"/>
  <c r="G39" i="5"/>
  <c r="F222" i="2" l="1"/>
  <c r="E222" i="2"/>
  <c r="F39" i="5" l="1"/>
  <c r="N280" i="2" l="1"/>
  <c r="N197" i="2"/>
  <c r="F205" i="2"/>
  <c r="F54" i="6" l="1"/>
  <c r="N51" i="6"/>
  <c r="N78" i="10" l="1"/>
  <c r="F111" i="12" s="1"/>
  <c r="F100" i="11" s="1"/>
  <c r="E14" i="14"/>
  <c r="E205" i="2" l="1"/>
  <c r="E39" i="5" l="1"/>
  <c r="D14" i="14"/>
  <c r="C14" i="14"/>
  <c r="B14" i="14"/>
  <c r="N10" i="14"/>
  <c r="E79" i="6"/>
  <c r="D79" i="6"/>
  <c r="C79" i="6"/>
  <c r="N64" i="6"/>
  <c r="C82" i="12" s="1"/>
  <c r="E54" i="6"/>
  <c r="N53" i="6"/>
  <c r="D54" i="6"/>
  <c r="C54" i="6"/>
  <c r="B54" i="6"/>
  <c r="N21" i="5"/>
  <c r="N12" i="5"/>
  <c r="C71" i="11" l="1"/>
  <c r="C38" i="16"/>
  <c r="C44" i="12"/>
  <c r="C39" i="11" s="1"/>
  <c r="N11" i="14"/>
  <c r="D20" i="7"/>
  <c r="N19" i="7"/>
  <c r="E115" i="12" s="1"/>
  <c r="E104" i="11" s="1"/>
  <c r="N46" i="6"/>
  <c r="C39" i="12" s="1"/>
  <c r="C34" i="11" s="1"/>
  <c r="N49" i="5"/>
  <c r="D52" i="12" s="1"/>
  <c r="D47" i="11" s="1"/>
  <c r="N44" i="5"/>
  <c r="D53" i="12" s="1"/>
  <c r="D48" i="11" s="1"/>
  <c r="N38" i="5"/>
  <c r="D45" i="12" s="1"/>
  <c r="D40" i="11" s="1"/>
  <c r="D39" i="5"/>
  <c r="N31" i="5"/>
  <c r="D39" i="12" s="1"/>
  <c r="D34" i="11" s="1"/>
  <c r="N131" i="2"/>
  <c r="N199" i="2"/>
  <c r="D205" i="2"/>
  <c r="D133" i="2"/>
  <c r="G86" i="12" l="1"/>
  <c r="G75" i="11" s="1"/>
  <c r="E61" i="16"/>
  <c r="I104" i="11"/>
  <c r="I115" i="12"/>
  <c r="C30" i="14"/>
  <c r="AF26" i="14"/>
  <c r="R26" i="14" s="1"/>
  <c r="Q26" i="14" s="1"/>
  <c r="P26" i="14" s="1"/>
  <c r="N26" i="14"/>
  <c r="G73" i="11" s="1"/>
  <c r="N84" i="6"/>
  <c r="N83" i="6"/>
  <c r="N66" i="6"/>
  <c r="N68" i="6"/>
  <c r="N69" i="6"/>
  <c r="N70" i="6"/>
  <c r="N71" i="6"/>
  <c r="N72" i="6"/>
  <c r="N73" i="6"/>
  <c r="N74" i="6"/>
  <c r="N76" i="6"/>
  <c r="N78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7" i="5"/>
  <c r="R57" i="5" s="1"/>
  <c r="N57" i="5"/>
  <c r="D100" i="12" s="1"/>
  <c r="D89" i="11" s="1"/>
  <c r="C39" i="5"/>
  <c r="N54" i="6" l="1"/>
  <c r="G84" i="12"/>
  <c r="Q57" i="5"/>
  <c r="P57" i="5" s="1"/>
  <c r="S57" i="5"/>
  <c r="P218" i="2" l="1"/>
  <c r="N261" i="2"/>
  <c r="N218" i="2"/>
  <c r="AF218" i="2" s="1"/>
  <c r="AG218" i="2" s="1"/>
  <c r="A12" i="15" l="1"/>
  <c r="A186" i="12"/>
  <c r="E234" i="12" s="1"/>
  <c r="E289" i="12" s="1"/>
  <c r="A76" i="12"/>
  <c r="K12" i="15" l="1"/>
  <c r="A4" i="11"/>
  <c r="A4" i="16" s="1"/>
  <c r="Q27" i="17"/>
  <c r="Q22" i="17"/>
  <c r="C379" i="18" l="1"/>
  <c r="I349" i="18"/>
  <c r="Q65" i="5"/>
  <c r="Q60" i="5"/>
  <c r="Q48" i="5"/>
  <c r="Q35" i="5"/>
  <c r="Q29" i="5"/>
  <c r="Q34" i="5"/>
  <c r="Q49" i="6"/>
  <c r="Q33" i="5"/>
  <c r="Q72" i="6"/>
  <c r="Q70" i="6" l="1"/>
  <c r="C163" i="18" l="1"/>
  <c r="C164" i="18"/>
  <c r="C165" i="18"/>
  <c r="C166" i="18"/>
  <c r="Q268" i="2" l="1"/>
  <c r="Q48" i="6"/>
  <c r="P48" i="6"/>
  <c r="Q273" i="2"/>
  <c r="Q241" i="2"/>
  <c r="Q233" i="2"/>
  <c r="Q232" i="2"/>
  <c r="D43" i="18"/>
  <c r="Q212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7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69" i="5"/>
  <c r="M450" i="18" l="1"/>
  <c r="I409" i="18"/>
  <c r="I427" i="18" s="1"/>
  <c r="O465" i="18"/>
  <c r="O448" i="18"/>
  <c r="M662" i="18"/>
  <c r="K450" i="18"/>
  <c r="O438" i="18"/>
  <c r="O450" i="18" l="1"/>
  <c r="Q68" i="5"/>
  <c r="Q51" i="5"/>
  <c r="Q43" i="5"/>
  <c r="G258" i="18" s="1"/>
  <c r="Q30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2" i="2"/>
  <c r="Q209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2" i="14"/>
  <c r="P16" i="14"/>
  <c r="P15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AF29" i="14"/>
  <c r="R29" i="14" s="1"/>
  <c r="AF28" i="14"/>
  <c r="R28" i="14" s="1"/>
  <c r="AF27" i="14"/>
  <c r="AF25" i="14"/>
  <c r="R25" i="14" s="1"/>
  <c r="S25" i="14" s="1"/>
  <c r="AF24" i="14"/>
  <c r="R24" i="14" s="1"/>
  <c r="AF23" i="14"/>
  <c r="R23" i="14" s="1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AF17" i="14"/>
  <c r="AF18" i="14" s="1"/>
  <c r="AE14" i="14"/>
  <c r="AD14" i="14"/>
  <c r="AC14" i="14"/>
  <c r="AC20" i="14" s="1"/>
  <c r="AB14" i="14"/>
  <c r="AA14" i="14"/>
  <c r="Z14" i="14"/>
  <c r="Y14" i="14"/>
  <c r="Y20" i="14" s="1"/>
  <c r="X14" i="14"/>
  <c r="W14" i="14"/>
  <c r="V14" i="14"/>
  <c r="U14" i="14"/>
  <c r="U20" i="14" s="1"/>
  <c r="T14" i="14"/>
  <c r="AF13" i="14"/>
  <c r="R13" i="14" s="1"/>
  <c r="AF12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3" i="14" l="1"/>
  <c r="S23" i="14"/>
  <c r="Q13" i="14"/>
  <c r="P13" i="14" s="1"/>
  <c r="D696" i="18" s="1"/>
  <c r="I696" i="18"/>
  <c r="S13" i="14"/>
  <c r="W22" i="7"/>
  <c r="AA22" i="7"/>
  <c r="AF14" i="14"/>
  <c r="R17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7" i="14"/>
  <c r="Y32" i="14"/>
  <c r="R27" i="14"/>
  <c r="Q27" i="14" s="1"/>
  <c r="P27" i="14" s="1"/>
  <c r="R12" i="14"/>
  <c r="S12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2" i="14"/>
  <c r="U32" i="14"/>
  <c r="Q28" i="14"/>
  <c r="I735" i="18"/>
  <c r="S29" i="14"/>
  <c r="I736" i="18"/>
  <c r="Q29" i="14"/>
  <c r="S24" i="14"/>
  <c r="Q24" i="14"/>
  <c r="I730" i="18"/>
  <c r="P23" i="14"/>
  <c r="S28" i="14"/>
  <c r="R30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AF20" i="14"/>
  <c r="Q25" i="14"/>
  <c r="P25" i="14" s="1"/>
  <c r="X20" i="14"/>
  <c r="X32" i="14" s="1"/>
  <c r="V20" i="14"/>
  <c r="V32" i="14" s="1"/>
  <c r="Z20" i="14"/>
  <c r="AD20" i="14"/>
  <c r="AD32" i="14" s="1"/>
  <c r="T20" i="14"/>
  <c r="T32" i="14" s="1"/>
  <c r="AB20" i="14"/>
  <c r="AB32" i="14" s="1"/>
  <c r="W20" i="14"/>
  <c r="W32" i="14" s="1"/>
  <c r="AA20" i="14"/>
  <c r="AA32" i="14" s="1"/>
  <c r="AE20" i="14"/>
  <c r="AF30" i="14"/>
  <c r="Z32" i="14"/>
  <c r="AE32" i="14"/>
  <c r="I711" i="18" l="1"/>
  <c r="I725" i="18" s="1"/>
  <c r="R18" i="14"/>
  <c r="S18" i="14" s="1"/>
  <c r="Q17" i="14"/>
  <c r="S17" i="14"/>
  <c r="G730" i="18"/>
  <c r="G696" i="18"/>
  <c r="Q14" i="7"/>
  <c r="AG22" i="7"/>
  <c r="K479" i="18"/>
  <c r="K490" i="18" s="1"/>
  <c r="S20" i="7"/>
  <c r="I841" i="18"/>
  <c r="AF32" i="14"/>
  <c r="I691" i="18"/>
  <c r="Q12" i="14"/>
  <c r="R14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0" i="14"/>
  <c r="I743" i="18"/>
  <c r="P24" i="14"/>
  <c r="Q30" i="14"/>
  <c r="P29" i="14"/>
  <c r="D736" i="18" s="1"/>
  <c r="G736" i="18"/>
  <c r="P28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8" i="14" l="1"/>
  <c r="P17" i="14"/>
  <c r="D711" i="18" s="1"/>
  <c r="G711" i="18"/>
  <c r="S22" i="7"/>
  <c r="K515" i="18"/>
  <c r="Q19" i="17"/>
  <c r="K602" i="18"/>
  <c r="I702" i="18"/>
  <c r="I727" i="18" s="1"/>
  <c r="I745" i="18" s="1"/>
  <c r="S14" i="14"/>
  <c r="R20" i="14"/>
  <c r="G691" i="18"/>
  <c r="Q14" i="14"/>
  <c r="P12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0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8" i="14"/>
  <c r="K624" i="18" l="1"/>
  <c r="G725" i="18"/>
  <c r="G816" i="18"/>
  <c r="K711" i="18"/>
  <c r="G639" i="18"/>
  <c r="K531" i="18"/>
  <c r="K533" i="18" s="1"/>
  <c r="P19" i="17"/>
  <c r="Q20" i="14"/>
  <c r="Q32" i="14" s="1"/>
  <c r="P14" i="14"/>
  <c r="P20" i="14" s="1"/>
  <c r="P32" i="14" s="1"/>
  <c r="M691" i="18"/>
  <c r="K691" i="18"/>
  <c r="G702" i="18"/>
  <c r="G727" i="18" s="1"/>
  <c r="G745" i="18" s="1"/>
  <c r="S20" i="14"/>
  <c r="R32" i="14"/>
  <c r="S32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3" i="6"/>
  <c r="I204" i="18" s="1"/>
  <c r="R66" i="6"/>
  <c r="S66" i="6" s="1"/>
  <c r="P70" i="6"/>
  <c r="D170" i="18" s="1"/>
  <c r="S55" i="6"/>
  <c r="S56" i="6"/>
  <c r="R45" i="6"/>
  <c r="I139" i="18" s="1"/>
  <c r="AF85" i="6"/>
  <c r="AE85" i="6"/>
  <c r="AD85" i="6"/>
  <c r="AC85" i="6"/>
  <c r="AB85" i="6"/>
  <c r="AA85" i="6"/>
  <c r="Z85" i="6"/>
  <c r="Y85" i="6"/>
  <c r="X85" i="6"/>
  <c r="W85" i="6"/>
  <c r="V85" i="6"/>
  <c r="U85" i="6"/>
  <c r="AG84" i="6"/>
  <c r="R84" i="6" s="1"/>
  <c r="AG83" i="6"/>
  <c r="AG82" i="6"/>
  <c r="R82" i="6" s="1"/>
  <c r="AD79" i="6"/>
  <c r="AB79" i="6"/>
  <c r="AA79" i="6"/>
  <c r="Z79" i="6"/>
  <c r="Y79" i="6"/>
  <c r="X79" i="6"/>
  <c r="W79" i="6"/>
  <c r="V79" i="6"/>
  <c r="U79" i="6"/>
  <c r="AG78" i="6"/>
  <c r="R78" i="6" s="1"/>
  <c r="AG76" i="6"/>
  <c r="R76" i="6" s="1"/>
  <c r="AG75" i="6"/>
  <c r="R75" i="6" s="1"/>
  <c r="AG74" i="6"/>
  <c r="R74" i="6" s="1"/>
  <c r="AG73" i="6"/>
  <c r="R73" i="6" s="1"/>
  <c r="AG72" i="6"/>
  <c r="R72" i="6" s="1"/>
  <c r="AC71" i="6"/>
  <c r="AG71" i="6" s="1"/>
  <c r="R71" i="6" s="1"/>
  <c r="AG70" i="6"/>
  <c r="R70" i="6" s="1"/>
  <c r="AF69" i="6"/>
  <c r="AF79" i="6" s="1"/>
  <c r="AE69" i="6"/>
  <c r="AE79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W39" i="6" s="1"/>
  <c r="V17" i="6"/>
  <c r="U17" i="6"/>
  <c r="U39" i="6" s="1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5" i="5"/>
  <c r="I312" i="18" s="1"/>
  <c r="P65" i="5"/>
  <c r="D285" i="18" s="1"/>
  <c r="P67" i="5"/>
  <c r="D293" i="18" s="1"/>
  <c r="P68" i="5"/>
  <c r="D290" i="18" s="1"/>
  <c r="P69" i="5"/>
  <c r="D288" i="18" s="1"/>
  <c r="P72" i="5"/>
  <c r="D291" i="18" s="1"/>
  <c r="S62" i="5"/>
  <c r="S63" i="5"/>
  <c r="R76" i="5"/>
  <c r="I268" i="18" s="1"/>
  <c r="P51" i="5"/>
  <c r="D267" i="18" s="1"/>
  <c r="R43" i="5"/>
  <c r="I258" i="18" s="1"/>
  <c r="P30" i="5"/>
  <c r="D245" i="18" s="1"/>
  <c r="P33" i="5"/>
  <c r="D248" i="18" s="1"/>
  <c r="P34" i="5"/>
  <c r="D249" i="18" s="1"/>
  <c r="P35" i="5"/>
  <c r="D250" i="18" s="1"/>
  <c r="R30" i="5"/>
  <c r="I245" i="18" s="1"/>
  <c r="P60" i="5"/>
  <c r="D278" i="18" s="1"/>
  <c r="P48" i="5"/>
  <c r="D265" i="18" s="1"/>
  <c r="P43" i="5"/>
  <c r="AF86" i="5"/>
  <c r="AE86" i="5"/>
  <c r="AD86" i="5"/>
  <c r="AC86" i="5"/>
  <c r="AB86" i="5"/>
  <c r="AA86" i="5"/>
  <c r="Z86" i="5"/>
  <c r="Y86" i="5"/>
  <c r="X86" i="5"/>
  <c r="W86" i="5"/>
  <c r="V86" i="5"/>
  <c r="U86" i="5"/>
  <c r="AG85" i="5"/>
  <c r="AG83" i="5"/>
  <c r="R83" i="5" s="1"/>
  <c r="AF78" i="5"/>
  <c r="AE78" i="5"/>
  <c r="AD78" i="5"/>
  <c r="AC78" i="5"/>
  <c r="AB78" i="5"/>
  <c r="AA78" i="5"/>
  <c r="Z78" i="5"/>
  <c r="X78" i="5"/>
  <c r="W78" i="5"/>
  <c r="V78" i="5"/>
  <c r="U78" i="5"/>
  <c r="AG77" i="5"/>
  <c r="R77" i="5" s="1"/>
  <c r="AG76" i="5"/>
  <c r="AG75" i="5"/>
  <c r="R75" i="5" s="1"/>
  <c r="AG74" i="5"/>
  <c r="R74" i="5" s="1"/>
  <c r="AG73" i="5"/>
  <c r="R73" i="5" s="1"/>
  <c r="AG72" i="5"/>
  <c r="R72" i="5" s="1"/>
  <c r="Y71" i="5"/>
  <c r="AG71" i="5" s="1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4" i="5"/>
  <c r="R64" i="5" s="1"/>
  <c r="AG60" i="5"/>
  <c r="R60" i="5" s="1"/>
  <c r="AG59" i="5"/>
  <c r="R59" i="5" s="1"/>
  <c r="AG58" i="5"/>
  <c r="R58" i="5" s="1"/>
  <c r="I275" i="18" s="1"/>
  <c r="AG56" i="5"/>
  <c r="R56" i="5" s="1"/>
  <c r="AG55" i="5"/>
  <c r="R55" i="5" s="1"/>
  <c r="AG54" i="5"/>
  <c r="R54" i="5" s="1"/>
  <c r="AG52" i="5"/>
  <c r="R52" i="5" s="1"/>
  <c r="I270" i="18" s="1"/>
  <c r="I798" i="18" s="1"/>
  <c r="AG51" i="5"/>
  <c r="R51" i="5" s="1"/>
  <c r="AG50" i="5"/>
  <c r="R50" i="5" s="1"/>
  <c r="AG48" i="5"/>
  <c r="R48" i="5" s="1"/>
  <c r="AC47" i="5"/>
  <c r="AG46" i="5"/>
  <c r="R46" i="5" s="1"/>
  <c r="AG45" i="5"/>
  <c r="R45" i="5" s="1"/>
  <c r="AD43" i="5"/>
  <c r="Y43" i="5"/>
  <c r="AG43" i="5" s="1"/>
  <c r="AF42" i="5"/>
  <c r="AF61" i="5" s="1"/>
  <c r="AE42" i="5"/>
  <c r="AE61" i="5" s="1"/>
  <c r="AD42" i="5"/>
  <c r="AD61" i="5" s="1"/>
  <c r="AC42" i="5"/>
  <c r="AB42" i="5"/>
  <c r="AB61" i="5" s="1"/>
  <c r="AA42" i="5"/>
  <c r="AA61" i="5" s="1"/>
  <c r="Z42" i="5"/>
  <c r="Z61" i="5" s="1"/>
  <c r="Y42" i="5"/>
  <c r="X42" i="5"/>
  <c r="X61" i="5" s="1"/>
  <c r="W42" i="5"/>
  <c r="W61" i="5" s="1"/>
  <c r="V42" i="5"/>
  <c r="V61" i="5" s="1"/>
  <c r="U42" i="5"/>
  <c r="AE39" i="5"/>
  <c r="AD39" i="5"/>
  <c r="AB39" i="5"/>
  <c r="Y39" i="5"/>
  <c r="X39" i="5"/>
  <c r="W39" i="5"/>
  <c r="V39" i="5"/>
  <c r="U39" i="5"/>
  <c r="AG37" i="5"/>
  <c r="R37" i="5" s="1"/>
  <c r="AF36" i="5"/>
  <c r="AF39" i="5" s="1"/>
  <c r="AC36" i="5"/>
  <c r="AC39" i="5" s="1"/>
  <c r="AA36" i="5"/>
  <c r="AA39" i="5" s="1"/>
  <c r="Z36" i="5"/>
  <c r="Z39" i="5" s="1"/>
  <c r="AG35" i="5"/>
  <c r="R35" i="5" s="1"/>
  <c r="AG34" i="5"/>
  <c r="R34" i="5" s="1"/>
  <c r="AG33" i="5"/>
  <c r="R33" i="5" s="1"/>
  <c r="I248" i="18" s="1"/>
  <c r="AG32" i="5"/>
  <c r="R32" i="5" s="1"/>
  <c r="AG29" i="5"/>
  <c r="AG28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R22" i="5" s="1"/>
  <c r="AG21" i="5"/>
  <c r="R21" i="5" s="1"/>
  <c r="AG20" i="5"/>
  <c r="AG19" i="5"/>
  <c r="AF17" i="5"/>
  <c r="AF25" i="5" s="1"/>
  <c r="AE17" i="5"/>
  <c r="AE25" i="5" s="1"/>
  <c r="AD17" i="5"/>
  <c r="AD25" i="5" s="1"/>
  <c r="AC17" i="5"/>
  <c r="AB17" i="5"/>
  <c r="AB25" i="5" s="1"/>
  <c r="Y17" i="5"/>
  <c r="X17" i="5"/>
  <c r="W17" i="5"/>
  <c r="V17" i="5"/>
  <c r="U17" i="5"/>
  <c r="AG16" i="5"/>
  <c r="R16" i="5" s="1"/>
  <c r="AG15" i="5"/>
  <c r="R15" i="5" s="1"/>
  <c r="AG14" i="5"/>
  <c r="R14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7" i="5" s="1"/>
  <c r="AA25" i="5" s="1"/>
  <c r="Z8" i="5"/>
  <c r="I288" i="18" l="1"/>
  <c r="S69" i="5"/>
  <c r="I287" i="18"/>
  <c r="I815" i="18" s="1"/>
  <c r="S75" i="5"/>
  <c r="I151" i="18"/>
  <c r="S57" i="6"/>
  <c r="I282" i="18"/>
  <c r="I810" i="18" s="1"/>
  <c r="S64" i="5"/>
  <c r="Q64" i="5"/>
  <c r="G282" i="18" s="1"/>
  <c r="I285" i="18"/>
  <c r="S65" i="5"/>
  <c r="I307" i="18"/>
  <c r="I320" i="18" s="1"/>
  <c r="S83" i="5"/>
  <c r="Q83" i="5"/>
  <c r="G307" i="18" s="1"/>
  <c r="I206" i="18"/>
  <c r="I840" i="18" s="1"/>
  <c r="Q84" i="6"/>
  <c r="S84" i="6"/>
  <c r="AG42" i="5"/>
  <c r="R42" i="5" s="1"/>
  <c r="Q8" i="6"/>
  <c r="G114" i="18" s="1"/>
  <c r="I114" i="18"/>
  <c r="I748" i="18" s="1"/>
  <c r="I838" i="18"/>
  <c r="S83" i="6"/>
  <c r="X25" i="5"/>
  <c r="AG23" i="5"/>
  <c r="S85" i="5"/>
  <c r="Y39" i="6"/>
  <c r="AA39" i="6"/>
  <c r="Q83" i="6"/>
  <c r="I293" i="18"/>
  <c r="I821" i="18" s="1"/>
  <c r="S67" i="5"/>
  <c r="I292" i="18"/>
  <c r="I820" i="18" s="1"/>
  <c r="Q71" i="5"/>
  <c r="S71" i="5"/>
  <c r="I290" i="18"/>
  <c r="S68" i="5"/>
  <c r="I294" i="18"/>
  <c r="S77" i="5"/>
  <c r="Q77" i="5"/>
  <c r="I296" i="18"/>
  <c r="I824" i="18" s="1"/>
  <c r="Q66" i="5"/>
  <c r="S66" i="5"/>
  <c r="I289" i="18"/>
  <c r="S70" i="5"/>
  <c r="Q70" i="5"/>
  <c r="I295" i="18"/>
  <c r="I823" i="18" s="1"/>
  <c r="Q74" i="5"/>
  <c r="S74" i="5"/>
  <c r="P64" i="5"/>
  <c r="D282" i="18" s="1"/>
  <c r="K282" i="18" s="1"/>
  <c r="Q85" i="5"/>
  <c r="Q86" i="5" s="1"/>
  <c r="Q76" i="5"/>
  <c r="R86" i="5"/>
  <c r="S86" i="5" s="1"/>
  <c r="S76" i="5"/>
  <c r="Q75" i="5"/>
  <c r="S65" i="6"/>
  <c r="I179" i="18"/>
  <c r="I813" i="18" s="1"/>
  <c r="I183" i="18"/>
  <c r="S73" i="6"/>
  <c r="I291" i="18"/>
  <c r="R78" i="5"/>
  <c r="S72" i="5"/>
  <c r="I298" i="18"/>
  <c r="I826" i="18" s="1"/>
  <c r="Q73" i="5"/>
  <c r="S73" i="5"/>
  <c r="I169" i="18"/>
  <c r="S76" i="6"/>
  <c r="I170" i="18"/>
  <c r="S70" i="6"/>
  <c r="I182" i="18"/>
  <c r="I816" i="18" s="1"/>
  <c r="S72" i="6"/>
  <c r="I162" i="18"/>
  <c r="I796" i="18" s="1"/>
  <c r="S75" i="6"/>
  <c r="I803" i="18"/>
  <c r="Q73" i="6"/>
  <c r="I188" i="18"/>
  <c r="S68" i="6"/>
  <c r="Q71" i="6"/>
  <c r="G184" i="18" s="1"/>
  <c r="I184" i="18"/>
  <c r="S71" i="6"/>
  <c r="P74" i="6"/>
  <c r="D185" i="18" s="1"/>
  <c r="K185" i="18" s="1"/>
  <c r="I185" i="18"/>
  <c r="S74" i="6"/>
  <c r="I193" i="18"/>
  <c r="S78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0" i="5"/>
  <c r="S43" i="5"/>
  <c r="I249" i="18"/>
  <c r="S34" i="5"/>
  <c r="I265" i="18"/>
  <c r="I793" i="18" s="1"/>
  <c r="S48" i="5"/>
  <c r="I276" i="18"/>
  <c r="S54" i="5"/>
  <c r="Q54" i="5"/>
  <c r="I277" i="18"/>
  <c r="I805" i="18" s="1"/>
  <c r="S59" i="5"/>
  <c r="Q59" i="5"/>
  <c r="I250" i="18"/>
  <c r="S35" i="5"/>
  <c r="I261" i="18"/>
  <c r="I789" i="18" s="1"/>
  <c r="S45" i="5"/>
  <c r="Q45" i="5"/>
  <c r="I266" i="18"/>
  <c r="I794" i="18" s="1"/>
  <c r="S50" i="5"/>
  <c r="Q50" i="5"/>
  <c r="I271" i="18"/>
  <c r="I799" i="18" s="1"/>
  <c r="S55" i="5"/>
  <c r="Q55" i="5"/>
  <c r="I278" i="18"/>
  <c r="S60" i="5"/>
  <c r="I247" i="18"/>
  <c r="I775" i="18" s="1"/>
  <c r="S32" i="5"/>
  <c r="Q32" i="5"/>
  <c r="I253" i="18"/>
  <c r="Q37" i="5"/>
  <c r="S37" i="5"/>
  <c r="I262" i="18"/>
  <c r="I790" i="18" s="1"/>
  <c r="S46" i="5"/>
  <c r="Q46" i="5"/>
  <c r="I267" i="18"/>
  <c r="I795" i="18" s="1"/>
  <c r="S51" i="5"/>
  <c r="I273" i="18"/>
  <c r="I801" i="18" s="1"/>
  <c r="S56" i="5"/>
  <c r="Q56" i="5"/>
  <c r="Q52" i="5"/>
  <c r="S58" i="5"/>
  <c r="I773" i="18"/>
  <c r="S33" i="5"/>
  <c r="Q58" i="5"/>
  <c r="S52" i="5"/>
  <c r="S3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2" i="6"/>
  <c r="R85" i="6"/>
  <c r="Q82" i="6"/>
  <c r="S59" i="6"/>
  <c r="Q59" i="6"/>
  <c r="Q75" i="6"/>
  <c r="R61" i="6"/>
  <c r="P66" i="6"/>
  <c r="D187" i="18" s="1"/>
  <c r="Q60" i="6"/>
  <c r="S60" i="6"/>
  <c r="P72" i="6"/>
  <c r="D182" i="18" s="1"/>
  <c r="Q76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7" i="6"/>
  <c r="AB87" i="6"/>
  <c r="AF87" i="6"/>
  <c r="AF89" i="6" s="1"/>
  <c r="Q11" i="6"/>
  <c r="S20" i="6"/>
  <c r="AA87" i="6"/>
  <c r="AA89" i="6" s="1"/>
  <c r="AE17" i="6"/>
  <c r="AE39" i="6" s="1"/>
  <c r="AG31" i="6"/>
  <c r="R31" i="6" s="1"/>
  <c r="I130" i="18" s="1"/>
  <c r="AG61" i="6"/>
  <c r="U87" i="6"/>
  <c r="U89" i="6" s="1"/>
  <c r="Y87" i="6"/>
  <c r="Y89" i="6" s="1"/>
  <c r="AG85" i="6"/>
  <c r="Q32" i="6"/>
  <c r="P32" i="6" s="1"/>
  <c r="W87" i="6"/>
  <c r="W89" i="6" s="1"/>
  <c r="AE87" i="6"/>
  <c r="V87" i="6"/>
  <c r="Z87" i="6"/>
  <c r="AD87" i="6"/>
  <c r="R21" i="6"/>
  <c r="I125" i="18" s="1"/>
  <c r="I759" i="18" s="1"/>
  <c r="S12" i="6"/>
  <c r="S8" i="6"/>
  <c r="AG17" i="6"/>
  <c r="V39" i="6"/>
  <c r="AC79" i="6"/>
  <c r="AC87" i="6" s="1"/>
  <c r="AG69" i="6"/>
  <c r="R69" i="6" s="1"/>
  <c r="Q22" i="5"/>
  <c r="P22" i="5" s="1"/>
  <c r="S22" i="5"/>
  <c r="S11" i="5"/>
  <c r="Q11" i="5"/>
  <c r="P11" i="5" s="1"/>
  <c r="S15" i="5"/>
  <c r="Q15" i="5"/>
  <c r="P15" i="5" s="1"/>
  <c r="AF80" i="5"/>
  <c r="AF88" i="5" s="1"/>
  <c r="AF91" i="5" s="1"/>
  <c r="AD80" i="5"/>
  <c r="AD88" i="5" s="1"/>
  <c r="AD91" i="5" s="1"/>
  <c r="R29" i="5"/>
  <c r="I244" i="18" s="1"/>
  <c r="I772" i="18" s="1"/>
  <c r="AB80" i="5"/>
  <c r="AB88" i="5" s="1"/>
  <c r="AB91" i="5" s="1"/>
  <c r="Z80" i="5"/>
  <c r="AE80" i="5"/>
  <c r="AE88" i="5" s="1"/>
  <c r="AE91" i="5" s="1"/>
  <c r="Q13" i="5"/>
  <c r="P13" i="5" s="1"/>
  <c r="S13" i="5"/>
  <c r="Q10" i="5"/>
  <c r="P10" i="5" s="1"/>
  <c r="S10" i="5"/>
  <c r="S14" i="5"/>
  <c r="Q14" i="5"/>
  <c r="P14" i="5" s="1"/>
  <c r="S9" i="5"/>
  <c r="Q9" i="5"/>
  <c r="P9" i="5" s="1"/>
  <c r="S21" i="5"/>
  <c r="Q21" i="5"/>
  <c r="P21" i="5" s="1"/>
  <c r="Q16" i="5"/>
  <c r="P16" i="5" s="1"/>
  <c r="S16" i="5"/>
  <c r="AC61" i="5"/>
  <c r="AC80" i="5" s="1"/>
  <c r="R20" i="5"/>
  <c r="R23" i="5" s="1"/>
  <c r="I236" i="18" s="1"/>
  <c r="AG86" i="5"/>
  <c r="V25" i="5"/>
  <c r="X80" i="5"/>
  <c r="X88" i="5" s="1"/>
  <c r="X91" i="5" s="1"/>
  <c r="AG8" i="5"/>
  <c r="R8" i="5" s="1"/>
  <c r="S8" i="5" s="1"/>
  <c r="W25" i="5"/>
  <c r="U25" i="5"/>
  <c r="Y25" i="5"/>
  <c r="AC25" i="5"/>
  <c r="V80" i="5"/>
  <c r="U61" i="5"/>
  <c r="U80" i="5" s="1"/>
  <c r="S12" i="5"/>
  <c r="P83" i="5"/>
  <c r="AA80" i="5"/>
  <c r="AA88" i="5" s="1"/>
  <c r="AA91" i="5" s="1"/>
  <c r="W80" i="5"/>
  <c r="AG78" i="5"/>
  <c r="Z17" i="5"/>
  <c r="Z25" i="5" s="1"/>
  <c r="Y61" i="5"/>
  <c r="Y78" i="5"/>
  <c r="AG47" i="5"/>
  <c r="R47" i="5" s="1"/>
  <c r="AG36" i="5"/>
  <c r="R36" i="5" s="1"/>
  <c r="I251" i="18" s="1"/>
  <c r="I779" i="18" s="1"/>
  <c r="P71" i="6" l="1"/>
  <c r="D184" i="18" s="1"/>
  <c r="P84" i="6"/>
  <c r="D206" i="18" s="1"/>
  <c r="G206" i="18"/>
  <c r="I257" i="18"/>
  <c r="S42" i="5"/>
  <c r="Q42" i="5"/>
  <c r="S61" i="6"/>
  <c r="Q36" i="5"/>
  <c r="G251" i="18" s="1"/>
  <c r="I818" i="18"/>
  <c r="I835" i="18"/>
  <c r="I848" i="18" s="1"/>
  <c r="P83" i="6"/>
  <c r="D204" i="18" s="1"/>
  <c r="G204" i="18"/>
  <c r="I214" i="18"/>
  <c r="I862" i="18" s="1"/>
  <c r="I872" i="18" s="1"/>
  <c r="S29" i="5"/>
  <c r="I817" i="18"/>
  <c r="I785" i="18"/>
  <c r="G289" i="18"/>
  <c r="P70" i="5"/>
  <c r="D289" i="18" s="1"/>
  <c r="G296" i="18"/>
  <c r="P66" i="5"/>
  <c r="D296" i="18" s="1"/>
  <c r="I822" i="18"/>
  <c r="G287" i="18"/>
  <c r="P75" i="5"/>
  <c r="D287" i="18" s="1"/>
  <c r="G292" i="18"/>
  <c r="P71" i="5"/>
  <c r="D292" i="18" s="1"/>
  <c r="D820" i="18" s="1"/>
  <c r="G268" i="18"/>
  <c r="P76" i="5"/>
  <c r="D268" i="18" s="1"/>
  <c r="E268" i="18" s="1"/>
  <c r="G295" i="18"/>
  <c r="P74" i="5"/>
  <c r="D295" i="18" s="1"/>
  <c r="G294" i="18"/>
  <c r="P77" i="5"/>
  <c r="D294" i="18" s="1"/>
  <c r="P85" i="5"/>
  <c r="D312" i="18" s="1"/>
  <c r="G312" i="18"/>
  <c r="G320" i="18" s="1"/>
  <c r="P24" i="6"/>
  <c r="D128" i="18" s="1"/>
  <c r="P36" i="5"/>
  <c r="D251" i="18" s="1"/>
  <c r="K251" i="18" s="1"/>
  <c r="I819" i="18"/>
  <c r="S78" i="5"/>
  <c r="G298" i="18"/>
  <c r="P73" i="5"/>
  <c r="Q78" i="5"/>
  <c r="I302" i="18"/>
  <c r="Q69" i="6"/>
  <c r="I172" i="18"/>
  <c r="I173" i="18" s="1"/>
  <c r="S69" i="6"/>
  <c r="P76" i="6"/>
  <c r="D169" i="18" s="1"/>
  <c r="G169" i="18"/>
  <c r="P75" i="6"/>
  <c r="D162" i="18" s="1"/>
  <c r="G162" i="18"/>
  <c r="P73" i="6"/>
  <c r="D183" i="18" s="1"/>
  <c r="G183" i="18"/>
  <c r="I804" i="18"/>
  <c r="AD89" i="6"/>
  <c r="AC89" i="6"/>
  <c r="X89" i="6"/>
  <c r="V89" i="6"/>
  <c r="I196" i="18"/>
  <c r="I859" i="18" s="1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8" i="5"/>
  <c r="W91" i="5" s="1"/>
  <c r="I263" i="18"/>
  <c r="S47" i="5"/>
  <c r="Q47" i="5"/>
  <c r="P52" i="5"/>
  <c r="D270" i="18" s="1"/>
  <c r="G270" i="18"/>
  <c r="G247" i="18"/>
  <c r="P32" i="5"/>
  <c r="D247" i="18" s="1"/>
  <c r="G266" i="18"/>
  <c r="P50" i="5"/>
  <c r="D266" i="18" s="1"/>
  <c r="R61" i="5"/>
  <c r="G276" i="18"/>
  <c r="P54" i="5"/>
  <c r="D276" i="18" s="1"/>
  <c r="P58" i="5"/>
  <c r="D275" i="18" s="1"/>
  <c r="G275" i="18"/>
  <c r="I254" i="18"/>
  <c r="P56" i="5"/>
  <c r="D273" i="18" s="1"/>
  <c r="G273" i="18"/>
  <c r="G271" i="18"/>
  <c r="P55" i="5"/>
  <c r="D271" i="18" s="1"/>
  <c r="E271" i="18" s="1"/>
  <c r="G277" i="18"/>
  <c r="P59" i="5"/>
  <c r="D277" i="18" s="1"/>
  <c r="G261" i="18"/>
  <c r="P45" i="5"/>
  <c r="D261" i="18" s="1"/>
  <c r="I764" i="18"/>
  <c r="I237" i="18"/>
  <c r="P46" i="5"/>
  <c r="D262" i="18" s="1"/>
  <c r="G262" i="18"/>
  <c r="G253" i="18"/>
  <c r="P37" i="5"/>
  <c r="D253" i="18" s="1"/>
  <c r="D307" i="18"/>
  <c r="P86" i="5"/>
  <c r="O140" i="18"/>
  <c r="K258" i="18"/>
  <c r="K187" i="18"/>
  <c r="K142" i="18"/>
  <c r="K143" i="18"/>
  <c r="K144" i="18"/>
  <c r="K179" i="18"/>
  <c r="K184" i="18"/>
  <c r="K128" i="18"/>
  <c r="K182" i="18"/>
  <c r="P82" i="6"/>
  <c r="Q85" i="6"/>
  <c r="S85" i="6"/>
  <c r="Q68" i="6"/>
  <c r="AE89" i="6"/>
  <c r="S13" i="6"/>
  <c r="P57" i="6"/>
  <c r="Q61" i="6"/>
  <c r="Z89" i="6"/>
  <c r="AB89" i="6"/>
  <c r="Q31" i="6"/>
  <c r="P31" i="6" s="1"/>
  <c r="S31" i="6"/>
  <c r="Q52" i="6"/>
  <c r="P44" i="6"/>
  <c r="D138" i="18" s="1"/>
  <c r="K138" i="18" s="1"/>
  <c r="P45" i="6"/>
  <c r="D139" i="18" s="1"/>
  <c r="AG79" i="6"/>
  <c r="S17" i="6"/>
  <c r="S21" i="6"/>
  <c r="Q21" i="6"/>
  <c r="G125" i="18" s="1"/>
  <c r="AG37" i="6"/>
  <c r="AG39" i="6" s="1"/>
  <c r="R37" i="6"/>
  <c r="S25" i="6"/>
  <c r="S23" i="6"/>
  <c r="P8" i="6"/>
  <c r="D114" i="18" s="1"/>
  <c r="Z88" i="5"/>
  <c r="Z91" i="5" s="1"/>
  <c r="AG39" i="5"/>
  <c r="U88" i="5"/>
  <c r="U91" i="5" s="1"/>
  <c r="Y80" i="5"/>
  <c r="Y88" i="5" s="1"/>
  <c r="Y91" i="5" s="1"/>
  <c r="S20" i="5"/>
  <c r="S23" i="5"/>
  <c r="Q20" i="5"/>
  <c r="Q23" i="5" s="1"/>
  <c r="G236" i="18" s="1"/>
  <c r="G237" i="18" s="1"/>
  <c r="AG61" i="5"/>
  <c r="AC88" i="5"/>
  <c r="AC91" i="5" s="1"/>
  <c r="AG17" i="5"/>
  <c r="R17" i="5"/>
  <c r="I226" i="18" s="1"/>
  <c r="V88" i="5"/>
  <c r="V91" i="5" s="1"/>
  <c r="I806" i="18" l="1"/>
  <c r="G214" i="18"/>
  <c r="K204" i="18"/>
  <c r="D214" i="18"/>
  <c r="K206" i="18"/>
  <c r="G257" i="18"/>
  <c r="P42" i="5"/>
  <c r="D257" i="18" s="1"/>
  <c r="K257" i="18" s="1"/>
  <c r="P85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8" i="5"/>
  <c r="G302" i="18"/>
  <c r="S61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7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1" i="5"/>
  <c r="K307" i="18"/>
  <c r="K114" i="18"/>
  <c r="P61" i="6"/>
  <c r="D151" i="18"/>
  <c r="K139" i="18"/>
  <c r="Q78" i="6"/>
  <c r="G193" i="18" s="1"/>
  <c r="R79" i="6"/>
  <c r="Q54" i="6"/>
  <c r="R39" i="6"/>
  <c r="AG87" i="6"/>
  <c r="P21" i="6"/>
  <c r="Q37" i="6"/>
  <c r="R25" i="5"/>
  <c r="S17" i="5"/>
  <c r="AG80" i="5"/>
  <c r="R39" i="5"/>
  <c r="P29" i="5"/>
  <c r="D244" i="18" s="1"/>
  <c r="Q39" i="5"/>
  <c r="Q8" i="5"/>
  <c r="P8" i="5" s="1"/>
  <c r="AG25" i="5"/>
  <c r="P20" i="5"/>
  <c r="P23" i="5" s="1"/>
  <c r="D236" i="18" s="1"/>
  <c r="K214" i="18" l="1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79" i="6"/>
  <c r="R87" i="6"/>
  <c r="R89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5" i="5"/>
  <c r="I304" i="18"/>
  <c r="O271" i="18"/>
  <c r="I860" i="18"/>
  <c r="Q80" i="5"/>
  <c r="R80" i="5"/>
  <c r="S80" i="5" s="1"/>
  <c r="S39" i="5"/>
  <c r="I853" i="18"/>
  <c r="I855" i="18" s="1"/>
  <c r="I239" i="18"/>
  <c r="I322" i="18" s="1"/>
  <c r="I868" i="18"/>
  <c r="D263" i="18"/>
  <c r="D279" i="18" s="1"/>
  <c r="P61" i="5"/>
  <c r="I869" i="18"/>
  <c r="G279" i="18"/>
  <c r="G304" i="18" s="1"/>
  <c r="K236" i="18"/>
  <c r="D254" i="18"/>
  <c r="K244" i="18"/>
  <c r="K320" i="18"/>
  <c r="P37" i="6"/>
  <c r="D125" i="18"/>
  <c r="K151" i="18"/>
  <c r="D173" i="18"/>
  <c r="P78" i="6"/>
  <c r="Q79" i="6"/>
  <c r="Q87" i="6" s="1"/>
  <c r="AG89" i="6"/>
  <c r="P39" i="5"/>
  <c r="P17" i="5"/>
  <c r="Q17" i="5"/>
  <c r="AG88" i="5"/>
  <c r="I850" i="18" l="1"/>
  <c r="I871" i="18"/>
  <c r="S87" i="6"/>
  <c r="S89" i="6"/>
  <c r="G216" i="18"/>
  <c r="P39" i="6"/>
  <c r="Q89" i="6"/>
  <c r="R88" i="5"/>
  <c r="K263" i="18"/>
  <c r="K279" i="18" s="1"/>
  <c r="P80" i="5"/>
  <c r="I867" i="18"/>
  <c r="I863" i="18"/>
  <c r="Q25" i="5"/>
  <c r="Q88" i="5" s="1"/>
  <c r="G226" i="18"/>
  <c r="G227" i="18" s="1"/>
  <c r="G239" i="18" s="1"/>
  <c r="G322" i="18" s="1"/>
  <c r="I865" i="18"/>
  <c r="S88" i="5"/>
  <c r="P25" i="5"/>
  <c r="D226" i="18"/>
  <c r="K254" i="18"/>
  <c r="K173" i="18"/>
  <c r="P79" i="6"/>
  <c r="P87" i="6" s="1"/>
  <c r="D193" i="18"/>
  <c r="K125" i="18"/>
  <c r="D131" i="18"/>
  <c r="AG91" i="5"/>
  <c r="I873" i="18" l="1"/>
  <c r="P89" i="6"/>
  <c r="K304" i="18"/>
  <c r="P88" i="5"/>
  <c r="K226" i="18"/>
  <c r="K193" i="18"/>
  <c r="O193" i="18" s="1"/>
  <c r="E193" i="18"/>
  <c r="D196" i="18"/>
  <c r="K131" i="18"/>
  <c r="K133" i="18" s="1"/>
  <c r="P67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2" i="10"/>
  <c r="Q77" i="10"/>
  <c r="Q79" i="10"/>
  <c r="Q80" i="10"/>
  <c r="Q81" i="10"/>
  <c r="P81" i="10" s="1"/>
  <c r="Q76" i="10"/>
  <c r="Q61" i="10"/>
  <c r="Q62" i="10"/>
  <c r="Q63" i="10"/>
  <c r="Q64" i="10"/>
  <c r="Q65" i="10"/>
  <c r="Q66" i="10"/>
  <c r="Q68" i="10"/>
  <c r="Q69" i="10"/>
  <c r="Q70" i="10"/>
  <c r="Q60" i="10"/>
  <c r="Q37" i="10"/>
  <c r="G364" i="18" s="1"/>
  <c r="Q38" i="10"/>
  <c r="G363" i="18" s="1"/>
  <c r="Q39" i="10"/>
  <c r="G365" i="18" s="1"/>
  <c r="Q40" i="10"/>
  <c r="G366" i="18" s="1"/>
  <c r="Q41" i="10"/>
  <c r="G367" i="18" s="1"/>
  <c r="M367" i="18" s="1"/>
  <c r="Q42" i="10"/>
  <c r="G368" i="18" s="1"/>
  <c r="Q43" i="10"/>
  <c r="Q44" i="10"/>
  <c r="G374" i="18" s="1"/>
  <c r="Q45" i="10"/>
  <c r="G370" i="18" s="1"/>
  <c r="G793" i="18" s="1"/>
  <c r="Q46" i="10"/>
  <c r="G371" i="18" s="1"/>
  <c r="G794" i="18" s="1"/>
  <c r="Q47" i="10"/>
  <c r="G372" i="18" s="1"/>
  <c r="Q48" i="10"/>
  <c r="G373" i="18" s="1"/>
  <c r="Q49" i="10"/>
  <c r="P49" i="10" s="1"/>
  <c r="Q50" i="10"/>
  <c r="G375" i="18" s="1"/>
  <c r="M375" i="18" s="1"/>
  <c r="Q51" i="10"/>
  <c r="G381" i="18" s="1"/>
  <c r="M381" i="18" s="1"/>
  <c r="Q52" i="10"/>
  <c r="P52" i="10" s="1"/>
  <c r="Q53" i="10"/>
  <c r="G378" i="18" s="1"/>
  <c r="G801" i="18" s="1"/>
  <c r="Q54" i="10"/>
  <c r="Q55" i="10"/>
  <c r="G382" i="18" s="1"/>
  <c r="Q56" i="10"/>
  <c r="G383" i="18" s="1"/>
  <c r="G806" i="18" s="1"/>
  <c r="Q36" i="10"/>
  <c r="G362" i="18" s="1"/>
  <c r="Q25" i="10"/>
  <c r="G350" i="18" s="1"/>
  <c r="G773" i="18" s="1"/>
  <c r="Q26" i="10"/>
  <c r="G352" i="18" s="1"/>
  <c r="Q27" i="10"/>
  <c r="G353" i="18" s="1"/>
  <c r="G776" i="18" s="1"/>
  <c r="Q28" i="10"/>
  <c r="Q29" i="10"/>
  <c r="G355" i="18" s="1"/>
  <c r="G778" i="18" s="1"/>
  <c r="Q30" i="10"/>
  <c r="G356" i="18" s="1"/>
  <c r="Q31" i="10"/>
  <c r="G357" i="18" s="1"/>
  <c r="M357" i="18" s="1"/>
  <c r="Q32" i="10"/>
  <c r="Q24" i="10"/>
  <c r="P24" i="10" s="1"/>
  <c r="Q17" i="10"/>
  <c r="Q18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4" i="10"/>
  <c r="P76" i="10"/>
  <c r="P25" i="10"/>
  <c r="D350" i="18" s="1"/>
  <c r="K350" i="18" s="1"/>
  <c r="AF8" i="10"/>
  <c r="S8" i="10" s="1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AF81" i="10"/>
  <c r="S81" i="10" s="1"/>
  <c r="AF80" i="10"/>
  <c r="S80" i="10" s="1"/>
  <c r="AF79" i="10"/>
  <c r="S79" i="10" s="1"/>
  <c r="AF77" i="10"/>
  <c r="S77" i="10" s="1"/>
  <c r="AF76" i="10"/>
  <c r="S76" i="10" s="1"/>
  <c r="AE71" i="10"/>
  <c r="AD71" i="10"/>
  <c r="AC71" i="10"/>
  <c r="AB71" i="10"/>
  <c r="AA71" i="10"/>
  <c r="Z71" i="10"/>
  <c r="Y71" i="10"/>
  <c r="X71" i="10"/>
  <c r="W71" i="10"/>
  <c r="V71" i="10"/>
  <c r="U71" i="10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60" i="10"/>
  <c r="S60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F45" i="10"/>
  <c r="S45" i="10" s="1"/>
  <c r="AE44" i="10"/>
  <c r="AE57" i="10" s="1"/>
  <c r="AD44" i="10"/>
  <c r="AC44" i="10"/>
  <c r="AC57" i="10" s="1"/>
  <c r="AB44" i="10"/>
  <c r="AB57" i="10" s="1"/>
  <c r="AA44" i="10"/>
  <c r="AA57" i="10" s="1"/>
  <c r="Y44" i="10"/>
  <c r="Y57" i="10" s="1"/>
  <c r="X44" i="10"/>
  <c r="X57" i="10" s="1"/>
  <c r="W44" i="10"/>
  <c r="W57" i="10" s="1"/>
  <c r="V44" i="10"/>
  <c r="U44" i="10"/>
  <c r="U57" i="10" s="1"/>
  <c r="T44" i="10"/>
  <c r="T57" i="10" s="1"/>
  <c r="AF43" i="10"/>
  <c r="S43" i="10" s="1"/>
  <c r="AD42" i="10"/>
  <c r="AD57" i="10" s="1"/>
  <c r="Z42" i="10"/>
  <c r="Z57" i="10" s="1"/>
  <c r="V42" i="10"/>
  <c r="AF41" i="10"/>
  <c r="S41" i="10" s="1"/>
  <c r="AF40" i="10"/>
  <c r="S40" i="10" s="1"/>
  <c r="AF39" i="10"/>
  <c r="S39" i="10" s="1"/>
  <c r="AF38" i="10"/>
  <c r="S38" i="10" s="1"/>
  <c r="AF37" i="10"/>
  <c r="S37" i="10" s="1"/>
  <c r="AF36" i="10"/>
  <c r="S36" i="10" s="1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S24" i="10" s="1"/>
  <c r="AF23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AF17" i="10"/>
  <c r="AF18" i="10" s="1"/>
  <c r="S18" i="10" s="1"/>
  <c r="AE14" i="10"/>
  <c r="AD14" i="10"/>
  <c r="AC14" i="10"/>
  <c r="AB14" i="10"/>
  <c r="AA14" i="10"/>
  <c r="Z14" i="10"/>
  <c r="Y14" i="10"/>
  <c r="X14" i="10"/>
  <c r="V14" i="10"/>
  <c r="V20" i="10" s="1"/>
  <c r="U14" i="10"/>
  <c r="T14" i="10"/>
  <c r="T20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7" i="10"/>
  <c r="D353" i="18" s="1"/>
  <c r="K353" i="18" s="1"/>
  <c r="P31" i="10"/>
  <c r="D357" i="18" s="1"/>
  <c r="K357" i="18" s="1"/>
  <c r="P36" i="10"/>
  <c r="D362" i="18" s="1"/>
  <c r="S17" i="10"/>
  <c r="Q82" i="10"/>
  <c r="P26" i="10"/>
  <c r="D352" i="18" s="1"/>
  <c r="K352" i="18" s="1"/>
  <c r="AA20" i="10"/>
  <c r="AE20" i="10"/>
  <c r="P17" i="10"/>
  <c r="P18" i="10" s="1"/>
  <c r="D341" i="18" s="1"/>
  <c r="K341" i="18" s="1"/>
  <c r="K342" i="18" s="1"/>
  <c r="P29" i="10"/>
  <c r="D356" i="18" s="1"/>
  <c r="G387" i="18"/>
  <c r="K387" i="18" s="1"/>
  <c r="P60" i="10"/>
  <c r="D387" i="18" s="1"/>
  <c r="Z73" i="10"/>
  <c r="AB20" i="10"/>
  <c r="P56" i="10"/>
  <c r="D383" i="18" s="1"/>
  <c r="K383" i="18" s="1"/>
  <c r="P44" i="10"/>
  <c r="D374" i="18" s="1"/>
  <c r="K374" i="18" s="1"/>
  <c r="G401" i="18"/>
  <c r="P63" i="10"/>
  <c r="D401" i="18" s="1"/>
  <c r="K356" i="18"/>
  <c r="G369" i="18"/>
  <c r="P55" i="10"/>
  <c r="D382" i="18" s="1"/>
  <c r="K382" i="18" s="1"/>
  <c r="P51" i="10"/>
  <c r="D381" i="18" s="1"/>
  <c r="K381" i="18" s="1"/>
  <c r="O381" i="18" s="1"/>
  <c r="P47" i="10"/>
  <c r="D372" i="18" s="1"/>
  <c r="K372" i="18" s="1"/>
  <c r="P43" i="10"/>
  <c r="D369" i="18" s="1"/>
  <c r="P39" i="10"/>
  <c r="D365" i="18" s="1"/>
  <c r="K365" i="18" s="1"/>
  <c r="G392" i="18"/>
  <c r="P66" i="10"/>
  <c r="D392" i="18" s="1"/>
  <c r="G391" i="18"/>
  <c r="P62" i="10"/>
  <c r="D391" i="18" s="1"/>
  <c r="D814" i="18" s="1"/>
  <c r="Q57" i="10"/>
  <c r="G412" i="18"/>
  <c r="P77" i="10"/>
  <c r="D412" i="18" s="1"/>
  <c r="P30" i="10"/>
  <c r="D355" i="18" s="1"/>
  <c r="K355" i="18" s="1"/>
  <c r="P32" i="10"/>
  <c r="D349" i="18" s="1"/>
  <c r="G349" i="18"/>
  <c r="P28" i="10"/>
  <c r="D354" i="18" s="1"/>
  <c r="G354" i="18"/>
  <c r="G777" i="18" s="1"/>
  <c r="Q33" i="10"/>
  <c r="G379" i="18"/>
  <c r="M379" i="18" s="1"/>
  <c r="G380" i="18"/>
  <c r="P54" i="10"/>
  <c r="D380" i="18" s="1"/>
  <c r="P50" i="10"/>
  <c r="D375" i="18" s="1"/>
  <c r="K375" i="18" s="1"/>
  <c r="O375" i="18" s="1"/>
  <c r="P46" i="10"/>
  <c r="D371" i="18" s="1"/>
  <c r="K371" i="18" s="1"/>
  <c r="P42" i="10"/>
  <c r="D368" i="18" s="1"/>
  <c r="K368" i="18" s="1"/>
  <c r="P38" i="10"/>
  <c r="D363" i="18" s="1"/>
  <c r="K363" i="18" s="1"/>
  <c r="G399" i="18"/>
  <c r="P70" i="10"/>
  <c r="D399" i="18" s="1"/>
  <c r="G402" i="18"/>
  <c r="P65" i="10"/>
  <c r="D402" i="18" s="1"/>
  <c r="G390" i="18"/>
  <c r="P61" i="10"/>
  <c r="D390" i="18" s="1"/>
  <c r="G418" i="18"/>
  <c r="P80" i="10"/>
  <c r="D418" i="18" s="1"/>
  <c r="G377" i="18"/>
  <c r="M377" i="18" s="1"/>
  <c r="G376" i="18"/>
  <c r="M376" i="18" s="1"/>
  <c r="P48" i="10"/>
  <c r="D373" i="18" s="1"/>
  <c r="K373" i="18" s="1"/>
  <c r="P40" i="10"/>
  <c r="D366" i="18" s="1"/>
  <c r="K366" i="18" s="1"/>
  <c r="G394" i="18"/>
  <c r="P68" i="10"/>
  <c r="D394" i="18" s="1"/>
  <c r="P53" i="10"/>
  <c r="D378" i="18" s="1"/>
  <c r="K378" i="18" s="1"/>
  <c r="P45" i="10"/>
  <c r="D370" i="18" s="1"/>
  <c r="K370" i="18" s="1"/>
  <c r="P41" i="10"/>
  <c r="D367" i="18" s="1"/>
  <c r="K367" i="18" s="1"/>
  <c r="O367" i="18" s="1"/>
  <c r="P37" i="10"/>
  <c r="D364" i="18" s="1"/>
  <c r="K364" i="18" s="1"/>
  <c r="G395" i="18"/>
  <c r="P69" i="10"/>
  <c r="D395" i="18" s="1"/>
  <c r="E395" i="18" s="1"/>
  <c r="G398" i="18"/>
  <c r="P64" i="10"/>
  <c r="D398" i="18" s="1"/>
  <c r="Q71" i="10"/>
  <c r="G419" i="18"/>
  <c r="P79" i="10"/>
  <c r="D419" i="18" s="1"/>
  <c r="M371" i="18"/>
  <c r="O371" i="18" s="1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4" i="10" s="1"/>
  <c r="AC73" i="10"/>
  <c r="AB73" i="10"/>
  <c r="AB84" i="10" s="1"/>
  <c r="AF82" i="10"/>
  <c r="S82" i="10" s="1"/>
  <c r="AD73" i="10"/>
  <c r="V57" i="10"/>
  <c r="V73" i="10" s="1"/>
  <c r="V84" i="10" s="1"/>
  <c r="Z20" i="10"/>
  <c r="AD20" i="10"/>
  <c r="AA73" i="10"/>
  <c r="AE73" i="10"/>
  <c r="AE84" i="10" s="1"/>
  <c r="U20" i="10"/>
  <c r="Y20" i="10"/>
  <c r="X20" i="10"/>
  <c r="AF33" i="10"/>
  <c r="S33" i="10" s="1"/>
  <c r="W73" i="10"/>
  <c r="X73" i="10"/>
  <c r="AF71" i="10"/>
  <c r="S71" i="10" s="1"/>
  <c r="Q14" i="10"/>
  <c r="AC20" i="10"/>
  <c r="AF14" i="10"/>
  <c r="U73" i="10"/>
  <c r="Y73" i="10"/>
  <c r="W14" i="10"/>
  <c r="W20" i="10" s="1"/>
  <c r="AF42" i="10"/>
  <c r="S42" i="10" s="1"/>
  <c r="AF44" i="10"/>
  <c r="S44" i="10" s="1"/>
  <c r="D342" i="18" l="1"/>
  <c r="Z84" i="10"/>
  <c r="AD84" i="10"/>
  <c r="X84" i="10"/>
  <c r="E371" i="18"/>
  <c r="AA84" i="10"/>
  <c r="K398" i="18"/>
  <c r="K394" i="18"/>
  <c r="K392" i="18"/>
  <c r="K399" i="18"/>
  <c r="Y84" i="10"/>
  <c r="U84" i="10"/>
  <c r="AC84" i="10"/>
  <c r="W84" i="10"/>
  <c r="Q73" i="10"/>
  <c r="P57" i="10"/>
  <c r="K402" i="18"/>
  <c r="D407" i="18"/>
  <c r="P33" i="10"/>
  <c r="D379" i="18"/>
  <c r="K379" i="18" s="1"/>
  <c r="O379" i="18" s="1"/>
  <c r="O571" i="18"/>
  <c r="K412" i="18"/>
  <c r="D425" i="18"/>
  <c r="K349" i="18"/>
  <c r="D359" i="18"/>
  <c r="AF20" i="10"/>
  <c r="S20" i="10" s="1"/>
  <c r="S14" i="10"/>
  <c r="G359" i="18"/>
  <c r="P82" i="10"/>
  <c r="E375" i="18"/>
  <c r="K419" i="18"/>
  <c r="G425" i="18"/>
  <c r="K401" i="18"/>
  <c r="G407" i="18"/>
  <c r="G813" i="18"/>
  <c r="K390" i="18"/>
  <c r="G331" i="18"/>
  <c r="G332" i="18" s="1"/>
  <c r="G344" i="18" s="1"/>
  <c r="Q20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0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1" i="10"/>
  <c r="T71" i="10" s="1"/>
  <c r="T73" i="10" s="1"/>
  <c r="T84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7" i="10"/>
  <c r="K556" i="18" l="1"/>
  <c r="K359" i="18"/>
  <c r="Q84" i="10"/>
  <c r="O380" i="18"/>
  <c r="D384" i="18"/>
  <c r="D409" i="18" s="1"/>
  <c r="E379" i="18"/>
  <c r="K425" i="18"/>
  <c r="O395" i="18"/>
  <c r="O662" i="18"/>
  <c r="G409" i="18"/>
  <c r="G427" i="18" s="1"/>
  <c r="AF73" i="10"/>
  <c r="S57" i="10"/>
  <c r="K407" i="18"/>
  <c r="K662" i="18"/>
  <c r="K621" i="18"/>
  <c r="K639" i="18" s="1"/>
  <c r="K727" i="18"/>
  <c r="D332" i="18"/>
  <c r="D344" i="18" s="1"/>
  <c r="K331" i="18"/>
  <c r="K384" i="18"/>
  <c r="K239" i="18"/>
  <c r="D216" i="18"/>
  <c r="D745" i="18"/>
  <c r="D533" i="18"/>
  <c r="P73" i="10"/>
  <c r="P84" i="10" s="1"/>
  <c r="D639" i="18"/>
  <c r="D322" i="18"/>
  <c r="E662" i="18"/>
  <c r="E556" i="18"/>
  <c r="D427" i="18" l="1"/>
  <c r="K745" i="18"/>
  <c r="K409" i="18"/>
  <c r="AF84" i="10"/>
  <c r="S84" i="10" s="1"/>
  <c r="S73" i="10"/>
  <c r="K332" i="18"/>
  <c r="K344" i="18" s="1"/>
  <c r="K322" i="18"/>
  <c r="K427" i="18" l="1"/>
  <c r="P209" i="2"/>
  <c r="P212" i="2"/>
  <c r="P213" i="2"/>
  <c r="P214" i="2"/>
  <c r="P215" i="2"/>
  <c r="D33" i="18" l="1"/>
  <c r="D36" i="18"/>
  <c r="D37" i="18"/>
  <c r="D38" i="18"/>
  <c r="P287" i="2"/>
  <c r="D98" i="18" s="1"/>
  <c r="D838" i="18" s="1"/>
  <c r="P288" i="2"/>
  <c r="D99" i="18" s="1"/>
  <c r="D839" i="18" s="1"/>
  <c r="P296" i="2"/>
  <c r="D105" i="18" s="1"/>
  <c r="P297" i="2"/>
  <c r="D107" i="18" s="1"/>
  <c r="D847" i="18" s="1"/>
  <c r="P252" i="2"/>
  <c r="D73" i="18" s="1"/>
  <c r="P260" i="2"/>
  <c r="D63" i="18" s="1"/>
  <c r="D803" i="18" s="1"/>
  <c r="P268" i="2"/>
  <c r="D88" i="18" s="1"/>
  <c r="K88" i="18" s="1"/>
  <c r="P272" i="2"/>
  <c r="D78" i="18" s="1"/>
  <c r="P273" i="2"/>
  <c r="D76" i="18" s="1"/>
  <c r="P275" i="2"/>
  <c r="D79" i="18" s="1"/>
  <c r="P232" i="2"/>
  <c r="D53" i="18" s="1"/>
  <c r="D793" i="18" s="1"/>
  <c r="P233" i="2"/>
  <c r="D54" i="18" s="1"/>
  <c r="P237" i="2"/>
  <c r="P239" i="2"/>
  <c r="P241" i="2"/>
  <c r="D66" i="18" s="1"/>
  <c r="P244" i="2"/>
  <c r="P88" i="2"/>
  <c r="P14" i="2"/>
  <c r="Q286" i="2"/>
  <c r="Q287" i="2"/>
  <c r="G98" i="18" s="1"/>
  <c r="Q288" i="2"/>
  <c r="G99" i="18" s="1"/>
  <c r="G839" i="18" s="1"/>
  <c r="Q289" i="2"/>
  <c r="G100" i="18" s="1"/>
  <c r="G840" i="18" s="1"/>
  <c r="Q290" i="2"/>
  <c r="G101" i="18" s="1"/>
  <c r="G841" i="18" s="1"/>
  <c r="Q292" i="2"/>
  <c r="G102" i="18" s="1"/>
  <c r="G842" i="18" s="1"/>
  <c r="Q293" i="2"/>
  <c r="G103" i="18" s="1"/>
  <c r="G843" i="18" s="1"/>
  <c r="Q294" i="2"/>
  <c r="G104" i="18" s="1"/>
  <c r="G844" i="18" s="1"/>
  <c r="Q295" i="2"/>
  <c r="G106" i="18" s="1"/>
  <c r="G846" i="18" s="1"/>
  <c r="Q296" i="2"/>
  <c r="G105" i="18" s="1"/>
  <c r="G845" i="18" s="1"/>
  <c r="Q297" i="2"/>
  <c r="G107" i="18" s="1"/>
  <c r="G847" i="18" s="1"/>
  <c r="Q285" i="2"/>
  <c r="G95" i="18" s="1"/>
  <c r="G835" i="18" s="1"/>
  <c r="Q250" i="2"/>
  <c r="G41" i="18" s="1"/>
  <c r="G781" i="18" s="1"/>
  <c r="Q251" i="2"/>
  <c r="G70" i="18" s="1"/>
  <c r="Q253" i="2"/>
  <c r="G84" i="18" s="1"/>
  <c r="G824" i="18" s="1"/>
  <c r="Q254" i="2"/>
  <c r="G75" i="18" s="1"/>
  <c r="G815" i="18" s="1"/>
  <c r="Q255" i="2"/>
  <c r="P255" i="2" s="1"/>
  <c r="Q256" i="2"/>
  <c r="P256" i="2" s="1"/>
  <c r="Q257" i="2"/>
  <c r="P257" i="2" s="1"/>
  <c r="Q258" i="2"/>
  <c r="P258" i="2" s="1"/>
  <c r="Q259" i="2"/>
  <c r="G85" i="18" s="1"/>
  <c r="G825" i="18" s="1"/>
  <c r="Q262" i="2"/>
  <c r="G62" i="18" s="1"/>
  <c r="G802" i="18" s="1"/>
  <c r="Q263" i="2"/>
  <c r="G82" i="18" s="1"/>
  <c r="G822" i="18" s="1"/>
  <c r="Q264" i="2"/>
  <c r="G83" i="18" s="1"/>
  <c r="G823" i="18" s="1"/>
  <c r="Q265" i="2"/>
  <c r="P265" i="2" s="1"/>
  <c r="Q266" i="2"/>
  <c r="G86" i="18" s="1"/>
  <c r="G826" i="18" s="1"/>
  <c r="Q267" i="2"/>
  <c r="P267" i="2" s="1"/>
  <c r="Q269" i="2"/>
  <c r="G89" i="18" s="1"/>
  <c r="G829" i="18" s="1"/>
  <c r="Q270" i="2"/>
  <c r="P270" i="2" s="1"/>
  <c r="Q271" i="2"/>
  <c r="P271" i="2" s="1"/>
  <c r="Q274" i="2"/>
  <c r="G77" i="18" s="1"/>
  <c r="G817" i="18" s="1"/>
  <c r="Q276" i="2"/>
  <c r="G56" i="18" s="1"/>
  <c r="G796" i="18" s="1"/>
  <c r="Q277" i="2"/>
  <c r="P277" i="2" s="1"/>
  <c r="Q278" i="2"/>
  <c r="P278" i="2" s="1"/>
  <c r="Q279" i="2"/>
  <c r="G57" i="18" s="1"/>
  <c r="G797" i="18" s="1"/>
  <c r="Q249" i="2"/>
  <c r="G71" i="18" s="1"/>
  <c r="G811" i="18" s="1"/>
  <c r="Q225" i="2"/>
  <c r="Q226" i="2"/>
  <c r="G46" i="18" s="1"/>
  <c r="G786" i="18" s="1"/>
  <c r="Q227" i="2"/>
  <c r="G47" i="18" s="1"/>
  <c r="G787" i="18" s="1"/>
  <c r="Q228" i="2"/>
  <c r="G48" i="18" s="1"/>
  <c r="G788" i="18" s="1"/>
  <c r="Q229" i="2"/>
  <c r="G49" i="18" s="1"/>
  <c r="G789" i="18" s="1"/>
  <c r="Q230" i="2"/>
  <c r="G50" i="18" s="1"/>
  <c r="G790" i="18" s="1"/>
  <c r="Q231" i="2"/>
  <c r="G51" i="18" s="1"/>
  <c r="G791" i="18" s="1"/>
  <c r="Q234" i="2"/>
  <c r="G55" i="18" s="1"/>
  <c r="G795" i="18" s="1"/>
  <c r="Q235" i="2"/>
  <c r="G58" i="18" s="1"/>
  <c r="G798" i="18" s="1"/>
  <c r="Q236" i="2"/>
  <c r="G59" i="18" s="1"/>
  <c r="G799" i="18" s="1"/>
  <c r="Q238" i="2"/>
  <c r="G60" i="18" s="1"/>
  <c r="G800" i="18" s="1"/>
  <c r="Q240" i="2"/>
  <c r="G65" i="18" s="1"/>
  <c r="G805" i="18" s="1"/>
  <c r="Q242" i="2"/>
  <c r="G52" i="18" s="1"/>
  <c r="G792" i="18" s="1"/>
  <c r="Q243" i="2"/>
  <c r="G64" i="18" s="1"/>
  <c r="G804" i="18" s="1"/>
  <c r="Q245" i="2"/>
  <c r="P245" i="2" s="1"/>
  <c r="Q224" i="2"/>
  <c r="P224" i="2" s="1"/>
  <c r="Q210" i="2"/>
  <c r="Q211" i="2"/>
  <c r="Q216" i="2"/>
  <c r="Q217" i="2"/>
  <c r="P217" i="2" s="1"/>
  <c r="Q219" i="2"/>
  <c r="Q221" i="2"/>
  <c r="P221" i="2" s="1"/>
  <c r="Q208" i="2"/>
  <c r="Q136" i="2"/>
  <c r="Q137" i="2"/>
  <c r="Q138" i="2"/>
  <c r="Q139" i="2"/>
  <c r="P139" i="2" s="1"/>
  <c r="Q140" i="2"/>
  <c r="Q141" i="2"/>
  <c r="Q142" i="2"/>
  <c r="P142" i="2" s="1"/>
  <c r="Q143" i="2"/>
  <c r="P143" i="2" s="1"/>
  <c r="Q144" i="2"/>
  <c r="P144" i="2" s="1"/>
  <c r="Q145" i="2"/>
  <c r="P145" i="2" s="1"/>
  <c r="Q146" i="2"/>
  <c r="Q147" i="2"/>
  <c r="P147" i="2" s="1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Q195" i="2"/>
  <c r="P195" i="2" s="1"/>
  <c r="Q196" i="2"/>
  <c r="P196" i="2" s="1"/>
  <c r="Q198" i="2"/>
  <c r="P198" i="2" s="1"/>
  <c r="Q200" i="2"/>
  <c r="P200" i="2" s="1"/>
  <c r="Q201" i="2"/>
  <c r="P201" i="2" s="1"/>
  <c r="Q202" i="2"/>
  <c r="P202" i="2" s="1"/>
  <c r="Q203" i="2"/>
  <c r="P203" i="2" s="1"/>
  <c r="Q204" i="2"/>
  <c r="P204" i="2" s="1"/>
  <c r="Q135" i="2"/>
  <c r="P135" i="2" s="1"/>
  <c r="Q109" i="2"/>
  <c r="Q110" i="2"/>
  <c r="P110" i="2" s="1"/>
  <c r="Q111" i="2"/>
  <c r="Q112" i="2"/>
  <c r="Q113" i="2"/>
  <c r="Q114" i="2"/>
  <c r="P114" i="2" s="1"/>
  <c r="Q115" i="2"/>
  <c r="P115" i="2" s="1"/>
  <c r="Q116" i="2"/>
  <c r="Q117" i="2"/>
  <c r="P117" i="2" s="1"/>
  <c r="Q118" i="2"/>
  <c r="P118" i="2" s="1"/>
  <c r="Q119" i="2"/>
  <c r="P119" i="2" s="1"/>
  <c r="Q121" i="2"/>
  <c r="P121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2" i="2"/>
  <c r="P132" i="2" s="1"/>
  <c r="Q108" i="2"/>
  <c r="P108" i="2" s="1"/>
  <c r="Q93" i="2"/>
  <c r="P93" i="2" s="1"/>
  <c r="Q94" i="2"/>
  <c r="P94" i="2" s="1"/>
  <c r="Q95" i="2"/>
  <c r="P95" i="2" s="1"/>
  <c r="Q96" i="2"/>
  <c r="P96" i="2" s="1"/>
  <c r="Q92" i="2"/>
  <c r="P92" i="2" s="1"/>
  <c r="Q89" i="2"/>
  <c r="Q88" i="2"/>
  <c r="Q87" i="2"/>
  <c r="P87" i="2" s="1"/>
  <c r="Q58" i="2"/>
  <c r="P58" i="2" s="1"/>
  <c r="Q59" i="2"/>
  <c r="P59" i="2" s="1"/>
  <c r="Q60" i="2"/>
  <c r="P60" i="2" s="1"/>
  <c r="Q61" i="2"/>
  <c r="Q63" i="2"/>
  <c r="Q64" i="2"/>
  <c r="P64" i="2" s="1"/>
  <c r="Q65" i="2"/>
  <c r="P65" i="2" s="1"/>
  <c r="Q66" i="2"/>
  <c r="P66" i="2" s="1"/>
  <c r="Q67" i="2"/>
  <c r="P67" i="2" s="1"/>
  <c r="Q68" i="2"/>
  <c r="P68" i="2" s="1"/>
  <c r="Q69" i="2"/>
  <c r="P69" i="2" s="1"/>
  <c r="Q70" i="2"/>
  <c r="P70" i="2" s="1"/>
  <c r="Q74" i="2"/>
  <c r="Q75" i="2"/>
  <c r="P75" i="2" s="1"/>
  <c r="Q76" i="2"/>
  <c r="P76" i="2" s="1"/>
  <c r="Q77" i="2"/>
  <c r="P77" i="2" s="1"/>
  <c r="Q78" i="2"/>
  <c r="P78" i="2" s="1"/>
  <c r="Q57" i="2"/>
  <c r="P57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48" i="2"/>
  <c r="P48" i="2" s="1"/>
  <c r="Q50" i="2"/>
  <c r="P50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Q6" i="2"/>
  <c r="Q7" i="2"/>
  <c r="P7" i="2" s="1"/>
  <c r="Q8" i="2"/>
  <c r="P8" i="2" s="1"/>
  <c r="Q9" i="2"/>
  <c r="P9" i="2" s="1"/>
  <c r="Q10" i="2"/>
  <c r="P10" i="2" s="1"/>
  <c r="Q5" i="2"/>
  <c r="P5" i="2" s="1"/>
  <c r="P302" i="2"/>
  <c r="S12" i="2"/>
  <c r="S13" i="2"/>
  <c r="S21" i="2"/>
  <c r="S26" i="2"/>
  <c r="S31" i="2"/>
  <c r="S42" i="2"/>
  <c r="S45" i="2"/>
  <c r="S46" i="2"/>
  <c r="S47" i="2"/>
  <c r="S48" i="2"/>
  <c r="S53" i="2"/>
  <c r="S54" i="2"/>
  <c r="S55" i="2"/>
  <c r="S56" i="2"/>
  <c r="S62" i="2"/>
  <c r="S69" i="2"/>
  <c r="S73" i="2"/>
  <c r="S81" i="2"/>
  <c r="S82" i="2"/>
  <c r="S83" i="2"/>
  <c r="S85" i="2"/>
  <c r="S86" i="2"/>
  <c r="S90" i="2"/>
  <c r="S91" i="2"/>
  <c r="S99" i="2"/>
  <c r="S100" i="2"/>
  <c r="S101" i="2"/>
  <c r="S102" i="2"/>
  <c r="Q102" i="2" s="1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1" i="2"/>
  <c r="S122" i="2"/>
  <c r="S123" i="2"/>
  <c r="S124" i="2"/>
  <c r="S125" i="2"/>
  <c r="S126" i="2"/>
  <c r="S127" i="2"/>
  <c r="S128" i="2"/>
  <c r="S129" i="2"/>
  <c r="S130" i="2"/>
  <c r="S132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4" i="2"/>
  <c r="S195" i="2"/>
  <c r="S196" i="2"/>
  <c r="S198" i="2"/>
  <c r="S200" i="2"/>
  <c r="S201" i="2"/>
  <c r="S202" i="2"/>
  <c r="S203" i="2"/>
  <c r="S204" i="2"/>
  <c r="S207" i="2"/>
  <c r="S208" i="2"/>
  <c r="S209" i="2"/>
  <c r="S221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3" i="2"/>
  <c r="S284" i="2"/>
  <c r="S285" i="2"/>
  <c r="S286" i="2"/>
  <c r="S287" i="2"/>
  <c r="S288" i="2"/>
  <c r="S289" i="2"/>
  <c r="S290" i="2"/>
  <c r="S292" i="2"/>
  <c r="S293" i="2"/>
  <c r="S294" i="2"/>
  <c r="S295" i="2"/>
  <c r="S296" i="2"/>
  <c r="S297" i="2"/>
  <c r="S299" i="2"/>
  <c r="S301" i="2"/>
  <c r="G32" i="18" l="1"/>
  <c r="G772" i="18" s="1"/>
  <c r="P208" i="2"/>
  <c r="D32" i="18" s="1"/>
  <c r="P293" i="2"/>
  <c r="D103" i="18" s="1"/>
  <c r="D843" i="18" s="1"/>
  <c r="K843" i="18" s="1"/>
  <c r="P285" i="2"/>
  <c r="P292" i="2"/>
  <c r="D102" i="18" s="1"/>
  <c r="D842" i="18" s="1"/>
  <c r="G838" i="18"/>
  <c r="G848" i="18" s="1"/>
  <c r="G108" i="18"/>
  <c r="G862" i="18" s="1"/>
  <c r="P295" i="2"/>
  <c r="D106" i="18" s="1"/>
  <c r="K106" i="18" s="1"/>
  <c r="P290" i="2"/>
  <c r="D101" i="18" s="1"/>
  <c r="K101" i="18" s="1"/>
  <c r="Q298" i="2"/>
  <c r="P294" i="2"/>
  <c r="D104" i="18" s="1"/>
  <c r="K104" i="18" s="1"/>
  <c r="P289" i="2"/>
  <c r="D100" i="18" s="1"/>
  <c r="K100" i="18" s="1"/>
  <c r="P249" i="2"/>
  <c r="D71" i="18" s="1"/>
  <c r="K71" i="18" s="1"/>
  <c r="P286" i="2"/>
  <c r="P259" i="2"/>
  <c r="D85" i="18" s="1"/>
  <c r="D825" i="18" s="1"/>
  <c r="P236" i="2"/>
  <c r="D59" i="18" s="1"/>
  <c r="D799" i="18" s="1"/>
  <c r="K799" i="18" s="1"/>
  <c r="P240" i="2"/>
  <c r="D65" i="18" s="1"/>
  <c r="K65" i="18" s="1"/>
  <c r="P227" i="2"/>
  <c r="D47" i="18" s="1"/>
  <c r="K47" i="18" s="1"/>
  <c r="P264" i="2"/>
  <c r="D83" i="18" s="1"/>
  <c r="D823" i="18" s="1"/>
  <c r="K823" i="18" s="1"/>
  <c r="P228" i="2"/>
  <c r="D48" i="18" s="1"/>
  <c r="D788" i="18" s="1"/>
  <c r="K788" i="18" s="1"/>
  <c r="P276" i="2"/>
  <c r="D56" i="18" s="1"/>
  <c r="D796" i="18" s="1"/>
  <c r="K796" i="18" s="1"/>
  <c r="P254" i="2"/>
  <c r="D75" i="18" s="1"/>
  <c r="K75" i="18" s="1"/>
  <c r="G45" i="18"/>
  <c r="G785" i="18" s="1"/>
  <c r="G807" i="18" s="1"/>
  <c r="P243" i="2"/>
  <c r="D64" i="18" s="1"/>
  <c r="P231" i="2"/>
  <c r="D51" i="18" s="1"/>
  <c r="K51" i="18" s="1"/>
  <c r="P279" i="2"/>
  <c r="D57" i="18" s="1"/>
  <c r="K57" i="18" s="1"/>
  <c r="P263" i="2"/>
  <c r="D82" i="18" s="1"/>
  <c r="D822" i="18" s="1"/>
  <c r="G22" i="18"/>
  <c r="G762" i="18" s="1"/>
  <c r="G18" i="18"/>
  <c r="G758" i="18" s="1"/>
  <c r="P251" i="2"/>
  <c r="D70" i="18" s="1"/>
  <c r="K70" i="18" s="1"/>
  <c r="Q247" i="2"/>
  <c r="P235" i="2"/>
  <c r="D58" i="18" s="1"/>
  <c r="D798" i="18" s="1"/>
  <c r="K798" i="18" s="1"/>
  <c r="P250" i="2"/>
  <c r="D41" i="18" s="1"/>
  <c r="K41" i="18" s="1"/>
  <c r="Q97" i="2"/>
  <c r="Q98" i="2" s="1"/>
  <c r="G81" i="18"/>
  <c r="G821" i="18" s="1"/>
  <c r="Q282" i="2"/>
  <c r="P242" i="2"/>
  <c r="D52" i="18" s="1"/>
  <c r="D792" i="18" s="1"/>
  <c r="P238" i="2"/>
  <c r="D60" i="18" s="1"/>
  <c r="K60" i="18" s="1"/>
  <c r="P234" i="2"/>
  <c r="D55" i="18" s="1"/>
  <c r="K55" i="18" s="1"/>
  <c r="P230" i="2"/>
  <c r="D50" i="18" s="1"/>
  <c r="D790" i="18" s="1"/>
  <c r="K790" i="18" s="1"/>
  <c r="P226" i="2"/>
  <c r="D46" i="18" s="1"/>
  <c r="K46" i="18" s="1"/>
  <c r="P274" i="2"/>
  <c r="D77" i="18" s="1"/>
  <c r="K77" i="18" s="1"/>
  <c r="P266" i="2"/>
  <c r="D86" i="18" s="1"/>
  <c r="D826" i="18" s="1"/>
  <c r="K826" i="18" s="1"/>
  <c r="P262" i="2"/>
  <c r="D62" i="18" s="1"/>
  <c r="K62" i="18" s="1"/>
  <c r="P253" i="2"/>
  <c r="D84" i="18" s="1"/>
  <c r="D824" i="18" s="1"/>
  <c r="K824" i="18" s="1"/>
  <c r="G810" i="18"/>
  <c r="Q11" i="2"/>
  <c r="Q34" i="2"/>
  <c r="G10" i="18"/>
  <c r="G750" i="18" s="1"/>
  <c r="G87" i="18"/>
  <c r="G827" i="18" s="1"/>
  <c r="P111" i="2"/>
  <c r="D10" i="18" s="1"/>
  <c r="P229" i="2"/>
  <c r="D49" i="18" s="1"/>
  <c r="K49" i="18" s="1"/>
  <c r="P225" i="2"/>
  <c r="D45" i="18" s="1"/>
  <c r="P269" i="2"/>
  <c r="D89" i="18" s="1"/>
  <c r="G8" i="18"/>
  <c r="P109" i="2"/>
  <c r="D8" i="18" s="1"/>
  <c r="G34" i="18"/>
  <c r="P210" i="2"/>
  <c r="Q222" i="2"/>
  <c r="G12" i="18"/>
  <c r="G752" i="18" s="1"/>
  <c r="P116" i="2"/>
  <c r="D12" i="18" s="1"/>
  <c r="G11" i="18"/>
  <c r="G751" i="18" s="1"/>
  <c r="P112" i="2"/>
  <c r="D11" i="18" s="1"/>
  <c r="D751" i="18" s="1"/>
  <c r="Q133" i="2"/>
  <c r="G21" i="18"/>
  <c r="G761" i="18" s="1"/>
  <c r="P140" i="2"/>
  <c r="D21" i="18" s="1"/>
  <c r="Q205" i="2"/>
  <c r="P136" i="2"/>
  <c r="G40" i="18"/>
  <c r="P219" i="2"/>
  <c r="D40" i="18" s="1"/>
  <c r="P141" i="2"/>
  <c r="D22" i="18" s="1"/>
  <c r="G14" i="18"/>
  <c r="G754" i="18" s="1"/>
  <c r="P113" i="2"/>
  <c r="Q51" i="2"/>
  <c r="Q79" i="2"/>
  <c r="P74" i="2"/>
  <c r="P79" i="2" s="1"/>
  <c r="Q71" i="2"/>
  <c r="Q72" i="2" s="1"/>
  <c r="P63" i="2"/>
  <c r="P71" i="2" s="1"/>
  <c r="G35" i="18"/>
  <c r="G775" i="18" s="1"/>
  <c r="P211" i="2"/>
  <c r="D35" i="18" s="1"/>
  <c r="D775" i="18" s="1"/>
  <c r="P137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6" i="2"/>
  <c r="D39" i="18" s="1"/>
  <c r="P194" i="2"/>
  <c r="D23" i="18" s="1"/>
  <c r="D763" i="18" s="1"/>
  <c r="P146" i="2"/>
  <c r="D24" i="18" s="1"/>
  <c r="P138" i="2"/>
  <c r="D19" i="18" s="1"/>
  <c r="D759" i="18" s="1"/>
  <c r="K105" i="18"/>
  <c r="D13" i="18"/>
  <c r="D87" i="18"/>
  <c r="D81" i="18"/>
  <c r="K99" i="18"/>
  <c r="K98" i="18"/>
  <c r="D844" i="18"/>
  <c r="K107" i="18"/>
  <c r="D828" i="18"/>
  <c r="K828" i="18" s="1"/>
  <c r="K102" i="18"/>
  <c r="D9" i="18"/>
  <c r="D95" i="18"/>
  <c r="D845" i="18"/>
  <c r="K845" i="18" s="1"/>
  <c r="P89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838" i="18"/>
  <c r="K78" i="18"/>
  <c r="D818" i="18"/>
  <c r="K32" i="18"/>
  <c r="D772" i="18"/>
  <c r="K839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1" i="2"/>
  <c r="P34" i="2"/>
  <c r="P97" i="2"/>
  <c r="P51" i="2"/>
  <c r="AE298" i="2"/>
  <c r="AE77" i="2" s="1"/>
  <c r="AD298" i="2"/>
  <c r="AD77" i="2" s="1"/>
  <c r="AC298" i="2"/>
  <c r="AC77" i="2" s="1"/>
  <c r="AB298" i="2"/>
  <c r="AB77" i="2" s="1"/>
  <c r="AA298" i="2"/>
  <c r="Z298" i="2"/>
  <c r="Y298" i="2"/>
  <c r="Y77" i="2" s="1"/>
  <c r="X298" i="2"/>
  <c r="X77" i="2" s="1"/>
  <c r="W298" i="2"/>
  <c r="W77" i="2" s="1"/>
  <c r="V298" i="2"/>
  <c r="V77" i="2" s="1"/>
  <c r="U298" i="2"/>
  <c r="U77" i="2" s="1"/>
  <c r="T298" i="2"/>
  <c r="AE282" i="2"/>
  <c r="AD282" i="2"/>
  <c r="AC282" i="2"/>
  <c r="AC76" i="2" s="1"/>
  <c r="AB282" i="2"/>
  <c r="AA282" i="2"/>
  <c r="AA76" i="2" s="1"/>
  <c r="Z282" i="2"/>
  <c r="Z76" i="2" s="1"/>
  <c r="Y282" i="2"/>
  <c r="X282" i="2"/>
  <c r="X76" i="2" s="1"/>
  <c r="V282" i="2"/>
  <c r="V76" i="2" s="1"/>
  <c r="U282" i="2"/>
  <c r="U76" i="2" s="1"/>
  <c r="T282" i="2"/>
  <c r="T76" i="2" s="1"/>
  <c r="W260" i="2"/>
  <c r="AE247" i="2"/>
  <c r="AE75" i="2" s="1"/>
  <c r="AD247" i="2"/>
  <c r="AD75" i="2" s="1"/>
  <c r="AC247" i="2"/>
  <c r="AC75" i="2" s="1"/>
  <c r="AB247" i="2"/>
  <c r="AA247" i="2"/>
  <c r="Z247" i="2"/>
  <c r="Z75" i="2" s="1"/>
  <c r="Y247" i="2"/>
  <c r="Y75" i="2" s="1"/>
  <c r="X247" i="2"/>
  <c r="W247" i="2"/>
  <c r="V247" i="2"/>
  <c r="U247" i="2"/>
  <c r="U75" i="2" s="1"/>
  <c r="T247" i="2"/>
  <c r="AE222" i="2"/>
  <c r="AE74" i="2" s="1"/>
  <c r="AD222" i="2"/>
  <c r="AD74" i="2" s="1"/>
  <c r="AC222" i="2"/>
  <c r="AC74" i="2" s="1"/>
  <c r="AB222" i="2"/>
  <c r="AA222" i="2"/>
  <c r="AA74" i="2" s="1"/>
  <c r="Y222" i="2"/>
  <c r="Y74" i="2" s="1"/>
  <c r="X222" i="2"/>
  <c r="W222" i="2"/>
  <c r="V222" i="2"/>
  <c r="U222" i="2"/>
  <c r="U74" i="2" s="1"/>
  <c r="T222" i="2"/>
  <c r="Z219" i="2"/>
  <c r="S219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Z211" i="2"/>
  <c r="S211" i="2" s="1"/>
  <c r="Z210" i="2"/>
  <c r="S210" i="2" s="1"/>
  <c r="AE205" i="2"/>
  <c r="AD205" i="2"/>
  <c r="AC205" i="2"/>
  <c r="AB205" i="2"/>
  <c r="AA205" i="2"/>
  <c r="Z205" i="2"/>
  <c r="Y205" i="2"/>
  <c r="U205" i="2"/>
  <c r="T205" i="2"/>
  <c r="W193" i="2"/>
  <c r="S193" i="2" s="1"/>
  <c r="W178" i="2"/>
  <c r="X149" i="2"/>
  <c r="X205" i="2" s="1"/>
  <c r="V149" i="2"/>
  <c r="S149" i="2" s="1"/>
  <c r="AE133" i="2"/>
  <c r="AD133" i="2"/>
  <c r="AC133" i="2"/>
  <c r="AB133" i="2"/>
  <c r="AA133" i="2"/>
  <c r="Z133" i="2"/>
  <c r="Y133" i="2"/>
  <c r="X133" i="2"/>
  <c r="W133" i="2"/>
  <c r="V133" i="2"/>
  <c r="U133" i="2"/>
  <c r="U206" i="2" s="1"/>
  <c r="T133" i="2"/>
  <c r="X96" i="2"/>
  <c r="AE95" i="2"/>
  <c r="AD95" i="2"/>
  <c r="AC95" i="2"/>
  <c r="AB95" i="2"/>
  <c r="AA95" i="2"/>
  <c r="Z95" i="2"/>
  <c r="Y95" i="2"/>
  <c r="X95" i="2"/>
  <c r="W95" i="2"/>
  <c r="V95" i="2"/>
  <c r="U95" i="2"/>
  <c r="T95" i="2"/>
  <c r="AE94" i="2"/>
  <c r="AD94" i="2"/>
  <c r="AC94" i="2"/>
  <c r="AB94" i="2"/>
  <c r="AA94" i="2"/>
  <c r="Z94" i="2"/>
  <c r="Y94" i="2"/>
  <c r="X94" i="2"/>
  <c r="W94" i="2"/>
  <c r="V94" i="2"/>
  <c r="U94" i="2"/>
  <c r="T94" i="2"/>
  <c r="AD93" i="2"/>
  <c r="Y93" i="2"/>
  <c r="X93" i="2"/>
  <c r="W93" i="2"/>
  <c r="V93" i="2"/>
  <c r="U93" i="2"/>
  <c r="T93" i="2"/>
  <c r="AD92" i="2"/>
  <c r="X92" i="2"/>
  <c r="X88" i="2"/>
  <c r="X87" i="2"/>
  <c r="X89" i="2" s="1"/>
  <c r="AE78" i="2"/>
  <c r="AD78" i="2"/>
  <c r="AC78" i="2"/>
  <c r="AB78" i="2"/>
  <c r="AA78" i="2"/>
  <c r="Z78" i="2"/>
  <c r="Y78" i="2"/>
  <c r="X78" i="2"/>
  <c r="W78" i="2"/>
  <c r="V78" i="2"/>
  <c r="U78" i="2"/>
  <c r="T78" i="2"/>
  <c r="S78" i="2" s="1"/>
  <c r="AA77" i="2"/>
  <c r="Z77" i="2"/>
  <c r="AE76" i="2"/>
  <c r="AD76" i="2"/>
  <c r="Y76" i="2"/>
  <c r="AA75" i="2"/>
  <c r="X75" i="2"/>
  <c r="W75" i="2"/>
  <c r="V75" i="2"/>
  <c r="T75" i="2"/>
  <c r="AB74" i="2"/>
  <c r="X74" i="2"/>
  <c r="W74" i="2"/>
  <c r="V74" i="2"/>
  <c r="T74" i="2"/>
  <c r="AE70" i="2"/>
  <c r="AE96" i="2" s="1"/>
  <c r="AD70" i="2"/>
  <c r="AD96" i="2" s="1"/>
  <c r="AC70" i="2"/>
  <c r="AC96" i="2" s="1"/>
  <c r="AB70" i="2"/>
  <c r="AB96" i="2" s="1"/>
  <c r="AA70" i="2"/>
  <c r="AA96" i="2" s="1"/>
  <c r="Z70" i="2"/>
  <c r="Z96" i="2" s="1"/>
  <c r="Y70" i="2"/>
  <c r="Y96" i="2" s="1"/>
  <c r="X70" i="2"/>
  <c r="W70" i="2"/>
  <c r="W96" i="2" s="1"/>
  <c r="V70" i="2"/>
  <c r="V96" i="2" s="1"/>
  <c r="U70" i="2"/>
  <c r="U96" i="2" s="1"/>
  <c r="T70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X66" i="2"/>
  <c r="W66" i="2"/>
  <c r="V66" i="2"/>
  <c r="U66" i="2"/>
  <c r="T66" i="2"/>
  <c r="AE65" i="2"/>
  <c r="AD65" i="2"/>
  <c r="AC65" i="2"/>
  <c r="AB65" i="2"/>
  <c r="AA65" i="2"/>
  <c r="Z65" i="2"/>
  <c r="Y65" i="2"/>
  <c r="W65" i="2"/>
  <c r="U65" i="2"/>
  <c r="T65" i="2"/>
  <c r="AE64" i="2"/>
  <c r="AE93" i="2" s="1"/>
  <c r="AD64" i="2"/>
  <c r="AC64" i="2"/>
  <c r="AC93" i="2" s="1"/>
  <c r="AB64" i="2"/>
  <c r="AB93" i="2" s="1"/>
  <c r="AA64" i="2"/>
  <c r="AA93" i="2" s="1"/>
  <c r="Z64" i="2"/>
  <c r="Z93" i="2" s="1"/>
  <c r="Y64" i="2"/>
  <c r="X64" i="2"/>
  <c r="W64" i="2"/>
  <c r="V64" i="2"/>
  <c r="U64" i="2"/>
  <c r="T64" i="2"/>
  <c r="AE63" i="2"/>
  <c r="AE71" i="2" s="1"/>
  <c r="AD63" i="2"/>
  <c r="AD71" i="2" s="1"/>
  <c r="AC63" i="2"/>
  <c r="AC92" i="2" s="1"/>
  <c r="AC97" i="2" s="1"/>
  <c r="AB63" i="2"/>
  <c r="AB92" i="2" s="1"/>
  <c r="AA63" i="2"/>
  <c r="AA71" i="2" s="1"/>
  <c r="Z63" i="2"/>
  <c r="Z71" i="2" s="1"/>
  <c r="Y63" i="2"/>
  <c r="Y92" i="2" s="1"/>
  <c r="X63" i="2"/>
  <c r="W63" i="2"/>
  <c r="W71" i="2" s="1"/>
  <c r="V63" i="2"/>
  <c r="U63" i="2"/>
  <c r="U92" i="2" s="1"/>
  <c r="U97" i="2" s="1"/>
  <c r="T63" i="2"/>
  <c r="AE60" i="2"/>
  <c r="AD60" i="2"/>
  <c r="AC60" i="2"/>
  <c r="AB60" i="2"/>
  <c r="AA60" i="2"/>
  <c r="Z60" i="2"/>
  <c r="Y60" i="2"/>
  <c r="X60" i="2"/>
  <c r="W60" i="2"/>
  <c r="V60" i="2"/>
  <c r="U60" i="2"/>
  <c r="T60" i="2"/>
  <c r="AE59" i="2"/>
  <c r="AD59" i="2"/>
  <c r="AC59" i="2"/>
  <c r="AB59" i="2"/>
  <c r="AA59" i="2"/>
  <c r="Z59" i="2"/>
  <c r="Y59" i="2"/>
  <c r="X59" i="2"/>
  <c r="W59" i="2"/>
  <c r="V59" i="2"/>
  <c r="U59" i="2"/>
  <c r="T59" i="2"/>
  <c r="AE58" i="2"/>
  <c r="AE88" i="2" s="1"/>
  <c r="AD58" i="2"/>
  <c r="AD88" i="2" s="1"/>
  <c r="AC58" i="2"/>
  <c r="AC88" i="2" s="1"/>
  <c r="AB58" i="2"/>
  <c r="AB88" i="2" s="1"/>
  <c r="AA58" i="2"/>
  <c r="AA88" i="2" s="1"/>
  <c r="Z58" i="2"/>
  <c r="Z88" i="2" s="1"/>
  <c r="Y58" i="2"/>
  <c r="Y88" i="2" s="1"/>
  <c r="X58" i="2"/>
  <c r="W58" i="2"/>
  <c r="W88" i="2" s="1"/>
  <c r="V58" i="2"/>
  <c r="V88" i="2" s="1"/>
  <c r="U58" i="2"/>
  <c r="U88" i="2" s="1"/>
  <c r="T58" i="2"/>
  <c r="AE57" i="2"/>
  <c r="AE61" i="2" s="1"/>
  <c r="AD57" i="2"/>
  <c r="AD61" i="2" s="1"/>
  <c r="AC57" i="2"/>
  <c r="AC87" i="2" s="1"/>
  <c r="AC89" i="2" s="1"/>
  <c r="AB57" i="2"/>
  <c r="AB87" i="2" s="1"/>
  <c r="AB89" i="2" s="1"/>
  <c r="AA57" i="2"/>
  <c r="AA61" i="2" s="1"/>
  <c r="Z57" i="2"/>
  <c r="Z61" i="2" s="1"/>
  <c r="Y57" i="2"/>
  <c r="Y87" i="2" s="1"/>
  <c r="Y89" i="2" s="1"/>
  <c r="X57" i="2"/>
  <c r="X61" i="2" s="1"/>
  <c r="W57" i="2"/>
  <c r="W61" i="2" s="1"/>
  <c r="V57" i="2"/>
  <c r="V61" i="2" s="1"/>
  <c r="U57" i="2"/>
  <c r="U87" i="2" s="1"/>
  <c r="U89" i="2" s="1"/>
  <c r="U98" i="2" s="1"/>
  <c r="T57" i="2"/>
  <c r="AE51" i="2"/>
  <c r="AD51" i="2"/>
  <c r="AC51" i="2"/>
  <c r="X51" i="2"/>
  <c r="U50" i="2"/>
  <c r="S50" i="2" s="1"/>
  <c r="AB43" i="2"/>
  <c r="Y43" i="2"/>
  <c r="W43" i="2"/>
  <c r="V43" i="2"/>
  <c r="U43" i="2"/>
  <c r="T43" i="2"/>
  <c r="S43" i="2" s="1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V51" i="2" s="1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 s="1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 s="1"/>
  <c r="AE24" i="2"/>
  <c r="AD24" i="2"/>
  <c r="AC24" i="2"/>
  <c r="AB24" i="2"/>
  <c r="AA24" i="2"/>
  <c r="Z24" i="2"/>
  <c r="Y24" i="2"/>
  <c r="X24" i="2"/>
  <c r="W24" i="2"/>
  <c r="V24" i="2"/>
  <c r="U24" i="2"/>
  <c r="T24" i="2"/>
  <c r="S24" i="2" s="1"/>
  <c r="AE23" i="2"/>
  <c r="AD23" i="2"/>
  <c r="AC23" i="2"/>
  <c r="AB23" i="2"/>
  <c r="AA23" i="2"/>
  <c r="Z23" i="2"/>
  <c r="Y23" i="2"/>
  <c r="X23" i="2"/>
  <c r="W23" i="2"/>
  <c r="V23" i="2"/>
  <c r="U23" i="2"/>
  <c r="T23" i="2"/>
  <c r="S23" i="2" s="1"/>
  <c r="AE22" i="2"/>
  <c r="AD22" i="2"/>
  <c r="AC22" i="2"/>
  <c r="AB22" i="2"/>
  <c r="AA22" i="2"/>
  <c r="Z22" i="2"/>
  <c r="Y22" i="2"/>
  <c r="X22" i="2"/>
  <c r="W22" i="2"/>
  <c r="V22" i="2"/>
  <c r="U22" i="2"/>
  <c r="T22" i="2"/>
  <c r="S22" i="2" s="1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S19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 s="1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E11" i="2" s="1"/>
  <c r="AD5" i="2"/>
  <c r="AD11" i="2" s="1"/>
  <c r="AC5" i="2"/>
  <c r="AC11" i="2" s="1"/>
  <c r="AB5" i="2"/>
  <c r="AA5" i="2"/>
  <c r="Z5" i="2"/>
  <c r="Z11" i="2" s="1"/>
  <c r="Y5" i="2"/>
  <c r="Y11" i="2" s="1"/>
  <c r="X5" i="2"/>
  <c r="W5" i="2"/>
  <c r="V5" i="2"/>
  <c r="V11" i="2" s="1"/>
  <c r="U5" i="2"/>
  <c r="U11" i="2" s="1"/>
  <c r="T5" i="2"/>
  <c r="U51" i="2" l="1"/>
  <c r="K83" i="18"/>
  <c r="V34" i="2"/>
  <c r="V35" i="2" s="1"/>
  <c r="V36" i="2" s="1"/>
  <c r="Z34" i="2"/>
  <c r="Z35" i="2" s="1"/>
  <c r="Z36" i="2" s="1"/>
  <c r="AD34" i="2"/>
  <c r="AD35" i="2" s="1"/>
  <c r="AD36" i="2" s="1"/>
  <c r="X97" i="2"/>
  <c r="X98" i="2" s="1"/>
  <c r="W205" i="2"/>
  <c r="S178" i="2"/>
  <c r="V205" i="2"/>
  <c r="V206" i="2" s="1"/>
  <c r="V300" i="2" s="1"/>
  <c r="S247" i="2"/>
  <c r="W282" i="2"/>
  <c r="W76" i="2" s="1"/>
  <c r="S260" i="2"/>
  <c r="S298" i="2"/>
  <c r="D840" i="18"/>
  <c r="K840" i="18" s="1"/>
  <c r="V65" i="2"/>
  <c r="S65" i="2" s="1"/>
  <c r="V92" i="2"/>
  <c r="V97" i="2" s="1"/>
  <c r="S94" i="2"/>
  <c r="S95" i="2"/>
  <c r="X11" i="2"/>
  <c r="AB11" i="2"/>
  <c r="S9" i="2"/>
  <c r="S10" i="2"/>
  <c r="S33" i="2"/>
  <c r="S39" i="2"/>
  <c r="S41" i="2"/>
  <c r="T88" i="2"/>
  <c r="S58" i="2"/>
  <c r="S60" i="2"/>
  <c r="T92" i="2"/>
  <c r="S63" i="2"/>
  <c r="X71" i="2"/>
  <c r="AB97" i="2"/>
  <c r="S64" i="2"/>
  <c r="X65" i="2"/>
  <c r="S66" i="2"/>
  <c r="S67" i="2"/>
  <c r="S68" i="2"/>
  <c r="Z92" i="2"/>
  <c r="Z97" i="2" s="1"/>
  <c r="AD97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298" i="2"/>
  <c r="G872" i="18"/>
  <c r="K82" i="18"/>
  <c r="K59" i="18"/>
  <c r="T87" i="2"/>
  <c r="T89" i="2" s="1"/>
  <c r="S57" i="2"/>
  <c r="AB61" i="2"/>
  <c r="AD87" i="2"/>
  <c r="AD89" i="2" s="1"/>
  <c r="Z87" i="2"/>
  <c r="Z89" i="2" s="1"/>
  <c r="Z98" i="2" s="1"/>
  <c r="V87" i="2"/>
  <c r="V89" i="2" s="1"/>
  <c r="S59" i="2"/>
  <c r="S133" i="2"/>
  <c r="Z206" i="2"/>
  <c r="X72" i="2"/>
  <c r="Z72" i="2"/>
  <c r="AD72" i="2"/>
  <c r="S30" i="2"/>
  <c r="W34" i="2"/>
  <c r="AE34" i="2"/>
  <c r="AE35" i="2" s="1"/>
  <c r="AE52" i="2" s="1"/>
  <c r="S32" i="2"/>
  <c r="Y34" i="2"/>
  <c r="Y35" i="2" s="1"/>
  <c r="Y36" i="2" s="1"/>
  <c r="T96" i="2"/>
  <c r="S96" i="2" s="1"/>
  <c r="S70" i="2"/>
  <c r="AA34" i="2"/>
  <c r="AA206" i="2"/>
  <c r="AA300" i="2" s="1"/>
  <c r="AE206" i="2"/>
  <c r="AE300" i="2" s="1"/>
  <c r="X206" i="2"/>
  <c r="X300" i="2" s="1"/>
  <c r="W206" i="2"/>
  <c r="W300" i="2" s="1"/>
  <c r="AB206" i="2"/>
  <c r="AB300" i="2" s="1"/>
  <c r="S20" i="2"/>
  <c r="Y206" i="2"/>
  <c r="Y300" i="2" s="1"/>
  <c r="AC206" i="2"/>
  <c r="AC300" i="2" s="1"/>
  <c r="AC34" i="2"/>
  <c r="AC35" i="2" s="1"/>
  <c r="AC52" i="2" s="1"/>
  <c r="T206" i="2"/>
  <c r="T300" i="2" s="1"/>
  <c r="AD206" i="2"/>
  <c r="AD300" i="2" s="1"/>
  <c r="AB75" i="2"/>
  <c r="S75" i="2" s="1"/>
  <c r="P282" i="2"/>
  <c r="AD79" i="2"/>
  <c r="X79" i="2"/>
  <c r="T77" i="2"/>
  <c r="S77" i="2" s="1"/>
  <c r="AE79" i="2"/>
  <c r="AA79" i="2"/>
  <c r="AB76" i="2"/>
  <c r="S76" i="2" s="1"/>
  <c r="V79" i="2"/>
  <c r="S282" i="2"/>
  <c r="W79" i="2"/>
  <c r="U79" i="2"/>
  <c r="Y79" i="2"/>
  <c r="AC79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1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8" i="2"/>
  <c r="Y51" i="2"/>
  <c r="K763" i="18"/>
  <c r="P72" i="2"/>
  <c r="K58" i="18"/>
  <c r="K19" i="18"/>
  <c r="Q206" i="2"/>
  <c r="Q300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W35" i="2" s="1"/>
  <c r="W36" i="2" s="1"/>
  <c r="AA11" i="2"/>
  <c r="P35" i="2"/>
  <c r="P36" i="2" s="1"/>
  <c r="K792" i="18"/>
  <c r="E52" i="18"/>
  <c r="G830" i="18"/>
  <c r="AC98" i="2"/>
  <c r="P247" i="2"/>
  <c r="K23" i="18"/>
  <c r="K84" i="18"/>
  <c r="K50" i="18"/>
  <c r="P205" i="2"/>
  <c r="P133" i="2"/>
  <c r="D829" i="18"/>
  <c r="K829" i="18" s="1"/>
  <c r="K89" i="18"/>
  <c r="T11" i="2"/>
  <c r="S5" i="2"/>
  <c r="S7" i="2"/>
  <c r="S8" i="2"/>
  <c r="AB34" i="2"/>
  <c r="T34" i="2"/>
  <c r="X34" i="2"/>
  <c r="S88" i="2"/>
  <c r="S93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2" i="2"/>
  <c r="G25" i="18"/>
  <c r="G854" i="18" s="1"/>
  <c r="Y97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K108" i="18" s="1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1" i="2"/>
  <c r="W51" i="2"/>
  <c r="T51" i="2"/>
  <c r="S38" i="2"/>
  <c r="S40" i="2"/>
  <c r="AB51" i="2"/>
  <c r="W72" i="2"/>
  <c r="AA72" i="2"/>
  <c r="AE72" i="2"/>
  <c r="T71" i="2"/>
  <c r="AB98" i="2"/>
  <c r="T61" i="2"/>
  <c r="U300" i="2"/>
  <c r="Z222" i="2"/>
  <c r="AB71" i="2"/>
  <c r="AB72" i="2" s="1"/>
  <c r="U61" i="2"/>
  <c r="Y61" i="2"/>
  <c r="Y72" i="2" s="1"/>
  <c r="AC61" i="2"/>
  <c r="U71" i="2"/>
  <c r="Y71" i="2"/>
  <c r="AC71" i="2"/>
  <c r="W87" i="2"/>
  <c r="W89" i="2" s="1"/>
  <c r="AA87" i="2"/>
  <c r="AA89" i="2" s="1"/>
  <c r="AE87" i="2"/>
  <c r="AE89" i="2" s="1"/>
  <c r="W92" i="2"/>
  <c r="W97" i="2" s="1"/>
  <c r="AA92" i="2"/>
  <c r="AA97" i="2" s="1"/>
  <c r="AE92" i="2"/>
  <c r="AE97" i="2" s="1"/>
  <c r="Z300" i="2" l="1"/>
  <c r="AB35" i="2"/>
  <c r="AB36" i="2" s="1"/>
  <c r="S205" i="2"/>
  <c r="AD98" i="2"/>
  <c r="V71" i="2"/>
  <c r="V72" i="2" s="1"/>
  <c r="V80" i="2" s="1"/>
  <c r="V302" i="2" s="1"/>
  <c r="X35" i="2"/>
  <c r="G866" i="18"/>
  <c r="K858" i="18"/>
  <c r="X80" i="2"/>
  <c r="X84" i="2" s="1"/>
  <c r="X36" i="2"/>
  <c r="V98" i="2"/>
  <c r="S61" i="2"/>
  <c r="U72" i="2"/>
  <c r="AA35" i="2"/>
  <c r="AA52" i="2" s="1"/>
  <c r="T72" i="2"/>
  <c r="T97" i="2"/>
  <c r="T98" i="2" s="1"/>
  <c r="AE36" i="2"/>
  <c r="S206" i="2"/>
  <c r="AB79" i="2"/>
  <c r="AB80" i="2" s="1"/>
  <c r="AB84" i="2" s="1"/>
  <c r="T79" i="2"/>
  <c r="S300" i="2"/>
  <c r="AE80" i="2"/>
  <c r="AE302" i="2" s="1"/>
  <c r="X52" i="2"/>
  <c r="O52" i="18"/>
  <c r="Q80" i="2"/>
  <c r="Q302" i="2" s="1"/>
  <c r="U52" i="2"/>
  <c r="U36" i="2"/>
  <c r="U80" i="2"/>
  <c r="U302" i="2" s="1"/>
  <c r="Y80" i="2"/>
  <c r="Y302" i="2" s="1"/>
  <c r="P80" i="2"/>
  <c r="W80" i="2"/>
  <c r="W302" i="2" s="1"/>
  <c r="Z52" i="2"/>
  <c r="AC36" i="2"/>
  <c r="V52" i="2"/>
  <c r="P206" i="2"/>
  <c r="P300" i="2" s="1"/>
  <c r="Y52" i="2"/>
  <c r="AA80" i="2"/>
  <c r="AA302" i="2" s="1"/>
  <c r="K67" i="18"/>
  <c r="D830" i="18"/>
  <c r="D870" i="18" s="1"/>
  <c r="Q52" i="2"/>
  <c r="K779" i="18"/>
  <c r="P52" i="2"/>
  <c r="G767" i="18"/>
  <c r="K780" i="18"/>
  <c r="S87" i="2"/>
  <c r="AD52" i="2"/>
  <c r="W52" i="2"/>
  <c r="D15" i="18"/>
  <c r="D853" i="18" s="1"/>
  <c r="G870" i="18"/>
  <c r="K25" i="18"/>
  <c r="AE98" i="2"/>
  <c r="AD80" i="2"/>
  <c r="AD302" i="2" s="1"/>
  <c r="D754" i="18"/>
  <c r="K754" i="18" s="1"/>
  <c r="G92" i="18"/>
  <c r="G857" i="18"/>
  <c r="Y98" i="2"/>
  <c r="S89" i="2"/>
  <c r="D774" i="18"/>
  <c r="K34" i="18"/>
  <c r="K42" i="18" s="1"/>
  <c r="D42" i="18"/>
  <c r="AB52" i="2"/>
  <c r="K90" i="18"/>
  <c r="G782" i="18"/>
  <c r="G832" i="18" s="1"/>
  <c r="G27" i="18"/>
  <c r="G853" i="18"/>
  <c r="S92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4" i="2"/>
  <c r="S222" i="2"/>
  <c r="S51" i="2"/>
  <c r="AA98" i="2"/>
  <c r="W98" i="2"/>
  <c r="AC72" i="2"/>
  <c r="AC80" i="2" s="1"/>
  <c r="S71" i="2" l="1"/>
  <c r="X302" i="2"/>
  <c r="AA36" i="2"/>
  <c r="K92" i="18"/>
  <c r="S72" i="2"/>
  <c r="AA84" i="2"/>
  <c r="S97" i="2"/>
  <c r="Y84" i="2"/>
  <c r="U84" i="2"/>
  <c r="W84" i="2"/>
  <c r="V84" i="2"/>
  <c r="G110" i="18"/>
  <c r="AB302" i="2"/>
  <c r="K27" i="18"/>
  <c r="G850" i="18"/>
  <c r="D27" i="18"/>
  <c r="S98" i="2"/>
  <c r="S35" i="2"/>
  <c r="T36" i="2"/>
  <c r="D92" i="18"/>
  <c r="D857" i="18"/>
  <c r="T52" i="2"/>
  <c r="S52" i="2" s="1"/>
  <c r="D755" i="18"/>
  <c r="D767" i="18" s="1"/>
  <c r="G860" i="18"/>
  <c r="G871" i="18" s="1"/>
  <c r="G868" i="18"/>
  <c r="T80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79" i="2"/>
  <c r="S74" i="2"/>
  <c r="AC302" i="2"/>
  <c r="AC84" i="2"/>
  <c r="K110" i="18" l="1"/>
  <c r="D110" i="18"/>
  <c r="K866" i="18"/>
  <c r="K767" i="18"/>
  <c r="D865" i="18"/>
  <c r="K865" i="18"/>
  <c r="D850" i="18"/>
  <c r="K782" i="18"/>
  <c r="K832" i="18" s="1"/>
  <c r="T84" i="2"/>
  <c r="T302" i="2"/>
  <c r="D868" i="18"/>
  <c r="D860" i="18"/>
  <c r="D863" i="18" s="1"/>
  <c r="K857" i="18"/>
  <c r="G867" i="18"/>
  <c r="G863" i="18"/>
  <c r="G873" i="18" s="1"/>
  <c r="D867" i="18"/>
  <c r="K855" i="18"/>
  <c r="S79" i="2"/>
  <c r="Z80" i="2"/>
  <c r="K850" i="18" l="1"/>
  <c r="K867" i="18"/>
  <c r="D873" i="18"/>
  <c r="D871" i="18"/>
  <c r="K860" i="18"/>
  <c r="K871" i="18" s="1"/>
  <c r="K868" i="18"/>
  <c r="S80" i="2"/>
  <c r="Z84" i="2"/>
  <c r="S84" i="2" s="1"/>
  <c r="Z302" i="2"/>
  <c r="S302" i="2" s="1"/>
  <c r="B85" i="6"/>
  <c r="K863" i="18" l="1"/>
  <c r="K873" i="18" s="1"/>
  <c r="C85" i="6" l="1"/>
  <c r="D85" i="6"/>
  <c r="E85" i="6"/>
  <c r="F85" i="6"/>
  <c r="G85" i="6"/>
  <c r="H85" i="6"/>
  <c r="I85" i="6"/>
  <c r="J85" i="6"/>
  <c r="K85" i="6"/>
  <c r="L85" i="6"/>
  <c r="M85" i="6"/>
  <c r="B79" i="6" l="1"/>
  <c r="N75" i="6"/>
  <c r="N79" i="6" s="1"/>
  <c r="N30" i="5"/>
  <c r="D38" i="12" s="1"/>
  <c r="C245" i="18" s="1"/>
  <c r="B39" i="5"/>
  <c r="M245" i="18" l="1"/>
  <c r="O245" i="18" s="1"/>
  <c r="E245" i="18"/>
  <c r="C81" i="11"/>
  <c r="C92" i="12"/>
  <c r="C187" i="18" s="1"/>
  <c r="C33" i="11"/>
  <c r="C38" i="12"/>
  <c r="C139" i="18" s="1"/>
  <c r="D33" i="11"/>
  <c r="I298" i="12"/>
  <c r="M187" i="18" l="1"/>
  <c r="O187" i="18" s="1"/>
  <c r="E187" i="18"/>
  <c r="M139" i="18"/>
  <c r="O139" i="18" s="1"/>
  <c r="E139" i="18"/>
  <c r="N108" i="2"/>
  <c r="N109" i="2"/>
  <c r="B298" i="2"/>
  <c r="C222" i="2"/>
  <c r="D222" i="2"/>
  <c r="G222" i="2"/>
  <c r="H222" i="2"/>
  <c r="I222" i="2"/>
  <c r="J222" i="2"/>
  <c r="K222" i="2"/>
  <c r="L222" i="2"/>
  <c r="M222" i="2"/>
  <c r="M74" i="2" s="1"/>
  <c r="C205" i="2"/>
  <c r="G205" i="2"/>
  <c r="H205" i="2"/>
  <c r="J205" i="2"/>
  <c r="K205" i="2"/>
  <c r="L205" i="2"/>
  <c r="M205" i="2"/>
  <c r="C133" i="2"/>
  <c r="E133" i="2"/>
  <c r="E206" i="2" s="1"/>
  <c r="F133" i="2"/>
  <c r="G133" i="2"/>
  <c r="H133" i="2"/>
  <c r="I133" i="2"/>
  <c r="I206" i="2" s="1"/>
  <c r="K133" i="2"/>
  <c r="L133" i="2"/>
  <c r="I174" i="12" l="1"/>
  <c r="N29" i="5" l="1"/>
  <c r="N85" i="5"/>
  <c r="N83" i="5"/>
  <c r="M23" i="5"/>
  <c r="L23" i="5"/>
  <c r="K23" i="5"/>
  <c r="J23" i="5"/>
  <c r="I23" i="5"/>
  <c r="H23" i="5"/>
  <c r="G23" i="5"/>
  <c r="F23" i="5"/>
  <c r="E23" i="5"/>
  <c r="D23" i="5"/>
  <c r="C23" i="5"/>
  <c r="B23" i="5"/>
  <c r="N8" i="10"/>
  <c r="N86" i="5" l="1"/>
  <c r="N81" i="10"/>
  <c r="N80" i="10"/>
  <c r="N79" i="10"/>
  <c r="N77" i="10"/>
  <c r="N76" i="10"/>
  <c r="N70" i="10"/>
  <c r="N69" i="10"/>
  <c r="N68" i="10"/>
  <c r="N67" i="10"/>
  <c r="N66" i="10"/>
  <c r="N65" i="10"/>
  <c r="N64" i="10"/>
  <c r="N63" i="10"/>
  <c r="N62" i="10"/>
  <c r="N61" i="10"/>
  <c r="N60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F38" i="12" s="1"/>
  <c r="C350" i="18" s="1"/>
  <c r="N24" i="10"/>
  <c r="N17" i="10"/>
  <c r="N13" i="10"/>
  <c r="N12" i="10"/>
  <c r="N11" i="10"/>
  <c r="N10" i="10"/>
  <c r="N9" i="10"/>
  <c r="K394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8" i="10"/>
  <c r="F33" i="11"/>
  <c r="N82" i="10"/>
  <c r="N71" i="10"/>
  <c r="N57" i="10"/>
  <c r="N14" i="10"/>
  <c r="N33" i="10"/>
  <c r="K348" i="12"/>
  <c r="I83" i="12" l="1"/>
  <c r="G394" i="12" s="1"/>
  <c r="C495" i="18"/>
  <c r="M495" i="18" s="1"/>
  <c r="E495" i="18"/>
  <c r="C812" i="18"/>
  <c r="N20" i="10"/>
  <c r="N73" i="10"/>
  <c r="C394" i="12"/>
  <c r="N221" i="2"/>
  <c r="M298" i="2"/>
  <c r="M77" i="2" s="1"/>
  <c r="M79" i="2" s="1"/>
  <c r="N76" i="2"/>
  <c r="E812" i="18" l="1"/>
  <c r="M812" i="18"/>
  <c r="O812" i="18" s="1"/>
  <c r="O495" i="18"/>
  <c r="N84" i="10"/>
  <c r="M206" i="2"/>
  <c r="M300" i="2" s="1"/>
  <c r="B125" i="12"/>
  <c r="I125" i="12" s="1"/>
  <c r="B310" i="12"/>
  <c r="I310" i="12" s="1"/>
  <c r="F28" i="12"/>
  <c r="C341" i="18" s="1"/>
  <c r="B259" i="12"/>
  <c r="I304" i="12"/>
  <c r="I120" i="12"/>
  <c r="G436" i="12" s="1"/>
  <c r="F115" i="11" l="1"/>
  <c r="N87" i="10"/>
  <c r="F65" i="16"/>
  <c r="E341" i="18"/>
  <c r="E342" i="18" s="1"/>
  <c r="M341" i="18"/>
  <c r="C342" i="18"/>
  <c r="I210" i="12"/>
  <c r="E338" i="12" s="1"/>
  <c r="B212" i="12"/>
  <c r="M342" i="18" l="1"/>
  <c r="O341" i="18"/>
  <c r="O342" i="18" s="1"/>
  <c r="L28" i="17"/>
  <c r="L17" i="17"/>
  <c r="L12" i="17"/>
  <c r="L30" i="14"/>
  <c r="L18" i="14"/>
  <c r="L20" i="14" s="1"/>
  <c r="L82" i="10"/>
  <c r="L71" i="10"/>
  <c r="L57" i="10"/>
  <c r="L33" i="10"/>
  <c r="L18" i="10"/>
  <c r="L14" i="10"/>
  <c r="L20" i="7"/>
  <c r="L22" i="7" s="1"/>
  <c r="L79" i="6"/>
  <c r="L61" i="6"/>
  <c r="L37" i="6"/>
  <c r="L17" i="6"/>
  <c r="L86" i="5"/>
  <c r="L78" i="5"/>
  <c r="L61" i="5"/>
  <c r="L39" i="5"/>
  <c r="L17" i="5"/>
  <c r="L25" i="5" s="1"/>
  <c r="L39" i="6" l="1"/>
  <c r="L87" i="6"/>
  <c r="L32" i="14"/>
  <c r="L73" i="10"/>
  <c r="L20" i="10"/>
  <c r="L19" i="17"/>
  <c r="L80" i="5"/>
  <c r="L88" i="5" s="1"/>
  <c r="L30" i="17"/>
  <c r="L298" i="2"/>
  <c r="N48" i="2"/>
  <c r="N46" i="2"/>
  <c r="AF46" i="2" s="1"/>
  <c r="AG46" i="2" s="1"/>
  <c r="K298" i="2"/>
  <c r="N241" i="2"/>
  <c r="N240" i="2"/>
  <c r="B70" i="12" s="1"/>
  <c r="C65" i="18" s="1"/>
  <c r="N237" i="2"/>
  <c r="N204" i="2"/>
  <c r="L89" i="6" l="1"/>
  <c r="L84" i="10"/>
  <c r="L87" i="10" s="1"/>
  <c r="B71" i="12"/>
  <c r="C66" i="18" s="1"/>
  <c r="E65" i="18"/>
  <c r="M65" i="18"/>
  <c r="O65" i="18" s="1"/>
  <c r="B145" i="12"/>
  <c r="B144" i="12"/>
  <c r="B132" i="12"/>
  <c r="B133" i="12"/>
  <c r="B131" i="12"/>
  <c r="B130" i="12"/>
  <c r="B129" i="12"/>
  <c r="E66" i="18" l="1"/>
  <c r="M66" i="18"/>
  <c r="O66" i="18" s="1"/>
  <c r="B139" i="12"/>
  <c r="D139" i="12"/>
  <c r="C139" i="12"/>
  <c r="D138" i="12" l="1"/>
  <c r="D161" i="12" s="1"/>
  <c r="C138" i="12"/>
  <c r="C161" i="12" s="1"/>
  <c r="B138" i="12"/>
  <c r="B161" i="12" s="1"/>
  <c r="C137" i="12"/>
  <c r="C160" i="12" s="1"/>
  <c r="B137" i="12"/>
  <c r="B160" i="12" s="1"/>
  <c r="C136" i="12"/>
  <c r="B136" i="12"/>
  <c r="B159" i="12" s="1"/>
  <c r="C135" i="12"/>
  <c r="C158" i="12" s="1"/>
  <c r="B135" i="12"/>
  <c r="B158" i="12" s="1"/>
  <c r="B134" i="12"/>
  <c r="B157" i="12" s="1"/>
  <c r="D163" i="12"/>
  <c r="C163" i="12"/>
  <c r="E161" i="12"/>
  <c r="D160" i="12"/>
  <c r="D159" i="12"/>
  <c r="D158" i="12"/>
  <c r="D157" i="12"/>
  <c r="C157" i="12"/>
  <c r="D156" i="12"/>
  <c r="C156" i="12"/>
  <c r="B156" i="12"/>
  <c r="B155" i="12"/>
  <c r="D154" i="12"/>
  <c r="C154" i="12"/>
  <c r="B154" i="12"/>
  <c r="D153" i="12"/>
  <c r="C153" i="12"/>
  <c r="B153" i="12"/>
  <c r="D152" i="12"/>
  <c r="C152" i="12"/>
  <c r="B152" i="12"/>
  <c r="I147" i="12"/>
  <c r="D146" i="12"/>
  <c r="C146" i="12"/>
  <c r="B146" i="12"/>
  <c r="H141" i="12"/>
  <c r="G141" i="12"/>
  <c r="F141" i="12"/>
  <c r="E141" i="12"/>
  <c r="B163" i="12"/>
  <c r="J139" i="12"/>
  <c r="D162" i="12"/>
  <c r="C162" i="12"/>
  <c r="I139" i="12"/>
  <c r="J138" i="12"/>
  <c r="J137" i="12"/>
  <c r="J136" i="12"/>
  <c r="J135" i="12"/>
  <c r="I133" i="12"/>
  <c r="D155" i="12"/>
  <c r="I132" i="12"/>
  <c r="I131" i="12"/>
  <c r="I130" i="12"/>
  <c r="I129" i="12"/>
  <c r="I134" i="12" l="1"/>
  <c r="I153" i="12"/>
  <c r="I136" i="12"/>
  <c r="I163" i="12"/>
  <c r="I138" i="12"/>
  <c r="I137" i="12"/>
  <c r="C141" i="12"/>
  <c r="C159" i="12"/>
  <c r="I159" i="12" s="1"/>
  <c r="I161" i="12"/>
  <c r="I160" i="12"/>
  <c r="I157" i="12"/>
  <c r="I156" i="12"/>
  <c r="I154" i="12"/>
  <c r="I152" i="12"/>
  <c r="I158" i="12"/>
  <c r="D164" i="12"/>
  <c r="B141" i="12"/>
  <c r="I135" i="12"/>
  <c r="C155" i="12"/>
  <c r="I140" i="12"/>
  <c r="D141" i="12"/>
  <c r="B162" i="12"/>
  <c r="I162" i="12" s="1"/>
  <c r="I141" i="12" l="1"/>
  <c r="C164" i="12"/>
  <c r="B164" i="12"/>
  <c r="I155" i="12"/>
  <c r="D169" i="12"/>
  <c r="B165" i="12"/>
  <c r="I164" i="12" l="1"/>
  <c r="C168" i="12"/>
  <c r="B166" i="12"/>
  <c r="B167" i="12"/>
  <c r="M86" i="5" l="1"/>
  <c r="K86" i="5"/>
  <c r="K78" i="5"/>
  <c r="K61" i="5"/>
  <c r="K17" i="5"/>
  <c r="K25" i="5" s="1"/>
  <c r="K79" i="6"/>
  <c r="K61" i="6"/>
  <c r="K37" i="6"/>
  <c r="K17" i="6"/>
  <c r="K20" i="7"/>
  <c r="K22" i="7" s="1"/>
  <c r="M82" i="10"/>
  <c r="K82" i="10"/>
  <c r="K71" i="10"/>
  <c r="K57" i="10"/>
  <c r="K33" i="10"/>
  <c r="K18" i="10"/>
  <c r="K14" i="10"/>
  <c r="K30" i="14"/>
  <c r="K18" i="14"/>
  <c r="K28" i="17"/>
  <c r="K17" i="17"/>
  <c r="K12" i="17"/>
  <c r="K87" i="6" l="1"/>
  <c r="K20" i="14"/>
  <c r="K32" i="14" s="1"/>
  <c r="K19" i="17"/>
  <c r="K30" i="17" s="1"/>
  <c r="K39" i="6"/>
  <c r="K80" i="5"/>
  <c r="K88" i="5" s="1"/>
  <c r="K73" i="10"/>
  <c r="K20" i="10"/>
  <c r="K89" i="6" l="1"/>
  <c r="K84" i="10"/>
  <c r="K87" i="10" s="1"/>
  <c r="C42" i="12"/>
  <c r="C143" i="18" s="1"/>
  <c r="M143" i="18" l="1"/>
  <c r="O143" i="18" s="1"/>
  <c r="E143" i="18"/>
  <c r="C37" i="11"/>
  <c r="N75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6" i="12"/>
  <c r="I208" i="12"/>
  <c r="I195" i="12"/>
  <c r="I199" i="12"/>
  <c r="I209" i="12"/>
  <c r="N286" i="2"/>
  <c r="N287" i="2"/>
  <c r="N288" i="2"/>
  <c r="N289" i="2"/>
  <c r="N290" i="2"/>
  <c r="B112" i="12" s="1"/>
  <c r="C101" i="18" s="1"/>
  <c r="N292" i="2"/>
  <c r="N293" i="2"/>
  <c r="N294" i="2"/>
  <c r="N295" i="2"/>
  <c r="B118" i="12" s="1"/>
  <c r="N296" i="2"/>
  <c r="B119" i="12" s="1"/>
  <c r="N297" i="2"/>
  <c r="N250" i="2"/>
  <c r="N251" i="2"/>
  <c r="N252" i="2"/>
  <c r="N253" i="2"/>
  <c r="N254" i="2"/>
  <c r="N255" i="2"/>
  <c r="N256" i="2"/>
  <c r="N257" i="2"/>
  <c r="N258" i="2"/>
  <c r="N259" i="2"/>
  <c r="N262" i="2"/>
  <c r="N263" i="2"/>
  <c r="N264" i="2"/>
  <c r="N266" i="2"/>
  <c r="N267" i="2"/>
  <c r="N268" i="2"/>
  <c r="N269" i="2"/>
  <c r="B100" i="12" s="1"/>
  <c r="N270" i="2"/>
  <c r="N271" i="2"/>
  <c r="N272" i="2"/>
  <c r="N273" i="2"/>
  <c r="N274" i="2"/>
  <c r="N275" i="2"/>
  <c r="N276" i="2"/>
  <c r="N277" i="2"/>
  <c r="N278" i="2"/>
  <c r="N279" i="2"/>
  <c r="N225" i="2"/>
  <c r="N226" i="2"/>
  <c r="B51" i="12" s="1"/>
  <c r="N227" i="2"/>
  <c r="N228" i="2"/>
  <c r="N229" i="2"/>
  <c r="N230" i="2"/>
  <c r="N231" i="2"/>
  <c r="N232" i="2"/>
  <c r="N233" i="2"/>
  <c r="N234" i="2"/>
  <c r="N235" i="2"/>
  <c r="N236" i="2"/>
  <c r="N238" i="2"/>
  <c r="N239" i="2"/>
  <c r="N242" i="2"/>
  <c r="N243" i="2"/>
  <c r="B69" i="12" s="1"/>
  <c r="C64" i="18" s="1"/>
  <c r="N244" i="2"/>
  <c r="N245" i="2"/>
  <c r="N209" i="2"/>
  <c r="C33" i="18" s="1"/>
  <c r="N186" i="2"/>
  <c r="N187" i="2"/>
  <c r="N188" i="2"/>
  <c r="N189" i="2"/>
  <c r="N190" i="2"/>
  <c r="N191" i="2"/>
  <c r="N192" i="2"/>
  <c r="N194" i="2"/>
  <c r="N195" i="2"/>
  <c r="N196" i="2"/>
  <c r="N198" i="2"/>
  <c r="N200" i="2"/>
  <c r="N201" i="2"/>
  <c r="N202" i="2"/>
  <c r="N203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9" i="2"/>
  <c r="N180" i="2"/>
  <c r="N181" i="2"/>
  <c r="N182" i="2"/>
  <c r="N183" i="2"/>
  <c r="N110" i="2"/>
  <c r="N111" i="2"/>
  <c r="N112" i="2"/>
  <c r="B15" i="12" s="1"/>
  <c r="N113" i="2"/>
  <c r="N114" i="2"/>
  <c r="N115" i="2"/>
  <c r="N116" i="2"/>
  <c r="B16" i="12" s="1"/>
  <c r="N117" i="2"/>
  <c r="N118" i="2"/>
  <c r="N119" i="2"/>
  <c r="N121" i="2"/>
  <c r="N122" i="2"/>
  <c r="N123" i="2"/>
  <c r="N124" i="2"/>
  <c r="N125" i="2"/>
  <c r="N126" i="2"/>
  <c r="N127" i="2"/>
  <c r="N128" i="2"/>
  <c r="N129" i="2"/>
  <c r="N130" i="2"/>
  <c r="N132" i="2"/>
  <c r="N69" i="2"/>
  <c r="N42" i="2"/>
  <c r="N45" i="2"/>
  <c r="N47" i="2"/>
  <c r="J28" i="17"/>
  <c r="J17" i="17"/>
  <c r="J12" i="17"/>
  <c r="J30" i="14"/>
  <c r="J18" i="14"/>
  <c r="J82" i="10"/>
  <c r="J71" i="10"/>
  <c r="J57" i="10"/>
  <c r="J33" i="10"/>
  <c r="J18" i="10"/>
  <c r="J14" i="10"/>
  <c r="J20" i="7"/>
  <c r="J79" i="6"/>
  <c r="J61" i="6"/>
  <c r="J37" i="6"/>
  <c r="J17" i="6"/>
  <c r="N72" i="5"/>
  <c r="J86" i="5"/>
  <c r="J78" i="5"/>
  <c r="J17" i="5"/>
  <c r="B17" i="12" l="1"/>
  <c r="B18" i="12"/>
  <c r="B14" i="12"/>
  <c r="B12" i="12"/>
  <c r="C8" i="18" s="1"/>
  <c r="M8" i="18" s="1"/>
  <c r="O8" i="18" s="1"/>
  <c r="B13" i="12"/>
  <c r="C9" i="18" s="1"/>
  <c r="B62" i="12"/>
  <c r="B58" i="11" s="1"/>
  <c r="B98" i="12"/>
  <c r="B27" i="12"/>
  <c r="M605" i="18"/>
  <c r="O605" i="18" s="1"/>
  <c r="E605" i="18"/>
  <c r="E101" i="18"/>
  <c r="C773" i="18"/>
  <c r="E33" i="18"/>
  <c r="E64" i="18"/>
  <c r="M33" i="18"/>
  <c r="O33" i="18" s="1"/>
  <c r="M101" i="18"/>
  <c r="O101" i="18" s="1"/>
  <c r="M64" i="18"/>
  <c r="O64" i="18" s="1"/>
  <c r="J87" i="6"/>
  <c r="B33" i="11"/>
  <c r="I33" i="11" s="1"/>
  <c r="I38" i="12"/>
  <c r="G348" i="12" s="1"/>
  <c r="N133" i="2"/>
  <c r="J39" i="6"/>
  <c r="I197" i="12"/>
  <c r="I205" i="12"/>
  <c r="I207" i="12"/>
  <c r="I198" i="12"/>
  <c r="I196" i="12"/>
  <c r="I204" i="12"/>
  <c r="J20" i="10"/>
  <c r="J73" i="10"/>
  <c r="I211" i="12"/>
  <c r="J25" i="5"/>
  <c r="J61" i="5"/>
  <c r="J80" i="5" s="1"/>
  <c r="J22" i="7"/>
  <c r="J20" i="14"/>
  <c r="J32" i="14" s="1"/>
  <c r="I194" i="12"/>
  <c r="E322" i="12" s="1"/>
  <c r="J19" i="17"/>
  <c r="J30" i="17" s="1"/>
  <c r="I200" i="12"/>
  <c r="B8" i="11" l="1"/>
  <c r="E8" i="18"/>
  <c r="M773" i="18"/>
  <c r="O773" i="18" s="1"/>
  <c r="E773" i="18"/>
  <c r="C23" i="18"/>
  <c r="E9" i="18"/>
  <c r="J89" i="6"/>
  <c r="B9" i="11"/>
  <c r="M9" i="18"/>
  <c r="O9" i="18" s="1"/>
  <c r="C348" i="12"/>
  <c r="J88" i="5"/>
  <c r="J84" i="10"/>
  <c r="J87" i="10" s="1"/>
  <c r="N25" i="14"/>
  <c r="E23" i="18" l="1"/>
  <c r="M23" i="18"/>
  <c r="O23" i="18" s="1"/>
  <c r="M79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4" i="5"/>
  <c r="N73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6" i="5"/>
  <c r="D86" i="11"/>
  <c r="D97" i="12"/>
  <c r="C298" i="18" s="1"/>
  <c r="D83" i="11"/>
  <c r="D94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7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5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4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298" i="2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1" i="2"/>
  <c r="M15" i="18" l="1"/>
  <c r="O15" i="18"/>
  <c r="E15" i="18"/>
  <c r="N69" i="5"/>
  <c r="C97" i="12" l="1"/>
  <c r="C192" i="18" s="1"/>
  <c r="C86" i="11"/>
  <c r="M192" i="18" l="1"/>
  <c r="O192" i="18" s="1"/>
  <c r="E192" i="18"/>
  <c r="J298" i="2"/>
  <c r="I28" i="17"/>
  <c r="I17" i="17"/>
  <c r="I12" i="17"/>
  <c r="N12" i="14"/>
  <c r="I30" i="14"/>
  <c r="I18" i="14"/>
  <c r="M71" i="10"/>
  <c r="I82" i="10"/>
  <c r="I71" i="10"/>
  <c r="I57" i="10"/>
  <c r="I33" i="10"/>
  <c r="I18" i="10"/>
  <c r="I14" i="10"/>
  <c r="I20" i="7"/>
  <c r="I79" i="6"/>
  <c r="I61" i="6"/>
  <c r="I37" i="6"/>
  <c r="I17" i="6"/>
  <c r="I86" i="5"/>
  <c r="I78" i="5"/>
  <c r="I61" i="5"/>
  <c r="I17" i="5"/>
  <c r="G56" i="11" l="1"/>
  <c r="G67" i="12"/>
  <c r="I87" i="6"/>
  <c r="I39" i="6"/>
  <c r="I22" i="7"/>
  <c r="I20" i="10"/>
  <c r="I73" i="10"/>
  <c r="I19" i="17"/>
  <c r="I30" i="17" s="1"/>
  <c r="I20" i="14"/>
  <c r="I32" i="14" s="1"/>
  <c r="I25" i="5"/>
  <c r="I80" i="5"/>
  <c r="I89" i="6" l="1"/>
  <c r="I88" i="5"/>
  <c r="I84" i="10"/>
  <c r="I87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1" i="2"/>
  <c r="M753" i="18" l="1"/>
  <c r="O753" i="18" s="1"/>
  <c r="E753" i="18"/>
  <c r="H298" i="2"/>
  <c r="N219" i="2"/>
  <c r="N217" i="2"/>
  <c r="N216" i="2"/>
  <c r="N215" i="2"/>
  <c r="N214" i="2"/>
  <c r="N213" i="2"/>
  <c r="N212" i="2"/>
  <c r="N211" i="2"/>
  <c r="N210" i="2"/>
  <c r="H28" i="17"/>
  <c r="H17" i="17"/>
  <c r="H12" i="17"/>
  <c r="H30" i="14"/>
  <c r="H18" i="14"/>
  <c r="H20" i="14" s="1"/>
  <c r="H82" i="10"/>
  <c r="H71" i="10"/>
  <c r="H57" i="10"/>
  <c r="H33" i="10"/>
  <c r="H18" i="10"/>
  <c r="H14" i="10"/>
  <c r="H20" i="7"/>
  <c r="H22" i="7" s="1"/>
  <c r="H79" i="6"/>
  <c r="H61" i="6"/>
  <c r="H37" i="6"/>
  <c r="H17" i="6"/>
  <c r="H86" i="5"/>
  <c r="H78" i="5"/>
  <c r="H61" i="5"/>
  <c r="H17" i="5"/>
  <c r="E437" i="12"/>
  <c r="I303" i="12"/>
  <c r="E434" i="12" s="1"/>
  <c r="I302" i="12"/>
  <c r="E433" i="12" s="1"/>
  <c r="I301" i="12"/>
  <c r="H87" i="6" l="1"/>
  <c r="B44" i="12"/>
  <c r="C39" i="18" s="1"/>
  <c r="H80" i="5"/>
  <c r="H20" i="10"/>
  <c r="H25" i="5"/>
  <c r="H39" i="6"/>
  <c r="H11" i="2"/>
  <c r="H206" i="2"/>
  <c r="H73" i="10"/>
  <c r="H19" i="17"/>
  <c r="H30" i="17" s="1"/>
  <c r="H51" i="2"/>
  <c r="H34" i="2"/>
  <c r="H32" i="14"/>
  <c r="H89" i="6" l="1"/>
  <c r="E39" i="18"/>
  <c r="M39" i="18"/>
  <c r="O39" i="18" s="1"/>
  <c r="H88" i="5"/>
  <c r="H84" i="10"/>
  <c r="H87" i="10" s="1"/>
  <c r="H35" i="2"/>
  <c r="H36" i="2" s="1"/>
  <c r="H300" i="2"/>
  <c r="C298" i="2"/>
  <c r="D298" i="2"/>
  <c r="E298" i="2"/>
  <c r="F298" i="2"/>
  <c r="G298" i="2"/>
  <c r="E300" i="2" l="1"/>
  <c r="H52" i="2"/>
  <c r="H84" i="2"/>
  <c r="H302" i="2" l="1"/>
  <c r="B121" i="12"/>
  <c r="C107" i="18" s="1"/>
  <c r="G86" i="5"/>
  <c r="G78" i="5"/>
  <c r="G61" i="5"/>
  <c r="G17" i="5"/>
  <c r="C847" i="18" l="1"/>
  <c r="E107" i="18"/>
  <c r="B109" i="11"/>
  <c r="I109" i="11" s="1"/>
  <c r="G25" i="5"/>
  <c r="G80" i="5"/>
  <c r="I121" i="12"/>
  <c r="G437" i="12" s="1"/>
  <c r="M847" i="18" l="1"/>
  <c r="O847" i="18" s="1"/>
  <c r="E847" i="18"/>
  <c r="M107" i="18"/>
  <c r="O107" i="18" s="1"/>
  <c r="C23" i="11"/>
  <c r="G88" i="5"/>
  <c r="C129" i="18"/>
  <c r="E129" i="18" l="1"/>
  <c r="M129" i="18"/>
  <c r="O129" i="18" s="1"/>
  <c r="C763" i="18"/>
  <c r="N285" i="2"/>
  <c r="N298" i="2" s="1"/>
  <c r="M763" i="18" l="1"/>
  <c r="O763" i="18" s="1"/>
  <c r="E763" i="18"/>
  <c r="I11" i="2"/>
  <c r="I34" i="2"/>
  <c r="G57" i="10"/>
  <c r="G82" i="10"/>
  <c r="G71" i="10"/>
  <c r="G33" i="10"/>
  <c r="G18" i="10"/>
  <c r="G14" i="10"/>
  <c r="G20" i="10" l="1"/>
  <c r="I35" i="2"/>
  <c r="G73" i="10"/>
  <c r="I219" i="12"/>
  <c r="E347" i="12" s="1"/>
  <c r="G20" i="7"/>
  <c r="G22" i="7" s="1"/>
  <c r="G79" i="6"/>
  <c r="G61" i="6"/>
  <c r="G37" i="6"/>
  <c r="G17" i="6"/>
  <c r="E335" i="12"/>
  <c r="G17" i="17"/>
  <c r="G12" i="17"/>
  <c r="G229" i="12"/>
  <c r="G30" i="14"/>
  <c r="G18" i="14"/>
  <c r="G27" i="16"/>
  <c r="I69" i="11"/>
  <c r="N68" i="5"/>
  <c r="D89" i="12" s="1"/>
  <c r="C290" i="18" s="1"/>
  <c r="N22" i="5"/>
  <c r="N16" i="5"/>
  <c r="N15" i="5"/>
  <c r="C17" i="5"/>
  <c r="D17" i="5"/>
  <c r="E17" i="5"/>
  <c r="F17" i="5"/>
  <c r="B17" i="5"/>
  <c r="B25" i="5" s="1"/>
  <c r="M17" i="5"/>
  <c r="M20" i="7"/>
  <c r="N12" i="7"/>
  <c r="N13" i="7"/>
  <c r="F28" i="17"/>
  <c r="F17" i="17"/>
  <c r="F12" i="17"/>
  <c r="F30" i="14"/>
  <c r="F18" i="14"/>
  <c r="F82" i="10"/>
  <c r="F71" i="10"/>
  <c r="F57" i="10"/>
  <c r="F33" i="10"/>
  <c r="F18" i="10"/>
  <c r="F14" i="10"/>
  <c r="N10" i="7"/>
  <c r="F20" i="7"/>
  <c r="F22" i="7" s="1"/>
  <c r="M61" i="6"/>
  <c r="M87" i="6" s="1"/>
  <c r="C12" i="12"/>
  <c r="C114" i="18" s="1"/>
  <c r="F79" i="6"/>
  <c r="F61" i="6"/>
  <c r="F17" i="6"/>
  <c r="N65" i="5"/>
  <c r="N66" i="5"/>
  <c r="D95" i="12" s="1"/>
  <c r="C296" i="18" s="1"/>
  <c r="N67" i="5"/>
  <c r="D92" i="12" s="1"/>
  <c r="C293" i="18" s="1"/>
  <c r="D87" i="12"/>
  <c r="C288" i="18" s="1"/>
  <c r="N70" i="5"/>
  <c r="N76" i="5"/>
  <c r="D56" i="11" s="1"/>
  <c r="D27" i="16" s="1"/>
  <c r="N77" i="5"/>
  <c r="N64" i="5"/>
  <c r="N45" i="5"/>
  <c r="N46" i="5"/>
  <c r="D50" i="11" s="1"/>
  <c r="N47" i="5"/>
  <c r="N48" i="5"/>
  <c r="N50" i="5"/>
  <c r="N51" i="5"/>
  <c r="N52" i="5"/>
  <c r="N54" i="5"/>
  <c r="N55" i="5"/>
  <c r="N56" i="5"/>
  <c r="D61" i="11" s="1"/>
  <c r="D30" i="16" s="1"/>
  <c r="N58" i="5"/>
  <c r="N59" i="5"/>
  <c r="N60" i="5"/>
  <c r="N32" i="5"/>
  <c r="N33" i="5"/>
  <c r="N34" i="5"/>
  <c r="D42" i="12" s="1"/>
  <c r="C249" i="18" s="1"/>
  <c r="N35" i="5"/>
  <c r="N20" i="5"/>
  <c r="N9" i="5"/>
  <c r="N10" i="5"/>
  <c r="N14" i="5"/>
  <c r="N11" i="5"/>
  <c r="N13" i="5"/>
  <c r="N8" i="5"/>
  <c r="M78" i="5"/>
  <c r="M61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59" i="12"/>
  <c r="Q31" i="15" s="1"/>
  <c r="G212" i="12"/>
  <c r="Q24" i="15" s="1"/>
  <c r="Q25" i="15" s="1"/>
  <c r="G201" i="12"/>
  <c r="Q20" i="15" s="1"/>
  <c r="Q21" i="15" s="1"/>
  <c r="N11" i="17"/>
  <c r="N23" i="17"/>
  <c r="N24" i="17"/>
  <c r="N26" i="17"/>
  <c r="H111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3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0" i="14"/>
  <c r="M30" i="14"/>
  <c r="E30" i="14"/>
  <c r="D30" i="14"/>
  <c r="N28" i="14"/>
  <c r="G100" i="11" s="1"/>
  <c r="G58" i="16" s="1"/>
  <c r="N27" i="14"/>
  <c r="G103" i="11" s="1"/>
  <c r="G57" i="16" s="1"/>
  <c r="N24" i="14"/>
  <c r="N23" i="14"/>
  <c r="M18" i="14"/>
  <c r="E18" i="14"/>
  <c r="D18" i="14"/>
  <c r="C18" i="14"/>
  <c r="B18" i="14"/>
  <c r="N17" i="14"/>
  <c r="N18" i="14" s="1"/>
  <c r="N13" i="14"/>
  <c r="N14" i="14" s="1"/>
  <c r="R35" i="15"/>
  <c r="F229" i="12"/>
  <c r="P30" i="15" s="1"/>
  <c r="F212" i="12"/>
  <c r="P24" i="15" s="1"/>
  <c r="P25" i="15" s="1"/>
  <c r="F201" i="12"/>
  <c r="H47" i="12"/>
  <c r="H30" i="15" s="1"/>
  <c r="H43" i="16"/>
  <c r="P32" i="15"/>
  <c r="N29" i="14"/>
  <c r="G112" i="12" s="1"/>
  <c r="C736" i="18" s="1"/>
  <c r="E358" i="12"/>
  <c r="E427" i="12"/>
  <c r="E432" i="12"/>
  <c r="E435" i="12"/>
  <c r="I295" i="12"/>
  <c r="E426" i="12" s="1"/>
  <c r="I271" i="12"/>
  <c r="E401" i="12" s="1"/>
  <c r="N19" i="2"/>
  <c r="B116" i="12"/>
  <c r="C103" i="18" s="1"/>
  <c r="C106" i="18"/>
  <c r="B27" i="16"/>
  <c r="B87" i="12"/>
  <c r="C76" i="18" s="1"/>
  <c r="I263" i="12"/>
  <c r="E393" i="12" s="1"/>
  <c r="I254" i="12"/>
  <c r="E384" i="12" s="1"/>
  <c r="I272" i="12"/>
  <c r="E402" i="12" s="1"/>
  <c r="N71" i="5"/>
  <c r="N43" i="5"/>
  <c r="E86" i="5"/>
  <c r="E78" i="5"/>
  <c r="E61" i="5"/>
  <c r="C20" i="7"/>
  <c r="E20" i="7"/>
  <c r="N18" i="7"/>
  <c r="E101" i="11" s="1"/>
  <c r="E59" i="16" s="1"/>
  <c r="M37" i="6"/>
  <c r="M39" i="6" s="1"/>
  <c r="C37" i="6"/>
  <c r="C212" i="12"/>
  <c r="E61" i="6"/>
  <c r="E37" i="6"/>
  <c r="E17" i="6"/>
  <c r="H259" i="12"/>
  <c r="R31" i="15" s="1"/>
  <c r="I273" i="12"/>
  <c r="E403" i="12" s="1"/>
  <c r="I308" i="12"/>
  <c r="E439" i="12" s="1"/>
  <c r="I123" i="12"/>
  <c r="N35" i="15"/>
  <c r="M35" i="15"/>
  <c r="I300" i="12"/>
  <c r="E431" i="12" s="1"/>
  <c r="E429" i="12"/>
  <c r="I297" i="12"/>
  <c r="E428" i="12" s="1"/>
  <c r="I294" i="12"/>
  <c r="E425" i="12" s="1"/>
  <c r="I283" i="12"/>
  <c r="E413" i="12" s="1"/>
  <c r="I102" i="12"/>
  <c r="O32" i="15"/>
  <c r="N32" i="15"/>
  <c r="M32" i="15"/>
  <c r="L32" i="15"/>
  <c r="I281" i="12"/>
  <c r="E411" i="12" s="1"/>
  <c r="I280" i="12"/>
  <c r="E410" i="12" s="1"/>
  <c r="I279" i="12"/>
  <c r="E409" i="12" s="1"/>
  <c r="I278" i="12"/>
  <c r="E408" i="12" s="1"/>
  <c r="I277" i="12"/>
  <c r="E407" i="12" s="1"/>
  <c r="I276" i="12"/>
  <c r="E406" i="12" s="1"/>
  <c r="C95" i="12"/>
  <c r="C190" i="18" s="1"/>
  <c r="I275" i="12"/>
  <c r="E405" i="12" s="1"/>
  <c r="C94" i="12"/>
  <c r="C189" i="18" s="1"/>
  <c r="I274" i="12"/>
  <c r="E404" i="12" s="1"/>
  <c r="I270" i="12"/>
  <c r="E400" i="12" s="1"/>
  <c r="I269" i="12"/>
  <c r="E399" i="12" s="1"/>
  <c r="I268" i="12"/>
  <c r="I267" i="12"/>
  <c r="E397" i="12" s="1"/>
  <c r="I266" i="12"/>
  <c r="E396" i="12" s="1"/>
  <c r="I265" i="12"/>
  <c r="E395" i="12" s="1"/>
  <c r="I262" i="12"/>
  <c r="E392" i="12" s="1"/>
  <c r="E259" i="12"/>
  <c r="O31" i="15" s="1"/>
  <c r="C259" i="12"/>
  <c r="M31" i="15" s="1"/>
  <c r="I258" i="12"/>
  <c r="E388" i="12" s="1"/>
  <c r="I257" i="12"/>
  <c r="E387" i="12" s="1"/>
  <c r="I256" i="12"/>
  <c r="I255" i="12"/>
  <c r="E385" i="12" s="1"/>
  <c r="I253" i="12"/>
  <c r="E383" i="12" s="1"/>
  <c r="I252" i="12"/>
  <c r="E382" i="12" s="1"/>
  <c r="I251" i="12"/>
  <c r="E381" i="12" s="1"/>
  <c r="I250" i="12"/>
  <c r="E380" i="12" s="1"/>
  <c r="I249" i="12"/>
  <c r="E379" i="12" s="1"/>
  <c r="I248" i="12"/>
  <c r="E378" i="12" s="1"/>
  <c r="I247" i="12"/>
  <c r="I246" i="12"/>
  <c r="E376" i="12" s="1"/>
  <c r="I245" i="12"/>
  <c r="E375" i="12" s="1"/>
  <c r="I242" i="12"/>
  <c r="E372" i="12" s="1"/>
  <c r="I241" i="12"/>
  <c r="E371" i="12" s="1"/>
  <c r="I240" i="12"/>
  <c r="I239" i="12"/>
  <c r="E369" i="12" s="1"/>
  <c r="I238" i="12"/>
  <c r="E368" i="12" s="1"/>
  <c r="D259" i="12"/>
  <c r="N31" i="15" s="1"/>
  <c r="L31" i="15"/>
  <c r="E229" i="12"/>
  <c r="O30" i="15" s="1"/>
  <c r="D229" i="12"/>
  <c r="N30" i="15" s="1"/>
  <c r="C229" i="12"/>
  <c r="M30" i="15" s="1"/>
  <c r="E47" i="12"/>
  <c r="C47" i="12"/>
  <c r="C30" i="15" s="1"/>
  <c r="I228" i="12"/>
  <c r="E356" i="12" s="1"/>
  <c r="I227" i="12"/>
  <c r="E355" i="12" s="1"/>
  <c r="I226" i="12"/>
  <c r="E354" i="12" s="1"/>
  <c r="B229" i="12"/>
  <c r="I225" i="12"/>
  <c r="E353" i="12" s="1"/>
  <c r="I224" i="12"/>
  <c r="E352" i="12" s="1"/>
  <c r="I223" i="12"/>
  <c r="E351" i="12" s="1"/>
  <c r="I222" i="12"/>
  <c r="E350" i="12" s="1"/>
  <c r="I221" i="12"/>
  <c r="E349" i="12" s="1"/>
  <c r="H229" i="12"/>
  <c r="R30" i="15" s="1"/>
  <c r="I218" i="12"/>
  <c r="I36" i="12"/>
  <c r="I217" i="12"/>
  <c r="I35" i="12"/>
  <c r="I33" i="12"/>
  <c r="H212" i="12"/>
  <c r="R24" i="15" s="1"/>
  <c r="R25" i="15" s="1"/>
  <c r="E212" i="12"/>
  <c r="O24" i="15" s="1"/>
  <c r="O25" i="15" s="1"/>
  <c r="D212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6" i="12"/>
  <c r="C26" i="12"/>
  <c r="C128" i="18" s="1"/>
  <c r="E334" i="12"/>
  <c r="I202" i="12"/>
  <c r="I20" i="12"/>
  <c r="H201" i="12"/>
  <c r="R20" i="15" s="1"/>
  <c r="R21" i="15" s="1"/>
  <c r="E201" i="12"/>
  <c r="D201" i="12"/>
  <c r="N20" i="15" s="1"/>
  <c r="N21" i="15" s="1"/>
  <c r="E19" i="12"/>
  <c r="E20" i="15" s="1"/>
  <c r="E21" i="15" s="1"/>
  <c r="E328" i="12"/>
  <c r="H19" i="12"/>
  <c r="H20" i="15" s="1"/>
  <c r="H21" i="15" s="1"/>
  <c r="E327" i="12"/>
  <c r="E326" i="12"/>
  <c r="C16" i="12"/>
  <c r="C118" i="18" s="1"/>
  <c r="E325" i="12"/>
  <c r="E324" i="12"/>
  <c r="C201" i="12"/>
  <c r="M20" i="15" s="1"/>
  <c r="M21" i="15" s="1"/>
  <c r="E323" i="12"/>
  <c r="L35" i="15"/>
  <c r="R32" i="15"/>
  <c r="E332" i="12"/>
  <c r="B201" i="12"/>
  <c r="I243" i="12"/>
  <c r="E373" i="12" s="1"/>
  <c r="E333" i="12"/>
  <c r="I237" i="12"/>
  <c r="E367" i="12" s="1"/>
  <c r="E339" i="12"/>
  <c r="I111" i="11"/>
  <c r="I91" i="11"/>
  <c r="D49" i="16"/>
  <c r="C49" i="16"/>
  <c r="C84" i="11"/>
  <c r="C47" i="16" s="1"/>
  <c r="C83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7" i="10"/>
  <c r="F114" i="12"/>
  <c r="C419" i="18" s="1"/>
  <c r="F106" i="12"/>
  <c r="C412" i="18" s="1"/>
  <c r="F84" i="12"/>
  <c r="C390" i="18" s="1"/>
  <c r="F74" i="11"/>
  <c r="F41" i="16" s="1"/>
  <c r="F95" i="12"/>
  <c r="C401" i="18" s="1"/>
  <c r="F81" i="11"/>
  <c r="F48" i="16"/>
  <c r="F76" i="11"/>
  <c r="F93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3" i="10"/>
  <c r="M18" i="10"/>
  <c r="M14" i="10"/>
  <c r="I216" i="12"/>
  <c r="C57" i="10"/>
  <c r="B33" i="10"/>
  <c r="E82" i="10"/>
  <c r="D82" i="10"/>
  <c r="C82" i="10"/>
  <c r="B82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N17" i="7"/>
  <c r="D22" i="7"/>
  <c r="N11" i="7"/>
  <c r="E56" i="11" s="1"/>
  <c r="E27" i="16" s="1"/>
  <c r="C27" i="16"/>
  <c r="C66" i="11"/>
  <c r="C82" i="11"/>
  <c r="N82" i="6"/>
  <c r="D61" i="6"/>
  <c r="C61" i="6"/>
  <c r="C87" i="6" s="1"/>
  <c r="B61" i="6"/>
  <c r="B87" i="6" s="1"/>
  <c r="D37" i="6"/>
  <c r="B37" i="6"/>
  <c r="N19" i="6"/>
  <c r="D17" i="6"/>
  <c r="C17" i="6"/>
  <c r="B17" i="6"/>
  <c r="D61" i="5"/>
  <c r="C61" i="5"/>
  <c r="C78" i="5"/>
  <c r="D78" i="5"/>
  <c r="B78" i="5"/>
  <c r="C86" i="5"/>
  <c r="D86" i="5"/>
  <c r="F86" i="5"/>
  <c r="B86" i="5"/>
  <c r="N19" i="5"/>
  <c r="N18" i="2"/>
  <c r="B206" i="2"/>
  <c r="AF301" i="2"/>
  <c r="AG301" i="2" s="1"/>
  <c r="AF299" i="2"/>
  <c r="AG299" i="2" s="1"/>
  <c r="AF292" i="2"/>
  <c r="AG292" i="2" s="1"/>
  <c r="AF290" i="2"/>
  <c r="AG290" i="2" s="1"/>
  <c r="B110" i="12"/>
  <c r="C99" i="18" s="1"/>
  <c r="AF284" i="2"/>
  <c r="AG284" i="2" s="1"/>
  <c r="AF283" i="2"/>
  <c r="AG283" i="2" s="1"/>
  <c r="AF268" i="2"/>
  <c r="AG268" i="2" s="1"/>
  <c r="C87" i="18"/>
  <c r="AF264" i="2"/>
  <c r="AG264" i="2" s="1"/>
  <c r="AF263" i="2"/>
  <c r="AG263" i="2" s="1"/>
  <c r="I66" i="12"/>
  <c r="N260" i="2"/>
  <c r="B96" i="12"/>
  <c r="C85" i="18" s="1"/>
  <c r="AF257" i="2"/>
  <c r="AG257" i="2" s="1"/>
  <c r="AF256" i="2"/>
  <c r="AG256" i="2" s="1"/>
  <c r="AF255" i="2"/>
  <c r="AG255" i="2" s="1"/>
  <c r="B86" i="12"/>
  <c r="C75" i="18" s="1"/>
  <c r="AF253" i="2"/>
  <c r="AG253" i="2" s="1"/>
  <c r="AF252" i="2"/>
  <c r="AG252" i="2" s="1"/>
  <c r="B81" i="12"/>
  <c r="C70" i="18" s="1"/>
  <c r="N249" i="2"/>
  <c r="AF248" i="2"/>
  <c r="AG248" i="2" s="1"/>
  <c r="AF243" i="2"/>
  <c r="AG243" i="2" s="1"/>
  <c r="AF242" i="2"/>
  <c r="AG242" i="2" s="1"/>
  <c r="B31" i="16"/>
  <c r="AF235" i="2"/>
  <c r="AG235" i="2" s="1"/>
  <c r="AF233" i="2"/>
  <c r="AG233" i="2" s="1"/>
  <c r="AF232" i="2"/>
  <c r="AG232" i="2" s="1"/>
  <c r="AF231" i="2"/>
  <c r="AG231" i="2" s="1"/>
  <c r="AF227" i="2"/>
  <c r="AG227" i="2" s="1"/>
  <c r="N224" i="2"/>
  <c r="N247" i="2" s="1"/>
  <c r="AF223" i="2"/>
  <c r="AG223" i="2" s="1"/>
  <c r="AF217" i="2"/>
  <c r="AG217" i="2" s="1"/>
  <c r="AF216" i="2"/>
  <c r="AG216" i="2" s="1"/>
  <c r="AF215" i="2"/>
  <c r="AG215" i="2" s="1"/>
  <c r="AF209" i="2"/>
  <c r="AG209" i="2" s="1"/>
  <c r="N208" i="2"/>
  <c r="N222" i="2" s="1"/>
  <c r="AF207" i="2"/>
  <c r="AG207" i="2" s="1"/>
  <c r="AF192" i="2"/>
  <c r="AG192" i="2" s="1"/>
  <c r="AF191" i="2"/>
  <c r="AG191" i="2" s="1"/>
  <c r="AF190" i="2"/>
  <c r="AG190" i="2" s="1"/>
  <c r="AF189" i="2"/>
  <c r="AG189" i="2" s="1"/>
  <c r="AF187" i="2"/>
  <c r="AG187" i="2" s="1"/>
  <c r="AF186" i="2"/>
  <c r="AG186" i="2" s="1"/>
  <c r="N185" i="2"/>
  <c r="AF185" i="2" s="1"/>
  <c r="AG185" i="2" s="1"/>
  <c r="N184" i="2"/>
  <c r="AF183" i="2"/>
  <c r="AG183" i="2" s="1"/>
  <c r="AF182" i="2"/>
  <c r="AG182" i="2" s="1"/>
  <c r="AF181" i="2"/>
  <c r="AG181" i="2" s="1"/>
  <c r="AF180" i="2"/>
  <c r="AG180" i="2" s="1"/>
  <c r="AF179" i="2"/>
  <c r="AG179" i="2" s="1"/>
  <c r="N178" i="2"/>
  <c r="B25" i="12" s="1"/>
  <c r="AF177" i="2"/>
  <c r="AG177" i="2" s="1"/>
  <c r="AF176" i="2"/>
  <c r="AG176" i="2" s="1"/>
  <c r="AF175" i="2"/>
  <c r="AG175" i="2" s="1"/>
  <c r="AF173" i="2"/>
  <c r="AG173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1" i="2"/>
  <c r="AG161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51" i="2"/>
  <c r="AG151" i="2" s="1"/>
  <c r="AF147" i="2"/>
  <c r="AG147" i="2" s="1"/>
  <c r="AF146" i="2"/>
  <c r="AG146" i="2" s="1"/>
  <c r="N135" i="2"/>
  <c r="AF134" i="2"/>
  <c r="AG134" i="2" s="1"/>
  <c r="J206" i="2"/>
  <c r="G206" i="2"/>
  <c r="AF127" i="2"/>
  <c r="AG127" i="2" s="1"/>
  <c r="AF126" i="2"/>
  <c r="AG126" i="2" s="1"/>
  <c r="AF125" i="2"/>
  <c r="AG125" i="2" s="1"/>
  <c r="AF124" i="2"/>
  <c r="AG124" i="2" s="1"/>
  <c r="AF123" i="2"/>
  <c r="AG123" i="2" s="1"/>
  <c r="AF119" i="2"/>
  <c r="AG119" i="2" s="1"/>
  <c r="AF118" i="2"/>
  <c r="AG118" i="2" s="1"/>
  <c r="AF117" i="2"/>
  <c r="AG117" i="2" s="1"/>
  <c r="AF115" i="2"/>
  <c r="AG115" i="2" s="1"/>
  <c r="AF114" i="2"/>
  <c r="AG114" i="2" s="1"/>
  <c r="AF113" i="2"/>
  <c r="AG113" i="2" s="1"/>
  <c r="AF110" i="2"/>
  <c r="AG110" i="2" s="1"/>
  <c r="AF109" i="2"/>
  <c r="AG109" i="2" s="1"/>
  <c r="AF107" i="2"/>
  <c r="AG107" i="2" s="1"/>
  <c r="AF106" i="2"/>
  <c r="AG106" i="2" s="1"/>
  <c r="AF105" i="2"/>
  <c r="AG105" i="2" s="1"/>
  <c r="AF104" i="2"/>
  <c r="AG104" i="2" s="1"/>
  <c r="AF103" i="2"/>
  <c r="AG103" i="2" s="1"/>
  <c r="N102" i="2"/>
  <c r="AF102" i="2" s="1"/>
  <c r="AG102" i="2" s="1"/>
  <c r="AF101" i="2"/>
  <c r="AG101" i="2" s="1"/>
  <c r="AF100" i="2"/>
  <c r="AG100" i="2" s="1"/>
  <c r="AF99" i="2"/>
  <c r="AG99" i="2" s="1"/>
  <c r="AF91" i="2"/>
  <c r="AG91" i="2" s="1"/>
  <c r="AF90" i="2"/>
  <c r="AG90" i="2" s="1"/>
  <c r="AF86" i="2"/>
  <c r="AG86" i="2" s="1"/>
  <c r="AF85" i="2"/>
  <c r="AG85" i="2" s="1"/>
  <c r="AF84" i="2"/>
  <c r="AG84" i="2" s="1"/>
  <c r="AF82" i="2"/>
  <c r="AG82" i="2" s="1"/>
  <c r="AF81" i="2"/>
  <c r="AG81" i="2" s="1"/>
  <c r="AF73" i="2"/>
  <c r="AG73" i="2" s="1"/>
  <c r="AF69" i="2"/>
  <c r="AG69" i="2" s="1"/>
  <c r="N64" i="2"/>
  <c r="AF62" i="2"/>
  <c r="AG62" i="2" s="1"/>
  <c r="AF56" i="2"/>
  <c r="AG56" i="2" s="1"/>
  <c r="AF55" i="2"/>
  <c r="AG55" i="2" s="1"/>
  <c r="AF54" i="2"/>
  <c r="AG54" i="2" s="1"/>
  <c r="AF53" i="2"/>
  <c r="AG53" i="2" s="1"/>
  <c r="M51" i="2"/>
  <c r="F51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6" i="2"/>
  <c r="AF285" i="2"/>
  <c r="AG285" i="2" s="1"/>
  <c r="B106" i="12"/>
  <c r="I34" i="12"/>
  <c r="H58" i="16" l="1"/>
  <c r="H100" i="11"/>
  <c r="N28" i="17"/>
  <c r="H114" i="12"/>
  <c r="G27" i="11"/>
  <c r="C95" i="18"/>
  <c r="N282" i="2"/>
  <c r="AF282" i="2" s="1"/>
  <c r="AG282" i="2" s="1"/>
  <c r="E424" i="12"/>
  <c r="G84" i="10"/>
  <c r="G87" i="10" s="1"/>
  <c r="M89" i="6"/>
  <c r="B39" i="6"/>
  <c r="B89" i="6" s="1"/>
  <c r="G65" i="12"/>
  <c r="C696" i="18" s="1"/>
  <c r="M696" i="18" s="1"/>
  <c r="N20" i="14"/>
  <c r="E111" i="12"/>
  <c r="C523" i="18" s="1"/>
  <c r="M523" i="18" s="1"/>
  <c r="N20" i="7"/>
  <c r="D87" i="6"/>
  <c r="E87" i="6"/>
  <c r="B37" i="12"/>
  <c r="C32" i="18" s="1"/>
  <c r="C20" i="14"/>
  <c r="C32" i="14" s="1"/>
  <c r="C111" i="12"/>
  <c r="C206" i="18" s="1"/>
  <c r="M206" i="18" s="1"/>
  <c r="O206" i="18" s="1"/>
  <c r="C100" i="11"/>
  <c r="C109" i="12"/>
  <c r="C204" i="18" s="1"/>
  <c r="M204" i="18" s="1"/>
  <c r="O204" i="18" s="1"/>
  <c r="C98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1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95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7" i="6"/>
  <c r="G87" i="6"/>
  <c r="N23" i="5"/>
  <c r="D28" i="12" s="1"/>
  <c r="C236" i="18" s="1"/>
  <c r="B20" i="10"/>
  <c r="B95" i="11"/>
  <c r="B56" i="16" s="1"/>
  <c r="B85" i="11"/>
  <c r="B48" i="16" s="1"/>
  <c r="I48" i="16" s="1"/>
  <c r="B76" i="11"/>
  <c r="B70" i="11"/>
  <c r="B99" i="11"/>
  <c r="I99" i="11" s="1"/>
  <c r="G20" i="14"/>
  <c r="G32" i="14" s="1"/>
  <c r="G114" i="12"/>
  <c r="F19" i="17"/>
  <c r="F30" i="17" s="1"/>
  <c r="E84" i="12"/>
  <c r="C496" i="18" s="1"/>
  <c r="N14" i="7"/>
  <c r="C28" i="12"/>
  <c r="C130" i="18" s="1"/>
  <c r="N78" i="5"/>
  <c r="B75" i="11"/>
  <c r="I177" i="12"/>
  <c r="B61" i="5"/>
  <c r="B80" i="5" s="1"/>
  <c r="B88" i="5" s="1"/>
  <c r="B89" i="5" s="1"/>
  <c r="N42" i="5"/>
  <c r="N61" i="5" s="1"/>
  <c r="D55" i="11"/>
  <c r="D26" i="16" s="1"/>
  <c r="L30" i="15"/>
  <c r="L33" i="15" s="1"/>
  <c r="B284" i="12"/>
  <c r="B50" i="12"/>
  <c r="C45" i="18" s="1"/>
  <c r="AF247" i="2"/>
  <c r="AG247" i="2" s="1"/>
  <c r="AF178" i="2"/>
  <c r="AG178" i="2" s="1"/>
  <c r="N23" i="2"/>
  <c r="AF23" i="2" s="1"/>
  <c r="AG23" i="2" s="1"/>
  <c r="B21" i="11"/>
  <c r="AF184" i="2"/>
  <c r="AG184" i="2" s="1"/>
  <c r="M24" i="15"/>
  <c r="M25" i="15" s="1"/>
  <c r="M27" i="15" s="1"/>
  <c r="C214" i="12"/>
  <c r="D25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3" i="11"/>
  <c r="F57" i="16" s="1"/>
  <c r="E67" i="11"/>
  <c r="N20" i="2"/>
  <c r="N28" i="2"/>
  <c r="AF28" i="2" s="1"/>
  <c r="AG28" i="2" s="1"/>
  <c r="N59" i="2"/>
  <c r="AF59" i="2" s="1"/>
  <c r="AG59" i="2" s="1"/>
  <c r="N77" i="2"/>
  <c r="AF77" i="2" s="1"/>
  <c r="AG77" i="2" s="1"/>
  <c r="N17" i="2"/>
  <c r="AF17" i="2" s="1"/>
  <c r="AG17" i="2" s="1"/>
  <c r="N68" i="2"/>
  <c r="AF68" i="2" s="1"/>
  <c r="AG68" i="2" s="1"/>
  <c r="N7" i="2"/>
  <c r="N9" i="2"/>
  <c r="AF9" i="2" s="1"/>
  <c r="AG9" i="2" s="1"/>
  <c r="N24" i="2"/>
  <c r="AF24" i="2" s="1"/>
  <c r="AG24" i="2" s="1"/>
  <c r="N66" i="2"/>
  <c r="AF66" i="2" s="1"/>
  <c r="AG66" i="2" s="1"/>
  <c r="N78" i="2"/>
  <c r="AF78" i="2" s="1"/>
  <c r="AG78" i="2" s="1"/>
  <c r="AF76" i="2"/>
  <c r="AG76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0" i="2"/>
  <c r="AF60" i="2" s="1"/>
  <c r="AG60" i="2" s="1"/>
  <c r="N75" i="2"/>
  <c r="E27" i="11"/>
  <c r="E39" i="6"/>
  <c r="D67" i="12"/>
  <c r="C274" i="18" s="1"/>
  <c r="I31" i="16"/>
  <c r="E18" i="16"/>
  <c r="N58" i="2"/>
  <c r="AF58" i="2" s="1"/>
  <c r="AG58" i="2" s="1"/>
  <c r="N95" i="2"/>
  <c r="AF95" i="2" s="1"/>
  <c r="AG95" i="2" s="1"/>
  <c r="N149" i="2"/>
  <c r="B19" i="17"/>
  <c r="B30" i="17" s="1"/>
  <c r="C19" i="17"/>
  <c r="C30" i="17" s="1"/>
  <c r="N94" i="2"/>
  <c r="AF94" i="2" s="1"/>
  <c r="AG94" i="2" s="1"/>
  <c r="N50" i="2"/>
  <c r="AF50" i="2" s="1"/>
  <c r="AG50" i="2" s="1"/>
  <c r="N39" i="2"/>
  <c r="E20" i="14"/>
  <c r="E32" i="14" s="1"/>
  <c r="E19" i="17"/>
  <c r="E30" i="17" s="1"/>
  <c r="F20" i="14"/>
  <c r="F32" i="14" s="1"/>
  <c r="N57" i="2"/>
  <c r="AF57" i="2" s="1"/>
  <c r="AG57" i="2" s="1"/>
  <c r="N67" i="2"/>
  <c r="AF67" i="2" s="1"/>
  <c r="AG67" i="2" s="1"/>
  <c r="N193" i="2"/>
  <c r="AF193" i="2" s="1"/>
  <c r="AG193" i="2" s="1"/>
  <c r="N43" i="2"/>
  <c r="AF43" i="2" s="1"/>
  <c r="AG43" i="2" s="1"/>
  <c r="B57" i="10"/>
  <c r="B73" i="10" s="1"/>
  <c r="H67" i="12"/>
  <c r="C585" i="18" s="1"/>
  <c r="D19" i="17"/>
  <c r="D30" i="17" s="1"/>
  <c r="H101" i="11"/>
  <c r="H59" i="16" s="1"/>
  <c r="H112" i="12"/>
  <c r="C630" i="18" s="1"/>
  <c r="F20" i="10"/>
  <c r="N63" i="2"/>
  <c r="N70" i="2"/>
  <c r="AF70" i="2" s="1"/>
  <c r="AG70" i="2" s="1"/>
  <c r="D55" i="12"/>
  <c r="G76" i="11"/>
  <c r="G90" i="11" s="1"/>
  <c r="G87" i="12"/>
  <c r="N17" i="17"/>
  <c r="N40" i="2"/>
  <c r="AF40" i="2" s="1"/>
  <c r="AG40" i="2" s="1"/>
  <c r="H95" i="11"/>
  <c r="H56" i="16"/>
  <c r="H106" i="12"/>
  <c r="C624" i="18" s="1"/>
  <c r="G95" i="11"/>
  <c r="G56" i="16" s="1"/>
  <c r="G106" i="12"/>
  <c r="C730" i="18" s="1"/>
  <c r="N30" i="14"/>
  <c r="C50" i="12"/>
  <c r="C151" i="18" s="1"/>
  <c r="C45" i="11"/>
  <c r="C21" i="16" s="1"/>
  <c r="N61" i="6"/>
  <c r="N85" i="6"/>
  <c r="D65" i="12"/>
  <c r="C273" i="18" s="1"/>
  <c r="D84" i="11"/>
  <c r="D47" i="16" s="1"/>
  <c r="D60" i="12"/>
  <c r="C267" i="18" s="1"/>
  <c r="C25" i="5"/>
  <c r="C18" i="16"/>
  <c r="C97" i="11"/>
  <c r="I97" i="11" s="1"/>
  <c r="C65" i="12"/>
  <c r="C167" i="18" s="1"/>
  <c r="C88" i="12"/>
  <c r="C183" i="18" s="1"/>
  <c r="C45" i="16"/>
  <c r="C71" i="12"/>
  <c r="C172" i="18" s="1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8" i="5"/>
  <c r="D65" i="11"/>
  <c r="I65" i="11" s="1"/>
  <c r="D69" i="12"/>
  <c r="C276" i="18" s="1"/>
  <c r="D53" i="11"/>
  <c r="D24" i="16" s="1"/>
  <c r="D95" i="11"/>
  <c r="D80" i="5"/>
  <c r="D63" i="11"/>
  <c r="D62" i="12"/>
  <c r="D56" i="12"/>
  <c r="C263" i="18" s="1"/>
  <c r="D93" i="12"/>
  <c r="C294" i="18" s="1"/>
  <c r="D81" i="11"/>
  <c r="D44" i="16" s="1"/>
  <c r="D111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6" i="2"/>
  <c r="AG266" i="2" s="1"/>
  <c r="AF265" i="2"/>
  <c r="AG265" i="2" s="1"/>
  <c r="AF260" i="2"/>
  <c r="AG260" i="2" s="1"/>
  <c r="B68" i="12"/>
  <c r="C63" i="18" s="1"/>
  <c r="AF250" i="2"/>
  <c r="AG250" i="2" s="1"/>
  <c r="AF234" i="2"/>
  <c r="AG234" i="2" s="1"/>
  <c r="B60" i="12"/>
  <c r="C55" i="18" s="1"/>
  <c r="AF214" i="2"/>
  <c r="AG214" i="2" s="1"/>
  <c r="B41" i="12"/>
  <c r="C36" i="18" s="1"/>
  <c r="B40" i="12"/>
  <c r="C35" i="18" s="1"/>
  <c r="Q27" i="15"/>
  <c r="G32" i="12"/>
  <c r="I116" i="12"/>
  <c r="C432" i="12" s="1"/>
  <c r="B105" i="11"/>
  <c r="I105" i="11" s="1"/>
  <c r="I110" i="12"/>
  <c r="G428" i="12" s="1"/>
  <c r="I119" i="12"/>
  <c r="B108" i="11"/>
  <c r="I108" i="11" s="1"/>
  <c r="C8" i="11"/>
  <c r="I98" i="12"/>
  <c r="B87" i="11"/>
  <c r="I87" i="11" s="1"/>
  <c r="AF136" i="2"/>
  <c r="AG136" i="2" s="1"/>
  <c r="AF150" i="2"/>
  <c r="AG150" i="2" s="1"/>
  <c r="AF142" i="2"/>
  <c r="AG142" i="2" s="1"/>
  <c r="AF188" i="2"/>
  <c r="AG188" i="2" s="1"/>
  <c r="AF143" i="2"/>
  <c r="AG143" i="2" s="1"/>
  <c r="AF160" i="2"/>
  <c r="AG160" i="2" s="1"/>
  <c r="B111" i="12"/>
  <c r="C100" i="18" s="1"/>
  <c r="B107" i="12"/>
  <c r="C96" i="18" s="1"/>
  <c r="AF269" i="2"/>
  <c r="AG269" i="2" s="1"/>
  <c r="B92" i="12"/>
  <c r="C81" i="18" s="1"/>
  <c r="C18" i="12"/>
  <c r="H214" i="12"/>
  <c r="M20" i="14"/>
  <c r="M32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3" i="12"/>
  <c r="C188" i="18" s="1"/>
  <c r="N17" i="6"/>
  <c r="C15" i="12"/>
  <c r="M22" i="7"/>
  <c r="H73" i="11"/>
  <c r="H40" i="16" s="1"/>
  <c r="H51" i="16" s="1"/>
  <c r="AF254" i="2"/>
  <c r="AG254" i="2" s="1"/>
  <c r="D51" i="2"/>
  <c r="B82" i="12"/>
  <c r="C71" i="18" s="1"/>
  <c r="B101" i="11"/>
  <c r="B59" i="16" s="1"/>
  <c r="B46" i="12"/>
  <c r="C41" i="18" s="1"/>
  <c r="E11" i="2"/>
  <c r="AF135" i="2"/>
  <c r="AG135" i="2" s="1"/>
  <c r="AF18" i="2"/>
  <c r="AG18" i="2" s="1"/>
  <c r="F206" i="2"/>
  <c r="F300" i="2" s="1"/>
  <c r="C206" i="2"/>
  <c r="C300" i="2" s="1"/>
  <c r="G11" i="2"/>
  <c r="J300" i="2"/>
  <c r="B30" i="16"/>
  <c r="AF211" i="2"/>
  <c r="AG211" i="2" s="1"/>
  <c r="D51" i="12"/>
  <c r="C258" i="18" s="1"/>
  <c r="D46" i="11"/>
  <c r="D22" i="16" s="1"/>
  <c r="K300" i="2"/>
  <c r="F70" i="12"/>
  <c r="C382" i="18" s="1"/>
  <c r="E284" i="12"/>
  <c r="D20" i="14"/>
  <c r="D32" i="14" s="1"/>
  <c r="H27" i="11"/>
  <c r="G18" i="16"/>
  <c r="D51" i="11"/>
  <c r="F85" i="11"/>
  <c r="F82" i="11"/>
  <c r="F45" i="16" s="1"/>
  <c r="E22" i="7"/>
  <c r="F61" i="5"/>
  <c r="B20" i="14"/>
  <c r="B32" i="14" s="1"/>
  <c r="G39" i="6"/>
  <c r="AF270" i="2"/>
  <c r="AG270" i="2" s="1"/>
  <c r="C22" i="7"/>
  <c r="F58" i="11"/>
  <c r="I41" i="16"/>
  <c r="F73" i="10"/>
  <c r="L20" i="15"/>
  <c r="L21" i="15" s="1"/>
  <c r="I203" i="12"/>
  <c r="N27" i="15"/>
  <c r="D214" i="12"/>
  <c r="B93" i="12"/>
  <c r="C82" i="18" s="1"/>
  <c r="B97" i="12"/>
  <c r="C86" i="18" s="1"/>
  <c r="AF267" i="2"/>
  <c r="AG267" i="2" s="1"/>
  <c r="AF258" i="2"/>
  <c r="AG258" i="2" s="1"/>
  <c r="C89" i="18"/>
  <c r="AF249" i="2"/>
  <c r="AG249" i="2" s="1"/>
  <c r="I64" i="12"/>
  <c r="G381" i="12" s="1"/>
  <c r="B39" i="12"/>
  <c r="C34" i="18" s="1"/>
  <c r="AF289" i="2"/>
  <c r="AG289" i="2" s="1"/>
  <c r="B43" i="12"/>
  <c r="C38" i="18" s="1"/>
  <c r="N32" i="2"/>
  <c r="AF32" i="2" s="1"/>
  <c r="AG32" i="2" s="1"/>
  <c r="L206" i="2"/>
  <c r="L300" i="2" s="1"/>
  <c r="D206" i="2"/>
  <c r="D300" i="2" s="1"/>
  <c r="M19" i="17"/>
  <c r="M30" i="17" s="1"/>
  <c r="G101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3" i="10"/>
  <c r="C84" i="10" s="1"/>
  <c r="C87" i="10" s="1"/>
  <c r="E73" i="10"/>
  <c r="E84" i="10" s="1"/>
  <c r="E87" i="10" s="1"/>
  <c r="D20" i="10"/>
  <c r="F35" i="11"/>
  <c r="F16" i="16" s="1"/>
  <c r="M20" i="10"/>
  <c r="E112" i="12"/>
  <c r="E100" i="11"/>
  <c r="C108" i="12"/>
  <c r="C34" i="16"/>
  <c r="C23" i="12"/>
  <c r="C125" i="18" s="1"/>
  <c r="C76" i="11"/>
  <c r="C61" i="11"/>
  <c r="C30" i="16" s="1"/>
  <c r="C24" i="11"/>
  <c r="C39" i="6"/>
  <c r="C89" i="6" s="1"/>
  <c r="D100" i="11"/>
  <c r="D58" i="16" s="1"/>
  <c r="D58" i="11"/>
  <c r="D28" i="16" s="1"/>
  <c r="D36" i="11"/>
  <c r="D82" i="11"/>
  <c r="D45" i="16" s="1"/>
  <c r="F25" i="5"/>
  <c r="I95" i="12"/>
  <c r="E25" i="5"/>
  <c r="I212" i="12"/>
  <c r="R33" i="15"/>
  <c r="M33" i="15"/>
  <c r="C284" i="12"/>
  <c r="H284" i="12"/>
  <c r="N33" i="15"/>
  <c r="D284" i="12"/>
  <c r="I282" i="12"/>
  <c r="S32" i="15"/>
  <c r="Y32" i="15" s="1"/>
  <c r="G383" i="12"/>
  <c r="I229" i="12"/>
  <c r="J220" i="12" s="1"/>
  <c r="L24" i="15"/>
  <c r="L25" i="15" s="1"/>
  <c r="B214" i="12"/>
  <c r="I215" i="12" s="1"/>
  <c r="F11" i="2"/>
  <c r="I23" i="11"/>
  <c r="B117" i="12"/>
  <c r="C104" i="18" s="1"/>
  <c r="H18" i="16"/>
  <c r="E35" i="16"/>
  <c r="O33" i="15"/>
  <c r="R27" i="15"/>
  <c r="AF238" i="2"/>
  <c r="AG238" i="2" s="1"/>
  <c r="B94" i="12"/>
  <c r="C83" i="18" s="1"/>
  <c r="AF210" i="2"/>
  <c r="AG210" i="2" s="1"/>
  <c r="AF286" i="2"/>
  <c r="AG286" i="2" s="1"/>
  <c r="AF259" i="2"/>
  <c r="AG259" i="2" s="1"/>
  <c r="C105" i="18"/>
  <c r="B99" i="12"/>
  <c r="C88" i="18" s="1"/>
  <c r="B114" i="12"/>
  <c r="C102" i="18" s="1"/>
  <c r="AF228" i="2"/>
  <c r="AG228" i="2" s="1"/>
  <c r="AF213" i="2"/>
  <c r="AG213" i="2" s="1"/>
  <c r="I60" i="11"/>
  <c r="I22" i="11"/>
  <c r="C34" i="2"/>
  <c r="N14" i="2"/>
  <c r="B42" i="12"/>
  <c r="C37" i="18" s="1"/>
  <c r="AF122" i="2"/>
  <c r="AG122" i="2" s="1"/>
  <c r="G51" i="2"/>
  <c r="D56" i="16"/>
  <c r="D106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5" i="5"/>
  <c r="C80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2" i="2"/>
  <c r="AG262" i="2" s="1"/>
  <c r="AF230" i="2"/>
  <c r="AG230" i="2" s="1"/>
  <c r="AF225" i="2"/>
  <c r="AG225" i="2" s="1"/>
  <c r="AF239" i="2"/>
  <c r="AG239" i="2" s="1"/>
  <c r="B24" i="16"/>
  <c r="AF236" i="2"/>
  <c r="AG236" i="2" s="1"/>
  <c r="B29" i="16"/>
  <c r="B39" i="11"/>
  <c r="AF212" i="2"/>
  <c r="AG212" i="2" s="1"/>
  <c r="G300" i="2"/>
  <c r="J34" i="2"/>
  <c r="K34" i="2"/>
  <c r="C11" i="2"/>
  <c r="AF148" i="2"/>
  <c r="AG148" i="2" s="1"/>
  <c r="C383" i="12"/>
  <c r="I383" i="12"/>
  <c r="K383" i="12" s="1"/>
  <c r="L11" i="2"/>
  <c r="AF111" i="2"/>
  <c r="AG111" i="2" s="1"/>
  <c r="AF145" i="2"/>
  <c r="AG145" i="2" s="1"/>
  <c r="C51" i="2"/>
  <c r="K11" i="2"/>
  <c r="D34" i="2"/>
  <c r="N27" i="2"/>
  <c r="AF27" i="2" s="1"/>
  <c r="AG27" i="2" s="1"/>
  <c r="N22" i="2"/>
  <c r="AF22" i="2" s="1"/>
  <c r="AG22" i="2" s="1"/>
  <c r="M11" i="2"/>
  <c r="M35" i="2" s="1"/>
  <c r="M80" i="2" s="1"/>
  <c r="M302" i="2" s="1"/>
  <c r="J11" i="2"/>
  <c r="F34" i="2"/>
  <c r="L34" i="2"/>
  <c r="AF25" i="2"/>
  <c r="AG25" i="2" s="1"/>
  <c r="I300" i="2"/>
  <c r="F85" i="12"/>
  <c r="F55" i="11"/>
  <c r="F37" i="11"/>
  <c r="F36" i="11"/>
  <c r="F56" i="16"/>
  <c r="F44" i="16"/>
  <c r="F92" i="12"/>
  <c r="C398" i="18" s="1"/>
  <c r="F52" i="11"/>
  <c r="I52" i="11" s="1"/>
  <c r="F37" i="12"/>
  <c r="C349" i="18" s="1"/>
  <c r="F84" i="11"/>
  <c r="F32" i="11"/>
  <c r="F15" i="16" s="1"/>
  <c r="F96" i="12"/>
  <c r="F49" i="11"/>
  <c r="F24" i="11"/>
  <c r="F25" i="11" s="1"/>
  <c r="F101" i="11"/>
  <c r="F14" i="11"/>
  <c r="F15" i="11" s="1"/>
  <c r="F66" i="11"/>
  <c r="AF208" i="2"/>
  <c r="AG208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8" i="2"/>
  <c r="AG108" i="2" s="1"/>
  <c r="AF133" i="2"/>
  <c r="AG133" i="2" s="1"/>
  <c r="AF112" i="2"/>
  <c r="AG112" i="2" s="1"/>
  <c r="AF64" i="2"/>
  <c r="AG64" i="2" s="1"/>
  <c r="B51" i="2"/>
  <c r="B34" i="2"/>
  <c r="B11" i="2"/>
  <c r="G34" i="2"/>
  <c r="E34" i="2"/>
  <c r="AF121" i="2"/>
  <c r="AG121" i="2" s="1"/>
  <c r="AF144" i="2"/>
  <c r="AG144" i="2" s="1"/>
  <c r="AF116" i="2"/>
  <c r="AG116" i="2" s="1"/>
  <c r="I12" i="11"/>
  <c r="I16" i="12"/>
  <c r="I13" i="11"/>
  <c r="I17" i="12"/>
  <c r="I327" i="12" s="1"/>
  <c r="K327" i="12" s="1"/>
  <c r="AF174" i="2"/>
  <c r="AG174" i="2" s="1"/>
  <c r="AF251" i="2"/>
  <c r="AG251" i="2" s="1"/>
  <c r="D11" i="2"/>
  <c r="E51" i="2"/>
  <c r="AF219" i="2"/>
  <c r="AG219" i="2" s="1"/>
  <c r="B45" i="12"/>
  <c r="C40" i="18" s="1"/>
  <c r="AF226" i="2"/>
  <c r="AG226" i="2" s="1"/>
  <c r="D57" i="10"/>
  <c r="D73" i="10" s="1"/>
  <c r="E67" i="12"/>
  <c r="E7" i="16"/>
  <c r="E11" i="16" s="1"/>
  <c r="E27" i="15"/>
  <c r="E337" i="12"/>
  <c r="E30" i="15"/>
  <c r="I74" i="11"/>
  <c r="F56" i="11"/>
  <c r="F38" i="11"/>
  <c r="F43" i="12"/>
  <c r="C355" i="18" s="1"/>
  <c r="M73" i="10"/>
  <c r="E377" i="12"/>
  <c r="E398" i="12"/>
  <c r="P20" i="15"/>
  <c r="P21" i="15" s="1"/>
  <c r="P27" i="15" s="1"/>
  <c r="F214" i="12"/>
  <c r="F53" i="12"/>
  <c r="F48" i="11"/>
  <c r="F81" i="12"/>
  <c r="C387" i="18" s="1"/>
  <c r="F70" i="11"/>
  <c r="F88" i="12"/>
  <c r="C394" i="18" s="1"/>
  <c r="F77" i="11"/>
  <c r="F43" i="16" s="1"/>
  <c r="E370" i="12"/>
  <c r="B109" i="12"/>
  <c r="C98" i="18" s="1"/>
  <c r="F37" i="6"/>
  <c r="F39" i="6" s="1"/>
  <c r="C18" i="11"/>
  <c r="F112" i="12"/>
  <c r="C418" i="18" s="1"/>
  <c r="C425" i="18" s="1"/>
  <c r="H7" i="16"/>
  <c r="H11" i="16" s="1"/>
  <c r="H27" i="15"/>
  <c r="O20" i="15"/>
  <c r="O21" i="15" s="1"/>
  <c r="O27" i="15" s="1"/>
  <c r="E214" i="12"/>
  <c r="I201" i="12"/>
  <c r="E386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5" i="11"/>
  <c r="H32" i="12"/>
  <c r="E32" i="12"/>
  <c r="C20" i="11"/>
  <c r="C24" i="12"/>
  <c r="C126" i="18" s="1"/>
  <c r="G214" i="12"/>
  <c r="H27" i="16"/>
  <c r="N17" i="5"/>
  <c r="M80" i="5"/>
  <c r="N37" i="5"/>
  <c r="D41" i="11" s="1"/>
  <c r="E80" i="5"/>
  <c r="B88" i="12"/>
  <c r="C77" i="18" s="1"/>
  <c r="G111" i="12"/>
  <c r="C735" i="18" s="1"/>
  <c r="G284" i="12"/>
  <c r="Q30" i="15"/>
  <c r="Q33" i="15" s="1"/>
  <c r="F259" i="12"/>
  <c r="F284" i="12" s="1"/>
  <c r="I244" i="12"/>
  <c r="P35" i="15"/>
  <c r="I299" i="12"/>
  <c r="E430" i="12" s="1"/>
  <c r="C77" i="11"/>
  <c r="C406" i="12" l="1"/>
  <c r="I406" i="12"/>
  <c r="G409" i="12"/>
  <c r="I409" i="12"/>
  <c r="H103" i="11"/>
  <c r="H57" i="16"/>
  <c r="E412" i="12"/>
  <c r="J264" i="12"/>
  <c r="B122" i="12"/>
  <c r="J307" i="12"/>
  <c r="C702" i="18"/>
  <c r="E696" i="18"/>
  <c r="E702" i="18" s="1"/>
  <c r="G72" i="12"/>
  <c r="G31" i="15" s="1"/>
  <c r="D89" i="6"/>
  <c r="AF39" i="2"/>
  <c r="AG39" i="2" s="1"/>
  <c r="N51" i="2"/>
  <c r="AF51" i="2" s="1"/>
  <c r="AG51" i="2" s="1"/>
  <c r="G89" i="6"/>
  <c r="E523" i="18"/>
  <c r="N205" i="2"/>
  <c r="AF205" i="2" s="1"/>
  <c r="AG205" i="2" s="1"/>
  <c r="N32" i="14"/>
  <c r="E89" i="6"/>
  <c r="C590" i="18"/>
  <c r="E590" i="18" s="1"/>
  <c r="N87" i="6"/>
  <c r="E206" i="18"/>
  <c r="N39" i="5"/>
  <c r="N80" i="5" s="1"/>
  <c r="B28" i="12"/>
  <c r="C24" i="18" s="1"/>
  <c r="C764" i="18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0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2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1" i="12"/>
  <c r="G32" i="15" s="1"/>
  <c r="C711" i="18"/>
  <c r="C816" i="18" s="1"/>
  <c r="M274" i="18"/>
  <c r="O274" i="18" s="1"/>
  <c r="E274" i="18"/>
  <c r="C802" i="18"/>
  <c r="I61" i="12"/>
  <c r="G378" i="12" s="1"/>
  <c r="C374" i="18"/>
  <c r="M292" i="18"/>
  <c r="O292" i="18" s="1"/>
  <c r="E292" i="18"/>
  <c r="C820" i="18"/>
  <c r="E364" i="18"/>
  <c r="M364" i="18"/>
  <c r="O364" i="18" s="1"/>
  <c r="C787" i="18"/>
  <c r="I86" i="12"/>
  <c r="G397" i="12" s="1"/>
  <c r="C392" i="18"/>
  <c r="M349" i="18"/>
  <c r="C359" i="18"/>
  <c r="E349" i="18"/>
  <c r="I85" i="12"/>
  <c r="G396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1" i="12" s="1"/>
  <c r="K371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6" i="12"/>
  <c r="I407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76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0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2" i="12" s="1"/>
  <c r="K372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2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79" i="12" s="1"/>
  <c r="C269" i="18"/>
  <c r="C9" i="11"/>
  <c r="I9" i="11" s="1"/>
  <c r="C115" i="18"/>
  <c r="M182" i="18"/>
  <c r="O182" i="18" s="1"/>
  <c r="E182" i="18"/>
  <c r="M167" i="18"/>
  <c r="O167" i="18" s="1"/>
  <c r="E167" i="18"/>
  <c r="C801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89" i="6"/>
  <c r="D88" i="5"/>
  <c r="B84" i="10"/>
  <c r="B87" i="10" s="1"/>
  <c r="B98" i="11"/>
  <c r="I98" i="11" s="1"/>
  <c r="B36" i="11"/>
  <c r="I36" i="11" s="1"/>
  <c r="B38" i="11"/>
  <c r="I38" i="11" s="1"/>
  <c r="B37" i="11"/>
  <c r="I37" i="11" s="1"/>
  <c r="B82" i="11"/>
  <c r="B45" i="16" s="1"/>
  <c r="I45" i="16" s="1"/>
  <c r="B81" i="11"/>
  <c r="B44" i="16" s="1"/>
  <c r="I44" i="16" s="1"/>
  <c r="B100" i="11"/>
  <c r="B58" i="16" s="1"/>
  <c r="B79" i="11"/>
  <c r="I79" i="11" s="1"/>
  <c r="B77" i="11"/>
  <c r="I77" i="11" s="1"/>
  <c r="B32" i="11"/>
  <c r="B15" i="16" s="1"/>
  <c r="B73" i="11"/>
  <c r="B40" i="16" s="1"/>
  <c r="I40" i="16" s="1"/>
  <c r="B106" i="11"/>
  <c r="I106" i="11" s="1"/>
  <c r="B35" i="11"/>
  <c r="B16" i="16" s="1"/>
  <c r="I16" i="16" s="1"/>
  <c r="B45" i="11"/>
  <c r="B21" i="16" s="1"/>
  <c r="M45" i="18"/>
  <c r="O45" i="18" s="1"/>
  <c r="B78" i="11"/>
  <c r="J226" i="12"/>
  <c r="C309" i="12"/>
  <c r="S25" i="15"/>
  <c r="Y25" i="15" s="1"/>
  <c r="N61" i="2"/>
  <c r="C435" i="12"/>
  <c r="G435" i="12"/>
  <c r="J204" i="12"/>
  <c r="J210" i="12"/>
  <c r="E35" i="2"/>
  <c r="E36" i="2" s="1"/>
  <c r="N11" i="2"/>
  <c r="I82" i="12"/>
  <c r="I393" i="12" s="1"/>
  <c r="K393" i="12" s="1"/>
  <c r="B71" i="11"/>
  <c r="I71" i="11" s="1"/>
  <c r="H110" i="11"/>
  <c r="G43" i="16"/>
  <c r="G51" i="16" s="1"/>
  <c r="G53" i="16" s="1"/>
  <c r="C88" i="5"/>
  <c r="F57" i="11"/>
  <c r="I57" i="11" s="1"/>
  <c r="H62" i="16"/>
  <c r="N19" i="17"/>
  <c r="N30" i="17" s="1"/>
  <c r="AF7" i="2"/>
  <c r="AG7" i="2" s="1"/>
  <c r="N87" i="2"/>
  <c r="AF75" i="2"/>
  <c r="AG75" i="2" s="1"/>
  <c r="H122" i="12"/>
  <c r="H35" i="15" s="1"/>
  <c r="F84" i="10"/>
  <c r="F87" i="10" s="1"/>
  <c r="I69" i="12"/>
  <c r="I386" i="12" s="1"/>
  <c r="K386" i="12" s="1"/>
  <c r="C409" i="12"/>
  <c r="N65" i="2"/>
  <c r="N71" i="2" s="1"/>
  <c r="N92" i="2"/>
  <c r="N96" i="2"/>
  <c r="AF96" i="2" s="1"/>
  <c r="AG96" i="2" s="1"/>
  <c r="I90" i="12"/>
  <c r="I60" i="12"/>
  <c r="C377" i="12" s="1"/>
  <c r="N93" i="2"/>
  <c r="AF93" i="2" s="1"/>
  <c r="AG93" i="2" s="1"/>
  <c r="AF14" i="2"/>
  <c r="AG14" i="2" s="1"/>
  <c r="N34" i="2"/>
  <c r="AF34" i="2" s="1"/>
  <c r="AG34" i="2" s="1"/>
  <c r="N88" i="2"/>
  <c r="AF88" i="2" s="1"/>
  <c r="AG88" i="2" s="1"/>
  <c r="I68" i="12"/>
  <c r="C385" i="12" s="1"/>
  <c r="I40" i="12"/>
  <c r="C350" i="12" s="1"/>
  <c r="E43" i="16"/>
  <c r="C110" i="11"/>
  <c r="C61" i="16"/>
  <c r="I61" i="16" s="1"/>
  <c r="D46" i="12"/>
  <c r="I41" i="12"/>
  <c r="G351" i="12" s="1"/>
  <c r="I14" i="12"/>
  <c r="G324" i="12" s="1"/>
  <c r="C72" i="12"/>
  <c r="C31" i="15" s="1"/>
  <c r="I57" i="12"/>
  <c r="C374" i="12" s="1"/>
  <c r="I13" i="12"/>
  <c r="G323" i="12" s="1"/>
  <c r="I54" i="11"/>
  <c r="F80" i="5"/>
  <c r="F88" i="5" s="1"/>
  <c r="D62" i="16"/>
  <c r="D34" i="16"/>
  <c r="I89" i="12"/>
  <c r="B64" i="11"/>
  <c r="B33" i="16" s="1"/>
  <c r="I33" i="16" s="1"/>
  <c r="B63" i="11"/>
  <c r="I63" i="11" s="1"/>
  <c r="B55" i="11"/>
  <c r="B26" i="16" s="1"/>
  <c r="H309" i="12"/>
  <c r="H311" i="12" s="1"/>
  <c r="Q37" i="15"/>
  <c r="G432" i="12"/>
  <c r="I108" i="12"/>
  <c r="C426" i="12" s="1"/>
  <c r="D309" i="12"/>
  <c r="D311" i="12" s="1"/>
  <c r="C428" i="12"/>
  <c r="I118" i="12"/>
  <c r="G434" i="12" s="1"/>
  <c r="B107" i="11"/>
  <c r="I107" i="11" s="1"/>
  <c r="I39" i="12"/>
  <c r="I349" i="12" s="1"/>
  <c r="K349" i="12" s="1"/>
  <c r="B34" i="11"/>
  <c r="I34" i="11" s="1"/>
  <c r="I97" i="12"/>
  <c r="B86" i="11"/>
  <c r="B49" i="16" s="1"/>
  <c r="I49" i="16" s="1"/>
  <c r="I99" i="12"/>
  <c r="B88" i="11"/>
  <c r="I88" i="11" s="1"/>
  <c r="I100" i="12"/>
  <c r="B89" i="11"/>
  <c r="I89" i="11" s="1"/>
  <c r="I45" i="12"/>
  <c r="C355" i="12" s="1"/>
  <c r="B40" i="11"/>
  <c r="I40" i="11" s="1"/>
  <c r="I114" i="12"/>
  <c r="C431" i="12" s="1"/>
  <c r="B103" i="11"/>
  <c r="I103" i="11" s="1"/>
  <c r="I94" i="12"/>
  <c r="B83" i="11"/>
  <c r="I70" i="12"/>
  <c r="B41" i="11"/>
  <c r="I41" i="11" s="1"/>
  <c r="I107" i="12"/>
  <c r="B96" i="11"/>
  <c r="C19" i="12"/>
  <c r="I92" i="12"/>
  <c r="I403" i="12" s="1"/>
  <c r="K403" i="12" s="1"/>
  <c r="E101" i="12"/>
  <c r="E32" i="15" s="1"/>
  <c r="N37" i="15"/>
  <c r="I84" i="12"/>
  <c r="C395" i="12" s="1"/>
  <c r="M84" i="10"/>
  <c r="M87" i="10" s="1"/>
  <c r="F27" i="11"/>
  <c r="C101" i="12"/>
  <c r="C32" i="15" s="1"/>
  <c r="I15" i="12"/>
  <c r="C325" i="12" s="1"/>
  <c r="D23" i="16"/>
  <c r="D110" i="11"/>
  <c r="I93" i="12"/>
  <c r="C404" i="12" s="1"/>
  <c r="I87" i="12"/>
  <c r="G398" i="12" s="1"/>
  <c r="H90" i="11"/>
  <c r="H92" i="11" s="1"/>
  <c r="F35" i="2"/>
  <c r="F52" i="2" s="1"/>
  <c r="G35" i="2"/>
  <c r="G36" i="2" s="1"/>
  <c r="C381" i="12"/>
  <c r="D35" i="2"/>
  <c r="I85" i="11"/>
  <c r="B25" i="16"/>
  <c r="I25" i="16" s="1"/>
  <c r="I76" i="11"/>
  <c r="AF149" i="2"/>
  <c r="AG149" i="2" s="1"/>
  <c r="E309" i="12"/>
  <c r="E311" i="12" s="1"/>
  <c r="I112" i="12"/>
  <c r="G430" i="12" s="1"/>
  <c r="I43" i="12"/>
  <c r="C353" i="12" s="1"/>
  <c r="G406" i="12"/>
  <c r="I19" i="11"/>
  <c r="I66" i="11"/>
  <c r="G67" i="11"/>
  <c r="G92" i="11" s="1"/>
  <c r="F110" i="11"/>
  <c r="I48" i="11"/>
  <c r="I381" i="12"/>
  <c r="K381" i="12" s="1"/>
  <c r="I8" i="11"/>
  <c r="M37" i="15"/>
  <c r="J205" i="12"/>
  <c r="J211" i="12"/>
  <c r="S35" i="15"/>
  <c r="Y35" i="15" s="1"/>
  <c r="R37" i="15"/>
  <c r="I71" i="12"/>
  <c r="I53" i="11"/>
  <c r="I42" i="12"/>
  <c r="G352" i="12" s="1"/>
  <c r="I23" i="12"/>
  <c r="C333" i="12" s="1"/>
  <c r="I106" i="12"/>
  <c r="G110" i="11"/>
  <c r="G122" i="12"/>
  <c r="F122" i="12"/>
  <c r="F35" i="15" s="1"/>
  <c r="D84" i="10"/>
  <c r="D87" i="10" s="1"/>
  <c r="N22" i="7"/>
  <c r="E58" i="16"/>
  <c r="E62" i="16" s="1"/>
  <c r="E110" i="11"/>
  <c r="C67" i="11"/>
  <c r="C23" i="16"/>
  <c r="C35" i="16" s="1"/>
  <c r="D122" i="12"/>
  <c r="D35" i="15" s="1"/>
  <c r="E88" i="5"/>
  <c r="J209" i="12"/>
  <c r="J207" i="12"/>
  <c r="J208" i="12"/>
  <c r="J206" i="12"/>
  <c r="E340" i="12"/>
  <c r="J219" i="12"/>
  <c r="J268" i="12"/>
  <c r="J279" i="12"/>
  <c r="J272" i="12"/>
  <c r="J276" i="12"/>
  <c r="J273" i="12"/>
  <c r="J270" i="12"/>
  <c r="J274" i="12"/>
  <c r="J280" i="12"/>
  <c r="J266" i="12"/>
  <c r="J271" i="12"/>
  <c r="J265" i="12"/>
  <c r="J278" i="12"/>
  <c r="J275" i="12"/>
  <c r="J277" i="12"/>
  <c r="J262" i="12"/>
  <c r="J269" i="12"/>
  <c r="J281" i="12"/>
  <c r="J267" i="12"/>
  <c r="J263" i="12"/>
  <c r="I284" i="12"/>
  <c r="E414" i="12" s="1"/>
  <c r="J224" i="12"/>
  <c r="B309" i="12"/>
  <c r="E357" i="12"/>
  <c r="J228" i="12"/>
  <c r="J227" i="12"/>
  <c r="J221" i="12"/>
  <c r="J225" i="12"/>
  <c r="J222" i="12"/>
  <c r="J223" i="12"/>
  <c r="S24" i="15"/>
  <c r="Y24" i="15" s="1"/>
  <c r="AF298" i="2"/>
  <c r="AG298" i="2" s="1"/>
  <c r="I117" i="12"/>
  <c r="G433" i="12" s="1"/>
  <c r="I21" i="11"/>
  <c r="I111" i="12"/>
  <c r="C429" i="12" s="1"/>
  <c r="I24" i="16"/>
  <c r="J35" i="2"/>
  <c r="J36" i="2" s="1"/>
  <c r="I25" i="12"/>
  <c r="C335" i="12" s="1"/>
  <c r="AF222" i="2"/>
  <c r="AG222" i="2" s="1"/>
  <c r="C35" i="2"/>
  <c r="C52" i="2" s="1"/>
  <c r="I26" i="12"/>
  <c r="G336" i="12" s="1"/>
  <c r="I27" i="12"/>
  <c r="I337" i="12" s="1"/>
  <c r="K337" i="12" s="1"/>
  <c r="I58" i="12"/>
  <c r="G375" i="12" s="1"/>
  <c r="I29" i="16"/>
  <c r="I49" i="11"/>
  <c r="M88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69" i="12" s="1"/>
  <c r="N206" i="2"/>
  <c r="N300" i="2" s="1"/>
  <c r="L35" i="2"/>
  <c r="K35" i="2"/>
  <c r="F26" i="16"/>
  <c r="F34" i="16"/>
  <c r="F18" i="12"/>
  <c r="F22" i="16"/>
  <c r="F47" i="12"/>
  <c r="F30" i="15" s="1"/>
  <c r="F59" i="16"/>
  <c r="I101" i="11"/>
  <c r="I84" i="11"/>
  <c r="F47" i="16"/>
  <c r="I47" i="16" s="1"/>
  <c r="I80" i="11"/>
  <c r="D90" i="11"/>
  <c r="D43" i="16"/>
  <c r="D51" i="16" s="1"/>
  <c r="F101" i="12"/>
  <c r="F32" i="15" s="1"/>
  <c r="I81" i="12"/>
  <c r="B22" i="16"/>
  <c r="I46" i="11"/>
  <c r="B15" i="11"/>
  <c r="H30" i="16"/>
  <c r="I61" i="11"/>
  <c r="E329" i="12"/>
  <c r="J198" i="12"/>
  <c r="J200" i="12"/>
  <c r="J195" i="12"/>
  <c r="J197" i="12"/>
  <c r="J199" i="12"/>
  <c r="J196" i="12"/>
  <c r="J194" i="12"/>
  <c r="I109" i="12"/>
  <c r="E42" i="16"/>
  <c r="I75" i="11"/>
  <c r="F51" i="11"/>
  <c r="F23" i="16" s="1"/>
  <c r="F56" i="12"/>
  <c r="I51" i="12"/>
  <c r="C368" i="12" s="1"/>
  <c r="B72" i="12"/>
  <c r="G327" i="12"/>
  <c r="C327" i="12"/>
  <c r="I12" i="12"/>
  <c r="B20" i="15"/>
  <c r="B47" i="12"/>
  <c r="I37" i="12"/>
  <c r="E374" i="12"/>
  <c r="H72" i="12"/>
  <c r="H103" i="12" s="1"/>
  <c r="I65" i="12"/>
  <c r="B23" i="16"/>
  <c r="I88" i="12"/>
  <c r="B101" i="12"/>
  <c r="C43" i="16"/>
  <c r="C51" i="16" s="1"/>
  <c r="C90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3" i="2"/>
  <c r="AG63" i="2" s="1"/>
  <c r="B38" i="16"/>
  <c r="I70" i="11"/>
  <c r="I24" i="12"/>
  <c r="P31" i="15"/>
  <c r="I259" i="12"/>
  <c r="D18" i="12"/>
  <c r="C226" i="18" s="1"/>
  <c r="D14" i="11"/>
  <c r="N25" i="5"/>
  <c r="G309" i="12"/>
  <c r="G311" i="12" s="1"/>
  <c r="I95" i="11"/>
  <c r="I91" i="12"/>
  <c r="I402" i="12" s="1"/>
  <c r="K402" i="12" s="1"/>
  <c r="D101" i="12"/>
  <c r="D32" i="15" s="1"/>
  <c r="O37" i="15"/>
  <c r="S30" i="15"/>
  <c r="F38" i="16"/>
  <c r="F90" i="11"/>
  <c r="F309" i="12"/>
  <c r="F311" i="12" s="1"/>
  <c r="F27" i="16"/>
  <c r="I27" i="16" s="1"/>
  <c r="I56" i="11"/>
  <c r="L27" i="15"/>
  <c r="S21" i="15"/>
  <c r="Y21" i="15" s="1"/>
  <c r="E90" i="11"/>
  <c r="E92" i="11" s="1"/>
  <c r="C58" i="16"/>
  <c r="I214" i="12"/>
  <c r="I67" i="12"/>
  <c r="I18" i="11"/>
  <c r="C326" i="12"/>
  <c r="G326" i="12"/>
  <c r="I326" i="12"/>
  <c r="K326" i="12" s="1"/>
  <c r="I20" i="11"/>
  <c r="B35" i="2"/>
  <c r="M52" i="2" l="1"/>
  <c r="G401" i="12"/>
  <c r="I401" i="12"/>
  <c r="K401" i="12" s="1"/>
  <c r="G405" i="12"/>
  <c r="I405" i="12"/>
  <c r="K405" i="12" s="1"/>
  <c r="C387" i="12"/>
  <c r="I387" i="12"/>
  <c r="K387" i="12" s="1"/>
  <c r="G411" i="12"/>
  <c r="I411" i="12"/>
  <c r="C408" i="12"/>
  <c r="I408" i="12"/>
  <c r="K408" i="12" s="1"/>
  <c r="G410" i="12"/>
  <c r="I410" i="12"/>
  <c r="K410" i="12" s="1"/>
  <c r="C400" i="12"/>
  <c r="I400" i="12"/>
  <c r="K400" i="12" s="1"/>
  <c r="C388" i="12"/>
  <c r="I388" i="12"/>
  <c r="K388" i="12" s="1"/>
  <c r="G424" i="12"/>
  <c r="I122" i="12"/>
  <c r="G438" i="12" s="1"/>
  <c r="C198" i="18"/>
  <c r="N89" i="6"/>
  <c r="C378" i="12"/>
  <c r="I28" i="12"/>
  <c r="I338" i="12" s="1"/>
  <c r="K338" i="12" s="1"/>
  <c r="M590" i="18"/>
  <c r="O590" i="18" s="1"/>
  <c r="G103" i="12"/>
  <c r="G175" i="12" s="1"/>
  <c r="G33" i="15"/>
  <c r="C596" i="18"/>
  <c r="C621" i="18" s="1"/>
  <c r="C639" i="18" s="1"/>
  <c r="B24" i="11"/>
  <c r="B25" i="11" s="1"/>
  <c r="B27" i="11" s="1"/>
  <c r="E214" i="18"/>
  <c r="I370" i="12"/>
  <c r="K370" i="12" s="1"/>
  <c r="C370" i="12"/>
  <c r="C397" i="12"/>
  <c r="I378" i="12"/>
  <c r="K378" i="12" s="1"/>
  <c r="D36" i="2"/>
  <c r="D302" i="2"/>
  <c r="I397" i="12"/>
  <c r="K397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07" i="12"/>
  <c r="C407" i="18"/>
  <c r="E816" i="18"/>
  <c r="M816" i="18"/>
  <c r="O816" i="18" s="1"/>
  <c r="I73" i="11"/>
  <c r="I376" i="12"/>
  <c r="K376" i="12" s="1"/>
  <c r="C376" i="12"/>
  <c r="C372" i="12"/>
  <c r="I35" i="11"/>
  <c r="E33" i="15"/>
  <c r="E37" i="15" s="1"/>
  <c r="E40" i="15" s="1"/>
  <c r="I82" i="11"/>
  <c r="C380" i="12"/>
  <c r="E596" i="18"/>
  <c r="E621" i="18" s="1"/>
  <c r="C214" i="18"/>
  <c r="E302" i="18"/>
  <c r="O425" i="18"/>
  <c r="E359" i="18"/>
  <c r="E320" i="18"/>
  <c r="I380" i="12"/>
  <c r="K380" i="12" s="1"/>
  <c r="I379" i="12"/>
  <c r="K379" i="12" s="1"/>
  <c r="M203" i="18"/>
  <c r="O203" i="18" s="1"/>
  <c r="O214" i="18" s="1"/>
  <c r="C227" i="18"/>
  <c r="C239" i="18" s="1"/>
  <c r="M226" i="18"/>
  <c r="E226" i="18"/>
  <c r="E227" i="18" s="1"/>
  <c r="I56" i="12"/>
  <c r="C373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07" i="12"/>
  <c r="C30" i="12"/>
  <c r="C24" i="15" s="1"/>
  <c r="C25" i="15" s="1"/>
  <c r="C9" i="16" s="1"/>
  <c r="C124" i="18"/>
  <c r="C15" i="11"/>
  <c r="C27" i="11" s="1"/>
  <c r="G371" i="12"/>
  <c r="E835" i="18"/>
  <c r="M801" i="18"/>
  <c r="O801" i="18" s="1"/>
  <c r="E801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79" i="12"/>
  <c r="F19" i="12"/>
  <c r="F20" i="15" s="1"/>
  <c r="F21" i="15" s="1"/>
  <c r="F27" i="15" s="1"/>
  <c r="C331" i="18"/>
  <c r="C396" i="12"/>
  <c r="G372" i="12"/>
  <c r="I396" i="12"/>
  <c r="K396" i="12" s="1"/>
  <c r="I46" i="12"/>
  <c r="G356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1" i="12"/>
  <c r="B43" i="16"/>
  <c r="I43" i="16" s="1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1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8" i="5"/>
  <c r="I32" i="11"/>
  <c r="I100" i="11"/>
  <c r="I78" i="11"/>
  <c r="B42" i="11"/>
  <c r="G65" i="16"/>
  <c r="G115" i="11"/>
  <c r="H175" i="12"/>
  <c r="H112" i="11"/>
  <c r="H65" i="16"/>
  <c r="H115" i="11"/>
  <c r="E65" i="16"/>
  <c r="E115" i="11"/>
  <c r="C35" i="15"/>
  <c r="E52" i="2"/>
  <c r="E84" i="2"/>
  <c r="B103" i="12"/>
  <c r="C33" i="15"/>
  <c r="C311" i="12"/>
  <c r="B311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86" i="12"/>
  <c r="G386" i="12"/>
  <c r="C393" i="12"/>
  <c r="F36" i="2"/>
  <c r="F84" i="2"/>
  <c r="G393" i="12"/>
  <c r="AF65" i="2"/>
  <c r="AG65" i="2" s="1"/>
  <c r="N97" i="2"/>
  <c r="AF97" i="2" s="1"/>
  <c r="AG97" i="2" s="1"/>
  <c r="I96" i="11"/>
  <c r="B57" i="16"/>
  <c r="B62" i="16" s="1"/>
  <c r="B42" i="16"/>
  <c r="I42" i="16" s="1"/>
  <c r="B90" i="11"/>
  <c r="I90" i="11" s="1"/>
  <c r="G377" i="12"/>
  <c r="I377" i="12"/>
  <c r="K377" i="12" s="1"/>
  <c r="G385" i="12"/>
  <c r="B67" i="11"/>
  <c r="C401" i="12"/>
  <c r="B34" i="16"/>
  <c r="I34" i="16" s="1"/>
  <c r="I64" i="11"/>
  <c r="G350" i="12"/>
  <c r="I350" i="12"/>
  <c r="K350" i="12" s="1"/>
  <c r="C351" i="12"/>
  <c r="I385" i="12"/>
  <c r="K385" i="12" s="1"/>
  <c r="I324" i="12"/>
  <c r="K324" i="12" s="1"/>
  <c r="C324" i="12"/>
  <c r="I351" i="12"/>
  <c r="K351" i="12" s="1"/>
  <c r="I374" i="12"/>
  <c r="K374" i="12" s="1"/>
  <c r="G374" i="12"/>
  <c r="G112" i="11"/>
  <c r="I323" i="12"/>
  <c r="K323" i="12" s="1"/>
  <c r="C323" i="12"/>
  <c r="G400" i="12"/>
  <c r="I26" i="16"/>
  <c r="G426" i="12"/>
  <c r="I86" i="11"/>
  <c r="G431" i="12"/>
  <c r="G408" i="12"/>
  <c r="G387" i="12"/>
  <c r="C405" i="12"/>
  <c r="E103" i="12"/>
  <c r="C411" i="12"/>
  <c r="K355" i="12"/>
  <c r="B17" i="16"/>
  <c r="B18" i="16" s="1"/>
  <c r="C410" i="12"/>
  <c r="G355" i="12"/>
  <c r="C349" i="12"/>
  <c r="B110" i="11"/>
  <c r="G349" i="12"/>
  <c r="C403" i="12"/>
  <c r="G425" i="12"/>
  <c r="C425" i="12"/>
  <c r="B46" i="16"/>
  <c r="I46" i="16" s="1"/>
  <c r="I83" i="11"/>
  <c r="B50" i="16"/>
  <c r="I50" i="16" s="1"/>
  <c r="G403" i="12"/>
  <c r="G395" i="12"/>
  <c r="I395" i="12"/>
  <c r="K395" i="12" s="1"/>
  <c r="C92" i="11"/>
  <c r="I404" i="12"/>
  <c r="K404" i="12" s="1"/>
  <c r="C398" i="12"/>
  <c r="E112" i="11"/>
  <c r="C103" i="12"/>
  <c r="G325" i="12"/>
  <c r="I325" i="12"/>
  <c r="K325" i="12" s="1"/>
  <c r="G404" i="12"/>
  <c r="C20" i="15"/>
  <c r="C21" i="15" s="1"/>
  <c r="C7" i="16" s="1"/>
  <c r="I21" i="12"/>
  <c r="I398" i="12"/>
  <c r="K398" i="12" s="1"/>
  <c r="E51" i="16"/>
  <c r="E53" i="16" s="1"/>
  <c r="E64" i="16" s="1"/>
  <c r="G52" i="2"/>
  <c r="D52" i="2"/>
  <c r="G302" i="2"/>
  <c r="C430" i="12"/>
  <c r="G388" i="12"/>
  <c r="J84" i="2"/>
  <c r="I353" i="12"/>
  <c r="K353" i="12" s="1"/>
  <c r="C84" i="2"/>
  <c r="G353" i="12"/>
  <c r="C424" i="12"/>
  <c r="J52" i="2"/>
  <c r="J212" i="12"/>
  <c r="C352" i="12"/>
  <c r="I352" i="12"/>
  <c r="K352" i="12" s="1"/>
  <c r="G333" i="12"/>
  <c r="I333" i="12"/>
  <c r="K333" i="12" s="1"/>
  <c r="G64" i="16"/>
  <c r="G35" i="15"/>
  <c r="G429" i="12"/>
  <c r="I369" i="12"/>
  <c r="K369" i="12" s="1"/>
  <c r="G369" i="12"/>
  <c r="C53" i="16"/>
  <c r="I23" i="16"/>
  <c r="I335" i="12"/>
  <c r="K335" i="12" s="1"/>
  <c r="J122" i="12"/>
  <c r="J282" i="12"/>
  <c r="J284" i="12"/>
  <c r="J229" i="12"/>
  <c r="F51" i="16"/>
  <c r="G335" i="12"/>
  <c r="I29" i="12"/>
  <c r="G339" i="12" s="1"/>
  <c r="I22" i="12"/>
  <c r="I332" i="12" s="1"/>
  <c r="K332" i="12" s="1"/>
  <c r="I50" i="12"/>
  <c r="C36" i="2"/>
  <c r="I336" i="12"/>
  <c r="K336" i="12" s="1"/>
  <c r="C336" i="12"/>
  <c r="G337" i="12"/>
  <c r="C337" i="12"/>
  <c r="C375" i="12"/>
  <c r="I375" i="12"/>
  <c r="K375" i="12" s="1"/>
  <c r="D21" i="16"/>
  <c r="D67" i="11"/>
  <c r="I45" i="11"/>
  <c r="AF206" i="2"/>
  <c r="AG206" i="2" s="1"/>
  <c r="I84" i="2"/>
  <c r="I302" i="2"/>
  <c r="K52" i="2"/>
  <c r="K36" i="2"/>
  <c r="L302" i="2"/>
  <c r="L36" i="2"/>
  <c r="L52" i="2"/>
  <c r="I36" i="2"/>
  <c r="I52" i="2"/>
  <c r="F72" i="12"/>
  <c r="F31" i="15" s="1"/>
  <c r="F33" i="15" s="1"/>
  <c r="I51" i="11"/>
  <c r="I59" i="16"/>
  <c r="F62" i="16"/>
  <c r="L37" i="15"/>
  <c r="S27" i="15"/>
  <c r="Y27" i="15" s="1"/>
  <c r="C402" i="12"/>
  <c r="G402" i="12"/>
  <c r="B30" i="15"/>
  <c r="G322" i="12"/>
  <c r="C322" i="12"/>
  <c r="I322" i="12"/>
  <c r="K322" i="12" s="1"/>
  <c r="E342" i="12"/>
  <c r="I14" i="11"/>
  <c r="D15" i="11"/>
  <c r="D27" i="11" s="1"/>
  <c r="J254" i="12"/>
  <c r="J250" i="12"/>
  <c r="J248" i="12"/>
  <c r="J251" i="12"/>
  <c r="J243" i="12"/>
  <c r="J252" i="12"/>
  <c r="J255" i="12"/>
  <c r="J257" i="12"/>
  <c r="J245" i="12"/>
  <c r="J258" i="12"/>
  <c r="J253" i="12"/>
  <c r="J238" i="12"/>
  <c r="J237" i="12"/>
  <c r="J242" i="12"/>
  <c r="J239" i="12"/>
  <c r="J241" i="12"/>
  <c r="E389" i="12"/>
  <c r="J246" i="12"/>
  <c r="J249" i="12"/>
  <c r="J256" i="12"/>
  <c r="J240" i="12"/>
  <c r="J247" i="12"/>
  <c r="I334" i="12"/>
  <c r="K334" i="12" s="1"/>
  <c r="C334" i="12"/>
  <c r="G334" i="12"/>
  <c r="J244" i="12"/>
  <c r="B35" i="15"/>
  <c r="J201" i="12"/>
  <c r="E438" i="12"/>
  <c r="M36" i="2"/>
  <c r="I22" i="16"/>
  <c r="D47" i="12"/>
  <c r="I47" i="12" s="1"/>
  <c r="J38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1" i="2"/>
  <c r="AG71" i="2" s="1"/>
  <c r="B32" i="15"/>
  <c r="I101" i="12"/>
  <c r="B31" i="15"/>
  <c r="C427" i="12"/>
  <c r="G427" i="12"/>
  <c r="AF61" i="2"/>
  <c r="AG61" i="2" s="1"/>
  <c r="G384" i="12"/>
  <c r="C384" i="12"/>
  <c r="I384" i="12"/>
  <c r="K384" i="12" s="1"/>
  <c r="AF11" i="2"/>
  <c r="AG11" i="2" s="1"/>
  <c r="N35" i="2"/>
  <c r="N52" i="2" s="1"/>
  <c r="H31" i="15"/>
  <c r="H33" i="15" s="1"/>
  <c r="H37" i="15" s="1"/>
  <c r="H40" i="15" s="1"/>
  <c r="H124" i="12"/>
  <c r="H126" i="12" s="1"/>
  <c r="N89" i="2"/>
  <c r="AF87" i="2"/>
  <c r="AG87" i="2" s="1"/>
  <c r="B52" i="2"/>
  <c r="B36" i="2"/>
  <c r="AF92" i="2"/>
  <c r="AG92" i="2" s="1"/>
  <c r="Y30" i="15"/>
  <c r="I309" i="12"/>
  <c r="C399" i="12"/>
  <c r="I399" i="12"/>
  <c r="K399" i="12" s="1"/>
  <c r="G399" i="12"/>
  <c r="I15" i="16"/>
  <c r="C382" i="12"/>
  <c r="G382" i="12"/>
  <c r="I382" i="12"/>
  <c r="K382" i="12" s="1"/>
  <c r="I347" i="12"/>
  <c r="K347" i="12" s="1"/>
  <c r="C347" i="12"/>
  <c r="G347" i="12"/>
  <c r="I368" i="12"/>
  <c r="K368" i="12" s="1"/>
  <c r="G368" i="12"/>
  <c r="F67" i="11"/>
  <c r="F92" i="11" s="1"/>
  <c r="F112" i="11" s="1"/>
  <c r="F116" i="11" s="1"/>
  <c r="H35" i="16"/>
  <c r="H53" i="16" s="1"/>
  <c r="H64" i="16" s="1"/>
  <c r="I30" i="16"/>
  <c r="G392" i="12"/>
  <c r="C392" i="12"/>
  <c r="I392" i="12"/>
  <c r="K392" i="12" s="1"/>
  <c r="I412" i="12" l="1"/>
  <c r="K412" i="12" s="1"/>
  <c r="G412" i="12"/>
  <c r="F35" i="16"/>
  <c r="F53" i="16" s="1"/>
  <c r="C367" i="12"/>
  <c r="G367" i="12"/>
  <c r="H176" i="12"/>
  <c r="G176" i="12"/>
  <c r="M596" i="18"/>
  <c r="M621" i="18" s="1"/>
  <c r="M639" i="18" s="1"/>
  <c r="G124" i="12"/>
  <c r="G126" i="12" s="1"/>
  <c r="I24" i="11"/>
  <c r="I25" i="11"/>
  <c r="C338" i="12"/>
  <c r="G338" i="12"/>
  <c r="G37" i="15"/>
  <c r="G40" i="15" s="1"/>
  <c r="O596" i="18"/>
  <c r="O621" i="18" s="1"/>
  <c r="O639" i="18" s="1"/>
  <c r="E66" i="16"/>
  <c r="M25" i="18"/>
  <c r="M27" i="18" s="1"/>
  <c r="B32" i="12"/>
  <c r="I373" i="12"/>
  <c r="K373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56" i="12"/>
  <c r="G373" i="12"/>
  <c r="I356" i="12"/>
  <c r="K356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5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0" i="11"/>
  <c r="D115" i="11"/>
  <c r="E302" i="2"/>
  <c r="F302" i="2"/>
  <c r="C92" i="18"/>
  <c r="B115" i="11"/>
  <c r="G178" i="12"/>
  <c r="G116" i="11"/>
  <c r="H178" i="12"/>
  <c r="H116" i="11"/>
  <c r="C65" i="16"/>
  <c r="C115" i="11"/>
  <c r="P41" i="15"/>
  <c r="E124" i="12"/>
  <c r="E126" i="12" s="1"/>
  <c r="E175" i="12"/>
  <c r="J91" i="12"/>
  <c r="J83" i="12"/>
  <c r="E116" i="11"/>
  <c r="S40" i="15"/>
  <c r="I311" i="12"/>
  <c r="B35" i="16"/>
  <c r="D65" i="16"/>
  <c r="B92" i="11"/>
  <c r="B112" i="11" s="1"/>
  <c r="AF300" i="2"/>
  <c r="AG300" i="2" s="1"/>
  <c r="B65" i="16"/>
  <c r="C112" i="11"/>
  <c r="I57" i="16"/>
  <c r="B51" i="16"/>
  <c r="G84" i="2"/>
  <c r="C302" i="2"/>
  <c r="J302" i="2"/>
  <c r="C27" i="15"/>
  <c r="C37" i="15" s="1"/>
  <c r="C40" i="15" s="1"/>
  <c r="C11" i="16"/>
  <c r="C64" i="16" s="1"/>
  <c r="D84" i="2"/>
  <c r="I35" i="15"/>
  <c r="W35" i="15" s="1"/>
  <c r="I367" i="12"/>
  <c r="K367" i="12" s="1"/>
  <c r="F103" i="12"/>
  <c r="I339" i="12"/>
  <c r="K339" i="12" s="1"/>
  <c r="I15" i="11"/>
  <c r="B9" i="16"/>
  <c r="I9" i="16" s="1"/>
  <c r="G332" i="12"/>
  <c r="C332" i="12"/>
  <c r="C339" i="12"/>
  <c r="I21" i="16"/>
  <c r="D35" i="16"/>
  <c r="D53" i="16" s="1"/>
  <c r="D92" i="11"/>
  <c r="K302" i="2"/>
  <c r="K84" i="2"/>
  <c r="N72" i="2"/>
  <c r="AF72" i="2" s="1"/>
  <c r="AG72" i="2" s="1"/>
  <c r="I72" i="12"/>
  <c r="J88" i="12"/>
  <c r="I31" i="15"/>
  <c r="AA31" i="15" s="1"/>
  <c r="J81" i="12"/>
  <c r="I67" i="11"/>
  <c r="I328" i="12"/>
  <c r="K328" i="12" s="1"/>
  <c r="G328" i="12"/>
  <c r="C328" i="12"/>
  <c r="I354" i="12"/>
  <c r="K354" i="12" s="1"/>
  <c r="J44" i="12"/>
  <c r="C354" i="12"/>
  <c r="G354" i="12"/>
  <c r="C438" i="12"/>
  <c r="B33" i="15"/>
  <c r="S37" i="15"/>
  <c r="AF35" i="2"/>
  <c r="AG35" i="2" s="1"/>
  <c r="N36" i="2"/>
  <c r="AF36" i="2" s="1"/>
  <c r="AG36" i="2" s="1"/>
  <c r="AF52" i="2"/>
  <c r="AG52" i="2" s="1"/>
  <c r="G357" i="12"/>
  <c r="J41" i="12"/>
  <c r="C357" i="12"/>
  <c r="I357" i="12"/>
  <c r="K357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F40" i="15" s="1"/>
  <c r="N98" i="2"/>
  <c r="AF98" i="2" s="1"/>
  <c r="AG98" i="2" s="1"/>
  <c r="AF89" i="2"/>
  <c r="AG89" i="2" s="1"/>
  <c r="J259" i="12"/>
  <c r="J37" i="12"/>
  <c r="I18" i="16"/>
  <c r="B21" i="15"/>
  <c r="E440" i="12"/>
  <c r="S33" i="15"/>
  <c r="Y33" i="15" s="1"/>
  <c r="I17" i="16"/>
  <c r="J90" i="12"/>
  <c r="J82" i="12"/>
  <c r="J96" i="12"/>
  <c r="J89" i="12"/>
  <c r="I32" i="15"/>
  <c r="C412" i="12"/>
  <c r="J94" i="12"/>
  <c r="J99" i="12"/>
  <c r="J84" i="12"/>
  <c r="J92" i="12"/>
  <c r="J93" i="12"/>
  <c r="J85" i="12"/>
  <c r="J100" i="12"/>
  <c r="J97" i="12"/>
  <c r="J98" i="12"/>
  <c r="J95" i="12"/>
  <c r="J86" i="12"/>
  <c r="J87" i="12"/>
  <c r="I42" i="11"/>
  <c r="M533" i="18" l="1"/>
  <c r="I329" i="12"/>
  <c r="K329" i="12" s="1"/>
  <c r="J67" i="12"/>
  <c r="I389" i="12"/>
  <c r="B175" i="12"/>
  <c r="B176" i="12" s="1"/>
  <c r="E176" i="12"/>
  <c r="C176" i="12"/>
  <c r="B124" i="12"/>
  <c r="B126" i="12" s="1"/>
  <c r="F124" i="12"/>
  <c r="F126" i="12" s="1"/>
  <c r="G340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29" i="12"/>
  <c r="J16" i="12"/>
  <c r="J17" i="12"/>
  <c r="G329" i="12"/>
  <c r="J12" i="12"/>
  <c r="J18" i="12"/>
  <c r="J15" i="12"/>
  <c r="E859" i="18"/>
  <c r="E830" i="18"/>
  <c r="E409" i="18"/>
  <c r="C872" i="18"/>
  <c r="J23" i="12"/>
  <c r="F64" i="16"/>
  <c r="C124" i="12"/>
  <c r="C126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0" i="12"/>
  <c r="K340" i="12" s="1"/>
  <c r="C340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6" i="11"/>
  <c r="O857" i="18"/>
  <c r="O862" i="18"/>
  <c r="O859" i="18"/>
  <c r="E92" i="18"/>
  <c r="E110" i="18" s="1"/>
  <c r="C110" i="18"/>
  <c r="E178" i="12"/>
  <c r="C178" i="12"/>
  <c r="C116" i="11"/>
  <c r="F175" i="12"/>
  <c r="I32" i="12"/>
  <c r="I342" i="12" s="1"/>
  <c r="K342" i="12" s="1"/>
  <c r="D175" i="12"/>
  <c r="I115" i="11"/>
  <c r="S41" i="15"/>
  <c r="B53" i="16"/>
  <c r="I65" i="16"/>
  <c r="I92" i="11"/>
  <c r="I51" i="16"/>
  <c r="AA35" i="15"/>
  <c r="AC35" i="15"/>
  <c r="AE35" i="15" s="1"/>
  <c r="I103" i="12"/>
  <c r="D112" i="11"/>
  <c r="D116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89" i="12"/>
  <c r="J60" i="12"/>
  <c r="J64" i="12"/>
  <c r="J65" i="12"/>
  <c r="J62" i="12"/>
  <c r="C389" i="12"/>
  <c r="G389" i="12"/>
  <c r="J69" i="12"/>
  <c r="J57" i="12"/>
  <c r="J51" i="12"/>
  <c r="J101" i="12"/>
  <c r="I21" i="15"/>
  <c r="B7" i="16"/>
  <c r="B27" i="15"/>
  <c r="J47" i="12"/>
  <c r="D124" i="12"/>
  <c r="D126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G414" i="12" l="1"/>
  <c r="I414" i="12"/>
  <c r="I175" i="12"/>
  <c r="B178" i="12"/>
  <c r="D176" i="12"/>
  <c r="F176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78" i="12"/>
  <c r="C342" i="12"/>
  <c r="G342" i="12"/>
  <c r="D178" i="12"/>
  <c r="I53" i="16"/>
  <c r="J103" i="12"/>
  <c r="C414" i="12"/>
  <c r="I112" i="11"/>
  <c r="I116" i="11" s="1"/>
  <c r="W20" i="15"/>
  <c r="AA20" i="15"/>
  <c r="I124" i="12"/>
  <c r="I126" i="12" s="1"/>
  <c r="AF83" i="2"/>
  <c r="AG83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178" i="12" l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0" i="12"/>
  <c r="C441" i="12" s="1"/>
  <c r="G440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0" i="2"/>
  <c r="N74" i="2"/>
  <c r="AF74" i="2" s="1"/>
  <c r="AG74" i="2" s="1"/>
  <c r="N79" i="2" l="1"/>
  <c r="N80" i="2" s="1"/>
  <c r="N302" i="2" s="1"/>
  <c r="B84" i="2" l="1"/>
  <c r="AF79" i="2"/>
  <c r="AG79" i="2" s="1"/>
  <c r="AF302" i="2" l="1"/>
  <c r="AG302" i="2" s="1"/>
  <c r="AF80" i="2"/>
  <c r="AG8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0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0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1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1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58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58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<sst xmlns="http://schemas.openxmlformats.org/spreadsheetml/2006/main" count="2958" uniqueCount="619">
  <si>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</si>
  <si>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</si>
  <si>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</si>
  <si>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</si>
  <si>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</si>
  <si>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</si>
  <si>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</si>
  <si>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</si>
  <si>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</si>
  <si>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</si>
  <si>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</si>
  <si>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</si>
  <si>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</si>
  <si>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</si>
  <si>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</si>
  <si>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</si>
  <si>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</si>
  <si>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</si>
  <si>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</si>
  <si>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</si>
  <si>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</si>
  <si>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</si>
  <si>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</si>
  <si>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</si>
  <si>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</si>
  <si>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</si>
  <si>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</si>
  <si>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</si>
  <si>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</si>
  <si>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</si>
  <si>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</si>
  <si>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</si>
  <si>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</si>
  <si>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</si>
  <si>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</si>
  <si>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</si>
  <si>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</si>
  <si>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</si>
  <si>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</si>
  <si>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</si>
  <si>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</si>
  <si>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</si>
  <si>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</si>
  <si>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</si>
  <si>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</si>
  <si>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</si>
  <si>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</si>
  <si>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</si>
  <si>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</si>
  <si>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</si>
  <si>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</si>
  <si>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</si>
  <si>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</si>
  <si>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</si>
  <si>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</si>
  <si>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</si>
  <si>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</si>
  <si>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</si>
  <si>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</si>
  <si>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</si>
  <si>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</si>
  <si>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</si>
  <si>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</si>
  <si>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</si>
  <si>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</si>
  <si>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</si>
  <si>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</si>
  <si>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</si>
  <si>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</si>
  <si>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</si>
  <si>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</si>
  <si>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</si>
  <si>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</si>
  <si>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</si>
  <si>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</si>
  <si>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</si>
  <si>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</si>
  <si>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</si>
  <si>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</si>
  <si>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</si>
  <si>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</si>
  <si>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</si>
  <si>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</si>
  <si>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</si>
  <si>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</si>
  <si>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</si>
  <si>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</si>
  <si>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</si>
  <si>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</si>
  <si>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</si>
  <si>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</si>
  <si>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</si>
  <si>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</si>
  <si>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</si>
  <si>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</si>
  <si>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</si>
  <si>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</si>
  <si>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</si>
  <si>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</si>
  <si>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</si>
  <si>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</si>
  <si>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</si>
  <si>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</si>
  <si>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</si>
  <si>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</si>
  <si>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</si>
  <si>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</si>
  <si>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</si>
  <si>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</si>
  <si>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</si>
  <si>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</si>
  <si>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</si>
  <si>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</si>
  <si>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</si>
  <si>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</si>
  <si>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</si>
  <si>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</si>
  <si>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</si>
  <si>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</si>
  <si>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</si>
  <si>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</si>
  <si>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</si>
  <si>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</si>
  <si>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</si>
  <si>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</si>
  <si>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</si>
  <si>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</si>
  <si>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</si>
  <si>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</si>
  <si>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</si>
  <si>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</si>
  <si>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</si>
  <si>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</si>
  <si>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</si>
  <si>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</si>
  <si>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</si>
  <si>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</si>
  <si>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</si>
  <si>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</si>
  <si>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</si>
  <si>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</si>
  <si>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</si>
  <si>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</si>
  <si>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</si>
  <si>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</si>
  <si>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</si>
  <si>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</si>
  <si>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</si>
  <si>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</si>
  <si>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</si>
  <si>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</si>
  <si>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</si>
  <si>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</si>
  <si>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</si>
  <si>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</si>
  <si>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</si>
  <si>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</si>
  <si>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</si>
  <si>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</si>
  <si>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</si>
  <si>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</si>
  <si>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</si>
  <si>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</si>
  <si>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</si>
  <si>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</si>
  <si>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</si>
  <si>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</si>
  <si>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</si>
  <si>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</si>
  <si>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</si>
  <si>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</si>
  <si>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</si>
  <si>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</si>
  <si>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</si>
  <si>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</si>
  <si>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</si>
  <si>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</si>
  <si>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</si>
  <si>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</si>
  <si>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</si>
  <si>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</si>
  <si>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</si>
  <si>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</si>
  <si>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</si>
  <si>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</si>
  <si>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</si>
  <si>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</si>
  <si>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</si>
  <si>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</si>
  <si>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</si>
  <si>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</si>
  <si>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</si>
  <si>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</si>
  <si>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</si>
  <si>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</si>
  <si>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</si>
  <si>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</si>
  <si>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</si>
  <si>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</si>
  <si>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</si>
  <si>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</si>
  <si>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</si>
  <si>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</si>
  <si>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</si>
  <si>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</si>
  <si>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</si>
  <si>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</si>
  <si>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</si>
  <si>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</si>
  <si>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</si>
  <si>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</si>
  <si>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</si>
  <si>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</si>
  <si>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</si>
  <si>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</si>
  <si>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</si>
  <si>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</si>
  <si>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</si>
  <si>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</si>
  <si>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</si>
  <si>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</si>
  <si>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</si>
  <si>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</si>
  <si>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</si>
  <si>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</si>
  <si>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</si>
  <si>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</si>
  <si>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</si>
  <si>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</si>
  <si>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</si>
  <si>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</si>
  <si>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</si>
  <si>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</si>
  <si>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</si>
  <si>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</si>
  <si>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</si>
  <si>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</si>
  <si>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</si>
  <si>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</si>
  <si>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</si>
  <si>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</si>
  <si>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</si>
  <si>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</si>
  <si>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</si>
  <si>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</si>
  <si>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</si>
  <si>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</si>
  <si>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</si>
  <si>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</si>
  <si>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</si>
  <si>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</si>
  <si>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</si>
  <si>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</si>
  <si>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</si>
  <si>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</si>
  <si>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</si>
  <si>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</si>
  <si>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</si>
  <si>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</si>
  <si>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</si>
  <si>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</si>
  <si>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</si>
  <si>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</si>
  <si>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</si>
  <si>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</si>
  <si>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</si>
  <si>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</si>
  <si>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</si>
  <si>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</si>
  <si>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</si>
  <si>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</si>
  <si>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</si>
  <si>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</si>
  <si>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</si>
  <si>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</si>
  <si>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</si>
  <si>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</si>
  <si>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</si>
  <si>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</si>
  <si>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</si>
  <si>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</si>
  <si>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</si>
  <si>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</si>
  <si>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</si>
  <si>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</si>
  <si>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</si>
  <si>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</si>
  <si>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</si>
  <si>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</si>
  <si>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</si>
  <si>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</si>
  <si>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</si>
  <si>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</si>
  <si>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</si>
  <si>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</si>
  <si>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</si>
  <si>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</si>
  <si>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</si>
  <si>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</si>
  <si>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</si>
  <si>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</si>
  <si>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</si>
  <si>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</si>
  <si>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</si>
  <si>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</si>
  <si>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</si>
  <si>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</si>
  <si>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</si>
  <si>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</si>
  <si>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</si>
  <si>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</si>
  <si>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</si>
  <si>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</si>
  <si>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</si>
  <si>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</si>
  <si>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</si>
  <si>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</si>
  <si>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</si>
  <si>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</si>
  <si>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</si>
  <si>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</si>
  <si>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</si>
  <si>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</si>
  <si>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</si>
  <si>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</si>
  <si>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</si>
  <si>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</si>
  <si>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</si>
  <si>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</si>
  <si>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</si>
  <si>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</si>
  <si>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</si>
  <si>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</si>
  <si>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</si>
  <si>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</si>
  <si>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</si>
  <si>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</si>
  <si>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</si>
  <si>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</si>
  <si>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</si>
  <si>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</si>
  <si>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</si>
  <si>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</si>
  <si>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</si>
  <si>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</si>
  <si>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</si>
  <si>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</si>
  <si>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</si>
  <si>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</si>
  <si>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</si>
  <si>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</si>
  <si>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</si>
  <si>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</si>
  <si>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</si>
  <si>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</si>
  <si>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</si>
  <si>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</si>
  <si>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</si>
  <si>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</si>
  <si>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</si>
  <si>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</si>
  <si>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</si>
  <si>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</si>
  <si>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</si>
  <si>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</si>
  <si>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</si>
  <si>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</si>
  <si>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</si>
  <si>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</si>
  <si>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</si>
  <si>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</si>
  <si>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</si>
  <si>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</si>
  <si>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</si>
  <si>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</si>
  <si>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</si>
  <si>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</si>
  <si>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</si>
  <si>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</si>
  <si>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</si>
  <si>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</si>
  <si>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</si>
  <si>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</si>
  <si>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</si>
  <si>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</si>
  <si>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</si>
  <si>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</si>
  <si>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</si>
  <si>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</si>
  <si>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</si>
  <si>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</si>
  <si>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</si>
  <si>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</si>
  <si>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</si>
  <si>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</si>
  <si>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</si>
  <si>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</si>
  <si>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</si>
  <si>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</si>
  <si>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</si>
  <si>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</si>
  <si>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</si>
  <si>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</si>
  <si>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</si>
  <si>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</si>
  <si>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</si>
  <si>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</si>
  <si>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</si>
  <si>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</si>
  <si>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</si>
  <si>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</si>
  <si>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</si>
  <si>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</si>
  <si>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</si>
  <si>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</si>
  <si>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</si>
  <si>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</si>
  <si>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</si>
  <si>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</si>
  <si>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</si>
  <si>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</si>
  <si>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</si>
  <si>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</si>
  <si>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</si>
  <si>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</si>
  <si>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</si>
  <si>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</si>
  <si>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</si>
  <si>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</si>
  <si>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</si>
  <si>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</si>
  <si>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</si>
  <si>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</si>
  <si>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</si>
  <si>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</si>
  <si>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</si>
  <si>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</si>
  <si>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</si>
  <si>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</si>
  <si>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</si>
  <si>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</si>
  <si>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</si>
  <si>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</si>
  <si>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</si>
  <si>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</si>
  <si>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</si>
  <si>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</si>
  <si>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</si>
  <si>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</si>
  <si>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</si>
  <si>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</si>
  <si>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</si>
  <si>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</si>
  <si>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</si>
  <si>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</si>
  <si>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</si>
  <si>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</si>
  <si>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</si>
  <si>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</si>
  <si>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</si>
  <si>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</si>
  <si>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</si>
  <si>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</si>
  <si>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</si>
  <si>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</si>
  <si>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</si>
  <si>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</si>
  <si>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</si>
  <si>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</si>
  <si>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</si>
  <si>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</si>
  <si>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</si>
  <si>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</si>
  <si>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</si>
  <si>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</si>
  <si>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</si>
  <si>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</si>
  <si>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</si>
  <si>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</si>
  <si>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</si>
  <si>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</si>
  <si>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</si>
  <si>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</si>
  <si>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</si>
  <si>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</si>
  <si>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</si>
  <si>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</si>
  <si>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</si>
  <si>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</si>
  <si>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</si>
  <si>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</si>
  <si>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</si>
  <si>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</si>
  <si>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</si>
  <si>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</si>
  <si>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</si>
  <si>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</si>
  <si>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</si>
  <si>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</si>
  <si>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</si>
  <si>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</si>
  <si>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</si>
  <si>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</si>
  <si>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</si>
  <si>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</si>
  <si>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</si>
  <si>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</si>
  <si>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</si>
  <si>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</si>
  <si>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</si>
  <si>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</si>
  <si>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</si>
  <si>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</si>
  <si>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</si>
  <si>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</si>
  <si>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</si>
  <si>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</si>
  <si>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</si>
  <si>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</si>
  <si>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</si>
  <si>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</si>
  <si>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</si>
  <si>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</si>
  <si>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</si>
  <si>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</si>
  <si>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</si>
  <si>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</si>
  <si>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</si>
  <si>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</si>
  <si>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</si>
  <si>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</si>
  <si>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</si>
  <si>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</si>
  <si>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</si>
  <si>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</si>
  <si>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</si>
  <si>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</si>
  <si>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</si>
  <si>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</si>
  <si>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</si>
  <si>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</si>
  <si>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</si>
  <si>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</si>
  <si>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</si>
  <si>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</si>
  <si>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</si>
  <si>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</si>
  <si>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</si>
  <si>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</si>
  <si>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</si>
  <si>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</si>
  <si>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</si>
  <si>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</si>
  <si>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</si>
  <si>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</si>
  <si>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</si>
  <si>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</si>
  <si>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</si>
  <si>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</si>
  <si>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</si>
  <si>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</si>
  <si>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</si>
  <si>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</si>
  <si>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</si>
  <si>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</si>
  <si>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</si>
  <si>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</si>
  <si>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</si>
  <si>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</si>
  <si>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</si>
  <si>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</si>
  <si>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</si>
  <si>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</si>
  <si>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</si>
  <si>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</si>
  <si>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</si>
  <si>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</si>
  <si>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</si>
  <si>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</si>
  <si>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</si>
  <si>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</si>
  <si>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</si>
  <si>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</si>
  <si>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</si>
  <si>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</si>
  <si>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</si>
  <si>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</si>
  <si>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</si>
  <si>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</si>
  <si>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</si>
  <si>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>Physical Inventory Adj May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</si>
  <si>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</si>
  <si>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</si>
  <si>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</si>
  <si>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</si>
  <si>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</si>
  <si>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</si>
  <si>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</si>
  <si>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</si>
  <si>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</si>
  <si>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</si>
  <si>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Write down Silver premiums in Nov</t>
  </si>
  <si>
    <t>Unhedged Silver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</si>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</sst>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43" fontId="1" fillId="0" borderId="0" xfId="1"/>
    <xf numFmtId="0" fontId="0" fillId="0" borderId="0" xfId="0" applyAlignment="1">
      <alignment horizontal="center"/>
    </xf>
    <xf numFmtId="43" fontId="1" fillId="0" borderId="2" xfId="1" applyBorder="1"/>
    <xf numFmtId="43" fontId="1" fillId="0" borderId="14" xfId="1" applyBorder="1"/>
    <xf numFmtId="43" fontId="1" fillId="0" borderId="3" xfId="1" applyBorder="1"/>
    <xf numFmtId="43" fontId="2" fillId="0" borderId="0" xfId="1" applyFont="1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43" fontId="1" fillId="0" borderId="6" xfId="1" applyBorder="1"/>
    <xf numFmtId="164" fontId="1" fillId="0" borderId="0" xfId="1" applyNumberFormat="1"/>
    <xf numFmtId="0" fontId="3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1" fontId="2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1" fontId="2" fillId="2" borderId="0" xfId="1" applyNumberFormat="1" applyFont="1" applyFill="1" applyAlignment="1">
      <alignment horizontal="center"/>
    </xf>
    <xf numFmtId="43" fontId="1" fillId="0" borderId="0" xfId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46" activePane="bottomLeft" state="frozen"/>
      <selection activeCell="A297" sqref="A297"/>
      <selection pane="bottomLeft" activeCell="K83" sqref="K83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2" bestFit="1" customWidth="1"/>
  </cols>
  <sheetData>
    <row r="1" spans="1:12" ht="33.75" x14ac:dyDescent="0.5">
      <c r="A1" s="220" t="s">
        <v>539</v>
      </c>
      <c r="B1" s="220"/>
      <c r="C1" s="220"/>
      <c r="D1" s="220"/>
      <c r="E1" s="220"/>
      <c r="F1" s="220"/>
      <c r="G1" s="220"/>
      <c r="H1" s="220"/>
      <c r="I1" s="220"/>
    </row>
    <row r="2" spans="1:12" ht="33.75" x14ac:dyDescent="0.5">
      <c r="A2" s="220" t="s">
        <v>540</v>
      </c>
      <c r="B2" s="220"/>
      <c r="C2" s="220"/>
      <c r="D2" s="220"/>
      <c r="E2" s="220"/>
      <c r="F2" s="220"/>
      <c r="G2" s="220"/>
      <c r="H2" s="220"/>
      <c r="I2" s="220"/>
    </row>
    <row r="3" spans="1:12" ht="33.75" x14ac:dyDescent="0.5">
      <c r="A3" s="220" t="s">
        <v>263</v>
      </c>
      <c r="B3" s="220"/>
      <c r="C3" s="220"/>
      <c r="D3" s="220"/>
      <c r="E3" s="220"/>
      <c r="F3" s="220"/>
      <c r="G3" s="220"/>
      <c r="H3" s="220"/>
      <c r="I3" s="220"/>
    </row>
    <row r="4" spans="1:12" ht="33.75" x14ac:dyDescent="0.5">
      <c r="A4" s="221">
        <f>'Summary YTD 10.31.19'!A4:I4</f>
        <v>43861</v>
      </c>
      <c r="B4" s="222"/>
      <c r="C4" s="222"/>
      <c r="D4" s="222"/>
      <c r="E4" s="222"/>
      <c r="F4" s="222"/>
      <c r="G4" s="222"/>
      <c r="H4" s="222"/>
      <c r="I4" s="222"/>
    </row>
    <row r="6" spans="1:12" s="27" customFormat="1" ht="30" customHeight="1" x14ac:dyDescent="0.3">
      <c r="B6" s="28" t="s">
        <v>210</v>
      </c>
      <c r="C6" s="28" t="s">
        <v>212</v>
      </c>
      <c r="D6" s="28" t="s">
        <v>211</v>
      </c>
      <c r="E6" s="28" t="s">
        <v>213</v>
      </c>
      <c r="F6" s="28" t="s">
        <v>214</v>
      </c>
      <c r="G6" s="28" t="s">
        <v>401</v>
      </c>
      <c r="H6" s="28" t="s">
        <v>412</v>
      </c>
      <c r="I6" s="28" t="s">
        <v>205</v>
      </c>
      <c r="L6" s="29"/>
    </row>
    <row r="7" spans="1:12" s="86" customFormat="1" ht="39.950000000000003" customHeight="1" x14ac:dyDescent="0.35">
      <c r="A7" s="84" t="s">
        <v>60</v>
      </c>
      <c r="B7" s="85">
        <f>'Comp Summary YTD 2020-2019 '!B21</f>
        <v>501679032.42000002</v>
      </c>
      <c r="C7" s="85">
        <f>'Comp Summary YTD 2020-2019 '!C21</f>
        <v>4581131.8000000007</v>
      </c>
      <c r="D7" s="85">
        <f>'Comp Summary YTD 2020-2019 '!D21</f>
        <v>549853.75999999989</v>
      </c>
      <c r="E7" s="85">
        <f>'Comp Summary YTD 2020-2019 '!E21</f>
        <v>0</v>
      </c>
      <c r="F7" s="85">
        <f>'Comp Summary YTD 2020-2019 '!F21</f>
        <v>139825.37</v>
      </c>
      <c r="G7" s="85">
        <f>'Comp Summary YTD 2020-2019 '!G21</f>
        <v>0</v>
      </c>
      <c r="H7" s="85">
        <f>'Comp Summary YTD 2020-2019 '!H21</f>
        <v>0</v>
      </c>
      <c r="I7" s="85">
        <f>SUM(B7:H7)</f>
        <v>506949843.35000002</v>
      </c>
      <c r="L7" s="87"/>
    </row>
    <row r="8" spans="1:12" s="86" customFormat="1" ht="39.950000000000003" customHeight="1" x14ac:dyDescent="0.35">
      <c r="B8" s="88"/>
      <c r="C8" s="88"/>
      <c r="D8" s="88"/>
      <c r="E8" s="88"/>
      <c r="F8" s="88"/>
      <c r="G8" s="88"/>
      <c r="H8" s="88"/>
      <c r="I8" s="88"/>
      <c r="L8" s="87"/>
    </row>
    <row r="9" spans="1:12" s="86" customFormat="1" ht="39.950000000000003" customHeight="1" x14ac:dyDescent="0.35">
      <c r="A9" s="84" t="s">
        <v>280</v>
      </c>
      <c r="B9" s="89">
        <f>'Comp Summary YTD 2020-2019 '!B25</f>
        <v>500536895.93000001</v>
      </c>
      <c r="C9" s="89">
        <f>'Comp Summary YTD 2020-2019 '!C25</f>
        <v>4521660.51</v>
      </c>
      <c r="D9" s="89">
        <f>'Comp Summary YTD 2020-2019 '!D25</f>
        <v>29243.75</v>
      </c>
      <c r="E9" s="89">
        <f>'Comp Summary YTD 2020-2019 '!E25</f>
        <v>0</v>
      </c>
      <c r="F9" s="89">
        <f>'Comp Summary YTD 2020-2019 '!F25</f>
        <v>550.32000000000005</v>
      </c>
      <c r="G9" s="89">
        <f>'Comp Summary YTD 2020-2019 '!G25</f>
        <v>0</v>
      </c>
      <c r="H9" s="89">
        <f>'Comp Summary YTD 2020-2019 '!H25</f>
        <v>0</v>
      </c>
      <c r="I9" s="89">
        <f>SUM(B9:H9)</f>
        <v>505088350.50999999</v>
      </c>
      <c r="L9" s="87"/>
    </row>
    <row r="10" spans="1:12" s="86" customFormat="1" ht="39.950000000000003" customHeight="1" x14ac:dyDescent="0.35">
      <c r="B10" s="88"/>
      <c r="C10" s="88"/>
      <c r="D10" s="88"/>
      <c r="E10" s="88"/>
      <c r="F10" s="88"/>
      <c r="G10" s="88"/>
      <c r="H10" s="88"/>
      <c r="I10" s="88"/>
      <c r="L10" s="87"/>
    </row>
    <row r="11" spans="1:12" s="86" customFormat="1" ht="39.950000000000003" customHeight="1" thickBot="1" x14ac:dyDescent="0.4">
      <c r="A11" s="84" t="s">
        <v>209</v>
      </c>
      <c r="B11" s="90">
        <f t="shared" ref="B11:H11" si="0">B7-B9</f>
        <v>1142136.4900000095</v>
      </c>
      <c r="C11" s="90">
        <f t="shared" si="0"/>
        <v>59471.290000000969</v>
      </c>
      <c r="D11" s="90">
        <f t="shared" si="0"/>
        <v>520610.00999999989</v>
      </c>
      <c r="E11" s="90">
        <f t="shared" si="0"/>
        <v>0</v>
      </c>
      <c r="F11" s="90">
        <f t="shared" si="0"/>
        <v>139275.04999999999</v>
      </c>
      <c r="G11" s="90">
        <f>G7-G9</f>
        <v>0</v>
      </c>
      <c r="H11" s="90">
        <f t="shared" si="0"/>
        <v>0</v>
      </c>
      <c r="I11" s="90">
        <f>SUM(B11:H11)</f>
        <v>1861492.8400000103</v>
      </c>
      <c r="L11" s="87"/>
    </row>
    <row r="12" spans="1:12" s="27" customFormat="1" ht="30" customHeight="1" x14ac:dyDescent="0.3">
      <c r="B12" s="31"/>
      <c r="C12" s="31"/>
      <c r="D12" s="31"/>
      <c r="E12" s="31"/>
      <c r="F12" s="31"/>
      <c r="G12" s="31"/>
      <c r="H12" s="31"/>
      <c r="I12" s="31"/>
      <c r="L12" s="29"/>
    </row>
    <row r="13" spans="1:12" s="27" customFormat="1" ht="30" customHeight="1" x14ac:dyDescent="0.3">
      <c r="A13" s="30" t="s">
        <v>207</v>
      </c>
      <c r="B13" s="31"/>
      <c r="C13" s="31"/>
      <c r="D13" s="31"/>
      <c r="E13" s="31"/>
      <c r="F13" s="31"/>
      <c r="G13" s="31"/>
      <c r="H13" s="31"/>
      <c r="I13" s="31"/>
      <c r="L13" s="29"/>
    </row>
    <row r="14" spans="1:12" s="27" customFormat="1" ht="30" customHeight="1" x14ac:dyDescent="0.3">
      <c r="A14" s="30" t="s">
        <v>223</v>
      </c>
      <c r="B14" s="31"/>
      <c r="C14" s="31"/>
      <c r="D14" s="31"/>
      <c r="E14" s="31"/>
      <c r="F14" s="31"/>
      <c r="G14" s="31"/>
      <c r="H14" s="31"/>
      <c r="I14" s="31"/>
      <c r="L14" s="29"/>
    </row>
    <row r="15" spans="1:12" s="27" customFormat="1" ht="30" customHeight="1" x14ac:dyDescent="0.3">
      <c r="A15" s="27" t="s">
        <v>224</v>
      </c>
      <c r="B15" s="31">
        <f>'Summary YTD 10.31.19'!B32+'Summary YTD 10.31.19'!B33</f>
        <v>260574.04</v>
      </c>
      <c r="C15" s="31">
        <f>'Summary YTD 10.31.19'!C32+'Summary YTD 10.31.19'!C33</f>
        <v>63740.509999999995</v>
      </c>
      <c r="D15" s="31">
        <f>'Summary YTD 10.31.19'!D32+'Summary YTD 10.31.19'!D33</f>
        <v>82263.91</v>
      </c>
      <c r="E15" s="31">
        <f>'Summary YTD 10.31.19'!E32</f>
        <v>0</v>
      </c>
      <c r="F15" s="31">
        <f>'Summary YTD 10.31.19'!F32+'Comp YTD 2020-2019 '!F38</f>
        <v>44741.8</v>
      </c>
      <c r="G15" s="31">
        <f>'Summary YTD 10.31.19'!G32</f>
        <v>0</v>
      </c>
      <c r="H15" s="31">
        <f>'Summary YTD 10.31.19'!H32</f>
        <v>0</v>
      </c>
      <c r="I15" s="31">
        <f>SUM(B15:H15)</f>
        <v>451320.25999999995</v>
      </c>
      <c r="L15" s="29"/>
    </row>
    <row r="16" spans="1:12" s="27" customFormat="1" ht="30" customHeight="1" x14ac:dyDescent="0.3">
      <c r="A16" s="27" t="s">
        <v>226</v>
      </c>
      <c r="B16" s="31">
        <f>'Summary YTD 10.31.19'!B35</f>
        <v>25587.14</v>
      </c>
      <c r="C16" s="31">
        <f>'Summary YTD 10.31.19'!C35</f>
        <v>6430.34</v>
      </c>
      <c r="D16" s="31">
        <f>'Summary YTD 10.31.19'!D35</f>
        <v>8780.4699999999993</v>
      </c>
      <c r="E16" s="31">
        <f>'Summary YTD 10.31.19'!E35</f>
        <v>0</v>
      </c>
      <c r="F16" s="31">
        <f>'Summary YTD 10.31.19'!F35</f>
        <v>3798.44</v>
      </c>
      <c r="G16" s="31">
        <f>'Summary YTD 10.31.19'!G35</f>
        <v>0</v>
      </c>
      <c r="H16" s="31">
        <f>'Summary YTD 10.31.19'!H35</f>
        <v>0</v>
      </c>
      <c r="I16" s="31">
        <f>SUM(B16:H16)</f>
        <v>44596.39</v>
      </c>
      <c r="L16" s="29"/>
    </row>
    <row r="17" spans="1:12" s="27" customFormat="1" ht="30" customHeight="1" x14ac:dyDescent="0.3">
      <c r="A17" s="27" t="s">
        <v>452</v>
      </c>
      <c r="B17" s="31">
        <f>'Summary YTD 10.31.19'!B34+'Summary YTD 10.31.19'!B36+'Summary YTD 10.31.19'!B37+'Summary YTD 10.31.19'!B38+'Summary YTD 10.31.19'!B39+'Summary YTD 10.31.19'!B40+'Summary YTD 10.31.19'!B41</f>
        <v>51072.090000000004</v>
      </c>
      <c r="C17" s="31">
        <f>'Summary YTD 10.31.19'!C34+'Summary YTD 10.31.19'!C36+'Summary YTD 10.31.19'!C37+'Summary YTD 10.31.19'!C38+'Summary YTD 10.31.19'!C39+'Summary YTD 10.31.19'!C40+'Summary YTD 10.31.19'!C41</f>
        <v>11889.310000000001</v>
      </c>
      <c r="D17" s="31">
        <f>'Summary YTD 10.31.19'!D34+'Summary YTD 10.31.19'!D36+'Summary YTD 10.31.19'!D37+'Summary YTD 10.31.19'!D38+'Summary YTD 10.31.19'!D39+'Summary YTD 10.31.19'!D40+'Summary YTD 10.31.19'!D41</f>
        <v>18499.149999999998</v>
      </c>
      <c r="E17" s="31">
        <f>'Summary YTD 10.31.19'!E34+'Summary YTD 10.31.19'!E36+'Summary YTD 10.31.19'!E37+'Summary YTD 10.31.19'!E38+'Summary YTD 10.31.19'!E39+'Summary YTD 10.31.19'!E40+'Summary YTD 10.31.19'!E41</f>
        <v>0</v>
      </c>
      <c r="F17" s="31">
        <f>'Summary YTD 10.31.19'!F34+'Summary YTD 10.31.19'!F36+'Summary YTD 10.31.19'!F37+'Summary YTD 10.31.19'!F38+'Summary YTD 10.31.19'!F39+'Summary YTD 10.31.19'!F40+'Summary YTD 10.31.19'!F41</f>
        <v>6229.5099999999993</v>
      </c>
      <c r="G17" s="31">
        <v>0</v>
      </c>
      <c r="H17" s="31">
        <f>'BSC (Dome)'!O24</f>
        <v>0</v>
      </c>
      <c r="I17" s="31">
        <f>SUM(B17:H17)</f>
        <v>87690.06</v>
      </c>
      <c r="L17" s="29"/>
    </row>
    <row r="18" spans="1:12" s="27" customFormat="1" ht="30" customHeight="1" x14ac:dyDescent="0.3">
      <c r="A18" s="30" t="s">
        <v>231</v>
      </c>
      <c r="B18" s="32">
        <f>SUM(B15:B17)</f>
        <v>337233.27</v>
      </c>
      <c r="C18" s="32">
        <f t="shared" ref="C18:H18" si="1">SUM(C15:C17)</f>
        <v>82060.159999999989</v>
      </c>
      <c r="D18" s="32">
        <f t="shared" si="1"/>
        <v>109543.53</v>
      </c>
      <c r="E18" s="32">
        <f t="shared" si="1"/>
        <v>0</v>
      </c>
      <c r="F18" s="32">
        <f t="shared" si="1"/>
        <v>54769.750000000007</v>
      </c>
      <c r="G18" s="32">
        <f t="shared" si="1"/>
        <v>0</v>
      </c>
      <c r="H18" s="32">
        <f t="shared" si="1"/>
        <v>0</v>
      </c>
      <c r="I18" s="32">
        <f>SUM(B18:H18)</f>
        <v>583606.71</v>
      </c>
      <c r="L18" s="29"/>
    </row>
    <row r="19" spans="1:12" s="27" customFormat="1" ht="30" customHeight="1" x14ac:dyDescent="0.3">
      <c r="B19" s="31"/>
      <c r="C19" s="31"/>
      <c r="D19" s="31"/>
      <c r="E19" s="31"/>
      <c r="F19" s="31"/>
      <c r="G19" s="31"/>
      <c r="H19" s="31"/>
      <c r="I19" s="31"/>
      <c r="L19" s="29"/>
    </row>
    <row r="20" spans="1:12" s="27" customFormat="1" ht="30" customHeight="1" x14ac:dyDescent="0.3">
      <c r="A20" s="30" t="s">
        <v>477</v>
      </c>
      <c r="B20" s="31"/>
      <c r="C20" s="31"/>
      <c r="D20" s="31"/>
      <c r="E20" s="31"/>
      <c r="F20" s="31"/>
      <c r="G20" s="31"/>
      <c r="H20" s="31"/>
      <c r="I20" s="31"/>
      <c r="L20" s="29"/>
    </row>
    <row r="21" spans="1:12" s="27" customFormat="1" ht="30" customHeight="1" x14ac:dyDescent="0.3">
      <c r="A21" s="27" t="s">
        <v>232</v>
      </c>
      <c r="B21" s="31">
        <f>'Summary YTD 10.31.19'!B45</f>
        <v>41700</v>
      </c>
      <c r="C21" s="31">
        <f>'Summary YTD 10.31.19'!C45</f>
        <v>5000</v>
      </c>
      <c r="D21" s="31">
        <f>'Summary YTD 10.31.19'!D45</f>
        <v>37500</v>
      </c>
      <c r="E21" s="31">
        <f>'Summary YTD 10.31.19'!E45</f>
        <v>0</v>
      </c>
      <c r="F21" s="31">
        <f>'Summary YTD 10.31.19'!F45</f>
        <v>1000</v>
      </c>
      <c r="G21" s="31">
        <f>'Summary YTD 10.31.19'!G45</f>
        <v>0</v>
      </c>
      <c r="H21" s="31">
        <f>'Summary YTD 10.31.19'!H45</f>
        <v>0</v>
      </c>
      <c r="I21" s="31">
        <f>SUM(B21:H21)</f>
        <v>85200</v>
      </c>
      <c r="L21" s="29"/>
    </row>
    <row r="22" spans="1:12" s="27" customFormat="1" ht="30" customHeight="1" x14ac:dyDescent="0.3">
      <c r="A22" s="27" t="s">
        <v>287</v>
      </c>
      <c r="B22" s="31">
        <f>'Summary YTD 10.31.19'!B46+'Summary YTD 10.31.19'!B47+'Summary YTD 10.31.19'!B48</f>
        <v>8976.39</v>
      </c>
      <c r="C22" s="31">
        <f>'Summary YTD 10.31.19'!C46+'Summary YTD 10.31.19'!C47+'Summary YTD 10.31.19'!C48</f>
        <v>0</v>
      </c>
      <c r="D22" s="31">
        <f>'Summary YTD 10.31.19'!D46+'Summary YTD 10.31.19'!D47+'Summary YTD 10.31.19'!D48</f>
        <v>1668.68</v>
      </c>
      <c r="E22" s="31">
        <f>'Summary YTD 10.31.19'!E46+'Summary YTD 10.31.19'!E47+'Summary YTD 10.31.19'!E48</f>
        <v>0</v>
      </c>
      <c r="F22" s="31">
        <f>'Summary YTD 10.31.19'!F46+'Summary YTD 10.31.19'!F47+'Summary YTD 10.31.19'!F48</f>
        <v>13395.46</v>
      </c>
      <c r="G22" s="31">
        <f>'Summary YTD 10.31.19'!G46+'Summary YTD 10.31.19'!G47+'Summary YTD 10.31.19'!G48</f>
        <v>0</v>
      </c>
      <c r="H22" s="31">
        <f>'Summary YTD 10.31.19'!H46+'Summary YTD 10.31.19'!H47+'Summary YTD 10.31.19'!H48</f>
        <v>0</v>
      </c>
      <c r="I22" s="31">
        <f t="shared" ref="I22:I34" si="2">SUM(B22:H22)</f>
        <v>24040.53</v>
      </c>
      <c r="L22" s="29"/>
    </row>
    <row r="23" spans="1:12" s="27" customFormat="1" ht="30" customHeight="1" x14ac:dyDescent="0.3">
      <c r="A23" s="27" t="s">
        <v>405</v>
      </c>
      <c r="B23" s="31">
        <f>'Summary YTD 10.31.19'!B49+'Summary YTD 10.31.19'!B50+'Summary YTD 10.31.19'!B51+'Summary YTD 10.31.19'!B52</f>
        <v>9562.2900000000009</v>
      </c>
      <c r="C23" s="31">
        <f>'Summary YTD 10.31.19'!C49+'Summary YTD 10.31.19'!C50+'Summary YTD 10.31.19'!C51+'Summary YTD 10.31.19'!C52</f>
        <v>0</v>
      </c>
      <c r="D23" s="31">
        <f>'Summary YTD 10.31.19'!D49+'Summary YTD 10.31.19'!D50+'Summary YTD 10.31.19'!D51+'Summary YTD 10.31.19'!D52</f>
        <v>4941.68</v>
      </c>
      <c r="E23" s="31">
        <f>'Summary YTD 10.31.19'!E49+'Summary YTD 10.31.19'!E50+'Summary YTD 10.31.19'!E51+'Summary YTD 10.31.19'!E52</f>
        <v>0</v>
      </c>
      <c r="F23" s="31">
        <f>'Summary YTD 10.31.19'!F49+'Summary YTD 10.31.19'!F50+'Summary YTD 10.31.19'!F51+'Summary YTD 10.31.19'!F52</f>
        <v>3280.85</v>
      </c>
      <c r="G23" s="31">
        <f>'Summary YTD 10.31.19'!G49+'Summary YTD 10.31.19'!G50+'Summary YTD 10.31.19'!G51+'Summary YTD 10.31.19'!G52</f>
        <v>0</v>
      </c>
      <c r="H23" s="31">
        <f>'Summary YTD 10.31.19'!H49+'Summary YTD 10.31.19'!H50+'Summary YTD 10.31.19'!H51+'Summary YTD 10.31.19'!H52</f>
        <v>0</v>
      </c>
      <c r="I23" s="31">
        <f>SUM(B23:H23)</f>
        <v>17784.82</v>
      </c>
      <c r="L23" s="29"/>
    </row>
    <row r="24" spans="1:12" s="27" customFormat="1" ht="30" customHeight="1" x14ac:dyDescent="0.3">
      <c r="A24" s="27" t="s">
        <v>237</v>
      </c>
      <c r="B24" s="31">
        <f>'Summary YTD 10.31.19'!B53</f>
        <v>9268.0499999999993</v>
      </c>
      <c r="C24" s="31">
        <f>'Summary YTD 10.31.19'!C53</f>
        <v>0</v>
      </c>
      <c r="D24" s="31">
        <f>'Summary YTD 10.31.19'!D53</f>
        <v>6012.93</v>
      </c>
      <c r="E24" s="31">
        <f>'Summary YTD 10.31.19'!E53</f>
        <v>0</v>
      </c>
      <c r="F24" s="31">
        <f>'Summary YTD 10.31.19'!F53</f>
        <v>231.72</v>
      </c>
      <c r="G24" s="31">
        <f>'Summary YTD 10.31.19'!G53</f>
        <v>0</v>
      </c>
      <c r="H24" s="31">
        <f>'Summary YTD 10.31.19'!H53</f>
        <v>0</v>
      </c>
      <c r="I24" s="31">
        <f t="shared" si="2"/>
        <v>15512.699999999999</v>
      </c>
      <c r="L24" s="29"/>
    </row>
    <row r="25" spans="1:12" s="27" customFormat="1" ht="30" customHeight="1" x14ac:dyDescent="0.3">
      <c r="A25" s="27" t="s">
        <v>238</v>
      </c>
      <c r="B25" s="31">
        <f>'Summary YTD 10.31.19'!B54</f>
        <v>2429.77</v>
      </c>
      <c r="C25" s="31">
        <f>'Summary YTD 10.31.19'!C54</f>
        <v>0</v>
      </c>
      <c r="D25" s="31">
        <f>'Summary YTD 10.31.19'!D54</f>
        <v>410.94</v>
      </c>
      <c r="E25" s="31">
        <f>'Summary YTD 10.31.19'!E54</f>
        <v>0</v>
      </c>
      <c r="F25" s="31">
        <f>'Summary YTD 10.31.19'!F54</f>
        <v>0</v>
      </c>
      <c r="G25" s="31">
        <f>'Summary YTD 10.31.19'!G54</f>
        <v>0</v>
      </c>
      <c r="H25" s="31">
        <f>'Summary YTD 10.31.19'!H54</f>
        <v>0</v>
      </c>
      <c r="I25" s="31">
        <f t="shared" si="2"/>
        <v>2840.71</v>
      </c>
      <c r="L25" s="29"/>
    </row>
    <row r="26" spans="1:12" s="27" customFormat="1" ht="30" customHeight="1" x14ac:dyDescent="0.3">
      <c r="A26" s="27" t="s">
        <v>236</v>
      </c>
      <c r="B26" s="31">
        <f>'Summary YTD 10.31.19'!B55</f>
        <v>5339.08</v>
      </c>
      <c r="C26" s="31">
        <f>'Summary YTD 10.31.19'!C55</f>
        <v>440</v>
      </c>
      <c r="D26" s="31">
        <f>'Summary YTD 10.31.19'!D55</f>
        <v>22656.26</v>
      </c>
      <c r="E26" s="31">
        <f>'Summary YTD 10.31.19'!E55</f>
        <v>0</v>
      </c>
      <c r="F26" s="31">
        <f>'Summary YTD 10.31.19'!F55</f>
        <v>2648.59</v>
      </c>
      <c r="G26" s="31">
        <f>'Summary YTD 10.31.19'!G55</f>
        <v>0</v>
      </c>
      <c r="H26" s="31">
        <f>'Summary YTD 10.31.19'!H55</f>
        <v>0</v>
      </c>
      <c r="I26" s="31">
        <f t="shared" si="2"/>
        <v>31083.929999999997</v>
      </c>
      <c r="L26" s="29"/>
    </row>
    <row r="27" spans="1:12" s="27" customFormat="1" ht="30" customHeight="1" x14ac:dyDescent="0.3">
      <c r="A27" s="27" t="s">
        <v>350</v>
      </c>
      <c r="B27" s="31">
        <f>'Summary YTD 10.31.19'!B56</f>
        <v>110</v>
      </c>
      <c r="C27" s="31">
        <f>'Summary YTD 10.31.19'!C56</f>
        <v>0</v>
      </c>
      <c r="D27" s="31">
        <f>'Summary YTD 10.31.19'!D56</f>
        <v>0</v>
      </c>
      <c r="E27" s="31">
        <f>'Summary YTD 10.31.19'!E56</f>
        <v>110</v>
      </c>
      <c r="F27" s="31">
        <f>'Summary YTD 10.31.19'!F56</f>
        <v>110</v>
      </c>
      <c r="G27" s="31">
        <f>'Summary YTD 10.31.19'!G56</f>
        <v>0</v>
      </c>
      <c r="H27" s="31">
        <f>'Summary YTD 10.31.19'!H56</f>
        <v>0</v>
      </c>
      <c r="I27" s="31">
        <f t="shared" si="2"/>
        <v>330</v>
      </c>
      <c r="L27" s="29"/>
    </row>
    <row r="28" spans="1:12" s="27" customFormat="1" ht="30" customHeight="1" x14ac:dyDescent="0.3">
      <c r="A28" s="27" t="s">
        <v>239</v>
      </c>
      <c r="B28" s="31">
        <f>'Summary YTD 10.31.19'!B58+'Summary YTD 10.31.19'!B57</f>
        <v>4399</v>
      </c>
      <c r="C28" s="31">
        <f>'Summary YTD 10.31.19'!C58+'Summary YTD 10.31.19'!C57</f>
        <v>0</v>
      </c>
      <c r="D28" s="31">
        <f>'Summary YTD 10.31.19'!D58+'Summary YTD 10.31.19'!D57</f>
        <v>0</v>
      </c>
      <c r="E28" s="31">
        <f>'Summary YTD 10.31.19'!E58+'Summary YTD 10.31.19'!E57</f>
        <v>0</v>
      </c>
      <c r="F28" s="31">
        <f>'Summary YTD 10.31.19'!F58+'Summary YTD 10.31.19'!F57</f>
        <v>4672.5</v>
      </c>
      <c r="G28" s="31">
        <f>'Summary YTD 10.31.19'!G58+'Summary YTD 10.31.19'!G57</f>
        <v>0</v>
      </c>
      <c r="H28" s="31">
        <f>'Summary YTD 10.31.19'!H58+'Summary YTD 10.31.19'!H57</f>
        <v>0</v>
      </c>
      <c r="I28" s="31">
        <f t="shared" si="2"/>
        <v>9071.5</v>
      </c>
      <c r="L28" s="29"/>
    </row>
    <row r="29" spans="1:12" s="27" customFormat="1" ht="30" customHeight="1" x14ac:dyDescent="0.3">
      <c r="A29" s="27" t="s">
        <v>240</v>
      </c>
      <c r="B29" s="31">
        <f>'Summary YTD 10.31.19'!B59</f>
        <v>1602.29</v>
      </c>
      <c r="C29" s="31">
        <f>'Summary YTD 10.31.19'!C59</f>
        <v>0</v>
      </c>
      <c r="D29" s="31">
        <f>'Summary YTD 10.31.19'!D59</f>
        <v>400.57</v>
      </c>
      <c r="E29" s="31">
        <f>'Summary YTD 10.31.19'!E59</f>
        <v>0</v>
      </c>
      <c r="F29" s="31">
        <f>'Summary YTD 10.31.19'!F59</f>
        <v>0</v>
      </c>
      <c r="G29" s="31">
        <f>'Summary YTD 10.31.19'!G59</f>
        <v>0</v>
      </c>
      <c r="H29" s="31">
        <f>'Summary YTD 10.31.19'!H59</f>
        <v>0</v>
      </c>
      <c r="I29" s="31">
        <f t="shared" si="2"/>
        <v>2002.86</v>
      </c>
      <c r="L29" s="29"/>
    </row>
    <row r="30" spans="1:12" s="27" customFormat="1" ht="30" customHeight="1" x14ac:dyDescent="0.3">
      <c r="A30" s="27" t="s">
        <v>242</v>
      </c>
      <c r="B30" s="31">
        <f>'Summary YTD 10.31.19'!B61</f>
        <v>106243.86</v>
      </c>
      <c r="C30" s="31">
        <f>'Summary YTD 10.31.19'!C61</f>
        <v>418.29</v>
      </c>
      <c r="D30" s="31">
        <f>'Summary YTD 10.31.19'!D61</f>
        <v>13371.27</v>
      </c>
      <c r="E30" s="31">
        <f>'Summary YTD 10.31.19'!E61</f>
        <v>0</v>
      </c>
      <c r="F30" s="31">
        <f>'Summary YTD 10.31.19'!F61</f>
        <v>8414.0300000000007</v>
      </c>
      <c r="G30" s="31">
        <f>'Summary YTD 10.31.19'!G61</f>
        <v>9253.2800000000007</v>
      </c>
      <c r="H30" s="31">
        <f>'Summary YTD 10.31.19'!H61</f>
        <v>14546.42</v>
      </c>
      <c r="I30" s="31">
        <f t="shared" si="2"/>
        <v>152247.15000000002</v>
      </c>
      <c r="L30" s="29"/>
    </row>
    <row r="31" spans="1:12" s="27" customFormat="1" ht="30" customHeight="1" x14ac:dyDescent="0.3">
      <c r="A31" s="27" t="s">
        <v>241</v>
      </c>
      <c r="B31" s="31">
        <f>'Summary YTD 10.31.19'!B60</f>
        <v>0</v>
      </c>
      <c r="C31" s="31">
        <f>'Summary YTD 10.31.19'!C60</f>
        <v>0</v>
      </c>
      <c r="D31" s="31">
        <f>'Summary YTD 10.31.19'!D60</f>
        <v>0</v>
      </c>
      <c r="E31" s="31">
        <f>'Summary YTD 10.31.19'!E60</f>
        <v>0</v>
      </c>
      <c r="F31" s="31">
        <f>'Summary YTD 10.31.19'!F60</f>
        <v>0</v>
      </c>
      <c r="G31" s="31">
        <f>'Summary YTD 10.31.19'!G60</f>
        <v>0</v>
      </c>
      <c r="H31" s="31">
        <f>'Summary YTD 10.31.19'!H60</f>
        <v>0</v>
      </c>
      <c r="I31" s="31">
        <f t="shared" si="2"/>
        <v>0</v>
      </c>
      <c r="L31" s="29"/>
    </row>
    <row r="32" spans="1:12" s="27" customFormat="1" ht="30" customHeight="1" x14ac:dyDescent="0.3">
      <c r="A32" s="27" t="s">
        <v>252</v>
      </c>
      <c r="B32" s="31">
        <f>'Summary YTD 10.31.19'!B62</f>
        <v>0</v>
      </c>
      <c r="C32" s="31">
        <f>'Summary YTD 10.31.19'!C62</f>
        <v>0</v>
      </c>
      <c r="D32" s="31">
        <f>'Summary YTD 10.31.19'!D62</f>
        <v>0</v>
      </c>
      <c r="E32" s="31">
        <f>'Summary YTD 10.31.19'!E62</f>
        <v>0</v>
      </c>
      <c r="F32" s="31">
        <f>'Summary YTD 10.31.19'!F62</f>
        <v>0</v>
      </c>
      <c r="G32" s="31">
        <f>'Summary YTD 10.31.19'!G62</f>
        <v>0</v>
      </c>
      <c r="H32" s="31">
        <f>'Summary YTD 10.31.19'!H62</f>
        <v>0</v>
      </c>
      <c r="I32" s="31">
        <f t="shared" si="2"/>
        <v>0</v>
      </c>
      <c r="L32" s="29"/>
    </row>
    <row r="33" spans="1:12" s="27" customFormat="1" ht="30" customHeight="1" x14ac:dyDescent="0.3">
      <c r="A33" s="27" t="s">
        <v>246</v>
      </c>
      <c r="B33" s="31">
        <f>'Summary YTD 10.31.19'!B64</f>
        <v>10650.03</v>
      </c>
      <c r="C33" s="31">
        <f>'Summary YTD 10.31.19'!C64</f>
        <v>1560</v>
      </c>
      <c r="D33" s="31">
        <f>'Summary YTD 10.31.19'!D64</f>
        <v>7052.04</v>
      </c>
      <c r="E33" s="31">
        <f>'Summary YTD 10.31.19'!E64</f>
        <v>0</v>
      </c>
      <c r="F33" s="31">
        <f>'Summary YTD 10.31.19'!F64</f>
        <v>0</v>
      </c>
      <c r="G33" s="31">
        <f>'Summary YTD 10.31.19'!G64</f>
        <v>0</v>
      </c>
      <c r="H33" s="31">
        <f>'Summary YTD 10.31.19'!H64</f>
        <v>0</v>
      </c>
      <c r="I33" s="31">
        <f t="shared" si="2"/>
        <v>19262.07</v>
      </c>
      <c r="L33" s="29"/>
    </row>
    <row r="34" spans="1:12" s="27" customFormat="1" ht="30" customHeight="1" x14ac:dyDescent="0.3">
      <c r="A34" s="27" t="s">
        <v>406</v>
      </c>
      <c r="B34" s="31">
        <f>'Summary YTD 10.31.19'!B63+'Summary YTD 10.31.19'!B65+'Summary YTD 10.31.19'!B66</f>
        <v>4823.7999999999993</v>
      </c>
      <c r="C34" s="31">
        <f>'Summary YTD 10.31.19'!C63+'Summary YTD 10.31.19'!C65+'Summary YTD 10.31.19'!C66</f>
        <v>505.52</v>
      </c>
      <c r="D34" s="31">
        <f>'Summary YTD 10.31.19'!D63+'Summary YTD 10.31.19'!D65+'Summary YTD 10.31.19'!D66</f>
        <v>1690.96</v>
      </c>
      <c r="E34" s="31">
        <f>'Summary YTD 10.31.19'!E63+'Summary YTD 10.31.19'!E65+'Summary YTD 10.31.19'!E66</f>
        <v>0</v>
      </c>
      <c r="F34" s="31">
        <f>'Summary YTD 10.31.19'!F63+'Summary YTD 10.31.19'!F65+'Summary YTD 10.31.19'!F66</f>
        <v>823.61</v>
      </c>
      <c r="G34" s="31">
        <f>'Summary YTD 10.31.19'!G63+'Summary YTD 10.31.19'!G65+'Summary YTD 10.31.19'!G66</f>
        <v>0</v>
      </c>
      <c r="H34" s="31">
        <f>'Summary YTD 10.31.19'!H63+'Summary YTD 10.31.19'!H65+'Summary YTD 10.31.19'!H66</f>
        <v>0</v>
      </c>
      <c r="I34" s="31">
        <f t="shared" si="2"/>
        <v>7843.8899999999994</v>
      </c>
      <c r="L34" s="29"/>
    </row>
    <row r="35" spans="1:12" s="27" customFormat="1" ht="30" customHeight="1" x14ac:dyDescent="0.3">
      <c r="A35" s="30" t="s">
        <v>247</v>
      </c>
      <c r="B35" s="32">
        <f t="shared" ref="B35:H35" si="3">SUM(B21:B34)</f>
        <v>205104.55999999997</v>
      </c>
      <c r="C35" s="32">
        <f t="shared" si="3"/>
        <v>7923.8099999999995</v>
      </c>
      <c r="D35" s="32">
        <f t="shared" si="3"/>
        <v>95705.330000000016</v>
      </c>
      <c r="E35" s="32">
        <f t="shared" si="3"/>
        <v>110</v>
      </c>
      <c r="F35" s="32">
        <f t="shared" si="3"/>
        <v>34576.76</v>
      </c>
      <c r="G35" s="32">
        <f t="shared" si="3"/>
        <v>9253.2800000000007</v>
      </c>
      <c r="H35" s="32">
        <f t="shared" si="3"/>
        <v>14546.42</v>
      </c>
      <c r="I35" s="32">
        <f>SUM(B35:H35)</f>
        <v>367220.16</v>
      </c>
      <c r="L35" s="29"/>
    </row>
    <row r="36" spans="1:12" s="27" customFormat="1" ht="30" customHeight="1" x14ac:dyDescent="0.3">
      <c r="B36" s="31"/>
      <c r="C36" s="31"/>
      <c r="D36" s="31"/>
      <c r="E36" s="31"/>
      <c r="F36" s="31"/>
      <c r="G36" s="31"/>
      <c r="H36" s="31"/>
      <c r="I36" s="31">
        <f>SUM(B36:F36)</f>
        <v>0</v>
      </c>
      <c r="L36" s="29"/>
    </row>
    <row r="37" spans="1:12" s="27" customFormat="1" ht="30" customHeight="1" x14ac:dyDescent="0.3">
      <c r="A37" s="30" t="s">
        <v>248</v>
      </c>
      <c r="B37" s="31"/>
      <c r="C37" s="31"/>
      <c r="D37" s="31"/>
      <c r="E37" s="31"/>
      <c r="F37" s="31"/>
      <c r="G37" s="31"/>
      <c r="H37" s="31"/>
      <c r="I37" s="31">
        <f>SUM(B37:F37)</f>
        <v>0</v>
      </c>
      <c r="L37" s="29"/>
    </row>
    <row r="38" spans="1:12" s="27" customFormat="1" ht="30" customHeight="1" x14ac:dyDescent="0.3">
      <c r="A38" s="27" t="s">
        <v>249</v>
      </c>
      <c r="B38" s="31">
        <f>'Summary YTD 10.31.19'!B70</f>
        <v>1825.07</v>
      </c>
      <c r="C38" s="31">
        <f>'Summary YTD 10.31.19'!C70+'Comp YTD 2020-2019 '!C82</f>
        <v>0</v>
      </c>
      <c r="D38" s="31">
        <f>'Summary YTD 10.31.19'!D70</f>
        <v>208.24</v>
      </c>
      <c r="E38" s="31">
        <f>'Summary YTD 10.31.19'!E70</f>
        <v>0</v>
      </c>
      <c r="F38" s="31">
        <f>'Summary YTD 10.31.19'!F70</f>
        <v>509.71</v>
      </c>
      <c r="G38" s="31">
        <f>'Summary YTD 10.31.19'!G70</f>
        <v>0</v>
      </c>
      <c r="H38" s="31">
        <f>'Summary YTD 10.31.19'!H70</f>
        <v>0</v>
      </c>
      <c r="I38" s="31">
        <f>SUM(B38:H38)</f>
        <v>2543.02</v>
      </c>
      <c r="L38" s="29"/>
    </row>
    <row r="39" spans="1:12" s="27" customFormat="1" ht="30" customHeight="1" x14ac:dyDescent="0.3">
      <c r="A39" s="27" t="s">
        <v>533</v>
      </c>
      <c r="B39" s="31">
        <v>0</v>
      </c>
      <c r="C39" s="31">
        <v>0</v>
      </c>
      <c r="D39" s="31">
        <v>0</v>
      </c>
      <c r="E39" s="31">
        <f>'Comp YTD 2020-2019 '!E83</f>
        <v>0</v>
      </c>
      <c r="F39" s="31">
        <v>0</v>
      </c>
      <c r="G39" s="31">
        <v>0</v>
      </c>
      <c r="H39" s="31">
        <v>0</v>
      </c>
      <c r="I39" s="31">
        <f>SUM(B39:H39)</f>
        <v>0</v>
      </c>
      <c r="L39" s="29"/>
    </row>
    <row r="40" spans="1:12" s="27" customFormat="1" ht="30" customHeight="1" x14ac:dyDescent="0.3">
      <c r="A40" s="27" t="s">
        <v>250</v>
      </c>
      <c r="B40" s="31">
        <f>'Summary YTD 10.31.19'!B73</f>
        <v>6615.91</v>
      </c>
      <c r="C40" s="31">
        <f>'Summary YTD 10.31.19'!C73</f>
        <v>110.69</v>
      </c>
      <c r="D40" s="31">
        <f>'Summary YTD 10.31.19'!D73</f>
        <v>213.42</v>
      </c>
      <c r="E40" s="31">
        <f>'Summary YTD 10.31.19'!E73</f>
        <v>1.99</v>
      </c>
      <c r="F40" s="31">
        <f>'Summary YTD 10.31.19'!F73</f>
        <v>0</v>
      </c>
      <c r="G40" s="31">
        <f>'Summary YTD 10.31.19'!G73</f>
        <v>0</v>
      </c>
      <c r="H40" s="31">
        <f>'Summary YTD 10.31.19'!H73</f>
        <v>0</v>
      </c>
      <c r="I40" s="31">
        <f t="shared" ref="I40:I50" si="4">SUM(B40:H40)</f>
        <v>6942.0099999999993</v>
      </c>
      <c r="L40" s="29"/>
    </row>
    <row r="41" spans="1:12" s="27" customFormat="1" ht="30" customHeight="1" x14ac:dyDescent="0.3">
      <c r="A41" s="27" t="s">
        <v>357</v>
      </c>
      <c r="B41" s="31">
        <f>'Summary YTD 10.31.19'!B74</f>
        <v>0</v>
      </c>
      <c r="C41" s="31">
        <f>'Summary YTD 10.31.19'!C74</f>
        <v>0</v>
      </c>
      <c r="D41" s="31">
        <f>'Summary YTD 10.31.19'!D74</f>
        <v>0</v>
      </c>
      <c r="E41" s="31">
        <f>'Summary YTD 10.31.19'!E74</f>
        <v>0</v>
      </c>
      <c r="F41" s="31">
        <f>'Summary YTD 10.31.19'!F74</f>
        <v>995.74</v>
      </c>
      <c r="G41" s="31">
        <f>'Summary YTD 10.31.19'!G74</f>
        <v>0</v>
      </c>
      <c r="H41" s="31">
        <f>'Summary YTD 10.31.19'!H74</f>
        <v>0</v>
      </c>
      <c r="I41" s="31">
        <f t="shared" si="4"/>
        <v>995.74</v>
      </c>
      <c r="L41" s="29"/>
    </row>
    <row r="42" spans="1:12" s="27" customFormat="1" ht="30" customHeight="1" x14ac:dyDescent="0.3">
      <c r="A42" s="27" t="s">
        <v>251</v>
      </c>
      <c r="B42" s="31">
        <f>'Summary YTD 10.31.19'!B75+'Summary YTD 10.31.19'!B71</f>
        <v>698.22</v>
      </c>
      <c r="C42" s="31">
        <f>'Summary YTD 10.31.19'!C75</f>
        <v>0</v>
      </c>
      <c r="D42" s="31">
        <f>'Summary YTD 10.31.19'!D75</f>
        <v>0</v>
      </c>
      <c r="E42" s="31">
        <f>'Summary YTD 10.31.19'!E75</f>
        <v>0</v>
      </c>
      <c r="F42" s="31">
        <f>'Summary YTD 10.31.19'!F75</f>
        <v>89.68</v>
      </c>
      <c r="G42" s="31">
        <f>'Summary YTD 10.31.19'!G75</f>
        <v>860.93</v>
      </c>
      <c r="H42" s="31">
        <f>'Summary YTD 10.31.19'!H75</f>
        <v>0</v>
      </c>
      <c r="I42" s="31">
        <f t="shared" si="4"/>
        <v>1648.83</v>
      </c>
      <c r="L42" s="29"/>
    </row>
    <row r="43" spans="1:12" s="27" customFormat="1" ht="30" customHeight="1" x14ac:dyDescent="0.3">
      <c r="A43" s="27" t="s">
        <v>451</v>
      </c>
      <c r="B43" s="31">
        <f>'Summary YTD 10.31.19'!B76+'Summary YTD 10.31.19'!B77+'Summary YTD 10.31.19'!B78+'Summary YTD 10.31.19'!B79+'Summary YTD 10.31.19'!B80</f>
        <v>34372.480000000003</v>
      </c>
      <c r="C43" s="31">
        <f>'Summary YTD 10.31.19'!C76+'Summary YTD 10.31.19'!C77+'Summary YTD 10.31.19'!C78+'Summary YTD 10.31.19'!C79+'Summary YTD 10.31.19'!C80</f>
        <v>4245</v>
      </c>
      <c r="D43" s="31">
        <f>'Summary YTD 10.31.19'!D76+'Summary YTD 10.31.19'!D77+'Summary YTD 10.31.19'!D78+'Summary YTD 10.31.19'!D79+'Summary YTD 10.31.19'!D80</f>
        <v>6625</v>
      </c>
      <c r="E43" s="31">
        <f>'Summary YTD 10.31.19'!E76+'Summary YTD 10.31.19'!E77+'Summary YTD 10.31.19'!E78+'Summary YTD 10.31.19'!E79+'Summary YTD 10.31.19'!E80</f>
        <v>250</v>
      </c>
      <c r="F43" s="31">
        <f>'Summary YTD 10.31.19'!F76+'Summary YTD 10.31.19'!F77+'Summary YTD 10.31.19'!F78+'Summary YTD 10.31.19'!F79+'Summary YTD 10.31.19'!F80</f>
        <v>1750</v>
      </c>
      <c r="G43" s="31">
        <f>'Summary YTD 10.31.19'!G76+'Summary YTD 10.31.19'!G77+'Summary YTD 10.31.19'!G78+'Summary YTD 10.31.19'!G79+'Summary YTD 10.31.19'!G80</f>
        <v>250</v>
      </c>
      <c r="H43" s="31">
        <f>'Summary YTD 10.31.19'!H76+'Summary YTD 10.31.19'!H77+'Summary YTD 10.31.19'!H78+'Summary YTD 10.31.19'!H79+'Summary YTD 10.31.19'!H80</f>
        <v>333.33</v>
      </c>
      <c r="I43" s="31">
        <f t="shared" si="4"/>
        <v>47825.810000000005</v>
      </c>
      <c r="L43" s="29"/>
    </row>
    <row r="44" spans="1:12" s="27" customFormat="1" ht="30" customHeight="1" x14ac:dyDescent="0.3">
      <c r="A44" s="27" t="s">
        <v>253</v>
      </c>
      <c r="B44" s="31">
        <f>'Summary YTD 10.31.19'!B81</f>
        <v>2967.81</v>
      </c>
      <c r="C44" s="31">
        <f>'Summary YTD 10.31.19'!C81</f>
        <v>0</v>
      </c>
      <c r="D44" s="31">
        <f>'Summary YTD 10.31.19'!D81</f>
        <v>0</v>
      </c>
      <c r="E44" s="31">
        <f>'Summary YTD 10.31.19'!E81</f>
        <v>0</v>
      </c>
      <c r="F44" s="31">
        <f>'Summary YTD 10.31.19'!F81</f>
        <v>1277.1500000000001</v>
      </c>
      <c r="G44" s="31">
        <f>'Summary YTD 10.31.19'!G81</f>
        <v>0</v>
      </c>
      <c r="H44" s="31">
        <f>'Summary YTD 10.31.19'!H81</f>
        <v>0</v>
      </c>
      <c r="I44" s="31">
        <f t="shared" si="4"/>
        <v>4244.96</v>
      </c>
      <c r="L44" s="29"/>
    </row>
    <row r="45" spans="1:12" s="27" customFormat="1" ht="30" customHeight="1" x14ac:dyDescent="0.3">
      <c r="A45" s="27" t="s">
        <v>254</v>
      </c>
      <c r="B45" s="31">
        <f>'Summary YTD 10.31.19'!B82</f>
        <v>1195</v>
      </c>
      <c r="C45" s="31">
        <f>'Summary YTD 10.31.19'!C82</f>
        <v>0</v>
      </c>
      <c r="D45" s="31">
        <f>'Summary YTD 10.31.19'!D82</f>
        <v>225</v>
      </c>
      <c r="E45" s="31">
        <f>'Summary YTD 10.31.19'!E82</f>
        <v>0</v>
      </c>
      <c r="F45" s="31">
        <f>'Summary YTD 10.31.19'!F82</f>
        <v>0</v>
      </c>
      <c r="G45" s="31">
        <f>'Summary YTD 10.31.19'!G82</f>
        <v>0</v>
      </c>
      <c r="H45" s="31">
        <f>'Summary YTD 10.31.19'!H82</f>
        <v>0</v>
      </c>
      <c r="I45" s="31">
        <f t="shared" si="4"/>
        <v>1420</v>
      </c>
      <c r="L45" s="29"/>
    </row>
    <row r="46" spans="1:12" s="27" customFormat="1" ht="30" customHeight="1" x14ac:dyDescent="0.3">
      <c r="A46" s="27" t="s">
        <v>255</v>
      </c>
      <c r="B46" s="31">
        <f>'Summary YTD 10.31.19'!B83</f>
        <v>671.94</v>
      </c>
      <c r="C46" s="31">
        <f>'Summary YTD 10.31.19'!C83</f>
        <v>0</v>
      </c>
      <c r="D46" s="31">
        <f>'Summary YTD 10.31.19'!D83</f>
        <v>0</v>
      </c>
      <c r="E46" s="31">
        <f>'Summary YTD 10.31.19'!E83</f>
        <v>0</v>
      </c>
      <c r="F46" s="31">
        <f>'Summary YTD 10.31.19'!F83</f>
        <v>0</v>
      </c>
      <c r="G46" s="31">
        <f>'Summary YTD 10.31.19'!G83</f>
        <v>0</v>
      </c>
      <c r="H46" s="31">
        <f>'Summary YTD 10.31.19'!H83</f>
        <v>0</v>
      </c>
      <c r="I46" s="31">
        <f t="shared" si="4"/>
        <v>671.94</v>
      </c>
      <c r="L46" s="29"/>
    </row>
    <row r="47" spans="1:12" s="27" customFormat="1" ht="30" customHeight="1" x14ac:dyDescent="0.3">
      <c r="A47" s="27" t="s">
        <v>292</v>
      </c>
      <c r="B47" s="31">
        <f>'Summary YTD 10.31.19'!B84</f>
        <v>0</v>
      </c>
      <c r="C47" s="31">
        <f>'Summary YTD 10.31.19'!C84</f>
        <v>0</v>
      </c>
      <c r="D47" s="31">
        <f>'Summary YTD 10.31.19'!D84</f>
        <v>0</v>
      </c>
      <c r="E47" s="31">
        <f>'Summary YTD 10.31.19'!E84</f>
        <v>0</v>
      </c>
      <c r="F47" s="31">
        <f>'Summary YTD 10.31.19'!F84</f>
        <v>0</v>
      </c>
      <c r="G47" s="31">
        <f>'Summary YTD 10.31.19'!G84</f>
        <v>0</v>
      </c>
      <c r="H47" s="31">
        <f>'Summary YTD 10.31.19'!H84</f>
        <v>0</v>
      </c>
      <c r="I47" s="31">
        <f t="shared" si="4"/>
        <v>0</v>
      </c>
      <c r="L47" s="29"/>
    </row>
    <row r="48" spans="1:12" s="27" customFormat="1" ht="30" customHeight="1" x14ac:dyDescent="0.3">
      <c r="A48" s="27" t="s">
        <v>478</v>
      </c>
      <c r="B48" s="31">
        <f>'Summary YTD 10.31.19'!B85</f>
        <v>396.78</v>
      </c>
      <c r="C48" s="31">
        <v>0</v>
      </c>
      <c r="D48" s="31">
        <v>0</v>
      </c>
      <c r="E48" s="31">
        <v>0</v>
      </c>
      <c r="F48" s="31">
        <f>'BSC (Dome)'!N65</f>
        <v>0</v>
      </c>
      <c r="G48" s="31">
        <v>0</v>
      </c>
      <c r="H48" s="31">
        <f>'BSC (Dome)'!O65</f>
        <v>0</v>
      </c>
      <c r="I48" s="31">
        <f t="shared" si="4"/>
        <v>396.78</v>
      </c>
      <c r="L48" s="29"/>
    </row>
    <row r="49" spans="1:12" s="27" customFormat="1" ht="30" customHeight="1" x14ac:dyDescent="0.3">
      <c r="A49" s="27" t="s">
        <v>407</v>
      </c>
      <c r="B49" s="31">
        <f>'Summary YTD 10.31.19'!B86+'Summary YTD 10.31.19'!B87</f>
        <v>4526.92</v>
      </c>
      <c r="C49" s="31">
        <f>'Summary YTD 10.31.19'!C86+'Summary YTD 10.31.19'!C87</f>
        <v>0</v>
      </c>
      <c r="D49" s="31">
        <f>'Summary YTD 10.31.19'!D86+'Summary YTD 10.31.19'!D87</f>
        <v>35</v>
      </c>
      <c r="E49" s="31">
        <f>'Summary YTD 10.31.19'!E86+'Summary YTD 10.31.19'!E87</f>
        <v>0</v>
      </c>
      <c r="F49" s="31">
        <f>'Summary YTD 10.31.19'!F86+'Summary YTD 10.31.19'!F87</f>
        <v>0</v>
      </c>
      <c r="G49" s="31">
        <f>'Summary YTD 10.31.19'!G86+'Summary YTD 10.31.19'!G87</f>
        <v>0</v>
      </c>
      <c r="H49" s="31">
        <f>'Summary YTD 10.31.19'!H86+'Summary YTD 10.31.19'!H87</f>
        <v>0</v>
      </c>
      <c r="I49" s="31">
        <f t="shared" si="4"/>
        <v>4561.92</v>
      </c>
      <c r="L49" s="29"/>
    </row>
    <row r="50" spans="1:12" s="27" customFormat="1" ht="30" customHeight="1" x14ac:dyDescent="0.3">
      <c r="A50" s="27" t="s">
        <v>453</v>
      </c>
      <c r="B50" s="31">
        <f>'Summary YTD 10.31.19'!B88+'Summary YTD 10.31.19'!B89</f>
        <v>1357.9499999999998</v>
      </c>
      <c r="C50" s="31">
        <f>'Summary YTD 10.31.19'!C88+'Summary YTD 10.31.19'!C89</f>
        <v>0</v>
      </c>
      <c r="D50" s="31">
        <f>'Summary YTD 10.31.19'!D88+'Summary YTD 10.31.19'!D89</f>
        <v>0</v>
      </c>
      <c r="E50" s="31">
        <f>'Summary YTD 10.31.19'!E88+'Summary YTD 10.31.19'!E89</f>
        <v>0</v>
      </c>
      <c r="F50" s="31">
        <f>'Summary YTD 10.31.19'!F88+'Summary YTD 10.31.19'!F89</f>
        <v>0</v>
      </c>
      <c r="G50" s="31">
        <f>'Summary YTD 10.31.19'!G88+'Summary YTD 10.31.19'!G89</f>
        <v>0</v>
      </c>
      <c r="H50" s="31">
        <f>'Summary YTD 10.31.19'!H88+'Summary YTD 10.31.19'!H89</f>
        <v>0</v>
      </c>
      <c r="I50" s="31">
        <f t="shared" si="4"/>
        <v>1357.9499999999998</v>
      </c>
      <c r="L50" s="29"/>
    </row>
    <row r="51" spans="1:12" s="27" customFormat="1" ht="30" customHeight="1" x14ac:dyDescent="0.3">
      <c r="A51" s="30" t="s">
        <v>261</v>
      </c>
      <c r="B51" s="32">
        <f t="shared" ref="B51:H51" si="5">SUM(B38:B50)</f>
        <v>54628.079999999994</v>
      </c>
      <c r="C51" s="32">
        <f t="shared" si="5"/>
        <v>4355.6899999999996</v>
      </c>
      <c r="D51" s="32">
        <f t="shared" si="5"/>
        <v>7306.66</v>
      </c>
      <c r="E51" s="32">
        <f t="shared" si="5"/>
        <v>251.99</v>
      </c>
      <c r="F51" s="32">
        <f t="shared" si="5"/>
        <v>4622.2800000000007</v>
      </c>
      <c r="G51" s="32">
        <f t="shared" si="5"/>
        <v>1110.9299999999998</v>
      </c>
      <c r="H51" s="32">
        <f t="shared" si="5"/>
        <v>333.33</v>
      </c>
      <c r="I51" s="32">
        <f>SUM(B51:H51)</f>
        <v>72608.959999999992</v>
      </c>
      <c r="L51" s="29"/>
    </row>
    <row r="52" spans="1:12" s="27" customFormat="1" ht="30" customHeight="1" x14ac:dyDescent="0.3">
      <c r="B52" s="31"/>
      <c r="C52" s="31"/>
      <c r="D52" s="31"/>
      <c r="E52" s="31"/>
      <c r="F52" s="31"/>
      <c r="G52" s="31"/>
      <c r="H52" s="31"/>
      <c r="I52" s="31">
        <f>SUM(B52:F52)</f>
        <v>0</v>
      </c>
      <c r="L52" s="29"/>
    </row>
    <row r="53" spans="1:12" s="27" customFormat="1" ht="30" customHeight="1" thickBot="1" x14ac:dyDescent="0.35">
      <c r="A53" s="30" t="s">
        <v>262</v>
      </c>
      <c r="B53" s="33">
        <f t="shared" ref="B53:H53" si="6">B18+B35+B51</f>
        <v>596965.90999999992</v>
      </c>
      <c r="C53" s="33">
        <f t="shared" si="6"/>
        <v>94339.659999999989</v>
      </c>
      <c r="D53" s="33">
        <f t="shared" si="6"/>
        <v>212555.52000000002</v>
      </c>
      <c r="E53" s="33">
        <f t="shared" si="6"/>
        <v>361.99</v>
      </c>
      <c r="F53" s="33">
        <f t="shared" si="6"/>
        <v>93968.790000000008</v>
      </c>
      <c r="G53" s="33">
        <f>G18+G35+G51</f>
        <v>10364.210000000001</v>
      </c>
      <c r="H53" s="33">
        <f t="shared" si="6"/>
        <v>14879.75</v>
      </c>
      <c r="I53" s="33">
        <f>SUM(B53:H53)</f>
        <v>1023435.83</v>
      </c>
      <c r="L53" s="29"/>
    </row>
    <row r="54" spans="1:12" s="27" customFormat="1" ht="30" customHeight="1" x14ac:dyDescent="0.3">
      <c r="B54" s="31"/>
      <c r="C54" s="31"/>
      <c r="D54" s="31"/>
      <c r="E54" s="31"/>
      <c r="F54" s="31"/>
      <c r="G54" s="31"/>
      <c r="H54" s="31"/>
      <c r="I54" s="31"/>
      <c r="L54" s="29"/>
    </row>
    <row r="55" spans="1:12" s="27" customFormat="1" ht="30" customHeight="1" x14ac:dyDescent="0.3">
      <c r="A55" s="30" t="s">
        <v>454</v>
      </c>
      <c r="B55" s="31"/>
      <c r="C55" s="31"/>
      <c r="D55" s="31"/>
      <c r="E55" s="31"/>
      <c r="F55" s="31"/>
      <c r="G55" s="31"/>
      <c r="H55" s="31"/>
      <c r="I55" s="31"/>
      <c r="L55" s="29"/>
    </row>
    <row r="56" spans="1:12" s="27" customFormat="1" ht="30" customHeight="1" x14ac:dyDescent="0.3">
      <c r="A56" s="27" t="s">
        <v>265</v>
      </c>
      <c r="B56" s="31">
        <f>'Summary YTD 10.31.19'!B95</f>
        <v>12500</v>
      </c>
      <c r="C56" s="31">
        <v>0</v>
      </c>
      <c r="D56" s="31">
        <f>DEP!N83</f>
        <v>12500</v>
      </c>
      <c r="E56" s="31">
        <v>0</v>
      </c>
      <c r="F56" s="31">
        <f>'BSC (Dome)'!N76+'BSC (Dome)'!N77</f>
        <v>5000</v>
      </c>
      <c r="G56" s="31">
        <f>'Summary YTD 10.31.19'!G95</f>
        <v>22700</v>
      </c>
      <c r="H56" s="31">
        <f>'722 Bedford St'!N22+'722 Bedford St'!N23</f>
        <v>32500</v>
      </c>
      <c r="I56" s="31">
        <f t="shared" ref="I56:I62" si="7">SUM(B56:H56)</f>
        <v>85200</v>
      </c>
      <c r="L56" s="29"/>
    </row>
    <row r="57" spans="1:12" s="27" customFormat="1" ht="30" customHeight="1" x14ac:dyDescent="0.3">
      <c r="A57" s="27" t="s">
        <v>270</v>
      </c>
      <c r="B57" s="31">
        <f>'Summary YTD 10.31.19'!B96+'Summary YTD 10.31.19'!B98+'Summary YTD 10.31.19'!B99+'Summary YTD 10.31.19'!B103+'Summary YTD 10.31.19'!B105+'Summary YTD 10.31.19'!B108+'Summary YTD 10.31.19'!B106+'Summary YTD 10.31.19'!B107+'Summary YTD 10.31.19'!B109</f>
        <v>52829.52</v>
      </c>
      <c r="C57" s="31">
        <v>0</v>
      </c>
      <c r="D57" s="31">
        <f>'Summary YTD 10.31.19'!D96+'Summary YTD 10.31.19'!D98+'Summary YTD 10.31.19'!D99+'Summary YTD 10.31.19'!D103+'Summary YTD 10.31.19'!D105+'Summary YTD 10.31.19'!D108</f>
        <v>1036.44</v>
      </c>
      <c r="E57" s="31">
        <f>'Summary YTD 10.31.19'!E96+'Summary YTD 10.31.19'!E98+'Summary YTD 10.31.19'!E99+'Summary YTD 10.31.19'!E103+'Summary YTD 10.31.19'!E105+'Summary YTD 10.31.19'!E108</f>
        <v>0</v>
      </c>
      <c r="F57" s="31">
        <f>'Summary YTD 10.31.19'!F96+'Summary YTD 10.31.19'!F98+'Summary YTD 10.31.19'!F99+'Summary YTD 10.31.19'!F103+'Summary YTD 10.31.19'!F105+'Summary YTD 10.31.19'!F108</f>
        <v>0</v>
      </c>
      <c r="G57" s="31">
        <f>'Summary YTD 10.31.19'!G103</f>
        <v>0</v>
      </c>
      <c r="H57" s="31">
        <f>'Comp YTD 2020-2019 '!H114</f>
        <v>0</v>
      </c>
      <c r="I57" s="31">
        <f t="shared" si="7"/>
        <v>53865.96</v>
      </c>
      <c r="L57" s="29"/>
    </row>
    <row r="58" spans="1:12" s="27" customFormat="1" ht="30" customHeight="1" x14ac:dyDescent="0.3">
      <c r="A58" s="27" t="s">
        <v>268</v>
      </c>
      <c r="B58" s="31">
        <f>'Summary YTD 10.31.19'!B100</f>
        <v>15776.3</v>
      </c>
      <c r="C58" s="31">
        <f>'Summary YTD 10.31.19'!C100</f>
        <v>723.33</v>
      </c>
      <c r="D58" s="31">
        <f>'Summary YTD 10.31.19'!D100</f>
        <v>14725</v>
      </c>
      <c r="E58" s="31">
        <f>'Summary YTD 10.31.19'!E100</f>
        <v>5844.62</v>
      </c>
      <c r="F58" s="31">
        <f>'Summary YTD 10.31.19'!F100</f>
        <v>645.83000000000004</v>
      </c>
      <c r="G58" s="31">
        <f>'Summary YTD 10.31.19'!G100</f>
        <v>4544.66</v>
      </c>
      <c r="H58" s="31">
        <f>'Comp YTD 2020-2019 '!H111</f>
        <v>1937.5</v>
      </c>
      <c r="I58" s="31">
        <f t="shared" si="7"/>
        <v>44197.240000000005</v>
      </c>
      <c r="L58" s="29"/>
    </row>
    <row r="59" spans="1:12" s="27" customFormat="1" ht="30" customHeight="1" x14ac:dyDescent="0.3">
      <c r="A59" s="27" t="s">
        <v>269</v>
      </c>
      <c r="B59" s="31">
        <f>'Summary YTD 10.31.19'!B101</f>
        <v>-39467.980000000003</v>
      </c>
      <c r="C59" s="31">
        <f>'Summary YTD 10.31.19'!C101</f>
        <v>0</v>
      </c>
      <c r="D59" s="31">
        <f>'Summary YTD 10.31.19'!D101</f>
        <v>0</v>
      </c>
      <c r="E59" s="31">
        <f>'Summary YTD 10.31.19'!E101</f>
        <v>-1516.72</v>
      </c>
      <c r="F59" s="31">
        <f>'Summary YTD 10.31.19'!F101</f>
        <v>-9311.7000000000007</v>
      </c>
      <c r="G59" s="31">
        <f>'Summary YTD 10.31.19'!G101</f>
        <v>0</v>
      </c>
      <c r="H59" s="31">
        <f>'Summary YTD 10.31.19'!H101</f>
        <v>0</v>
      </c>
      <c r="I59" s="31">
        <f t="shared" si="7"/>
        <v>-50296.400000000009</v>
      </c>
      <c r="L59" s="29"/>
    </row>
    <row r="60" spans="1:12" s="27" customFormat="1" ht="30" customHeight="1" x14ac:dyDescent="0.3">
      <c r="A60" s="27" t="s">
        <v>598</v>
      </c>
      <c r="B60" s="31">
        <f>'Summary YTD 10.31.19'!B102</f>
        <v>0</v>
      </c>
      <c r="C60" s="31">
        <f>'Summary YTD 10.31.19'!C102</f>
        <v>0</v>
      </c>
      <c r="D60" s="31">
        <f>'Summary YTD 10.31.19'!D102</f>
        <v>0</v>
      </c>
      <c r="E60" s="31">
        <f>'Summary YTD 10.31.19'!E102</f>
        <v>0</v>
      </c>
      <c r="F60" s="31">
        <f>'Summary YTD 10.31.19'!F102</f>
        <v>0</v>
      </c>
      <c r="G60" s="31">
        <f>'Summary YTD 10.31.19'!G102</f>
        <v>0</v>
      </c>
      <c r="H60" s="31">
        <f>'Summary YTD 10.31.19'!H102</f>
        <v>0</v>
      </c>
      <c r="I60" s="31">
        <f t="shared" si="7"/>
        <v>0</v>
      </c>
      <c r="L60" s="29"/>
    </row>
    <row r="61" spans="1:12" s="27" customFormat="1" ht="30" customHeight="1" x14ac:dyDescent="0.3">
      <c r="A61" s="27" t="s">
        <v>408</v>
      </c>
      <c r="B61" s="31">
        <v>0</v>
      </c>
      <c r="C61" s="31">
        <f>'Summary YTD 10.31.19'!C97+'Summary YTD 10.31.19'!C98</f>
        <v>-2821.87</v>
      </c>
      <c r="D61" s="31">
        <f>'Summary YTD 10.31.19'!D97</f>
        <v>0</v>
      </c>
      <c r="E61" s="31">
        <f>'Summary YTD 10.31.19'!E97+'Summary YTD 10.31.19'!E104</f>
        <v>0</v>
      </c>
      <c r="F61" s="31">
        <f>'Summary YTD 10.31.19'!F97</f>
        <v>0</v>
      </c>
      <c r="G61" s="31">
        <f>'Summary YTD 10.31.19'!G97</f>
        <v>0</v>
      </c>
      <c r="H61" s="31">
        <v>0</v>
      </c>
      <c r="I61" s="31">
        <f>SUM(B61:H61)</f>
        <v>-2821.87</v>
      </c>
      <c r="L61" s="29"/>
    </row>
    <row r="62" spans="1:12" s="27" customFormat="1" ht="30" customHeight="1" x14ac:dyDescent="0.3">
      <c r="A62" s="30" t="s">
        <v>455</v>
      </c>
      <c r="B62" s="32">
        <f>SUM(B56:B61)</f>
        <v>41637.839999999989</v>
      </c>
      <c r="C62" s="32">
        <f t="shared" ref="C62:H62" si="8">SUM(C56:C61)</f>
        <v>-2098.54</v>
      </c>
      <c r="D62" s="32">
        <f t="shared" si="8"/>
        <v>28261.440000000002</v>
      </c>
      <c r="E62" s="32">
        <f t="shared" si="8"/>
        <v>4327.8999999999996</v>
      </c>
      <c r="F62" s="32">
        <f t="shared" si="8"/>
        <v>-3665.8700000000008</v>
      </c>
      <c r="G62" s="32">
        <f t="shared" si="8"/>
        <v>27244.66</v>
      </c>
      <c r="H62" s="32">
        <f t="shared" si="8"/>
        <v>34437.5</v>
      </c>
      <c r="I62" s="32">
        <f t="shared" si="7"/>
        <v>130144.93</v>
      </c>
      <c r="L62" s="29"/>
    </row>
    <row r="63" spans="1:12" s="27" customFormat="1" ht="30" customHeight="1" x14ac:dyDescent="0.3">
      <c r="A63" s="30"/>
      <c r="B63" s="31"/>
      <c r="C63" s="31"/>
      <c r="D63" s="31"/>
      <c r="E63" s="31"/>
      <c r="F63" s="31"/>
      <c r="G63" s="31"/>
      <c r="H63" s="31"/>
      <c r="I63" s="31">
        <f>SUM(B63:F63)</f>
        <v>0</v>
      </c>
      <c r="L63" s="29"/>
    </row>
    <row r="64" spans="1:12" s="27" customFormat="1" ht="30" customHeight="1" thickBot="1" x14ac:dyDescent="0.35">
      <c r="A64" s="30" t="s">
        <v>264</v>
      </c>
      <c r="B64" s="34">
        <f t="shared" ref="B64:H64" si="9">B11-B53+B62</f>
        <v>586808.42000000959</v>
      </c>
      <c r="C64" s="34">
        <f t="shared" si="9"/>
        <v>-36966.909999999021</v>
      </c>
      <c r="D64" s="34">
        <f t="shared" si="9"/>
        <v>336315.92999999988</v>
      </c>
      <c r="E64" s="34">
        <f t="shared" si="9"/>
        <v>3965.91</v>
      </c>
      <c r="F64" s="34">
        <f t="shared" si="9"/>
        <v>41640.389999999978</v>
      </c>
      <c r="G64" s="34">
        <f t="shared" si="9"/>
        <v>16880.449999999997</v>
      </c>
      <c r="H64" s="34">
        <f t="shared" si="9"/>
        <v>19557.75</v>
      </c>
      <c r="I64" s="34">
        <f>SUM(B64:H64)</f>
        <v>968201.94000001042</v>
      </c>
      <c r="L64" s="29"/>
    </row>
    <row r="65" spans="1:9" ht="15.75" thickTop="1" x14ac:dyDescent="0.25">
      <c r="A65" t="s">
        <v>327</v>
      </c>
      <c r="B65" s="2">
        <f>CNT!N300</f>
        <v>586808.41999994987</v>
      </c>
      <c r="C65" s="2">
        <f>BPM!N89</f>
        <v>-36995.599999997139</v>
      </c>
      <c r="D65" s="2">
        <f>DEP!N88</f>
        <v>336315.92999999988</v>
      </c>
      <c r="E65" s="2">
        <f>Lending!N22</f>
        <v>3965.91</v>
      </c>
      <c r="F65" s="2">
        <f>'BSC (Dome)'!N84</f>
        <v>41640.389999999978</v>
      </c>
      <c r="G65" s="2">
        <f>'Oliari Co.'!N32</f>
        <v>16880.449999999997</v>
      </c>
      <c r="H65" s="2">
        <f>'722 Bedford St'!N30</f>
        <v>19557.75</v>
      </c>
      <c r="I65" s="2">
        <f>SUM(B65:H65)</f>
        <v>968173.2499999525</v>
      </c>
    </row>
    <row r="66" spans="1:9" x14ac:dyDescent="0.25">
      <c r="C66" s="9"/>
      <c r="E66" s="9">
        <f>E64-E65</f>
        <v>0</v>
      </c>
    </row>
    <row r="67" spans="1:9" x14ac:dyDescent="0.25">
      <c r="B67" s="9"/>
    </row>
    <row r="69" spans="1:9" x14ac:dyDescent="0.25">
      <c r="B69" s="9"/>
    </row>
    <row r="70" spans="1:9" x14ac:dyDescent="0.25">
      <c r="B70" s="9"/>
    </row>
    <row r="87" spans="2:9" x14ac:dyDescent="0.25">
      <c r="B87" s="2"/>
      <c r="C87" s="2"/>
      <c r="D87" s="2"/>
      <c r="E87" s="2"/>
      <c r="I87" s="9"/>
    </row>
    <row r="88" spans="2:9" x14ac:dyDescent="0.25">
      <c r="B88" s="2"/>
      <c r="C88" s="2"/>
      <c r="D88" s="2"/>
      <c r="E88" s="2"/>
    </row>
    <row r="89" spans="2:9" x14ac:dyDescent="0.25">
      <c r="B89" s="2"/>
      <c r="C89" s="2"/>
      <c r="D89" s="2"/>
      <c r="E89" s="2"/>
    </row>
    <row r="90" spans="2:9" x14ac:dyDescent="0.25">
      <c r="B90" s="2"/>
      <c r="C90" s="2"/>
      <c r="D90" s="2"/>
      <c r="E90" s="2"/>
    </row>
    <row r="91" spans="2:9" x14ac:dyDescent="0.25">
      <c r="B91" s="2"/>
      <c r="C91" s="2"/>
      <c r="D91" s="2"/>
      <c r="E91" s="2"/>
    </row>
    <row r="92" spans="2:9" x14ac:dyDescent="0.25">
      <c r="B92" s="2"/>
      <c r="C92" s="2"/>
      <c r="D92" s="2"/>
      <c r="E92" s="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8"/>
  <sheetViews>
    <sheetView zoomScaleNormal="100" workbookViewId="0">
      <pane ySplit="6" topLeftCell="A7" activePane="bottomLeft" state="frozen"/>
      <selection activeCell="A92" sqref="A92"/>
      <selection pane="bottomLeft" activeCell="A3" sqref="A3:N3"/>
    </sheetView>
  </sheetViews>
  <sheetFormatPr defaultRowHeight="15" x14ac:dyDescent="0.25"/>
  <cols>
    <col min="1" max="1" width="44.42578125" bestFit="1" customWidth="1"/>
    <col min="2" max="2" width="13" style="2" bestFit="1" customWidth="1"/>
    <col min="3" max="3" width="13" style="2" hidden="1" customWidth="1"/>
    <col min="4" max="4" width="13.42578125" style="2" hidden="1" customWidth="1"/>
    <col min="5" max="13" width="13" style="2" hidden="1" customWidth="1"/>
    <col min="14" max="14" width="13.42578125" style="2" bestFit="1" customWidth="1"/>
    <col min="15" max="15" width="4.42578125" style="2" customWidth="1"/>
    <col min="16" max="18" width="26.28515625" style="38" customWidth="1"/>
    <col min="19" max="19" width="5.5703125" style="93" customWidth="1"/>
    <col min="20" max="27" width="10.5703125" bestFit="1" customWidth="1"/>
    <col min="28" max="28" width="12.28515625" bestFit="1" customWidth="1"/>
    <col min="29" max="29" width="10.5703125" bestFit="1" customWidth="1"/>
    <col min="30" max="30" width="11.85546875" bestFit="1" customWidth="1"/>
    <col min="31" max="32" width="11.5703125" bestFit="1" customWidth="1"/>
  </cols>
  <sheetData>
    <row r="1" spans="1:32" ht="21" x14ac:dyDescent="0.35">
      <c r="A1" s="259" t="s">
        <v>409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120"/>
    </row>
    <row r="2" spans="1:32" ht="21" x14ac:dyDescent="0.3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20"/>
    </row>
    <row r="3" spans="1:32" ht="21" x14ac:dyDescent="0.35">
      <c r="A3" s="259">
        <v>2020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120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57" t="s">
        <v>551</v>
      </c>
      <c r="Q4" s="257" t="s">
        <v>546</v>
      </c>
      <c r="R4" s="257" t="s">
        <v>550</v>
      </c>
    </row>
    <row r="5" spans="1:32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58"/>
      <c r="Q5" s="258"/>
      <c r="R5" s="258"/>
    </row>
    <row r="6" spans="1:32" x14ac:dyDescent="0.25">
      <c r="B6" s="7" t="s">
        <v>299</v>
      </c>
      <c r="C6" s="7" t="s">
        <v>300</v>
      </c>
      <c r="D6" s="7" t="s">
        <v>301</v>
      </c>
      <c r="E6" s="7" t="s">
        <v>302</v>
      </c>
      <c r="F6" s="7" t="s">
        <v>372</v>
      </c>
      <c r="G6" s="7" t="s">
        <v>605</v>
      </c>
      <c r="H6" s="7" t="s">
        <v>606</v>
      </c>
      <c r="I6" s="7" t="s">
        <v>607</v>
      </c>
      <c r="J6" s="7" t="s">
        <v>608</v>
      </c>
      <c r="K6" s="7" t="s">
        <v>609</v>
      </c>
      <c r="L6" s="7" t="s">
        <v>610</v>
      </c>
      <c r="M6" s="7" t="s">
        <v>611</v>
      </c>
      <c r="N6" s="7" t="s">
        <v>205</v>
      </c>
      <c r="O6" s="7"/>
      <c r="P6" s="92">
        <v>9</v>
      </c>
      <c r="Q6" s="92"/>
      <c r="R6" s="7" t="s">
        <v>205</v>
      </c>
      <c r="T6" s="7" t="s">
        <v>299</v>
      </c>
      <c r="U6" s="7" t="s">
        <v>300</v>
      </c>
      <c r="V6" s="7" t="s">
        <v>301</v>
      </c>
      <c r="W6" s="7" t="s">
        <v>302</v>
      </c>
      <c r="X6" s="7" t="s">
        <v>372</v>
      </c>
      <c r="Y6" s="7" t="s">
        <v>413</v>
      </c>
      <c r="Z6" s="7" t="s">
        <v>432</v>
      </c>
      <c r="AA6" s="7" t="s">
        <v>442</v>
      </c>
      <c r="AB6" s="7" t="s">
        <v>456</v>
      </c>
      <c r="AC6" s="7" t="s">
        <v>474</v>
      </c>
      <c r="AD6" s="7" t="s">
        <v>476</v>
      </c>
      <c r="AE6" s="7" t="s">
        <v>525</v>
      </c>
      <c r="AF6" s="7" t="s">
        <v>205</v>
      </c>
    </row>
    <row r="7" spans="1:32" x14ac:dyDescent="0.25">
      <c r="P7" s="2"/>
      <c r="Q7" s="2"/>
      <c r="R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s="2" customFormat="1" x14ac:dyDescent="0.25">
      <c r="A8" s="1" t="s">
        <v>207</v>
      </c>
      <c r="S8" s="94"/>
    </row>
    <row r="9" spans="1:32" s="2" customFormat="1" x14ac:dyDescent="0.25">
      <c r="A9" s="1" t="s">
        <v>583</v>
      </c>
      <c r="S9" s="94"/>
    </row>
    <row r="10" spans="1:32" s="2" customFormat="1" x14ac:dyDescent="0.25">
      <c r="A10" t="s">
        <v>587</v>
      </c>
      <c r="N10" s="2">
        <f>SUM(B10:M10)</f>
        <v>0</v>
      </c>
      <c r="S10" s="94"/>
    </row>
    <row r="11" spans="1:32" s="2" customFormat="1" x14ac:dyDescent="0.25">
      <c r="A11" t="s">
        <v>584</v>
      </c>
      <c r="B11" s="2">
        <v>860.93</v>
      </c>
      <c r="N11" s="2">
        <f>SUM(B11:M11)</f>
        <v>860.93</v>
      </c>
      <c r="S11" s="94"/>
    </row>
    <row r="12" spans="1:32" s="2" customFormat="1" hidden="1" x14ac:dyDescent="0.25">
      <c r="A12" t="s">
        <v>350</v>
      </c>
      <c r="N12" s="2">
        <f>SUM(B12:M12)</f>
        <v>0</v>
      </c>
      <c r="P12" s="2">
        <f t="shared" ref="P12:P18" si="0">Q12/12*$P$6</f>
        <v>390</v>
      </c>
      <c r="Q12" s="2">
        <f t="shared" ref="Q12:Q17" si="1">R12</f>
        <v>520</v>
      </c>
      <c r="R12" s="2">
        <f>AF12</f>
        <v>520</v>
      </c>
      <c r="S12" s="94">
        <f>AF12-R12</f>
        <v>0</v>
      </c>
      <c r="T12" s="2">
        <v>0</v>
      </c>
      <c r="U12" s="2">
        <v>0</v>
      </c>
      <c r="V12" s="2">
        <v>0</v>
      </c>
      <c r="W12" s="2">
        <v>520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f>SUM(T12:AE12)</f>
        <v>520</v>
      </c>
    </row>
    <row r="13" spans="1:32" s="2" customFormat="1" x14ac:dyDescent="0.25">
      <c r="A13" t="s">
        <v>290</v>
      </c>
      <c r="B13" s="2">
        <v>9253.2800000000007</v>
      </c>
      <c r="N13" s="2">
        <f>SUM(B13:M13)</f>
        <v>9253.2800000000007</v>
      </c>
      <c r="P13" s="2">
        <f t="shared" si="0"/>
        <v>83259.892500000016</v>
      </c>
      <c r="Q13" s="2">
        <f t="shared" si="1"/>
        <v>111013.19000000003</v>
      </c>
      <c r="R13" s="2">
        <f>AF13</f>
        <v>111013.19000000003</v>
      </c>
      <c r="S13" s="94">
        <f t="shared" ref="S13:S30" si="2">AF13-R13</f>
        <v>0</v>
      </c>
      <c r="T13" s="2">
        <v>9251.27</v>
      </c>
      <c r="U13" s="2">
        <v>9251.27</v>
      </c>
      <c r="V13" s="2">
        <v>9251.27</v>
      </c>
      <c r="W13" s="2">
        <v>9251.27</v>
      </c>
      <c r="X13" s="2">
        <v>9251.27</v>
      </c>
      <c r="Y13" s="2">
        <v>9251.27</v>
      </c>
      <c r="Z13" s="2">
        <v>9251.27</v>
      </c>
      <c r="AA13" s="2">
        <v>9251.27</v>
      </c>
      <c r="AB13" s="2">
        <v>9251.27</v>
      </c>
      <c r="AC13" s="2">
        <v>9251.27</v>
      </c>
      <c r="AD13" s="2">
        <v>9249.27</v>
      </c>
      <c r="AE13" s="2">
        <v>9251.2199999999993</v>
      </c>
      <c r="AF13" s="2">
        <f>SUM(T13:AE13)</f>
        <v>111013.19000000003</v>
      </c>
    </row>
    <row r="14" spans="1:32" s="2" customFormat="1" x14ac:dyDescent="0.25">
      <c r="A14" s="1" t="s">
        <v>208</v>
      </c>
      <c r="B14" s="4">
        <f>SUM(B10:B13)</f>
        <v>10114.210000000001</v>
      </c>
      <c r="C14" s="4">
        <f>SUM(C10:C13)</f>
        <v>0</v>
      </c>
      <c r="D14" s="4">
        <f>SUM(D10:D13)</f>
        <v>0</v>
      </c>
      <c r="E14" s="4">
        <f>SUM(E10:E13)</f>
        <v>0</v>
      </c>
      <c r="F14" s="4">
        <f>SUM(F10:F13)</f>
        <v>0</v>
      </c>
      <c r="G14" s="4">
        <f t="shared" ref="G14:N14" si="3">SUM(G10:G13)</f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10114.210000000001</v>
      </c>
      <c r="P14" s="4">
        <f t="shared" si="0"/>
        <v>83649.892500000016</v>
      </c>
      <c r="Q14" s="4">
        <f>SUM(Q12:Q13)</f>
        <v>111533.19000000003</v>
      </c>
      <c r="R14" s="4">
        <f>SUM(R12:R13)</f>
        <v>111533.19000000003</v>
      </c>
      <c r="S14" s="94">
        <f>AF14-R14</f>
        <v>0</v>
      </c>
      <c r="T14" s="4">
        <f t="shared" ref="T14:AF14" si="4">SUM(T12:T13)</f>
        <v>9251.27</v>
      </c>
      <c r="U14" s="4">
        <f t="shared" si="4"/>
        <v>9251.27</v>
      </c>
      <c r="V14" s="4">
        <f t="shared" si="4"/>
        <v>9251.27</v>
      </c>
      <c r="W14" s="4">
        <f t="shared" si="4"/>
        <v>9771.27</v>
      </c>
      <c r="X14" s="4">
        <f>SUM(X12:X13)</f>
        <v>9251.27</v>
      </c>
      <c r="Y14" s="4">
        <f>SUM(Y12:Y13)</f>
        <v>9251.27</v>
      </c>
      <c r="Z14" s="4">
        <f t="shared" ref="Z14:AD14" si="5">SUM(Z12:Z13)</f>
        <v>9251.27</v>
      </c>
      <c r="AA14" s="4">
        <f t="shared" si="5"/>
        <v>9251.27</v>
      </c>
      <c r="AB14" s="4">
        <f t="shared" si="5"/>
        <v>9251.27</v>
      </c>
      <c r="AC14" s="4">
        <f t="shared" si="5"/>
        <v>9251.27</v>
      </c>
      <c r="AD14" s="4">
        <f t="shared" si="5"/>
        <v>9249.27</v>
      </c>
      <c r="AE14" s="4">
        <f t="shared" si="4"/>
        <v>9251.2199999999993</v>
      </c>
      <c r="AF14" s="4">
        <f t="shared" si="4"/>
        <v>111533.19000000003</v>
      </c>
    </row>
    <row r="15" spans="1:32" x14ac:dyDescent="0.25">
      <c r="P15" s="2">
        <f t="shared" si="0"/>
        <v>0</v>
      </c>
      <c r="Q15" s="2"/>
      <c r="R15" s="2"/>
      <c r="S15" s="94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2" customFormat="1" x14ac:dyDescent="0.25">
      <c r="A16" s="1" t="s">
        <v>291</v>
      </c>
      <c r="P16" s="2">
        <f t="shared" si="0"/>
        <v>0</v>
      </c>
      <c r="S16" s="94"/>
    </row>
    <row r="17" spans="1:32" s="2" customFormat="1" x14ac:dyDescent="0.25">
      <c r="A17" t="s">
        <v>354</v>
      </c>
      <c r="B17" s="2">
        <v>250</v>
      </c>
      <c r="N17" s="2">
        <f>SUM(B17:M17)</f>
        <v>250</v>
      </c>
      <c r="P17" s="2">
        <f t="shared" si="0"/>
        <v>2583.75</v>
      </c>
      <c r="Q17" s="2">
        <f t="shared" si="1"/>
        <v>3445</v>
      </c>
      <c r="R17" s="2">
        <f>AF17</f>
        <v>3445</v>
      </c>
      <c r="S17" s="94">
        <f t="shared" si="2"/>
        <v>0</v>
      </c>
      <c r="T17" s="2">
        <v>265</v>
      </c>
      <c r="U17" s="2">
        <v>265</v>
      </c>
      <c r="V17" s="2">
        <v>265</v>
      </c>
      <c r="W17" s="2">
        <v>265</v>
      </c>
      <c r="X17" s="2">
        <v>265</v>
      </c>
      <c r="Y17" s="2">
        <v>265</v>
      </c>
      <c r="Z17" s="2">
        <v>530</v>
      </c>
      <c r="AA17" s="2">
        <v>265</v>
      </c>
      <c r="AB17" s="2">
        <v>265</v>
      </c>
      <c r="AC17" s="2">
        <v>265</v>
      </c>
      <c r="AD17" s="2">
        <v>265</v>
      </c>
      <c r="AE17" s="2">
        <v>265</v>
      </c>
      <c r="AF17" s="2">
        <f>SUM(T17:AE17)</f>
        <v>3445</v>
      </c>
    </row>
    <row r="18" spans="1:32" s="2" customFormat="1" x14ac:dyDescent="0.25">
      <c r="A18" s="1"/>
      <c r="B18" s="4">
        <f t="shared" ref="B18:N18" si="6">SUM(B17:B17)</f>
        <v>250</v>
      </c>
      <c r="C18" s="4">
        <f t="shared" si="6"/>
        <v>0</v>
      </c>
      <c r="D18" s="4">
        <f t="shared" si="6"/>
        <v>0</v>
      </c>
      <c r="E18" s="4">
        <f t="shared" si="6"/>
        <v>0</v>
      </c>
      <c r="F18" s="4">
        <f>SUM(F17:F17)</f>
        <v>0</v>
      </c>
      <c r="G18" s="4">
        <f>SUM(G17:G17)</f>
        <v>0</v>
      </c>
      <c r="H18" s="4">
        <f t="shared" ref="H18:L18" si="7">SUM(H17:H17)</f>
        <v>0</v>
      </c>
      <c r="I18" s="4">
        <f t="shared" si="7"/>
        <v>0</v>
      </c>
      <c r="J18" s="4">
        <f t="shared" si="7"/>
        <v>0</v>
      </c>
      <c r="K18" s="4">
        <f t="shared" si="7"/>
        <v>0</v>
      </c>
      <c r="L18" s="4">
        <f t="shared" si="7"/>
        <v>0</v>
      </c>
      <c r="M18" s="4">
        <f t="shared" si="6"/>
        <v>0</v>
      </c>
      <c r="N18" s="4">
        <f t="shared" si="6"/>
        <v>250</v>
      </c>
      <c r="P18" s="4">
        <f t="shared" si="0"/>
        <v>2583.75</v>
      </c>
      <c r="Q18" s="4">
        <f>Q17</f>
        <v>3445</v>
      </c>
      <c r="R18" s="4">
        <f>R17</f>
        <v>3445</v>
      </c>
      <c r="S18" s="94">
        <f t="shared" si="2"/>
        <v>0</v>
      </c>
      <c r="T18" s="4">
        <f t="shared" ref="T18:AF18" si="8">SUM(T17:T17)</f>
        <v>265</v>
      </c>
      <c r="U18" s="4">
        <f t="shared" si="8"/>
        <v>265</v>
      </c>
      <c r="V18" s="4">
        <f t="shared" si="8"/>
        <v>265</v>
      </c>
      <c r="W18" s="4">
        <f t="shared" si="8"/>
        <v>265</v>
      </c>
      <c r="X18" s="4">
        <f>SUM(X17:X17)</f>
        <v>265</v>
      </c>
      <c r="Y18" s="4">
        <f>SUM(Y17:Y17)</f>
        <v>265</v>
      </c>
      <c r="Z18" s="4">
        <f t="shared" ref="Z18:AD18" si="9">SUM(Z17:Z17)</f>
        <v>530</v>
      </c>
      <c r="AA18" s="4">
        <f t="shared" si="9"/>
        <v>265</v>
      </c>
      <c r="AB18" s="4">
        <f t="shared" si="9"/>
        <v>265</v>
      </c>
      <c r="AC18" s="4">
        <f t="shared" si="9"/>
        <v>265</v>
      </c>
      <c r="AD18" s="4">
        <f t="shared" si="9"/>
        <v>265</v>
      </c>
      <c r="AE18" s="4">
        <f t="shared" si="8"/>
        <v>265</v>
      </c>
      <c r="AF18" s="4">
        <f t="shared" si="8"/>
        <v>3445</v>
      </c>
    </row>
    <row r="19" spans="1:32" s="2" customFormat="1" x14ac:dyDescent="0.25">
      <c r="A19" t="s">
        <v>243</v>
      </c>
      <c r="S19" s="94"/>
    </row>
    <row r="20" spans="1:32" s="2" customFormat="1" ht="15.75" thickBot="1" x14ac:dyDescent="0.3">
      <c r="A20" s="1" t="s">
        <v>208</v>
      </c>
      <c r="B20" s="5">
        <f t="shared" ref="B20:N20" si="10">B14+B18</f>
        <v>10364.210000000001</v>
      </c>
      <c r="C20" s="5">
        <f t="shared" si="10"/>
        <v>0</v>
      </c>
      <c r="D20" s="5">
        <f t="shared" si="10"/>
        <v>0</v>
      </c>
      <c r="E20" s="5">
        <f t="shared" si="10"/>
        <v>0</v>
      </c>
      <c r="F20" s="5">
        <f>F14+F18</f>
        <v>0</v>
      </c>
      <c r="G20" s="5">
        <f>G14+G18</f>
        <v>0</v>
      </c>
      <c r="H20" s="5">
        <f t="shared" ref="H20:L20" si="11">H14+H18</f>
        <v>0</v>
      </c>
      <c r="I20" s="5">
        <f t="shared" si="11"/>
        <v>0</v>
      </c>
      <c r="J20" s="5">
        <f t="shared" si="11"/>
        <v>0</v>
      </c>
      <c r="K20" s="5">
        <f t="shared" si="11"/>
        <v>0</v>
      </c>
      <c r="L20" s="5">
        <f t="shared" si="11"/>
        <v>0</v>
      </c>
      <c r="M20" s="5">
        <f t="shared" si="10"/>
        <v>0</v>
      </c>
      <c r="N20" s="5">
        <f t="shared" si="10"/>
        <v>10364.210000000001</v>
      </c>
      <c r="P20" s="5">
        <f>P14+P18</f>
        <v>86233.642500000016</v>
      </c>
      <c r="Q20" s="5">
        <f t="shared" ref="Q20:R20" si="12">Q14+Q18</f>
        <v>114978.19000000003</v>
      </c>
      <c r="R20" s="5">
        <f t="shared" si="12"/>
        <v>114978.19000000003</v>
      </c>
      <c r="S20" s="94">
        <f>R20-AF20</f>
        <v>0</v>
      </c>
      <c r="T20" s="5">
        <f t="shared" ref="T20:AF20" si="13">T14+T18</f>
        <v>9516.27</v>
      </c>
      <c r="U20" s="5">
        <f t="shared" si="13"/>
        <v>9516.27</v>
      </c>
      <c r="V20" s="5">
        <f t="shared" si="13"/>
        <v>9516.27</v>
      </c>
      <c r="W20" s="5">
        <f t="shared" si="13"/>
        <v>10036.27</v>
      </c>
      <c r="X20" s="5">
        <f>X14+X18</f>
        <v>9516.27</v>
      </c>
      <c r="Y20" s="5">
        <f>Y14+Y18</f>
        <v>9516.27</v>
      </c>
      <c r="Z20" s="5">
        <f t="shared" ref="Z20:AD20" si="14">Z14+Z18</f>
        <v>9781.27</v>
      </c>
      <c r="AA20" s="5">
        <f t="shared" si="14"/>
        <v>9516.27</v>
      </c>
      <c r="AB20" s="5">
        <f t="shared" si="14"/>
        <v>9516.27</v>
      </c>
      <c r="AC20" s="5">
        <f t="shared" si="14"/>
        <v>9516.27</v>
      </c>
      <c r="AD20" s="5">
        <f t="shared" si="14"/>
        <v>9514.27</v>
      </c>
      <c r="AE20" s="5">
        <f t="shared" si="13"/>
        <v>9516.2199999999993</v>
      </c>
      <c r="AF20" s="5">
        <f t="shared" si="13"/>
        <v>114978.19000000003</v>
      </c>
    </row>
    <row r="21" spans="1:32" x14ac:dyDescent="0.25">
      <c r="P21" s="2"/>
      <c r="Q21" s="2"/>
      <c r="R21" s="2"/>
      <c r="S21" s="9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2" customFormat="1" x14ac:dyDescent="0.25">
      <c r="A22" s="1" t="s">
        <v>295</v>
      </c>
      <c r="P22" s="2">
        <f t="shared" ref="P22:P29" si="15">Q22/12*$P$6</f>
        <v>0</v>
      </c>
      <c r="S22" s="94"/>
    </row>
    <row r="23" spans="1:32" s="2" customFormat="1" x14ac:dyDescent="0.25">
      <c r="A23" t="s">
        <v>359</v>
      </c>
      <c r="B23" s="2">
        <v>16700</v>
      </c>
      <c r="N23" s="2">
        <f t="shared" ref="N23:N29" si="16">SUM(B23:M23)</f>
        <v>16700</v>
      </c>
      <c r="P23" s="2">
        <f t="shared" si="15"/>
        <v>150300</v>
      </c>
      <c r="Q23" s="2">
        <f t="shared" ref="Q23:Q29" si="17">R23</f>
        <v>200400</v>
      </c>
      <c r="R23" s="2">
        <f>AF23</f>
        <v>200400</v>
      </c>
      <c r="S23" s="94">
        <f t="shared" si="2"/>
        <v>0</v>
      </c>
      <c r="T23" s="2">
        <v>16700</v>
      </c>
      <c r="U23" s="2">
        <v>16700</v>
      </c>
      <c r="V23" s="2">
        <v>16700</v>
      </c>
      <c r="W23" s="2">
        <v>16700</v>
      </c>
      <c r="X23" s="2">
        <v>16700</v>
      </c>
      <c r="Y23" s="2">
        <v>16700</v>
      </c>
      <c r="Z23" s="2">
        <v>16700</v>
      </c>
      <c r="AA23" s="2">
        <v>16700</v>
      </c>
      <c r="AB23" s="2">
        <v>16700</v>
      </c>
      <c r="AC23" s="2">
        <v>16700</v>
      </c>
      <c r="AD23" s="2">
        <v>16700</v>
      </c>
      <c r="AE23" s="2">
        <v>16700</v>
      </c>
      <c r="AF23" s="2">
        <f t="shared" ref="AF23:AF29" si="18">SUM(T23:AE23)</f>
        <v>200400</v>
      </c>
    </row>
    <row r="24" spans="1:32" s="2" customFormat="1" x14ac:dyDescent="0.25">
      <c r="A24" t="s">
        <v>400</v>
      </c>
      <c r="B24" s="2">
        <v>1000</v>
      </c>
      <c r="N24" s="2">
        <f t="shared" si="16"/>
        <v>1000</v>
      </c>
      <c r="P24" s="2">
        <f t="shared" si="15"/>
        <v>9000</v>
      </c>
      <c r="Q24" s="2">
        <f t="shared" si="17"/>
        <v>12000</v>
      </c>
      <c r="R24" s="2">
        <f t="shared" ref="R24:R29" si="19">AF24</f>
        <v>12000</v>
      </c>
      <c r="S24" s="94">
        <f t="shared" si="2"/>
        <v>0</v>
      </c>
      <c r="T24" s="2">
        <v>1000</v>
      </c>
      <c r="U24" s="2">
        <v>1000</v>
      </c>
      <c r="V24" s="2">
        <v>1000</v>
      </c>
      <c r="W24" s="2">
        <v>1000</v>
      </c>
      <c r="X24" s="2">
        <v>1000</v>
      </c>
      <c r="Y24" s="2">
        <v>1000</v>
      </c>
      <c r="Z24" s="2">
        <v>1000</v>
      </c>
      <c r="AA24" s="2">
        <v>1000</v>
      </c>
      <c r="AB24" s="2">
        <v>1000</v>
      </c>
      <c r="AC24" s="2">
        <v>1000</v>
      </c>
      <c r="AD24" s="2">
        <v>1000</v>
      </c>
      <c r="AE24" s="2">
        <v>1000</v>
      </c>
      <c r="AF24" s="2">
        <f t="shared" si="18"/>
        <v>12000</v>
      </c>
    </row>
    <row r="25" spans="1:32" s="2" customFormat="1" x14ac:dyDescent="0.25">
      <c r="A25" t="s">
        <v>473</v>
      </c>
      <c r="B25" s="2">
        <v>5000</v>
      </c>
      <c r="N25" s="2">
        <f t="shared" si="16"/>
        <v>5000</v>
      </c>
      <c r="P25" s="2">
        <f t="shared" si="15"/>
        <v>45000</v>
      </c>
      <c r="Q25" s="2">
        <f t="shared" si="17"/>
        <v>60000</v>
      </c>
      <c r="R25" s="2">
        <f t="shared" si="19"/>
        <v>60000</v>
      </c>
      <c r="S25" s="94">
        <f t="shared" si="2"/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45000</v>
      </c>
      <c r="AC25" s="2">
        <v>5000</v>
      </c>
      <c r="AD25" s="2">
        <v>5000</v>
      </c>
      <c r="AE25" s="2">
        <v>5000</v>
      </c>
      <c r="AF25" s="2">
        <f t="shared" si="18"/>
        <v>60000</v>
      </c>
    </row>
    <row r="26" spans="1:32" s="2" customFormat="1" x14ac:dyDescent="0.25">
      <c r="A26" t="s">
        <v>576</v>
      </c>
      <c r="N26" s="2">
        <f t="shared" si="16"/>
        <v>0</v>
      </c>
      <c r="P26" s="2">
        <f t="shared" si="15"/>
        <v>0</v>
      </c>
      <c r="Q26" s="2">
        <f t="shared" si="17"/>
        <v>0</v>
      </c>
      <c r="R26" s="2">
        <f t="shared" si="19"/>
        <v>0</v>
      </c>
      <c r="S26" s="94"/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f t="shared" si="18"/>
        <v>0</v>
      </c>
    </row>
    <row r="27" spans="1:32" s="2" customFormat="1" hidden="1" x14ac:dyDescent="0.25">
      <c r="A27" t="s">
        <v>480</v>
      </c>
      <c r="N27" s="2">
        <f t="shared" si="16"/>
        <v>0</v>
      </c>
      <c r="P27" s="2">
        <f t="shared" si="15"/>
        <v>0.75750000000000006</v>
      </c>
      <c r="Q27" s="2">
        <f t="shared" si="17"/>
        <v>1.01</v>
      </c>
      <c r="R27" s="2">
        <f t="shared" si="19"/>
        <v>1.01</v>
      </c>
      <c r="S27" s="94">
        <f t="shared" si="2"/>
        <v>0</v>
      </c>
      <c r="T27" s="2">
        <v>1.01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f t="shared" si="18"/>
        <v>1.01</v>
      </c>
    </row>
    <row r="28" spans="1:32" s="2" customFormat="1" x14ac:dyDescent="0.25">
      <c r="A28" t="s">
        <v>268</v>
      </c>
      <c r="B28" s="2">
        <v>4544.66</v>
      </c>
      <c r="N28" s="2">
        <f t="shared" si="16"/>
        <v>4544.66</v>
      </c>
      <c r="P28" s="2">
        <f t="shared" si="15"/>
        <v>32758.110000000004</v>
      </c>
      <c r="Q28" s="2">
        <f t="shared" si="17"/>
        <v>43677.48</v>
      </c>
      <c r="R28" s="2">
        <f t="shared" si="19"/>
        <v>43677.48</v>
      </c>
      <c r="S28" s="94">
        <f t="shared" si="2"/>
        <v>0</v>
      </c>
      <c r="T28" s="2">
        <v>3691.03</v>
      </c>
      <c r="U28" s="2">
        <v>3673.36</v>
      </c>
      <c r="V28" s="2">
        <v>3655.63</v>
      </c>
      <c r="W28" s="2">
        <v>3637.86</v>
      </c>
      <c r="X28" s="2">
        <v>3620.04</v>
      </c>
      <c r="Y28" s="2">
        <v>3602.17</v>
      </c>
      <c r="Z28" s="2">
        <v>3584.24</v>
      </c>
      <c r="AA28" s="2">
        <v>3566.27</v>
      </c>
      <c r="AB28" s="2">
        <v>3548.25</v>
      </c>
      <c r="AC28" s="2">
        <v>3669.07</v>
      </c>
      <c r="AD28" s="2">
        <v>3720.39</v>
      </c>
      <c r="AE28" s="2">
        <v>3709.17</v>
      </c>
      <c r="AF28" s="2">
        <f t="shared" si="18"/>
        <v>43677.48</v>
      </c>
    </row>
    <row r="29" spans="1:32" s="2" customFormat="1" x14ac:dyDescent="0.25">
      <c r="A29" t="s">
        <v>269</v>
      </c>
      <c r="N29" s="2">
        <f t="shared" si="16"/>
        <v>0</v>
      </c>
      <c r="P29" s="2">
        <f t="shared" si="15"/>
        <v>-7748.3700000000017</v>
      </c>
      <c r="Q29" s="2">
        <f t="shared" si="17"/>
        <v>-10331.160000000002</v>
      </c>
      <c r="R29" s="2">
        <f t="shared" si="19"/>
        <v>-10331.160000000002</v>
      </c>
      <c r="S29" s="94">
        <f t="shared" si="2"/>
        <v>0</v>
      </c>
      <c r="T29" s="2">
        <v>-860.93</v>
      </c>
      <c r="U29" s="2">
        <v>-860.93</v>
      </c>
      <c r="V29" s="2">
        <v>-860.93</v>
      </c>
      <c r="W29" s="2">
        <v>-860.93</v>
      </c>
      <c r="X29" s="2">
        <v>-860.93</v>
      </c>
      <c r="Y29" s="2">
        <v>-860.93</v>
      </c>
      <c r="Z29" s="2">
        <v>-860.93</v>
      </c>
      <c r="AA29" s="2">
        <v>-860.93</v>
      </c>
      <c r="AB29" s="2">
        <v>-860.93</v>
      </c>
      <c r="AC29" s="2">
        <v>-860.93</v>
      </c>
      <c r="AD29" s="2">
        <v>-860.93</v>
      </c>
      <c r="AE29" s="2">
        <v>-860.93</v>
      </c>
      <c r="AF29" s="2">
        <f t="shared" si="18"/>
        <v>-10331.160000000002</v>
      </c>
    </row>
    <row r="30" spans="1:32" s="2" customFormat="1" x14ac:dyDescent="0.25">
      <c r="A30" s="1" t="s">
        <v>297</v>
      </c>
      <c r="B30" s="4">
        <f t="shared" ref="B30:M30" si="20">SUM(B23:B29)</f>
        <v>27244.66</v>
      </c>
      <c r="C30" s="4">
        <f>SUM(C23:C29)</f>
        <v>0</v>
      </c>
      <c r="D30" s="4">
        <f t="shared" si="20"/>
        <v>0</v>
      </c>
      <c r="E30" s="4">
        <f t="shared" si="20"/>
        <v>0</v>
      </c>
      <c r="F30" s="4">
        <f>SUM(F23:F29)</f>
        <v>0</v>
      </c>
      <c r="G30" s="4">
        <f>SUM(G23:G29)</f>
        <v>0</v>
      </c>
      <c r="H30" s="4">
        <f t="shared" ref="H30:L30" si="21">SUM(H23:H29)</f>
        <v>0</v>
      </c>
      <c r="I30" s="4">
        <f t="shared" si="21"/>
        <v>0</v>
      </c>
      <c r="J30" s="4">
        <f t="shared" si="21"/>
        <v>0</v>
      </c>
      <c r="K30" s="4">
        <f t="shared" si="21"/>
        <v>0</v>
      </c>
      <c r="L30" s="4">
        <f t="shared" si="21"/>
        <v>0</v>
      </c>
      <c r="M30" s="4">
        <f t="shared" si="20"/>
        <v>0</v>
      </c>
      <c r="N30" s="4">
        <f>SUM(N23:N29)</f>
        <v>27244.66</v>
      </c>
      <c r="P30" s="4">
        <f t="shared" ref="P30:Q30" si="22">SUM(P23:P29)</f>
        <v>229310.49750000003</v>
      </c>
      <c r="Q30" s="4">
        <f t="shared" si="22"/>
        <v>305747.33</v>
      </c>
      <c r="R30" s="4">
        <f>SUM(R23:R29)</f>
        <v>305747.33</v>
      </c>
      <c r="S30" s="94">
        <f t="shared" si="2"/>
        <v>0</v>
      </c>
      <c r="T30" s="4">
        <f t="shared" ref="T30:AE30" si="23">SUM(T23:T29)</f>
        <v>20531.109999999997</v>
      </c>
      <c r="U30" s="4">
        <f t="shared" si="23"/>
        <v>20512.43</v>
      </c>
      <c r="V30" s="4">
        <f t="shared" si="23"/>
        <v>20494.7</v>
      </c>
      <c r="W30" s="4">
        <f t="shared" si="23"/>
        <v>20476.93</v>
      </c>
      <c r="X30" s="4">
        <f>SUM(X23:X29)</f>
        <v>20459.11</v>
      </c>
      <c r="Y30" s="4">
        <f>SUM(Y23:Y29)</f>
        <v>20441.239999999998</v>
      </c>
      <c r="Z30" s="4">
        <f t="shared" ref="Z30:AD30" si="24">SUM(Z23:Z29)</f>
        <v>20423.309999999998</v>
      </c>
      <c r="AA30" s="4">
        <f t="shared" si="24"/>
        <v>20405.34</v>
      </c>
      <c r="AB30" s="4">
        <f t="shared" si="24"/>
        <v>65387.32</v>
      </c>
      <c r="AC30" s="4">
        <f t="shared" si="24"/>
        <v>25508.14</v>
      </c>
      <c r="AD30" s="4">
        <f t="shared" si="24"/>
        <v>25559.46</v>
      </c>
      <c r="AE30" s="4">
        <f t="shared" si="23"/>
        <v>25548.239999999998</v>
      </c>
      <c r="AF30" s="4">
        <f>SUM(AF23:AF29)</f>
        <v>305747.33</v>
      </c>
    </row>
    <row r="31" spans="1:32" x14ac:dyDescent="0.25">
      <c r="P31" s="2"/>
      <c r="Q31" s="2"/>
      <c r="R31" s="2"/>
      <c r="S31" s="94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thickBot="1" x14ac:dyDescent="0.3">
      <c r="A32" s="1" t="s">
        <v>298</v>
      </c>
      <c r="B32" s="6">
        <f>B30-B20</f>
        <v>16880.449999999997</v>
      </c>
      <c r="C32" s="6">
        <f t="shared" ref="C32:M32" si="25">C30-C20</f>
        <v>0</v>
      </c>
      <c r="D32" s="6">
        <f t="shared" si="25"/>
        <v>0</v>
      </c>
      <c r="E32" s="6">
        <f t="shared" si="25"/>
        <v>0</v>
      </c>
      <c r="F32" s="6">
        <f>F30-F20</f>
        <v>0</v>
      </c>
      <c r="G32" s="6">
        <f>G30-G20</f>
        <v>0</v>
      </c>
      <c r="H32" s="6">
        <f t="shared" ref="H32:L32" si="26">H30-H20</f>
        <v>0</v>
      </c>
      <c r="I32" s="6">
        <f t="shared" si="26"/>
        <v>0</v>
      </c>
      <c r="J32" s="6">
        <f t="shared" si="26"/>
        <v>0</v>
      </c>
      <c r="K32" s="6">
        <f t="shared" si="26"/>
        <v>0</v>
      </c>
      <c r="L32" s="6">
        <f t="shared" si="26"/>
        <v>0</v>
      </c>
      <c r="M32" s="6">
        <f t="shared" si="25"/>
        <v>0</v>
      </c>
      <c r="N32" s="6">
        <f>N30-N20</f>
        <v>16880.449999999997</v>
      </c>
      <c r="P32" s="6">
        <f>P30-P20</f>
        <v>143076.85500000001</v>
      </c>
      <c r="Q32" s="6">
        <f t="shared" ref="Q32" si="27">Q30-Q20</f>
        <v>190769.13999999998</v>
      </c>
      <c r="R32" s="6">
        <f>R30-R20</f>
        <v>190769.13999999998</v>
      </c>
      <c r="S32" s="94">
        <f>AF32-R32</f>
        <v>0</v>
      </c>
      <c r="T32" s="6">
        <f>T30-T20</f>
        <v>11014.839999999997</v>
      </c>
      <c r="U32" s="6">
        <f t="shared" ref="U32:AE32" si="28">U30-U20</f>
        <v>10996.16</v>
      </c>
      <c r="V32" s="6">
        <f t="shared" si="28"/>
        <v>10978.43</v>
      </c>
      <c r="W32" s="6">
        <f t="shared" si="28"/>
        <v>10440.66</v>
      </c>
      <c r="X32" s="6">
        <f>X30-X20</f>
        <v>10942.84</v>
      </c>
      <c r="Y32" s="6">
        <f>Y30-Y20</f>
        <v>10924.969999999998</v>
      </c>
      <c r="Z32" s="6">
        <f t="shared" ref="Z32:AD32" si="29">Z30-Z20</f>
        <v>10642.039999999997</v>
      </c>
      <c r="AA32" s="6">
        <f t="shared" si="29"/>
        <v>10889.07</v>
      </c>
      <c r="AB32" s="6">
        <f t="shared" si="29"/>
        <v>55871.05</v>
      </c>
      <c r="AC32" s="6">
        <f t="shared" si="29"/>
        <v>15991.869999999999</v>
      </c>
      <c r="AD32" s="6">
        <f t="shared" si="29"/>
        <v>16045.189999999999</v>
      </c>
      <c r="AE32" s="6">
        <f t="shared" si="28"/>
        <v>16032.019999999999</v>
      </c>
      <c r="AF32" s="6">
        <f>AF30-AF20</f>
        <v>190769.13999999998</v>
      </c>
    </row>
    <row r="33" spans="16:18" ht="15.75" thickTop="1" x14ac:dyDescent="0.25">
      <c r="P33" s="2"/>
      <c r="Q33" s="2"/>
      <c r="R33" s="2"/>
    </row>
    <row r="34" spans="16:18" x14ac:dyDescent="0.25">
      <c r="P34" s="2"/>
      <c r="Q34" s="2"/>
      <c r="R34" s="2"/>
    </row>
    <row r="35" spans="16:18" x14ac:dyDescent="0.25">
      <c r="P35" s="2"/>
      <c r="Q35" s="2"/>
      <c r="R35" s="2"/>
    </row>
    <row r="36" spans="16:18" x14ac:dyDescent="0.25">
      <c r="P36" s="7"/>
      <c r="Q36" s="7"/>
      <c r="R36" s="7"/>
    </row>
    <row r="37" spans="16:18" x14ac:dyDescent="0.25">
      <c r="P37" s="2"/>
      <c r="Q37" s="2"/>
      <c r="R37" s="2"/>
    </row>
    <row r="38" spans="16:18" x14ac:dyDescent="0.25">
      <c r="P38" s="2"/>
      <c r="Q38" s="2"/>
      <c r="R38" s="2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zoomScaleNormal="100" workbookViewId="0">
      <pane ySplit="6" topLeftCell="A7" activePane="bottomLeft" state="frozen"/>
      <selection activeCell="A92" sqref="A92"/>
      <selection pane="bottomLeft" activeCell="P34" sqref="P34"/>
    </sheetView>
  </sheetViews>
  <sheetFormatPr defaultRowHeight="15" x14ac:dyDescent="0.25"/>
  <cols>
    <col min="1" max="1" width="44.42578125" bestFit="1" customWidth="1"/>
    <col min="2" max="2" width="13.140625" style="2" bestFit="1" customWidth="1"/>
    <col min="3" max="3" width="13" style="2" hidden="1" customWidth="1"/>
    <col min="4" max="4" width="13.42578125" style="2" hidden="1" customWidth="1"/>
    <col min="5" max="13" width="13" style="2" hidden="1" customWidth="1"/>
    <col min="14" max="14" width="13.5703125" style="2" bestFit="1" customWidth="1"/>
    <col min="15" max="15" width="9.140625" style="2" customWidth="1"/>
    <col min="16" max="18" width="26.28515625" style="38" customWidth="1"/>
    <col min="19" max="19" width="6.140625" style="93" bestFit="1" customWidth="1"/>
    <col min="20" max="20" width="9.5703125" bestFit="1" customWidth="1"/>
    <col min="21" max="33" width="11.28515625" customWidth="1"/>
  </cols>
  <sheetData>
    <row r="1" spans="1:33" ht="21" x14ac:dyDescent="0.35">
      <c r="A1" s="259" t="s">
        <v>410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33" ht="21" x14ac:dyDescent="0.3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33" ht="21" x14ac:dyDescent="0.35">
      <c r="A3" s="259">
        <v>2020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3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257" t="s">
        <v>551</v>
      </c>
      <c r="Q4" s="257" t="s">
        <v>546</v>
      </c>
      <c r="R4" s="257" t="s">
        <v>550</v>
      </c>
    </row>
    <row r="5" spans="1:33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258"/>
      <c r="Q5" s="258"/>
      <c r="R5" s="258"/>
    </row>
    <row r="6" spans="1:33" x14ac:dyDescent="0.25">
      <c r="B6" s="7" t="s">
        <v>299</v>
      </c>
      <c r="C6" s="7" t="s">
        <v>300</v>
      </c>
      <c r="D6" s="7" t="s">
        <v>301</v>
      </c>
      <c r="E6" s="7" t="s">
        <v>302</v>
      </c>
      <c r="F6" s="7" t="s">
        <v>372</v>
      </c>
      <c r="G6" s="7" t="s">
        <v>605</v>
      </c>
      <c r="H6" s="7" t="s">
        <v>606</v>
      </c>
      <c r="I6" s="7" t="s">
        <v>607</v>
      </c>
      <c r="J6" s="7" t="s">
        <v>608</v>
      </c>
      <c r="K6" s="7" t="s">
        <v>609</v>
      </c>
      <c r="L6" s="7" t="s">
        <v>610</v>
      </c>
      <c r="M6" s="7" t="s">
        <v>611</v>
      </c>
      <c r="N6" s="7" t="s">
        <v>205</v>
      </c>
      <c r="P6" s="92">
        <v>9</v>
      </c>
      <c r="Q6" s="92"/>
      <c r="R6" s="7" t="s">
        <v>205</v>
      </c>
      <c r="U6" s="7" t="s">
        <v>299</v>
      </c>
      <c r="V6" s="7" t="s">
        <v>300</v>
      </c>
      <c r="W6" s="7" t="s">
        <v>301</v>
      </c>
      <c r="X6" s="7" t="s">
        <v>302</v>
      </c>
      <c r="Y6" s="7" t="s">
        <v>372</v>
      </c>
      <c r="Z6" s="7" t="s">
        <v>413</v>
      </c>
      <c r="AA6" s="7" t="s">
        <v>432</v>
      </c>
      <c r="AB6" s="7" t="s">
        <v>442</v>
      </c>
      <c r="AC6" s="7" t="s">
        <v>456</v>
      </c>
      <c r="AD6" s="7" t="s">
        <v>474</v>
      </c>
      <c r="AE6" s="7" t="s">
        <v>476</v>
      </c>
      <c r="AF6" s="7" t="s">
        <v>525</v>
      </c>
      <c r="AG6" s="7" t="s">
        <v>205</v>
      </c>
    </row>
    <row r="7" spans="1:33" x14ac:dyDescent="0.25">
      <c r="P7" s="2"/>
      <c r="Q7" s="2"/>
      <c r="R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2" customFormat="1" x14ac:dyDescent="0.25">
      <c r="A8" s="1" t="s">
        <v>207</v>
      </c>
      <c r="S8" s="94"/>
    </row>
    <row r="9" spans="1:33" s="2" customFormat="1" x14ac:dyDescent="0.25">
      <c r="A9" s="1" t="s">
        <v>286</v>
      </c>
      <c r="S9" s="94"/>
    </row>
    <row r="10" spans="1:33" s="2" customFormat="1" x14ac:dyDescent="0.25">
      <c r="A10" t="s">
        <v>350</v>
      </c>
      <c r="B10" s="2">
        <v>0</v>
      </c>
      <c r="N10" s="2">
        <f>SUM(B10:M10)</f>
        <v>0</v>
      </c>
      <c r="P10" s="2">
        <f t="shared" ref="P10:P16" si="0">Q10/12*$P$6</f>
        <v>390</v>
      </c>
      <c r="Q10" s="2">
        <f t="shared" ref="Q10:Q16" si="1">R10</f>
        <v>520</v>
      </c>
      <c r="R10" s="2">
        <f t="shared" ref="R10:R16" si="2">AG10</f>
        <v>520</v>
      </c>
      <c r="S10" s="94">
        <f t="shared" ref="S10:S30" si="3">R10-AG10</f>
        <v>0</v>
      </c>
      <c r="U10" s="2">
        <v>0</v>
      </c>
      <c r="V10" s="2">
        <v>0</v>
      </c>
      <c r="W10" s="2">
        <v>0</v>
      </c>
      <c r="X10" s="2">
        <v>520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f>SUM(U10:AF10)</f>
        <v>520</v>
      </c>
    </row>
    <row r="11" spans="1:33" s="2" customFormat="1" x14ac:dyDescent="0.25">
      <c r="A11" t="s">
        <v>290</v>
      </c>
      <c r="B11" s="2">
        <v>14546.42</v>
      </c>
      <c r="N11" s="2">
        <f>SUM(B11:M11)</f>
        <v>14546.42</v>
      </c>
      <c r="P11" s="2">
        <f t="shared" si="0"/>
        <v>132625.47000000003</v>
      </c>
      <c r="Q11" s="2">
        <f t="shared" si="1"/>
        <v>176833.96000000002</v>
      </c>
      <c r="R11" s="2">
        <f t="shared" si="2"/>
        <v>176833.96000000002</v>
      </c>
      <c r="S11" s="94">
        <f t="shared" si="3"/>
        <v>0</v>
      </c>
      <c r="U11" s="2">
        <v>14678.56</v>
      </c>
      <c r="V11" s="2">
        <v>14704</v>
      </c>
      <c r="W11" s="2">
        <v>14704</v>
      </c>
      <c r="X11" s="2">
        <v>14704</v>
      </c>
      <c r="Y11" s="2">
        <v>14704</v>
      </c>
      <c r="Z11" s="2">
        <v>14704</v>
      </c>
      <c r="AA11" s="2">
        <v>14704</v>
      </c>
      <c r="AB11" s="2">
        <v>14665.08</v>
      </c>
      <c r="AC11" s="2">
        <v>14665.08</v>
      </c>
      <c r="AD11" s="2">
        <v>14903.12</v>
      </c>
      <c r="AE11" s="2">
        <v>14801.11</v>
      </c>
      <c r="AF11" s="2">
        <v>14897.01</v>
      </c>
      <c r="AG11" s="2">
        <f>SUM(U11:AF11)</f>
        <v>176833.96000000002</v>
      </c>
    </row>
    <row r="12" spans="1:33" s="2" customFormat="1" x14ac:dyDescent="0.25">
      <c r="A12" s="1" t="s">
        <v>330</v>
      </c>
      <c r="B12" s="4">
        <f t="shared" ref="B12:N12" si="4">SUM(B10:B11)</f>
        <v>14546.42</v>
      </c>
      <c r="C12" s="4">
        <f t="shared" si="4"/>
        <v>0</v>
      </c>
      <c r="D12" s="4">
        <f t="shared" si="4"/>
        <v>0</v>
      </c>
      <c r="E12" s="4">
        <f t="shared" si="4"/>
        <v>0</v>
      </c>
      <c r="F12" s="4">
        <f>SUM(F10:F11)</f>
        <v>0</v>
      </c>
      <c r="G12" s="4">
        <f>SUM(G10:G11)</f>
        <v>0</v>
      </c>
      <c r="H12" s="4">
        <f t="shared" ref="H12:L12" si="5">SUM(H10:H11)</f>
        <v>0</v>
      </c>
      <c r="I12" s="4">
        <f t="shared" si="5"/>
        <v>0</v>
      </c>
      <c r="J12" s="4">
        <f t="shared" si="5"/>
        <v>0</v>
      </c>
      <c r="K12" s="4">
        <f t="shared" si="5"/>
        <v>0</v>
      </c>
      <c r="L12" s="4">
        <f t="shared" si="5"/>
        <v>0</v>
      </c>
      <c r="M12" s="4">
        <f t="shared" si="4"/>
        <v>0</v>
      </c>
      <c r="N12" s="4">
        <f t="shared" si="4"/>
        <v>14546.42</v>
      </c>
      <c r="P12" s="4">
        <f>SUM(P10:P11)</f>
        <v>133015.47000000003</v>
      </c>
      <c r="Q12" s="4">
        <f t="shared" ref="Q12:R12" si="6">SUM(Q10:Q11)</f>
        <v>177353.96000000002</v>
      </c>
      <c r="R12" s="4">
        <f t="shared" si="6"/>
        <v>177353.96000000002</v>
      </c>
      <c r="S12" s="94">
        <f t="shared" si="3"/>
        <v>0</v>
      </c>
      <c r="U12" s="4">
        <f t="shared" ref="U12:AG12" si="7">SUM(U10:U11)</f>
        <v>14678.56</v>
      </c>
      <c r="V12" s="4">
        <f t="shared" si="7"/>
        <v>14704</v>
      </c>
      <c r="W12" s="4">
        <f t="shared" si="7"/>
        <v>14704</v>
      </c>
      <c r="X12" s="4">
        <f t="shared" si="7"/>
        <v>15224</v>
      </c>
      <c r="Y12" s="4">
        <f>SUM(Y10:Y11)</f>
        <v>14704</v>
      </c>
      <c r="Z12" s="4">
        <f>SUM(Z10:Z11)</f>
        <v>14704</v>
      </c>
      <c r="AA12" s="4">
        <f t="shared" ref="AA12:AE12" si="8">SUM(AA10:AA11)</f>
        <v>14704</v>
      </c>
      <c r="AB12" s="4">
        <f t="shared" si="8"/>
        <v>14665.08</v>
      </c>
      <c r="AC12" s="4">
        <f t="shared" si="8"/>
        <v>14665.08</v>
      </c>
      <c r="AD12" s="4">
        <f t="shared" si="8"/>
        <v>14903.12</v>
      </c>
      <c r="AE12" s="4">
        <f t="shared" si="8"/>
        <v>14801.11</v>
      </c>
      <c r="AF12" s="4">
        <f t="shared" si="7"/>
        <v>14897.01</v>
      </c>
      <c r="AG12" s="4">
        <f t="shared" si="7"/>
        <v>177353.96000000002</v>
      </c>
    </row>
    <row r="13" spans="1:33" x14ac:dyDescent="0.25">
      <c r="P13" s="2"/>
      <c r="Q13" s="2"/>
      <c r="R13" s="2"/>
      <c r="S13" s="9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2" customFormat="1" x14ac:dyDescent="0.25">
      <c r="A14" s="1" t="s">
        <v>291</v>
      </c>
      <c r="S14" s="94"/>
    </row>
    <row r="15" spans="1:33" s="2" customFormat="1" x14ac:dyDescent="0.25">
      <c r="A15" t="s">
        <v>354</v>
      </c>
      <c r="B15" s="2">
        <v>333.33</v>
      </c>
      <c r="N15" s="2">
        <f>SUM(B15:M15)</f>
        <v>333.33</v>
      </c>
      <c r="P15" s="2">
        <f t="shared" si="0"/>
        <v>1912.5</v>
      </c>
      <c r="Q15" s="2">
        <f t="shared" si="1"/>
        <v>2550</v>
      </c>
      <c r="R15" s="2">
        <f t="shared" si="2"/>
        <v>2550</v>
      </c>
      <c r="S15" s="94">
        <f t="shared" si="3"/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2550</v>
      </c>
      <c r="AE15" s="2">
        <v>0</v>
      </c>
      <c r="AF15" s="2">
        <v>0</v>
      </c>
      <c r="AG15" s="2">
        <f>SUM(U15:AF15)</f>
        <v>2550</v>
      </c>
    </row>
    <row r="16" spans="1:33" s="2" customFormat="1" hidden="1" x14ac:dyDescent="0.25">
      <c r="A16" t="s">
        <v>433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N16" s="2">
        <f>SUM(B16:M16)</f>
        <v>0</v>
      </c>
      <c r="P16" s="2">
        <f t="shared" si="0"/>
        <v>716.4375</v>
      </c>
      <c r="Q16" s="2">
        <f t="shared" si="1"/>
        <v>955.25000000000011</v>
      </c>
      <c r="R16" s="2">
        <f t="shared" si="2"/>
        <v>955.25000000000011</v>
      </c>
      <c r="S16" s="94">
        <f t="shared" si="3"/>
        <v>0</v>
      </c>
      <c r="U16" s="2">
        <v>78.37</v>
      </c>
      <c r="V16" s="2">
        <v>78.38</v>
      </c>
      <c r="W16" s="2">
        <v>84.61</v>
      </c>
      <c r="X16" s="2">
        <v>78.400000000000006</v>
      </c>
      <c r="Y16" s="2">
        <v>82.39</v>
      </c>
      <c r="Z16" s="2">
        <v>78.48</v>
      </c>
      <c r="AA16" s="2">
        <v>80.56</v>
      </c>
      <c r="AB16" s="2">
        <v>61.32</v>
      </c>
      <c r="AC16" s="2">
        <v>91.96</v>
      </c>
      <c r="AD16" s="2">
        <v>77.11</v>
      </c>
      <c r="AE16" s="2">
        <v>89.15</v>
      </c>
      <c r="AF16" s="2">
        <v>74.52</v>
      </c>
      <c r="AG16" s="2">
        <f>SUM(U16:AF16)</f>
        <v>955.25000000000011</v>
      </c>
    </row>
    <row r="17" spans="1:33" s="2" customFormat="1" x14ac:dyDescent="0.25">
      <c r="A17" s="1" t="s">
        <v>294</v>
      </c>
      <c r="B17" s="4">
        <f t="shared" ref="B17:N17" si="9">SUM(B15:B16)</f>
        <v>333.33</v>
      </c>
      <c r="C17" s="4">
        <f t="shared" si="9"/>
        <v>0</v>
      </c>
      <c r="D17" s="4">
        <f t="shared" si="9"/>
        <v>0</v>
      </c>
      <c r="E17" s="4">
        <f t="shared" si="9"/>
        <v>0</v>
      </c>
      <c r="F17" s="4">
        <f t="shared" si="9"/>
        <v>0</v>
      </c>
      <c r="G17" s="4">
        <f t="shared" si="9"/>
        <v>0</v>
      </c>
      <c r="H17" s="4">
        <f t="shared" si="9"/>
        <v>0</v>
      </c>
      <c r="I17" s="4">
        <f t="shared" si="9"/>
        <v>0</v>
      </c>
      <c r="J17" s="4">
        <f t="shared" si="9"/>
        <v>0</v>
      </c>
      <c r="K17" s="4">
        <f t="shared" si="9"/>
        <v>0</v>
      </c>
      <c r="L17" s="4">
        <f t="shared" si="9"/>
        <v>0</v>
      </c>
      <c r="M17" s="4">
        <f t="shared" si="9"/>
        <v>0</v>
      </c>
      <c r="N17" s="4">
        <f t="shared" si="9"/>
        <v>333.33</v>
      </c>
      <c r="P17" s="4">
        <f>SUM(P15:P16)</f>
        <v>2628.9375</v>
      </c>
      <c r="Q17" s="4">
        <f t="shared" ref="Q17:R17" si="10">SUM(Q15:Q16)</f>
        <v>3505.25</v>
      </c>
      <c r="R17" s="4">
        <f t="shared" si="10"/>
        <v>3505.25</v>
      </c>
      <c r="S17" s="94">
        <f t="shared" si="3"/>
        <v>0</v>
      </c>
      <c r="U17" s="4">
        <f>SUM(U15:U16)</f>
        <v>78.37</v>
      </c>
      <c r="V17" s="4">
        <f t="shared" ref="V17:AF17" si="11">SUM(V15:V16)</f>
        <v>78.38</v>
      </c>
      <c r="W17" s="4">
        <f t="shared" si="11"/>
        <v>84.61</v>
      </c>
      <c r="X17" s="4">
        <f t="shared" si="11"/>
        <v>78.400000000000006</v>
      </c>
      <c r="Y17" s="4">
        <f>SUM(Y15:Y16)</f>
        <v>82.39</v>
      </c>
      <c r="Z17" s="4">
        <f>SUM(Z15:Z16)</f>
        <v>78.48</v>
      </c>
      <c r="AA17" s="4">
        <f t="shared" ref="AA17:AE17" si="12">SUM(AA15:AA16)</f>
        <v>80.56</v>
      </c>
      <c r="AB17" s="4">
        <f t="shared" si="12"/>
        <v>61.32</v>
      </c>
      <c r="AC17" s="4">
        <f t="shared" si="12"/>
        <v>91.96</v>
      </c>
      <c r="AD17" s="4">
        <f t="shared" si="12"/>
        <v>2627.11</v>
      </c>
      <c r="AE17" s="4">
        <f t="shared" si="12"/>
        <v>89.15</v>
      </c>
      <c r="AF17" s="4">
        <f t="shared" si="11"/>
        <v>74.52</v>
      </c>
      <c r="AG17" s="4">
        <f>SUM(AG15:AG16)</f>
        <v>3505.25</v>
      </c>
    </row>
    <row r="18" spans="1:33" s="2" customFormat="1" x14ac:dyDescent="0.25">
      <c r="A18" t="s">
        <v>243</v>
      </c>
      <c r="S18" s="94">
        <f t="shared" si="3"/>
        <v>0</v>
      </c>
    </row>
    <row r="19" spans="1:33" s="2" customFormat="1" ht="15.75" thickBot="1" x14ac:dyDescent="0.3">
      <c r="A19" s="1" t="s">
        <v>208</v>
      </c>
      <c r="B19" s="5">
        <f t="shared" ref="B19:N19" si="13">B12+B17</f>
        <v>14879.75</v>
      </c>
      <c r="C19" s="5">
        <f t="shared" si="13"/>
        <v>0</v>
      </c>
      <c r="D19" s="5">
        <f t="shared" si="13"/>
        <v>0</v>
      </c>
      <c r="E19" s="5">
        <f t="shared" si="13"/>
        <v>0</v>
      </c>
      <c r="F19" s="5">
        <f t="shared" si="13"/>
        <v>0</v>
      </c>
      <c r="G19" s="5">
        <f t="shared" si="13"/>
        <v>0</v>
      </c>
      <c r="H19" s="5">
        <f t="shared" si="13"/>
        <v>0</v>
      </c>
      <c r="I19" s="5">
        <f t="shared" si="13"/>
        <v>0</v>
      </c>
      <c r="J19" s="5">
        <f t="shared" si="13"/>
        <v>0</v>
      </c>
      <c r="K19" s="5">
        <f t="shared" si="13"/>
        <v>0</v>
      </c>
      <c r="L19" s="5">
        <f t="shared" si="13"/>
        <v>0</v>
      </c>
      <c r="M19" s="5">
        <f t="shared" si="13"/>
        <v>0</v>
      </c>
      <c r="N19" s="5">
        <f t="shared" si="13"/>
        <v>14879.75</v>
      </c>
      <c r="P19" s="5">
        <f>P12+P17</f>
        <v>135644.40750000003</v>
      </c>
      <c r="Q19" s="5">
        <f t="shared" ref="Q19:R19" si="14">Q12+Q17</f>
        <v>180859.21000000002</v>
      </c>
      <c r="R19" s="5">
        <f t="shared" si="14"/>
        <v>180859.21000000002</v>
      </c>
      <c r="S19" s="94">
        <f t="shared" si="3"/>
        <v>0</v>
      </c>
      <c r="U19" s="5">
        <f t="shared" ref="U19:AG19" si="15">U12+U17</f>
        <v>14756.93</v>
      </c>
      <c r="V19" s="5">
        <f t="shared" si="15"/>
        <v>14782.38</v>
      </c>
      <c r="W19" s="5">
        <f t="shared" si="15"/>
        <v>14788.61</v>
      </c>
      <c r="X19" s="5">
        <f t="shared" si="15"/>
        <v>15302.4</v>
      </c>
      <c r="Y19" s="5">
        <f>Y12+Y17</f>
        <v>14786.39</v>
      </c>
      <c r="Z19" s="5">
        <f>Z12+Z17</f>
        <v>14782.48</v>
      </c>
      <c r="AA19" s="5">
        <f t="shared" ref="AA19:AE19" si="16">AA12+AA17</f>
        <v>14784.56</v>
      </c>
      <c r="AB19" s="5">
        <f t="shared" si="16"/>
        <v>14726.4</v>
      </c>
      <c r="AC19" s="5">
        <f t="shared" si="16"/>
        <v>14757.039999999999</v>
      </c>
      <c r="AD19" s="5">
        <f t="shared" si="16"/>
        <v>17530.23</v>
      </c>
      <c r="AE19" s="5">
        <f t="shared" si="16"/>
        <v>14890.26</v>
      </c>
      <c r="AF19" s="5">
        <f t="shared" si="15"/>
        <v>14971.53</v>
      </c>
      <c r="AG19" s="5">
        <f t="shared" si="15"/>
        <v>180859.21000000002</v>
      </c>
    </row>
    <row r="20" spans="1:33" x14ac:dyDescent="0.25">
      <c r="P20" s="2"/>
      <c r="Q20" s="2"/>
      <c r="R20" s="2"/>
      <c r="S20" s="9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2" customFormat="1" x14ac:dyDescent="0.25">
      <c r="A21" s="1" t="s">
        <v>295</v>
      </c>
      <c r="S21" s="94"/>
    </row>
    <row r="22" spans="1:33" s="2" customFormat="1" x14ac:dyDescent="0.25">
      <c r="A22" t="s">
        <v>434</v>
      </c>
      <c r="B22" s="2">
        <v>25000</v>
      </c>
      <c r="N22" s="2">
        <f t="shared" ref="N22:N27" si="17">SUM(B22:M22)</f>
        <v>25000</v>
      </c>
      <c r="P22" s="2">
        <f t="shared" ref="P22:P30" si="18">Q22/12*$P$6</f>
        <v>225000</v>
      </c>
      <c r="Q22" s="2">
        <f>25000*12</f>
        <v>300000</v>
      </c>
      <c r="R22" s="2">
        <f t="shared" ref="R22:R30" si="19">AG22</f>
        <v>150000</v>
      </c>
      <c r="S22" s="94">
        <f t="shared" si="3"/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25000</v>
      </c>
      <c r="AB22" s="2">
        <v>25000</v>
      </c>
      <c r="AC22" s="2">
        <v>25000</v>
      </c>
      <c r="AD22" s="2">
        <v>25000</v>
      </c>
      <c r="AE22" s="2">
        <v>25000</v>
      </c>
      <c r="AF22" s="2">
        <v>25000</v>
      </c>
      <c r="AG22" s="2">
        <f>SUM(U22:AF22)</f>
        <v>150000</v>
      </c>
    </row>
    <row r="23" spans="1:33" s="2" customFormat="1" x14ac:dyDescent="0.25">
      <c r="A23" t="s">
        <v>457</v>
      </c>
      <c r="B23" s="2">
        <v>7500</v>
      </c>
      <c r="N23" s="2">
        <f t="shared" si="17"/>
        <v>7500</v>
      </c>
      <c r="P23" s="2">
        <f t="shared" si="18"/>
        <v>67500</v>
      </c>
      <c r="Q23" s="2">
        <f t="shared" ref="Q23:Q30" si="20">R23</f>
        <v>90000</v>
      </c>
      <c r="R23" s="2">
        <f t="shared" si="19"/>
        <v>90000</v>
      </c>
      <c r="S23" s="94">
        <f t="shared" si="3"/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f>92500-25000</f>
        <v>67500</v>
      </c>
      <c r="AD23" s="2">
        <v>7500</v>
      </c>
      <c r="AE23" s="2">
        <v>7500</v>
      </c>
      <c r="AF23" s="2">
        <v>7500</v>
      </c>
      <c r="AG23" s="2">
        <f>SUM(U23:AF23)</f>
        <v>90000</v>
      </c>
    </row>
    <row r="24" spans="1:33" s="2" customFormat="1" x14ac:dyDescent="0.25">
      <c r="A24" t="s">
        <v>480</v>
      </c>
      <c r="B24" s="2">
        <v>0</v>
      </c>
      <c r="N24" s="2">
        <f t="shared" si="17"/>
        <v>0</v>
      </c>
      <c r="P24" s="2">
        <f t="shared" si="18"/>
        <v>0</v>
      </c>
      <c r="Q24" s="2">
        <f t="shared" si="20"/>
        <v>0</v>
      </c>
      <c r="R24" s="2">
        <f t="shared" si="19"/>
        <v>0</v>
      </c>
      <c r="S24" s="94">
        <f t="shared" si="3"/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f>SUM(U24:AF24)</f>
        <v>0</v>
      </c>
    </row>
    <row r="25" spans="1:33" s="2" customFormat="1" x14ac:dyDescent="0.25">
      <c r="A25" t="s">
        <v>591</v>
      </c>
      <c r="B25" s="2">
        <v>0</v>
      </c>
      <c r="N25" s="2">
        <f t="shared" si="17"/>
        <v>0</v>
      </c>
      <c r="S25" s="94"/>
    </row>
    <row r="26" spans="1:33" s="2" customFormat="1" x14ac:dyDescent="0.25">
      <c r="A26" t="s">
        <v>268</v>
      </c>
      <c r="B26" s="2">
        <v>1937.5</v>
      </c>
      <c r="N26" s="2">
        <f t="shared" si="17"/>
        <v>1937.5</v>
      </c>
      <c r="P26" s="2">
        <f t="shared" si="18"/>
        <v>0</v>
      </c>
      <c r="Q26" s="2">
        <f t="shared" si="20"/>
        <v>0</v>
      </c>
      <c r="R26" s="2">
        <f t="shared" si="19"/>
        <v>0</v>
      </c>
      <c r="S26" s="94">
        <f t="shared" si="3"/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f>SUM(U26:AF26)</f>
        <v>0</v>
      </c>
    </row>
    <row r="27" spans="1:33" s="2" customFormat="1" x14ac:dyDescent="0.25">
      <c r="A27" t="s">
        <v>269</v>
      </c>
      <c r="B27" s="2">
        <v>0</v>
      </c>
      <c r="N27" s="36">
        <f t="shared" si="17"/>
        <v>0</v>
      </c>
      <c r="P27" s="2">
        <f t="shared" si="18"/>
        <v>-117000</v>
      </c>
      <c r="Q27" s="2">
        <f>-(13000*12)</f>
        <v>-156000</v>
      </c>
      <c r="R27" s="2">
        <f t="shared" si="19"/>
        <v>-562.5</v>
      </c>
      <c r="S27" s="94">
        <f t="shared" si="3"/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-138.88999999999999</v>
      </c>
      <c r="AE27" s="2">
        <v>-208.33</v>
      </c>
      <c r="AF27" s="2">
        <v>-215.28</v>
      </c>
      <c r="AG27" s="36">
        <f>SUM(U27:AF27)</f>
        <v>-562.5</v>
      </c>
    </row>
    <row r="28" spans="1:33" s="2" customFormat="1" x14ac:dyDescent="0.25">
      <c r="A28" s="1" t="s">
        <v>297</v>
      </c>
      <c r="B28" s="4">
        <f t="shared" ref="B28:M28" si="21">SUM(B22:B27)</f>
        <v>34437.5</v>
      </c>
      <c r="C28" s="4">
        <f t="shared" si="21"/>
        <v>0</v>
      </c>
      <c r="D28" s="4">
        <f t="shared" si="21"/>
        <v>0</v>
      </c>
      <c r="E28" s="4">
        <f t="shared" si="21"/>
        <v>0</v>
      </c>
      <c r="F28" s="4">
        <f>SUM(F22:F27)</f>
        <v>0</v>
      </c>
      <c r="G28" s="4">
        <f>SUM(G22:G27)</f>
        <v>0</v>
      </c>
      <c r="H28" s="4">
        <f t="shared" ref="H28:L28" si="22">SUM(H22:H27)</f>
        <v>0</v>
      </c>
      <c r="I28" s="4">
        <f t="shared" si="22"/>
        <v>0</v>
      </c>
      <c r="J28" s="4">
        <f t="shared" si="22"/>
        <v>0</v>
      </c>
      <c r="K28" s="4">
        <f t="shared" si="22"/>
        <v>0</v>
      </c>
      <c r="L28" s="4">
        <f t="shared" si="22"/>
        <v>0</v>
      </c>
      <c r="M28" s="4">
        <f t="shared" si="21"/>
        <v>0</v>
      </c>
      <c r="N28" s="4">
        <f>SUM(N22:N27)</f>
        <v>34437.5</v>
      </c>
      <c r="P28" s="4">
        <f t="shared" si="18"/>
        <v>179578.125</v>
      </c>
      <c r="Q28" s="4">
        <f t="shared" si="20"/>
        <v>239437.5</v>
      </c>
      <c r="R28" s="4">
        <f t="shared" si="19"/>
        <v>239437.5</v>
      </c>
      <c r="S28" s="94">
        <f t="shared" si="3"/>
        <v>0</v>
      </c>
      <c r="U28" s="4">
        <f t="shared" ref="U28:AG28" si="23">SUM(U22:U27)</f>
        <v>0</v>
      </c>
      <c r="V28" s="4">
        <f t="shared" si="23"/>
        <v>0</v>
      </c>
      <c r="W28" s="4">
        <f t="shared" si="23"/>
        <v>0</v>
      </c>
      <c r="X28" s="4">
        <f t="shared" si="23"/>
        <v>0</v>
      </c>
      <c r="Y28" s="4">
        <f>SUM(Y22:Y27)</f>
        <v>0</v>
      </c>
      <c r="Z28" s="4">
        <f>SUM(Z22:Z27)</f>
        <v>0</v>
      </c>
      <c r="AA28" s="4">
        <f t="shared" ref="AA28:AE28" si="24">SUM(AA22:AA27)</f>
        <v>25000</v>
      </c>
      <c r="AB28" s="4">
        <f t="shared" si="24"/>
        <v>25000</v>
      </c>
      <c r="AC28" s="4">
        <f t="shared" si="24"/>
        <v>92500</v>
      </c>
      <c r="AD28" s="4">
        <f t="shared" si="24"/>
        <v>32361.11</v>
      </c>
      <c r="AE28" s="4">
        <f t="shared" si="24"/>
        <v>32291.67</v>
      </c>
      <c r="AF28" s="4">
        <f t="shared" si="23"/>
        <v>32284.720000000001</v>
      </c>
      <c r="AG28" s="4">
        <f t="shared" si="23"/>
        <v>239437.5</v>
      </c>
    </row>
    <row r="29" spans="1:33" x14ac:dyDescent="0.25">
      <c r="P29" s="2"/>
      <c r="Q29" s="2"/>
      <c r="R29" s="2"/>
      <c r="S29" s="9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thickBot="1" x14ac:dyDescent="0.3">
      <c r="A30" s="1" t="s">
        <v>298</v>
      </c>
      <c r="B30" s="6">
        <f>B28-B19</f>
        <v>19557.75</v>
      </c>
      <c r="C30" s="6">
        <f t="shared" ref="C30:N30" si="25">C28-C19</f>
        <v>0</v>
      </c>
      <c r="D30" s="6">
        <f t="shared" si="25"/>
        <v>0</v>
      </c>
      <c r="E30" s="6">
        <f t="shared" si="25"/>
        <v>0</v>
      </c>
      <c r="F30" s="6">
        <f>F28-F19</f>
        <v>0</v>
      </c>
      <c r="G30" s="6">
        <f>G28-G19</f>
        <v>0</v>
      </c>
      <c r="H30" s="6">
        <f t="shared" ref="H30:L30" si="26">H28-H19</f>
        <v>0</v>
      </c>
      <c r="I30" s="6">
        <f t="shared" si="26"/>
        <v>0</v>
      </c>
      <c r="J30" s="6">
        <f t="shared" si="26"/>
        <v>0</v>
      </c>
      <c r="K30" s="6">
        <f t="shared" si="26"/>
        <v>0</v>
      </c>
      <c r="L30" s="6">
        <f t="shared" si="26"/>
        <v>0</v>
      </c>
      <c r="M30" s="6">
        <f t="shared" si="25"/>
        <v>0</v>
      </c>
      <c r="N30" s="6">
        <f t="shared" si="25"/>
        <v>19557.75</v>
      </c>
      <c r="O30"/>
      <c r="P30" s="6">
        <f t="shared" si="18"/>
        <v>43933.717499999984</v>
      </c>
      <c r="Q30" s="6">
        <f t="shared" si="20"/>
        <v>58578.289999999979</v>
      </c>
      <c r="R30" s="6">
        <f t="shared" si="19"/>
        <v>58578.289999999979</v>
      </c>
      <c r="S30" s="94">
        <f t="shared" si="3"/>
        <v>0</v>
      </c>
      <c r="U30" s="6">
        <f>U28-U19</f>
        <v>-14756.93</v>
      </c>
      <c r="V30" s="6">
        <f t="shared" ref="V30:AG30" si="27">V28-V19</f>
        <v>-14782.38</v>
      </c>
      <c r="W30" s="6">
        <f t="shared" si="27"/>
        <v>-14788.61</v>
      </c>
      <c r="X30" s="6">
        <f t="shared" si="27"/>
        <v>-15302.4</v>
      </c>
      <c r="Y30" s="6">
        <f>Y28-Y19</f>
        <v>-14786.39</v>
      </c>
      <c r="Z30" s="6">
        <f>Z28-Z19</f>
        <v>-14782.48</v>
      </c>
      <c r="AA30" s="6">
        <f t="shared" ref="AA30:AE30" si="28">AA28-AA19</f>
        <v>10215.44</v>
      </c>
      <c r="AB30" s="6">
        <f t="shared" si="28"/>
        <v>10273.6</v>
      </c>
      <c r="AC30" s="6">
        <f t="shared" si="28"/>
        <v>77742.960000000006</v>
      </c>
      <c r="AD30" s="6">
        <f t="shared" si="28"/>
        <v>14830.880000000001</v>
      </c>
      <c r="AE30" s="6">
        <f t="shared" si="28"/>
        <v>17401.409999999996</v>
      </c>
      <c r="AF30" s="6">
        <f t="shared" si="27"/>
        <v>17313.190000000002</v>
      </c>
      <c r="AG30" s="6">
        <f t="shared" si="27"/>
        <v>58578.289999999979</v>
      </c>
    </row>
    <row r="31" spans="1:33" ht="15.75" thickTop="1" x14ac:dyDescent="0.25">
      <c r="P31" s="2"/>
      <c r="Q31" s="2"/>
      <c r="R31" s="2"/>
    </row>
    <row r="32" spans="1:33" x14ac:dyDescent="0.25">
      <c r="P32" s="2"/>
      <c r="Q32" s="2"/>
      <c r="R32" s="2"/>
    </row>
    <row r="33" spans="16:18" x14ac:dyDescent="0.25">
      <c r="P33" s="2"/>
      <c r="Q33" s="2"/>
      <c r="R33" s="2"/>
    </row>
    <row r="34" spans="16:18" x14ac:dyDescent="0.25">
      <c r="P34" s="2"/>
      <c r="Q34" s="2"/>
      <c r="R34" s="2"/>
    </row>
    <row r="35" spans="16:18" x14ac:dyDescent="0.25">
      <c r="P35" s="2"/>
      <c r="Q35" s="2"/>
      <c r="R35" s="2"/>
    </row>
    <row r="36" spans="16:18" x14ac:dyDescent="0.25">
      <c r="P36" s="7"/>
      <c r="Q36" s="7"/>
      <c r="R36" s="7"/>
    </row>
    <row r="37" spans="16:18" x14ac:dyDescent="0.25">
      <c r="P37" s="2"/>
      <c r="Q37" s="2"/>
      <c r="R37" s="2"/>
    </row>
    <row r="38" spans="16:18" x14ac:dyDescent="0.25">
      <c r="P38" s="2"/>
      <c r="Q38" s="2"/>
      <c r="R38" s="2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AG305"/>
  <sheetViews>
    <sheetView view="pageBreakPreview" zoomScale="60" zoomScaleNormal="90" workbookViewId="0">
      <pane xSplit="1" ySplit="4" topLeftCell="B97" activePane="bottomRight" state="frozen"/>
      <selection activeCell="A92" sqref="A92"/>
      <selection pane="topRight" activeCell="A92" sqref="A92"/>
      <selection pane="bottomLeft" activeCell="A92" sqref="A92"/>
      <selection pane="bottomRight" activeCell="R120" sqref="R120"/>
    </sheetView>
  </sheetViews>
  <sheetFormatPr defaultColWidth="9.140625" defaultRowHeight="15" x14ac:dyDescent="0.25"/>
  <cols>
    <col min="1" max="1" width="67.140625" style="144" customWidth="1"/>
    <col min="2" max="2" width="24" style="153" bestFit="1" customWidth="1"/>
    <col min="3" max="3" width="24" style="144" hidden="1" customWidth="1"/>
    <col min="4" max="4" width="24.28515625" style="144" hidden="1" customWidth="1"/>
    <col min="5" max="6" width="25.140625" style="144" hidden="1" customWidth="1"/>
    <col min="7" max="7" width="24" style="144" hidden="1" customWidth="1"/>
    <col min="8" max="9" width="23.42578125" style="144" hidden="1" customWidth="1"/>
    <col min="10" max="11" width="23" style="144" hidden="1" customWidth="1"/>
    <col min="12" max="13" width="25.5703125" style="144" hidden="1" customWidth="1"/>
    <col min="14" max="14" width="26.28515625" style="144" customWidth="1"/>
    <col min="15" max="15" width="7.42578125" style="144" customWidth="1"/>
    <col min="16" max="18" width="26.28515625" style="144" customWidth="1"/>
    <col min="19" max="19" width="6.140625" style="144" bestFit="1" customWidth="1"/>
    <col min="20" max="20" width="22.42578125" style="182" customWidth="1"/>
    <col min="21" max="21" width="24" style="141" customWidth="1"/>
    <col min="22" max="22" width="24.28515625" style="141" customWidth="1"/>
    <col min="23" max="24" width="25.140625" style="141" customWidth="1"/>
    <col min="25" max="25" width="24" style="141" customWidth="1"/>
    <col min="26" max="27" width="23.42578125" style="141" customWidth="1"/>
    <col min="28" max="29" width="23" style="141" customWidth="1"/>
    <col min="30" max="31" width="25.5703125" style="141" customWidth="1"/>
    <col min="32" max="33" width="26.28515625" style="144" customWidth="1"/>
    <col min="34" max="34" width="18.42578125" style="144" customWidth="1"/>
    <col min="35" max="16384" width="9.140625" style="144"/>
  </cols>
  <sheetData>
    <row r="1" spans="1:33" ht="18.75" x14ac:dyDescent="0.3">
      <c r="A1" s="143" t="s">
        <v>615</v>
      </c>
      <c r="P1" s="260" t="s">
        <v>545</v>
      </c>
      <c r="Q1" s="260" t="s">
        <v>546</v>
      </c>
    </row>
    <row r="2" spans="1:33" ht="19.5" thickBot="1" x14ac:dyDescent="0.35">
      <c r="A2" s="143"/>
      <c r="I2" s="144">
        <v>0</v>
      </c>
      <c r="P2" s="261"/>
      <c r="Q2" s="261"/>
      <c r="AA2" s="141">
        <v>0</v>
      </c>
    </row>
    <row r="3" spans="1:33" ht="15.75" thickBot="1" x14ac:dyDescent="0.3">
      <c r="B3" s="154">
        <v>43861</v>
      </c>
      <c r="C3" s="154">
        <v>43889</v>
      </c>
      <c r="D3" s="154">
        <v>43921</v>
      </c>
      <c r="E3" s="154">
        <v>43951</v>
      </c>
      <c r="F3" s="154">
        <v>43982</v>
      </c>
      <c r="G3" s="154">
        <v>44012</v>
      </c>
      <c r="H3" s="154">
        <v>44043</v>
      </c>
      <c r="I3" s="154">
        <v>44074</v>
      </c>
      <c r="J3" s="154">
        <v>44104</v>
      </c>
      <c r="K3" s="154">
        <v>44135</v>
      </c>
      <c r="L3" s="154">
        <v>44165</v>
      </c>
      <c r="M3" s="154">
        <v>44196</v>
      </c>
      <c r="N3" s="155" t="s">
        <v>616</v>
      </c>
      <c r="O3" s="155"/>
      <c r="P3" s="155">
        <v>9</v>
      </c>
      <c r="Q3" s="155"/>
      <c r="R3" s="155" t="s">
        <v>544</v>
      </c>
      <c r="S3" s="155"/>
      <c r="T3" s="183">
        <v>43131</v>
      </c>
      <c r="U3" s="183">
        <v>43159</v>
      </c>
      <c r="V3" s="183">
        <v>43190</v>
      </c>
      <c r="W3" s="183">
        <v>43220</v>
      </c>
      <c r="X3" s="183">
        <v>43251</v>
      </c>
      <c r="Y3" s="183">
        <v>43281</v>
      </c>
      <c r="Z3" s="183">
        <v>43312</v>
      </c>
      <c r="AA3" s="183">
        <v>43343</v>
      </c>
      <c r="AB3" s="183">
        <v>43373</v>
      </c>
      <c r="AC3" s="183">
        <v>43404</v>
      </c>
      <c r="AD3" s="183">
        <v>43434</v>
      </c>
      <c r="AE3" s="183">
        <v>43465</v>
      </c>
      <c r="AF3" s="155" t="s">
        <v>0</v>
      </c>
      <c r="AG3" s="155" t="s">
        <v>1</v>
      </c>
    </row>
    <row r="4" spans="1:33" ht="15.75" thickBot="1" x14ac:dyDescent="0.3">
      <c r="A4" s="145" t="s">
        <v>2</v>
      </c>
      <c r="AF4" s="155" t="s">
        <v>3</v>
      </c>
      <c r="AG4" s="155" t="s">
        <v>4</v>
      </c>
    </row>
    <row r="5" spans="1:33" x14ac:dyDescent="0.25">
      <c r="A5" s="144" t="s">
        <v>5</v>
      </c>
      <c r="B5" s="153">
        <f t="shared" ref="B5:L8" si="0">B109+B121</f>
        <v>144937480.56</v>
      </c>
      <c r="C5" s="153">
        <f t="shared" si="0"/>
        <v>0</v>
      </c>
      <c r="D5" s="153">
        <f t="shared" si="0"/>
        <v>0</v>
      </c>
      <c r="E5" s="153">
        <f t="shared" si="0"/>
        <v>0</v>
      </c>
      <c r="F5" s="153">
        <f t="shared" si="0"/>
        <v>0</v>
      </c>
      <c r="G5" s="153">
        <f t="shared" si="0"/>
        <v>0</v>
      </c>
      <c r="H5" s="153">
        <f t="shared" si="0"/>
        <v>0</v>
      </c>
      <c r="I5" s="153">
        <f t="shared" si="0"/>
        <v>0</v>
      </c>
      <c r="J5" s="153">
        <f t="shared" si="0"/>
        <v>0</v>
      </c>
      <c r="K5" s="153">
        <f t="shared" si="0"/>
        <v>0</v>
      </c>
      <c r="L5" s="153">
        <f t="shared" si="0"/>
        <v>0</v>
      </c>
      <c r="M5" s="153">
        <f>M109+M121</f>
        <v>0</v>
      </c>
      <c r="N5" s="153">
        <f>SUM(B5:M5)</f>
        <v>144937480.56</v>
      </c>
      <c r="O5" s="153"/>
      <c r="P5" s="153">
        <f>Q5/12*$P$3</f>
        <v>906586347.42750013</v>
      </c>
      <c r="Q5" s="153">
        <f>R5</f>
        <v>1208781796.5700002</v>
      </c>
      <c r="R5" s="153">
        <v>1208781796.5700002</v>
      </c>
      <c r="S5" s="184">
        <f>R5-SUM(T5:AE5)</f>
        <v>0</v>
      </c>
      <c r="T5" s="182">
        <f t="shared" ref="T5:X6" si="1">+T109+T121</f>
        <v>154563428.67000002</v>
      </c>
      <c r="U5" s="182">
        <f t="shared" si="1"/>
        <v>109601727.78999999</v>
      </c>
      <c r="V5" s="182">
        <f t="shared" si="1"/>
        <v>101069868.19</v>
      </c>
      <c r="W5" s="182">
        <f t="shared" si="1"/>
        <v>92671539.059999987</v>
      </c>
      <c r="X5" s="182">
        <f t="shared" si="1"/>
        <v>94258757.019999996</v>
      </c>
      <c r="Y5" s="182">
        <f t="shared" ref="Y5:AE8" si="2">Y109+Y121</f>
        <v>92781088.61999999</v>
      </c>
      <c r="Z5" s="182">
        <f t="shared" si="2"/>
        <v>122616849.06</v>
      </c>
      <c r="AA5" s="182">
        <f t="shared" si="2"/>
        <v>126398264.86999999</v>
      </c>
      <c r="AB5" s="182">
        <f t="shared" si="2"/>
        <v>93678610.930000007</v>
      </c>
      <c r="AC5" s="182">
        <f t="shared" si="2"/>
        <v>83905128.570000008</v>
      </c>
      <c r="AD5" s="182">
        <f t="shared" si="2"/>
        <v>78681236.390000001</v>
      </c>
      <c r="AE5" s="182">
        <f t="shared" si="2"/>
        <v>58555297.399999999</v>
      </c>
      <c r="AF5" s="153">
        <f t="shared" ref="AF5:AF75" si="3">(N5-M5)/11</f>
        <v>13176134.596363636</v>
      </c>
      <c r="AG5" s="153">
        <f t="shared" ref="AG5:AG75" si="4">M5-AF5</f>
        <v>-13176134.596363636</v>
      </c>
    </row>
    <row r="6" spans="1:33" x14ac:dyDescent="0.25">
      <c r="A6" s="144" t="s">
        <v>6</v>
      </c>
      <c r="B6" s="153">
        <f t="shared" si="0"/>
        <v>328312787.06999999</v>
      </c>
      <c r="C6" s="153">
        <f t="shared" si="0"/>
        <v>0</v>
      </c>
      <c r="D6" s="153">
        <f t="shared" si="0"/>
        <v>0</v>
      </c>
      <c r="E6" s="153">
        <f t="shared" si="0"/>
        <v>0</v>
      </c>
      <c r="F6" s="153">
        <f t="shared" si="0"/>
        <v>0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ref="M6" si="5">M110+M122</f>
        <v>0</v>
      </c>
      <c r="N6" s="153">
        <f t="shared" ref="N6:N10" si="6">SUM(B6:M6)</f>
        <v>328312787.06999999</v>
      </c>
      <c r="O6" s="153"/>
      <c r="P6" s="153">
        <f t="shared" ref="P6:P10" si="7">Q6/12*$P$3</f>
        <v>2565549627.4800005</v>
      </c>
      <c r="Q6" s="153">
        <f t="shared" ref="Q6:Q10" si="8">R6</f>
        <v>3420732836.6400003</v>
      </c>
      <c r="R6" s="153">
        <v>3420732836.6400003</v>
      </c>
      <c r="S6" s="184">
        <f t="shared" ref="S6:S71" si="9">R6-SUM(T6:AE6)</f>
        <v>0</v>
      </c>
      <c r="T6" s="182">
        <f t="shared" si="1"/>
        <v>424529753.21999997</v>
      </c>
      <c r="U6" s="182">
        <f t="shared" si="1"/>
        <v>1212317398.3500001</v>
      </c>
      <c r="V6" s="182">
        <f t="shared" si="1"/>
        <v>305312522.13</v>
      </c>
      <c r="W6" s="182">
        <f t="shared" si="1"/>
        <v>46941731.32</v>
      </c>
      <c r="X6" s="182">
        <f t="shared" si="1"/>
        <v>115060805.22</v>
      </c>
      <c r="Y6" s="182">
        <f t="shared" si="2"/>
        <v>260963733.31999999</v>
      </c>
      <c r="Z6" s="182">
        <f t="shared" si="2"/>
        <v>166703405.97</v>
      </c>
      <c r="AA6" s="182">
        <f t="shared" si="2"/>
        <v>324765702.82999998</v>
      </c>
      <c r="AB6" s="182">
        <f t="shared" si="2"/>
        <v>239385553.34999999</v>
      </c>
      <c r="AC6" s="182">
        <f t="shared" si="2"/>
        <v>61006487.299999997</v>
      </c>
      <c r="AD6" s="182">
        <f t="shared" si="2"/>
        <v>139341371.03999999</v>
      </c>
      <c r="AE6" s="182">
        <f t="shared" si="2"/>
        <v>124404372.59</v>
      </c>
      <c r="AF6" s="153">
        <f t="shared" si="3"/>
        <v>29846617.006363634</v>
      </c>
      <c r="AG6" s="153">
        <f t="shared" si="4"/>
        <v>-29846617.006363634</v>
      </c>
    </row>
    <row r="7" spans="1:33" x14ac:dyDescent="0.25">
      <c r="A7" s="144" t="s">
        <v>7</v>
      </c>
      <c r="B7" s="153">
        <f t="shared" si="0"/>
        <v>1932533</v>
      </c>
      <c r="C7" s="153">
        <f t="shared" si="0"/>
        <v>0</v>
      </c>
      <c r="D7" s="153">
        <f t="shared" si="0"/>
        <v>0</v>
      </c>
      <c r="E7" s="153">
        <f t="shared" si="0"/>
        <v>0</v>
      </c>
      <c r="F7" s="153">
        <f t="shared" si="0"/>
        <v>0</v>
      </c>
      <c r="G7" s="153">
        <f t="shared" si="0"/>
        <v>0</v>
      </c>
      <c r="H7" s="153">
        <f t="shared" si="0"/>
        <v>0</v>
      </c>
      <c r="I7" s="153">
        <f t="shared" si="0"/>
        <v>0</v>
      </c>
      <c r="J7" s="153">
        <f t="shared" si="0"/>
        <v>0</v>
      </c>
      <c r="K7" s="153">
        <f t="shared" si="0"/>
        <v>0</v>
      </c>
      <c r="L7" s="153">
        <f t="shared" si="0"/>
        <v>0</v>
      </c>
      <c r="M7" s="153">
        <f t="shared" ref="M7" si="10">M111+M123</f>
        <v>0</v>
      </c>
      <c r="N7" s="153">
        <f t="shared" si="6"/>
        <v>1932533</v>
      </c>
      <c r="O7" s="153"/>
      <c r="P7" s="153">
        <f t="shared" si="7"/>
        <v>12572393.025</v>
      </c>
      <c r="Q7" s="153">
        <f t="shared" si="8"/>
        <v>16763190.700000001</v>
      </c>
      <c r="R7" s="153">
        <v>16763190.700000001</v>
      </c>
      <c r="S7" s="184">
        <f t="shared" si="9"/>
        <v>0</v>
      </c>
      <c r="T7" s="182">
        <f>T111+T123</f>
        <v>2884704.37</v>
      </c>
      <c r="U7" s="182">
        <f>U111+U123</f>
        <v>2596535.7200000002</v>
      </c>
      <c r="V7" s="182">
        <f>V111+V123</f>
        <v>622399.88</v>
      </c>
      <c r="W7" s="182">
        <f>W111+W123</f>
        <v>1945746.84</v>
      </c>
      <c r="X7" s="182">
        <f>X111+X123</f>
        <v>1927944.8</v>
      </c>
      <c r="Y7" s="182">
        <f t="shared" si="2"/>
        <v>474866.98</v>
      </c>
      <c r="Z7" s="182">
        <f t="shared" si="2"/>
        <v>1059505.05</v>
      </c>
      <c r="AA7" s="182">
        <f t="shared" si="2"/>
        <v>1450642.34</v>
      </c>
      <c r="AB7" s="182">
        <f t="shared" si="2"/>
        <v>319490.71999999997</v>
      </c>
      <c r="AC7" s="182">
        <f t="shared" si="2"/>
        <v>210539.64</v>
      </c>
      <c r="AD7" s="182">
        <f t="shared" si="2"/>
        <v>2119802.66</v>
      </c>
      <c r="AE7" s="182">
        <f t="shared" si="2"/>
        <v>1151011.7</v>
      </c>
      <c r="AF7" s="153">
        <f t="shared" si="3"/>
        <v>175684.81818181818</v>
      </c>
      <c r="AG7" s="153">
        <f t="shared" si="4"/>
        <v>-175684.81818181818</v>
      </c>
    </row>
    <row r="8" spans="1:33" x14ac:dyDescent="0.25">
      <c r="A8" s="144" t="s">
        <v>8</v>
      </c>
      <c r="B8" s="153">
        <f t="shared" si="0"/>
        <v>19212707.800000001</v>
      </c>
      <c r="C8" s="153">
        <f t="shared" si="0"/>
        <v>0</v>
      </c>
      <c r="D8" s="153">
        <f t="shared" si="0"/>
        <v>0</v>
      </c>
      <c r="E8" s="153">
        <f t="shared" si="0"/>
        <v>0</v>
      </c>
      <c r="F8" s="153">
        <f t="shared" si="0"/>
        <v>0</v>
      </c>
      <c r="G8" s="153">
        <f t="shared" si="0"/>
        <v>0</v>
      </c>
      <c r="H8" s="153">
        <f t="shared" si="0"/>
        <v>0</v>
      </c>
      <c r="I8" s="153">
        <f t="shared" si="0"/>
        <v>0</v>
      </c>
      <c r="J8" s="153">
        <f t="shared" si="0"/>
        <v>0</v>
      </c>
      <c r="K8" s="153">
        <f t="shared" si="0"/>
        <v>0</v>
      </c>
      <c r="L8" s="153">
        <f t="shared" si="0"/>
        <v>0</v>
      </c>
      <c r="M8" s="153">
        <f t="shared" ref="M8" si="11">M112+M124</f>
        <v>0</v>
      </c>
      <c r="N8" s="153">
        <f t="shared" si="6"/>
        <v>19212707.800000001</v>
      </c>
      <c r="O8" s="153"/>
      <c r="P8" s="153">
        <f t="shared" si="7"/>
        <v>16263463.7925</v>
      </c>
      <c r="Q8" s="153">
        <f t="shared" si="8"/>
        <v>21684618.390000001</v>
      </c>
      <c r="R8" s="153">
        <v>21684618.390000001</v>
      </c>
      <c r="S8" s="184">
        <f t="shared" si="9"/>
        <v>0</v>
      </c>
      <c r="T8" s="182">
        <f>+T112</f>
        <v>3238349</v>
      </c>
      <c r="U8" s="182">
        <f>+U112</f>
        <v>1478660.42</v>
      </c>
      <c r="V8" s="182">
        <f>+V112+V124</f>
        <v>1427673</v>
      </c>
      <c r="W8" s="182">
        <f>+W112</f>
        <v>2167697.4500000002</v>
      </c>
      <c r="X8" s="182">
        <f>+X112</f>
        <v>847867.6</v>
      </c>
      <c r="Y8" s="182">
        <f t="shared" si="2"/>
        <v>784960.5</v>
      </c>
      <c r="Z8" s="182">
        <f t="shared" si="2"/>
        <v>518684.94</v>
      </c>
      <c r="AA8" s="182">
        <f t="shared" si="2"/>
        <v>749745</v>
      </c>
      <c r="AB8" s="182">
        <f t="shared" si="2"/>
        <v>593767</v>
      </c>
      <c r="AC8" s="182">
        <f t="shared" si="2"/>
        <v>2838661.13</v>
      </c>
      <c r="AD8" s="182">
        <f t="shared" si="2"/>
        <v>1687433.35</v>
      </c>
      <c r="AE8" s="182">
        <f t="shared" si="2"/>
        <v>5351119</v>
      </c>
      <c r="AF8" s="153">
        <f t="shared" si="3"/>
        <v>1746609.8</v>
      </c>
      <c r="AG8" s="153">
        <f t="shared" si="4"/>
        <v>-1746609.8</v>
      </c>
    </row>
    <row r="9" spans="1:33" x14ac:dyDescent="0.25">
      <c r="A9" s="144" t="s">
        <v>9</v>
      </c>
      <c r="B9" s="153">
        <f t="shared" ref="B9:L9" si="12">+B116+B127</f>
        <v>5615755.9000000004</v>
      </c>
      <c r="C9" s="153">
        <f t="shared" si="12"/>
        <v>0</v>
      </c>
      <c r="D9" s="153">
        <f t="shared" si="12"/>
        <v>0</v>
      </c>
      <c r="E9" s="153">
        <f t="shared" si="12"/>
        <v>0</v>
      </c>
      <c r="F9" s="153">
        <f t="shared" si="12"/>
        <v>0</v>
      </c>
      <c r="G9" s="153">
        <f t="shared" si="12"/>
        <v>0</v>
      </c>
      <c r="H9" s="153">
        <f t="shared" si="12"/>
        <v>0</v>
      </c>
      <c r="I9" s="153">
        <f t="shared" si="12"/>
        <v>0</v>
      </c>
      <c r="J9" s="153">
        <f t="shared" si="12"/>
        <v>0</v>
      </c>
      <c r="K9" s="153">
        <f t="shared" si="12"/>
        <v>0</v>
      </c>
      <c r="L9" s="153">
        <f t="shared" si="12"/>
        <v>0</v>
      </c>
      <c r="M9" s="153">
        <f t="shared" ref="M9" si="13">+M116+M127</f>
        <v>0</v>
      </c>
      <c r="N9" s="153">
        <f t="shared" si="6"/>
        <v>5615755.9000000004</v>
      </c>
      <c r="O9" s="153"/>
      <c r="P9" s="153">
        <f t="shared" si="7"/>
        <v>5044185.727500001</v>
      </c>
      <c r="Q9" s="153">
        <f t="shared" si="8"/>
        <v>6725580.9700000007</v>
      </c>
      <c r="R9" s="153">
        <v>6725580.9700000007</v>
      </c>
      <c r="S9" s="184">
        <f t="shared" si="9"/>
        <v>0</v>
      </c>
      <c r="T9" s="182">
        <f t="shared" ref="T9:AE9" si="14">+T116+T127</f>
        <v>85825</v>
      </c>
      <c r="U9" s="182">
        <f t="shared" si="14"/>
        <v>579872.5</v>
      </c>
      <c r="V9" s="182">
        <f t="shared" si="14"/>
        <v>108078.75</v>
      </c>
      <c r="W9" s="182">
        <f t="shared" si="14"/>
        <v>903549.14</v>
      </c>
      <c r="X9" s="182">
        <f t="shared" si="14"/>
        <v>310999.59999999998</v>
      </c>
      <c r="Y9" s="182">
        <f t="shared" si="14"/>
        <v>1246220.98</v>
      </c>
      <c r="Z9" s="182">
        <f t="shared" si="14"/>
        <v>454175</v>
      </c>
      <c r="AA9" s="182">
        <f t="shared" si="14"/>
        <v>875445</v>
      </c>
      <c r="AB9" s="182">
        <f t="shared" si="14"/>
        <v>458565</v>
      </c>
      <c r="AC9" s="182">
        <f t="shared" si="14"/>
        <v>664960</v>
      </c>
      <c r="AD9" s="182">
        <f t="shared" si="14"/>
        <v>620675</v>
      </c>
      <c r="AE9" s="182">
        <f t="shared" si="14"/>
        <v>417215</v>
      </c>
      <c r="AF9" s="153">
        <f t="shared" si="3"/>
        <v>510523.26363636367</v>
      </c>
      <c r="AG9" s="153">
        <f t="shared" si="4"/>
        <v>-510523.26363636367</v>
      </c>
    </row>
    <row r="10" spans="1:33" x14ac:dyDescent="0.25">
      <c r="A10" s="144" t="s">
        <v>10</v>
      </c>
      <c r="B10" s="153">
        <f t="shared" ref="B10:L10" si="15">B128+B130+B132+B129+B131</f>
        <v>1616056.41</v>
      </c>
      <c r="C10" s="153">
        <f t="shared" si="15"/>
        <v>0</v>
      </c>
      <c r="D10" s="153">
        <f t="shared" si="15"/>
        <v>0</v>
      </c>
      <c r="E10" s="153">
        <f t="shared" si="15"/>
        <v>0</v>
      </c>
      <c r="F10" s="153">
        <f t="shared" si="15"/>
        <v>0</v>
      </c>
      <c r="G10" s="153">
        <f t="shared" si="15"/>
        <v>0</v>
      </c>
      <c r="H10" s="153">
        <f t="shared" si="15"/>
        <v>0</v>
      </c>
      <c r="I10" s="153">
        <f t="shared" si="15"/>
        <v>0</v>
      </c>
      <c r="J10" s="153">
        <f t="shared" si="15"/>
        <v>0</v>
      </c>
      <c r="K10" s="153">
        <f t="shared" si="15"/>
        <v>0</v>
      </c>
      <c r="L10" s="153">
        <f t="shared" si="15"/>
        <v>0</v>
      </c>
      <c r="M10" s="153">
        <f>M128+M130+M132+M129+M131</f>
        <v>0</v>
      </c>
      <c r="N10" s="153">
        <f t="shared" si="6"/>
        <v>1616056.41</v>
      </c>
      <c r="O10" s="153"/>
      <c r="P10" s="153">
        <f t="shared" si="7"/>
        <v>7799893.919999999</v>
      </c>
      <c r="Q10" s="153">
        <f t="shared" si="8"/>
        <v>10399858.559999999</v>
      </c>
      <c r="R10" s="153">
        <v>10399858.559999999</v>
      </c>
      <c r="S10" s="184">
        <f t="shared" si="9"/>
        <v>0</v>
      </c>
      <c r="U10" s="182"/>
      <c r="V10" s="182"/>
      <c r="W10" s="182">
        <f>W128+W130</f>
        <v>292312.5</v>
      </c>
      <c r="X10" s="182">
        <f>X128+X130</f>
        <v>0</v>
      </c>
      <c r="Y10" s="182">
        <f>Y128+Y130</f>
        <v>1845</v>
      </c>
      <c r="Z10" s="182">
        <f>Z128+Z130</f>
        <v>161476.78</v>
      </c>
      <c r="AA10" s="182">
        <f>AA128+AA130+AA132+AA129</f>
        <v>138951.82999999999</v>
      </c>
      <c r="AB10" s="182">
        <f>AB128+AB130+AB132+AB129</f>
        <v>2028039.81</v>
      </c>
      <c r="AC10" s="182">
        <f>AC128+AC130+AC132+AC129</f>
        <v>1609511.6</v>
      </c>
      <c r="AD10" s="182">
        <f>AD128+AD130+AD132+AD129</f>
        <v>3133630.18</v>
      </c>
      <c r="AE10" s="182">
        <f>AE128+AE130+AE132+AE129</f>
        <v>3034090.86</v>
      </c>
      <c r="AF10" s="153"/>
      <c r="AG10" s="153"/>
    </row>
    <row r="11" spans="1:33" x14ac:dyDescent="0.25">
      <c r="B11" s="156">
        <f>SUM(B5:B10)</f>
        <v>501627320.74000001</v>
      </c>
      <c r="C11" s="156">
        <f>SUM(C5:C10)</f>
        <v>0</v>
      </c>
      <c r="D11" s="156">
        <f>SUM(D5:D10)</f>
        <v>0</v>
      </c>
      <c r="E11" s="156">
        <f>SUM(E5:E10)</f>
        <v>0</v>
      </c>
      <c r="F11" s="156">
        <f t="shared" ref="F11:M11" si="16">SUM(F5:F10)</f>
        <v>0</v>
      </c>
      <c r="G11" s="156">
        <f t="shared" si="16"/>
        <v>0</v>
      </c>
      <c r="H11" s="156">
        <f>SUM(H5:H10)</f>
        <v>0</v>
      </c>
      <c r="I11" s="156">
        <f>SUM(I5:I10)</f>
        <v>0</v>
      </c>
      <c r="J11" s="156">
        <f t="shared" si="16"/>
        <v>0</v>
      </c>
      <c r="K11" s="156">
        <f t="shared" si="16"/>
        <v>0</v>
      </c>
      <c r="L11" s="156">
        <f t="shared" si="16"/>
        <v>0</v>
      </c>
      <c r="M11" s="156">
        <f t="shared" si="16"/>
        <v>0</v>
      </c>
      <c r="N11" s="156">
        <f>SUM(N5:N10)</f>
        <v>501627320.74000001</v>
      </c>
      <c r="O11" s="156"/>
      <c r="P11" s="156">
        <f>SUM(P5:P10)</f>
        <v>3513815911.3725009</v>
      </c>
      <c r="Q11" s="156">
        <f>SUM(Q5:Q10)</f>
        <v>4685087881.8300018</v>
      </c>
      <c r="R11" s="156">
        <v>4685087881.8300018</v>
      </c>
      <c r="S11" s="184">
        <f t="shared" si="9"/>
        <v>0</v>
      </c>
      <c r="T11" s="185">
        <f>SUM(T5:T10)</f>
        <v>585302060.25999999</v>
      </c>
      <c r="U11" s="185">
        <f>SUM(U5:U10)</f>
        <v>1326574194.7800002</v>
      </c>
      <c r="V11" s="185">
        <f>SUM(V5:V10)</f>
        <v>408540541.94999999</v>
      </c>
      <c r="W11" s="185">
        <f>SUM(W5:W10)</f>
        <v>144922576.30999997</v>
      </c>
      <c r="X11" s="185">
        <f t="shared" ref="X11:AE11" si="17">SUM(X5:X10)</f>
        <v>212406374.24000001</v>
      </c>
      <c r="Y11" s="185">
        <f t="shared" si="17"/>
        <v>356252715.40000004</v>
      </c>
      <c r="Z11" s="185">
        <f>SUM(Z5:Z10)</f>
        <v>291514096.79999995</v>
      </c>
      <c r="AA11" s="185">
        <f>SUM(AA5:AA10)</f>
        <v>454378751.86999995</v>
      </c>
      <c r="AB11" s="185">
        <f t="shared" si="17"/>
        <v>336464026.81</v>
      </c>
      <c r="AC11" s="185">
        <f t="shared" si="17"/>
        <v>150235288.23999998</v>
      </c>
      <c r="AD11" s="185">
        <f t="shared" si="17"/>
        <v>225584148.62</v>
      </c>
      <c r="AE11" s="185">
        <f t="shared" si="17"/>
        <v>192913106.55000001</v>
      </c>
      <c r="AF11" s="156">
        <f t="shared" si="3"/>
        <v>45602483.703636363</v>
      </c>
      <c r="AG11" s="156">
        <f t="shared" si="4"/>
        <v>-45602483.703636363</v>
      </c>
    </row>
    <row r="12" spans="1:33" x14ac:dyDescent="0.25"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S12" s="184">
        <f t="shared" si="9"/>
        <v>0</v>
      </c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44">
        <f t="shared" si="3"/>
        <v>0</v>
      </c>
      <c r="AG12" s="144">
        <f t="shared" si="4"/>
        <v>0</v>
      </c>
    </row>
    <row r="13" spans="1:33" x14ac:dyDescent="0.25">
      <c r="A13" s="145" t="s">
        <v>11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S13" s="184">
        <f t="shared" si="9"/>
        <v>0</v>
      </c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44">
        <f t="shared" si="3"/>
        <v>0</v>
      </c>
      <c r="AG13" s="144">
        <f t="shared" si="4"/>
        <v>0</v>
      </c>
    </row>
    <row r="14" spans="1:33" x14ac:dyDescent="0.25">
      <c r="A14" s="144" t="s">
        <v>12</v>
      </c>
      <c r="B14" s="153">
        <f t="shared" ref="B14:L17" si="18">B142+B167+B174</f>
        <v>144063924.16999999</v>
      </c>
      <c r="C14" s="153">
        <f t="shared" si="18"/>
        <v>0</v>
      </c>
      <c r="D14" s="153">
        <f t="shared" si="18"/>
        <v>0</v>
      </c>
      <c r="E14" s="153">
        <f t="shared" si="18"/>
        <v>0</v>
      </c>
      <c r="F14" s="153">
        <f t="shared" si="18"/>
        <v>0</v>
      </c>
      <c r="G14" s="153">
        <f t="shared" si="18"/>
        <v>0</v>
      </c>
      <c r="H14" s="153">
        <f t="shared" si="18"/>
        <v>0</v>
      </c>
      <c r="I14" s="153">
        <f t="shared" si="18"/>
        <v>0</v>
      </c>
      <c r="J14" s="153">
        <f t="shared" si="18"/>
        <v>0</v>
      </c>
      <c r="K14" s="153">
        <f t="shared" si="18"/>
        <v>0</v>
      </c>
      <c r="L14" s="153">
        <f t="shared" si="18"/>
        <v>0</v>
      </c>
      <c r="M14" s="153">
        <f t="shared" ref="M14" si="19">M142+M167+M174</f>
        <v>0</v>
      </c>
      <c r="N14" s="153">
        <f t="shared" ref="N14:N20" si="20">SUM(B14:M14)</f>
        <v>144063924.16999999</v>
      </c>
      <c r="O14" s="153"/>
      <c r="P14" s="153">
        <f>Q14/12*$P$3</f>
        <v>909006666.26999998</v>
      </c>
      <c r="Q14" s="153">
        <f>R14</f>
        <v>1212008888.3599999</v>
      </c>
      <c r="R14" s="153">
        <v>1212008888.3599999</v>
      </c>
      <c r="S14" s="184">
        <f t="shared" si="9"/>
        <v>0</v>
      </c>
      <c r="T14" s="182">
        <f t="shared" ref="T14:X17" si="21">+T142+T167+T174</f>
        <v>157842383.69</v>
      </c>
      <c r="U14" s="182">
        <f t="shared" si="21"/>
        <v>108846154.46000001</v>
      </c>
      <c r="V14" s="182">
        <f t="shared" si="21"/>
        <v>100906197.60999998</v>
      </c>
      <c r="W14" s="182">
        <f t="shared" si="21"/>
        <v>92373678.780000001</v>
      </c>
      <c r="X14" s="182">
        <f t="shared" si="21"/>
        <v>94255718.569999993</v>
      </c>
      <c r="Y14" s="182">
        <f>Y142+Y167+Y174</f>
        <v>92265888.5</v>
      </c>
      <c r="Z14" s="182">
        <f t="shared" ref="Z14:AE17" si="22">Z142+Z167+Z174</f>
        <v>124048206.41999999</v>
      </c>
      <c r="AA14" s="182">
        <f t="shared" si="22"/>
        <v>127634931.13</v>
      </c>
      <c r="AB14" s="182">
        <f t="shared" si="22"/>
        <v>93996436.060000002</v>
      </c>
      <c r="AC14" s="182">
        <f t="shared" si="22"/>
        <v>83008415.149999991</v>
      </c>
      <c r="AD14" s="182">
        <f t="shared" si="22"/>
        <v>78594642.269999996</v>
      </c>
      <c r="AE14" s="182">
        <f t="shared" si="22"/>
        <v>58236235.720000006</v>
      </c>
      <c r="AF14" s="153">
        <f t="shared" si="3"/>
        <v>13096720.379090907</v>
      </c>
      <c r="AG14" s="153">
        <f t="shared" si="4"/>
        <v>-13096720.379090907</v>
      </c>
    </row>
    <row r="15" spans="1:33" x14ac:dyDescent="0.25">
      <c r="A15" s="144" t="s">
        <v>13</v>
      </c>
      <c r="B15" s="153">
        <f t="shared" si="18"/>
        <v>326973144.42000002</v>
      </c>
      <c r="C15" s="153">
        <f t="shared" si="18"/>
        <v>0</v>
      </c>
      <c r="D15" s="153">
        <f t="shared" si="18"/>
        <v>0</v>
      </c>
      <c r="E15" s="153">
        <f t="shared" si="18"/>
        <v>0</v>
      </c>
      <c r="F15" s="153">
        <f t="shared" si="18"/>
        <v>0</v>
      </c>
      <c r="G15" s="153">
        <f t="shared" si="18"/>
        <v>0</v>
      </c>
      <c r="H15" s="153">
        <f t="shared" si="18"/>
        <v>0</v>
      </c>
      <c r="I15" s="153">
        <f t="shared" si="18"/>
        <v>0</v>
      </c>
      <c r="J15" s="153">
        <f t="shared" si="18"/>
        <v>0</v>
      </c>
      <c r="K15" s="153">
        <f t="shared" si="18"/>
        <v>0</v>
      </c>
      <c r="L15" s="153">
        <f t="shared" si="18"/>
        <v>0</v>
      </c>
      <c r="M15" s="153">
        <f t="shared" ref="M15" si="23">M143+M168+M175</f>
        <v>0</v>
      </c>
      <c r="N15" s="153">
        <f t="shared" si="20"/>
        <v>326973144.42000002</v>
      </c>
      <c r="O15" s="153"/>
      <c r="P15" s="153">
        <f t="shared" ref="P15:P33" si="24">Q15/12*$P$3</f>
        <v>2577540542.8274999</v>
      </c>
      <c r="Q15" s="153">
        <f t="shared" ref="Q15:Q33" si="25">R15</f>
        <v>3436720723.77</v>
      </c>
      <c r="R15" s="153">
        <v>3436720723.77</v>
      </c>
      <c r="S15" s="184">
        <f t="shared" si="9"/>
        <v>0</v>
      </c>
      <c r="T15" s="182">
        <f t="shared" si="21"/>
        <v>422465521.94999993</v>
      </c>
      <c r="U15" s="182">
        <f t="shared" si="21"/>
        <v>1215546261.6300001</v>
      </c>
      <c r="V15" s="182">
        <f t="shared" si="21"/>
        <v>305678068.99000001</v>
      </c>
      <c r="W15" s="182">
        <f t="shared" si="21"/>
        <v>48482029.219999999</v>
      </c>
      <c r="X15" s="182">
        <f t="shared" si="21"/>
        <v>116507251.69</v>
      </c>
      <c r="Y15" s="182">
        <f>Y143+Y168+Y175</f>
        <v>262380283.97</v>
      </c>
      <c r="Z15" s="182">
        <f t="shared" si="22"/>
        <v>169287706.25999999</v>
      </c>
      <c r="AA15" s="182">
        <f t="shared" si="22"/>
        <v>327625512.15999997</v>
      </c>
      <c r="AB15" s="182">
        <f t="shared" si="22"/>
        <v>243891316.29999998</v>
      </c>
      <c r="AC15" s="182">
        <f t="shared" si="22"/>
        <v>60177181.419999994</v>
      </c>
      <c r="AD15" s="182">
        <f t="shared" si="22"/>
        <v>141374227.26999998</v>
      </c>
      <c r="AE15" s="182">
        <f t="shared" si="22"/>
        <v>123305362.91</v>
      </c>
      <c r="AF15" s="153">
        <f t="shared" si="3"/>
        <v>29724831.310909092</v>
      </c>
      <c r="AG15" s="153">
        <f t="shared" si="4"/>
        <v>-29724831.310909092</v>
      </c>
    </row>
    <row r="16" spans="1:33" x14ac:dyDescent="0.25">
      <c r="A16" s="144" t="s">
        <v>466</v>
      </c>
      <c r="B16" s="153">
        <f t="shared" si="18"/>
        <v>1846430.5799999998</v>
      </c>
      <c r="C16" s="153">
        <f t="shared" si="18"/>
        <v>0</v>
      </c>
      <c r="D16" s="153">
        <f t="shared" si="18"/>
        <v>0</v>
      </c>
      <c r="E16" s="153">
        <f t="shared" si="18"/>
        <v>0</v>
      </c>
      <c r="F16" s="153">
        <f t="shared" si="18"/>
        <v>0</v>
      </c>
      <c r="G16" s="153">
        <f t="shared" si="18"/>
        <v>0</v>
      </c>
      <c r="H16" s="153">
        <f t="shared" si="18"/>
        <v>0</v>
      </c>
      <c r="I16" s="153">
        <f t="shared" si="18"/>
        <v>0</v>
      </c>
      <c r="J16" s="153">
        <f t="shared" si="18"/>
        <v>0</v>
      </c>
      <c r="K16" s="153">
        <f t="shared" si="18"/>
        <v>0</v>
      </c>
      <c r="L16" s="153">
        <f t="shared" si="18"/>
        <v>0</v>
      </c>
      <c r="M16" s="153">
        <f t="shared" ref="M16" si="26">M144+M169+M176</f>
        <v>0</v>
      </c>
      <c r="N16" s="153">
        <f t="shared" si="20"/>
        <v>1846430.5799999998</v>
      </c>
      <c r="O16" s="153"/>
      <c r="P16" s="153">
        <f t="shared" si="24"/>
        <v>12564562.035</v>
      </c>
      <c r="Q16" s="153">
        <f t="shared" si="25"/>
        <v>16752749.379999999</v>
      </c>
      <c r="R16" s="153">
        <v>16752749.379999999</v>
      </c>
      <c r="S16" s="184">
        <f t="shared" si="9"/>
        <v>0</v>
      </c>
      <c r="T16" s="182">
        <f t="shared" si="21"/>
        <v>2842624.1900000004</v>
      </c>
      <c r="U16" s="182">
        <f t="shared" si="21"/>
        <v>2535222.7399999998</v>
      </c>
      <c r="V16" s="182">
        <f t="shared" si="21"/>
        <v>618326.57000000007</v>
      </c>
      <c r="W16" s="182">
        <f t="shared" si="21"/>
        <v>1945380.79</v>
      </c>
      <c r="X16" s="182">
        <f t="shared" si="21"/>
        <v>2008835.22</v>
      </c>
      <c r="Y16" s="182">
        <f>Y144+Y169+Y176</f>
        <v>484708.1</v>
      </c>
      <c r="Z16" s="182">
        <f t="shared" si="22"/>
        <v>1046932.3900000002</v>
      </c>
      <c r="AA16" s="182">
        <f t="shared" si="22"/>
        <v>1505536.0799999998</v>
      </c>
      <c r="AB16" s="182">
        <f t="shared" si="22"/>
        <v>401564.48</v>
      </c>
      <c r="AC16" s="182">
        <f t="shared" si="22"/>
        <v>210096.02</v>
      </c>
      <c r="AD16" s="182">
        <f t="shared" si="22"/>
        <v>1952009.67</v>
      </c>
      <c r="AE16" s="182">
        <f t="shared" si="22"/>
        <v>1201513.1299999999</v>
      </c>
      <c r="AF16" s="153">
        <f t="shared" si="3"/>
        <v>167857.32545454544</v>
      </c>
      <c r="AG16" s="153">
        <f t="shared" si="4"/>
        <v>-167857.32545454544</v>
      </c>
    </row>
    <row r="17" spans="1:33" x14ac:dyDescent="0.25">
      <c r="A17" s="144" t="s">
        <v>14</v>
      </c>
      <c r="B17" s="153">
        <f t="shared" si="18"/>
        <v>20074000.260000002</v>
      </c>
      <c r="C17" s="153">
        <f t="shared" si="18"/>
        <v>0</v>
      </c>
      <c r="D17" s="153">
        <f t="shared" si="18"/>
        <v>0</v>
      </c>
      <c r="E17" s="153">
        <f t="shared" si="18"/>
        <v>0</v>
      </c>
      <c r="F17" s="153">
        <f t="shared" si="18"/>
        <v>0</v>
      </c>
      <c r="G17" s="153">
        <f t="shared" si="18"/>
        <v>0</v>
      </c>
      <c r="H17" s="153">
        <f t="shared" si="18"/>
        <v>0</v>
      </c>
      <c r="I17" s="153">
        <f t="shared" si="18"/>
        <v>0</v>
      </c>
      <c r="J17" s="153">
        <f t="shared" si="18"/>
        <v>0</v>
      </c>
      <c r="K17" s="153">
        <f t="shared" si="18"/>
        <v>0</v>
      </c>
      <c r="L17" s="153">
        <f t="shared" si="18"/>
        <v>0</v>
      </c>
      <c r="M17" s="153">
        <f t="shared" ref="M17" si="27">M145+M170+M177</f>
        <v>0</v>
      </c>
      <c r="N17" s="153">
        <f t="shared" si="20"/>
        <v>20074000.260000002</v>
      </c>
      <c r="O17" s="153"/>
      <c r="P17" s="153">
        <f t="shared" si="24"/>
        <v>16769375.9475</v>
      </c>
      <c r="Q17" s="153">
        <f t="shared" si="25"/>
        <v>22359167.93</v>
      </c>
      <c r="R17" s="153">
        <v>22359167.93</v>
      </c>
      <c r="S17" s="184">
        <f t="shared" si="9"/>
        <v>0</v>
      </c>
      <c r="T17" s="182">
        <f t="shared" si="21"/>
        <v>3972878.5</v>
      </c>
      <c r="U17" s="182">
        <f t="shared" si="21"/>
        <v>1516251.86</v>
      </c>
      <c r="V17" s="182">
        <f t="shared" si="21"/>
        <v>1446310.3</v>
      </c>
      <c r="W17" s="182">
        <f t="shared" si="21"/>
        <v>2111524.9700000002</v>
      </c>
      <c r="X17" s="182">
        <f t="shared" si="21"/>
        <v>836505.07000000007</v>
      </c>
      <c r="Y17" s="182">
        <f>Y145+Y170+Y177</f>
        <v>759607.35</v>
      </c>
      <c r="Z17" s="182">
        <f t="shared" si="22"/>
        <v>470878.57</v>
      </c>
      <c r="AA17" s="182">
        <f t="shared" si="22"/>
        <v>769499.35</v>
      </c>
      <c r="AB17" s="182">
        <f t="shared" si="22"/>
        <v>632199.65</v>
      </c>
      <c r="AC17" s="182">
        <f t="shared" si="22"/>
        <v>2817866.3699999996</v>
      </c>
      <c r="AD17" s="182">
        <f t="shared" si="22"/>
        <v>1676602.18</v>
      </c>
      <c r="AE17" s="182">
        <f t="shared" si="22"/>
        <v>5349043.76</v>
      </c>
      <c r="AF17" s="153">
        <f t="shared" si="3"/>
        <v>1824909.1145454547</v>
      </c>
      <c r="AG17" s="153">
        <f t="shared" si="4"/>
        <v>-1824909.1145454547</v>
      </c>
    </row>
    <row r="18" spans="1:33" x14ac:dyDescent="0.25">
      <c r="A18" s="144" t="s">
        <v>15</v>
      </c>
      <c r="B18" s="153">
        <f t="shared" ref="B18:L18" si="28">B148+B183+B172</f>
        <v>5371516.0500000007</v>
      </c>
      <c r="C18" s="153">
        <f t="shared" si="28"/>
        <v>0</v>
      </c>
      <c r="D18" s="153">
        <f t="shared" si="28"/>
        <v>0</v>
      </c>
      <c r="E18" s="153">
        <f t="shared" si="28"/>
        <v>0</v>
      </c>
      <c r="F18" s="153">
        <f t="shared" si="28"/>
        <v>0</v>
      </c>
      <c r="G18" s="153">
        <f t="shared" si="28"/>
        <v>0</v>
      </c>
      <c r="H18" s="153">
        <f t="shared" si="28"/>
        <v>0</v>
      </c>
      <c r="I18" s="153">
        <f t="shared" si="28"/>
        <v>0</v>
      </c>
      <c r="J18" s="153">
        <f t="shared" si="28"/>
        <v>0</v>
      </c>
      <c r="K18" s="153">
        <f t="shared" si="28"/>
        <v>0</v>
      </c>
      <c r="L18" s="153">
        <f t="shared" si="28"/>
        <v>0</v>
      </c>
      <c r="M18" s="153">
        <f t="shared" ref="M18" si="29">M148+M183+M172</f>
        <v>0</v>
      </c>
      <c r="N18" s="153">
        <f t="shared" si="20"/>
        <v>5371516.0500000007</v>
      </c>
      <c r="O18" s="153"/>
      <c r="P18" s="153">
        <f t="shared" si="24"/>
        <v>4929171.0749999993</v>
      </c>
      <c r="Q18" s="153">
        <f t="shared" si="25"/>
        <v>6572228.0999999996</v>
      </c>
      <c r="R18" s="153">
        <v>6572228.0999999996</v>
      </c>
      <c r="S18" s="184">
        <f t="shared" si="9"/>
        <v>0</v>
      </c>
      <c r="T18" s="182">
        <f>+T148+T183</f>
        <v>103200.43</v>
      </c>
      <c r="U18" s="182">
        <f>+U148+U183</f>
        <v>557565.63</v>
      </c>
      <c r="V18" s="182">
        <f>+V148+V183</f>
        <v>104546.19</v>
      </c>
      <c r="W18" s="182">
        <f>+W148+W183</f>
        <v>891459.31</v>
      </c>
      <c r="X18" s="182">
        <f>+X148+X183</f>
        <v>468362.63</v>
      </c>
      <c r="Y18" s="182">
        <f t="shared" ref="Y18:AE18" si="30">Y148+Y183+Y172</f>
        <v>1064241.21</v>
      </c>
      <c r="Z18" s="182">
        <f t="shared" si="30"/>
        <v>433922.20999999996</v>
      </c>
      <c r="AA18" s="182">
        <f t="shared" si="30"/>
        <v>851173.99</v>
      </c>
      <c r="AB18" s="182">
        <f t="shared" si="30"/>
        <v>441104</v>
      </c>
      <c r="AC18" s="182">
        <f t="shared" si="30"/>
        <v>654934.12</v>
      </c>
      <c r="AD18" s="182">
        <f t="shared" si="30"/>
        <v>610280.34000000008</v>
      </c>
      <c r="AE18" s="182">
        <f t="shared" si="30"/>
        <v>391438.04</v>
      </c>
      <c r="AF18" s="153">
        <f t="shared" si="3"/>
        <v>488319.64090909099</v>
      </c>
      <c r="AG18" s="153">
        <f t="shared" si="4"/>
        <v>-488319.64090909099</v>
      </c>
    </row>
    <row r="19" spans="1:33" x14ac:dyDescent="0.25">
      <c r="A19" s="144" t="s">
        <v>393</v>
      </c>
      <c r="B19" s="153">
        <f t="shared" ref="B19:L19" si="31">B146+B190</f>
        <v>-0.93</v>
      </c>
      <c r="C19" s="153">
        <f t="shared" si="31"/>
        <v>0</v>
      </c>
      <c r="D19" s="153">
        <f t="shared" si="31"/>
        <v>0</v>
      </c>
      <c r="E19" s="153">
        <f t="shared" si="31"/>
        <v>0</v>
      </c>
      <c r="F19" s="153">
        <f t="shared" si="31"/>
        <v>0</v>
      </c>
      <c r="G19" s="153">
        <f t="shared" si="31"/>
        <v>0</v>
      </c>
      <c r="H19" s="153">
        <f t="shared" si="31"/>
        <v>0</v>
      </c>
      <c r="I19" s="153">
        <f t="shared" si="31"/>
        <v>0</v>
      </c>
      <c r="J19" s="153">
        <f t="shared" si="31"/>
        <v>0</v>
      </c>
      <c r="K19" s="153">
        <f t="shared" si="31"/>
        <v>0</v>
      </c>
      <c r="L19" s="153">
        <f t="shared" si="31"/>
        <v>0</v>
      </c>
      <c r="M19" s="153">
        <f t="shared" ref="M19" si="32">M146+M190</f>
        <v>0</v>
      </c>
      <c r="N19" s="153">
        <f t="shared" si="20"/>
        <v>-0.93</v>
      </c>
      <c r="O19" s="153"/>
      <c r="P19" s="153">
        <f t="shared" si="24"/>
        <v>6708.1425000000008</v>
      </c>
      <c r="Q19" s="153">
        <f t="shared" si="25"/>
        <v>8944.19</v>
      </c>
      <c r="R19" s="153">
        <v>8944.19</v>
      </c>
      <c r="S19" s="184">
        <f t="shared" si="9"/>
        <v>0</v>
      </c>
      <c r="U19" s="182"/>
      <c r="V19" s="182"/>
      <c r="W19" s="182"/>
      <c r="X19" s="182">
        <f>X146</f>
        <v>72</v>
      </c>
      <c r="Y19" s="182"/>
      <c r="Z19" s="182">
        <f t="shared" ref="Z19:AE19" si="33">Z146+Z190</f>
        <v>0</v>
      </c>
      <c r="AA19" s="182">
        <f t="shared" si="33"/>
        <v>0</v>
      </c>
      <c r="AB19" s="182">
        <f t="shared" si="33"/>
        <v>86.04000000000002</v>
      </c>
      <c r="AC19" s="182">
        <f t="shared" si="33"/>
        <v>-142.80000000000001</v>
      </c>
      <c r="AD19" s="182">
        <f t="shared" si="33"/>
        <v>-492</v>
      </c>
      <c r="AE19" s="182">
        <f t="shared" si="33"/>
        <v>9420.9500000000007</v>
      </c>
      <c r="AF19" s="153"/>
      <c r="AG19" s="153"/>
    </row>
    <row r="20" spans="1:33" x14ac:dyDescent="0.25">
      <c r="A20" s="144" t="s">
        <v>10</v>
      </c>
      <c r="B20" s="153">
        <f t="shared" ref="B20:L20" si="34">B194+B196+B202+B201+B203+B195+B200+B204+B197+B199</f>
        <v>1524390.73</v>
      </c>
      <c r="C20" s="153">
        <f t="shared" si="34"/>
        <v>0</v>
      </c>
      <c r="D20" s="153">
        <f t="shared" si="34"/>
        <v>0</v>
      </c>
      <c r="E20" s="153">
        <f t="shared" si="34"/>
        <v>0</v>
      </c>
      <c r="F20" s="153">
        <f t="shared" si="34"/>
        <v>0</v>
      </c>
      <c r="G20" s="153">
        <f t="shared" si="34"/>
        <v>0</v>
      </c>
      <c r="H20" s="153">
        <f t="shared" si="34"/>
        <v>0</v>
      </c>
      <c r="I20" s="153">
        <f t="shared" si="34"/>
        <v>0</v>
      </c>
      <c r="J20" s="153">
        <f t="shared" si="34"/>
        <v>0</v>
      </c>
      <c r="K20" s="153">
        <f t="shared" si="34"/>
        <v>0</v>
      </c>
      <c r="L20" s="153">
        <f t="shared" si="34"/>
        <v>0</v>
      </c>
      <c r="M20" s="153">
        <f t="shared" ref="M20" si="35">M194+M196+M202+M201+M203+M195+M200+M204+M197+M199</f>
        <v>0</v>
      </c>
      <c r="N20" s="153">
        <f t="shared" si="20"/>
        <v>1524390.73</v>
      </c>
      <c r="O20" s="153"/>
      <c r="P20" s="153">
        <f t="shared" si="24"/>
        <v>7675840.3650000002</v>
      </c>
      <c r="Q20" s="153">
        <f t="shared" si="25"/>
        <v>10234453.82</v>
      </c>
      <c r="R20" s="153">
        <v>10234453.82</v>
      </c>
      <c r="S20" s="184">
        <f t="shared" si="9"/>
        <v>0</v>
      </c>
      <c r="U20" s="182"/>
      <c r="V20" s="182"/>
      <c r="W20" s="182">
        <f>W194+W196</f>
        <v>180989.71000000002</v>
      </c>
      <c r="X20" s="182">
        <f>X194+X196</f>
        <v>-0.02</v>
      </c>
      <c r="Y20" s="182">
        <f>Y194+Y196+Y202+Y201</f>
        <v>1208.02</v>
      </c>
      <c r="Z20" s="182">
        <f>Z194+Z196+Z202+Z201+Z203</f>
        <v>165633.65</v>
      </c>
      <c r="AA20" s="182">
        <f>AA194+AA196+AA202+AA201+AA203+AA195+AA200</f>
        <v>148231.46</v>
      </c>
      <c r="AB20" s="182">
        <f>AB194+AB196+AB202+AB201+AB203+AB195+AB200</f>
        <v>2225227.27</v>
      </c>
      <c r="AC20" s="182">
        <f>AC194+AC196+AC202+AC201+AC203+AC195+AC200</f>
        <v>1271518.28</v>
      </c>
      <c r="AD20" s="182">
        <f>AD194+AD196+AD202+AD201+AD203+AD195+AD200+AD204</f>
        <v>3248265.2199999997</v>
      </c>
      <c r="AE20" s="182">
        <f>AE194+AE196+AE202+AE201+AE203+AE195+AE200+AE204</f>
        <v>2993380.23</v>
      </c>
      <c r="AF20" s="153"/>
      <c r="AG20" s="153"/>
    </row>
    <row r="21" spans="1:33" x14ac:dyDescent="0.25"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7"/>
      <c r="O21" s="157"/>
      <c r="P21" s="153">
        <f t="shared" si="24"/>
        <v>0</v>
      </c>
      <c r="Q21" s="153">
        <f t="shared" si="25"/>
        <v>0</v>
      </c>
      <c r="R21" s="157"/>
      <c r="S21" s="184">
        <f t="shared" si="9"/>
        <v>0</v>
      </c>
      <c r="U21" s="182"/>
      <c r="V21" s="182"/>
      <c r="W21" s="186"/>
      <c r="X21" s="186"/>
      <c r="Y21" s="186"/>
      <c r="Z21" s="182"/>
      <c r="AA21" s="182"/>
      <c r="AB21" s="182"/>
      <c r="AC21" s="182"/>
      <c r="AD21" s="182"/>
      <c r="AE21" s="182"/>
      <c r="AF21" s="157">
        <f t="shared" si="3"/>
        <v>0</v>
      </c>
      <c r="AG21" s="157">
        <f t="shared" si="4"/>
        <v>0</v>
      </c>
    </row>
    <row r="22" spans="1:33" x14ac:dyDescent="0.25">
      <c r="A22" s="144" t="s">
        <v>16</v>
      </c>
      <c r="B22" s="153">
        <f t="shared" ref="B22:L22" si="36">B158+B163</f>
        <v>-5278682.7800000906</v>
      </c>
      <c r="C22" s="153">
        <f t="shared" si="36"/>
        <v>0</v>
      </c>
      <c r="D22" s="153">
        <f t="shared" si="36"/>
        <v>0</v>
      </c>
      <c r="E22" s="153">
        <f t="shared" si="36"/>
        <v>0</v>
      </c>
      <c r="F22" s="153">
        <f t="shared" si="36"/>
        <v>0</v>
      </c>
      <c r="G22" s="153">
        <f t="shared" si="36"/>
        <v>0</v>
      </c>
      <c r="H22" s="153">
        <f t="shared" si="36"/>
        <v>0</v>
      </c>
      <c r="I22" s="153">
        <f t="shared" si="36"/>
        <v>0</v>
      </c>
      <c r="J22" s="153">
        <f t="shared" si="36"/>
        <v>0</v>
      </c>
      <c r="K22" s="153">
        <f t="shared" si="36"/>
        <v>0</v>
      </c>
      <c r="L22" s="153">
        <f t="shared" si="36"/>
        <v>0</v>
      </c>
      <c r="M22" s="153">
        <f t="shared" ref="M22" si="37">M158+M163</f>
        <v>0</v>
      </c>
      <c r="N22" s="153">
        <f>SUM(B22:M22)</f>
        <v>-5278682.7800000906</v>
      </c>
      <c r="O22" s="153"/>
      <c r="P22" s="153">
        <f t="shared" si="24"/>
        <v>-4379077.7325000186</v>
      </c>
      <c r="Q22" s="153">
        <f t="shared" si="25"/>
        <v>-5838770.3100000247</v>
      </c>
      <c r="R22" s="153">
        <v>-5838770.3100000247</v>
      </c>
      <c r="S22" s="184">
        <f t="shared" si="9"/>
        <v>0</v>
      </c>
      <c r="T22" s="182">
        <f>T163+T158</f>
        <v>-4303584.0399999917</v>
      </c>
      <c r="U22" s="182">
        <f>U163+U158</f>
        <v>-230168.78000000119</v>
      </c>
      <c r="V22" s="182">
        <f>V163+V158</f>
        <v>-102046.03999999166</v>
      </c>
      <c r="W22" s="153">
        <f>W163+W158</f>
        <v>14781.879999995232</v>
      </c>
      <c r="X22" s="153">
        <f>X163+X158</f>
        <v>98279.520000003278</v>
      </c>
      <c r="Y22" s="153">
        <f>Y158+Y163</f>
        <v>426672.62000000477</v>
      </c>
      <c r="Z22" s="153">
        <f t="shared" ref="Z22:AE22" si="38">Z158+Z163</f>
        <v>293118.11000001431</v>
      </c>
      <c r="AA22" s="153">
        <f t="shared" si="38"/>
        <v>327964.43000000715</v>
      </c>
      <c r="AB22" s="153">
        <f t="shared" si="38"/>
        <v>277404.03999996185</v>
      </c>
      <c r="AC22" s="153">
        <f t="shared" si="38"/>
        <v>-370818.23000000417</v>
      </c>
      <c r="AD22" s="153">
        <f t="shared" si="38"/>
        <v>-263637.1099999845</v>
      </c>
      <c r="AE22" s="153">
        <f t="shared" si="38"/>
        <v>-2006736.7100000381</v>
      </c>
      <c r="AF22" s="153">
        <f t="shared" si="3"/>
        <v>-479880.25272728095</v>
      </c>
      <c r="AG22" s="153">
        <f t="shared" si="4"/>
        <v>479880.25272728095</v>
      </c>
    </row>
    <row r="23" spans="1:33" x14ac:dyDescent="0.25">
      <c r="A23" s="144" t="s">
        <v>17</v>
      </c>
      <c r="B23" s="153">
        <f t="shared" ref="B23:L23" si="39">B164+B171</f>
        <v>-1943313.1599998474</v>
      </c>
      <c r="C23" s="153">
        <f t="shared" si="39"/>
        <v>0</v>
      </c>
      <c r="D23" s="153">
        <f t="shared" si="39"/>
        <v>0</v>
      </c>
      <c r="E23" s="153">
        <f t="shared" si="39"/>
        <v>0</v>
      </c>
      <c r="F23" s="153">
        <f t="shared" si="39"/>
        <v>0</v>
      </c>
      <c r="G23" s="153">
        <f t="shared" si="39"/>
        <v>0</v>
      </c>
      <c r="H23" s="153">
        <f t="shared" si="39"/>
        <v>0</v>
      </c>
      <c r="I23" s="153">
        <f t="shared" si="39"/>
        <v>0</v>
      </c>
      <c r="J23" s="153">
        <f t="shared" si="39"/>
        <v>0</v>
      </c>
      <c r="K23" s="153">
        <f t="shared" si="39"/>
        <v>0</v>
      </c>
      <c r="L23" s="153">
        <f t="shared" si="39"/>
        <v>0</v>
      </c>
      <c r="M23" s="153">
        <f t="shared" ref="M23" si="40">M164+M171</f>
        <v>0</v>
      </c>
      <c r="N23" s="153">
        <f t="shared" ref="N23:N25" si="41">SUM(B23:M23)</f>
        <v>-1943313.1599998474</v>
      </c>
      <c r="O23" s="153"/>
      <c r="P23" s="153">
        <f t="shared" si="24"/>
        <v>6105608.7674999544</v>
      </c>
      <c r="Q23" s="153">
        <f t="shared" si="25"/>
        <v>8140811.6899999399</v>
      </c>
      <c r="R23" s="153">
        <v>8140811.6899999399</v>
      </c>
      <c r="S23" s="184">
        <f t="shared" si="9"/>
        <v>0</v>
      </c>
      <c r="T23" s="182">
        <f t="shared" ref="T23:AE23" si="42">T164+T171</f>
        <v>-198311.54999999702</v>
      </c>
      <c r="U23" s="182">
        <f t="shared" si="42"/>
        <v>-141071.81000000052</v>
      </c>
      <c r="V23" s="182">
        <f t="shared" si="42"/>
        <v>73914.890000000596</v>
      </c>
      <c r="W23" s="182">
        <f t="shared" si="42"/>
        <v>442679.44999998808</v>
      </c>
      <c r="X23" s="182">
        <f t="shared" si="42"/>
        <v>682167.71000003815</v>
      </c>
      <c r="Y23" s="182">
        <f t="shared" si="42"/>
        <v>1346835.4100000858</v>
      </c>
      <c r="Z23" s="182">
        <f t="shared" si="42"/>
        <v>4496541.1600000262</v>
      </c>
      <c r="AA23" s="182">
        <f t="shared" si="42"/>
        <v>161672.65999996662</v>
      </c>
      <c r="AB23" s="182">
        <f t="shared" si="42"/>
        <v>664706.21999999881</v>
      </c>
      <c r="AC23" s="182">
        <f t="shared" si="42"/>
        <v>1736952.3999998569</v>
      </c>
      <c r="AD23" s="182">
        <f t="shared" si="42"/>
        <v>1886622.8299999237</v>
      </c>
      <c r="AE23" s="182">
        <f t="shared" si="42"/>
        <v>-3011897.6799999475</v>
      </c>
      <c r="AF23" s="153">
        <f t="shared" si="3"/>
        <v>-176664.83272725885</v>
      </c>
      <c r="AG23" s="153">
        <f t="shared" si="4"/>
        <v>176664.83272725885</v>
      </c>
    </row>
    <row r="24" spans="1:33" x14ac:dyDescent="0.25">
      <c r="A24" s="144" t="s">
        <v>18</v>
      </c>
      <c r="B24" s="153">
        <f t="shared" ref="B24:L24" si="43">B165+B173</f>
        <v>-66280.219999999972</v>
      </c>
      <c r="C24" s="153">
        <f t="shared" si="43"/>
        <v>0</v>
      </c>
      <c r="D24" s="153">
        <f t="shared" si="43"/>
        <v>0</v>
      </c>
      <c r="E24" s="153">
        <f t="shared" si="43"/>
        <v>0</v>
      </c>
      <c r="F24" s="153">
        <f t="shared" si="43"/>
        <v>0</v>
      </c>
      <c r="G24" s="153">
        <f t="shared" si="43"/>
        <v>0</v>
      </c>
      <c r="H24" s="153">
        <f t="shared" si="43"/>
        <v>0</v>
      </c>
      <c r="I24" s="153">
        <f t="shared" si="43"/>
        <v>0</v>
      </c>
      <c r="J24" s="153">
        <f t="shared" si="43"/>
        <v>0</v>
      </c>
      <c r="K24" s="153">
        <f t="shared" si="43"/>
        <v>0</v>
      </c>
      <c r="L24" s="153">
        <f t="shared" si="43"/>
        <v>0</v>
      </c>
      <c r="M24" s="153">
        <f t="shared" ref="M24" si="44">M165+M173</f>
        <v>0</v>
      </c>
      <c r="N24" s="153">
        <f t="shared" si="41"/>
        <v>-66280.219999999972</v>
      </c>
      <c r="O24" s="153"/>
      <c r="P24" s="153">
        <f t="shared" si="24"/>
        <v>62527.755000000063</v>
      </c>
      <c r="Q24" s="153">
        <f t="shared" si="25"/>
        <v>83370.340000000084</v>
      </c>
      <c r="R24" s="153">
        <v>83370.340000000084</v>
      </c>
      <c r="S24" s="184">
        <f t="shared" si="9"/>
        <v>0</v>
      </c>
      <c r="T24" s="182">
        <f t="shared" ref="T24:AE24" si="45">T165+T173</f>
        <v>-28077.910000000033</v>
      </c>
      <c r="U24" s="182">
        <f t="shared" si="45"/>
        <v>-41342.620000000112</v>
      </c>
      <c r="V24" s="182">
        <f t="shared" si="45"/>
        <v>-28127.939999999944</v>
      </c>
      <c r="W24" s="187">
        <f t="shared" si="45"/>
        <v>1048.5499999999884</v>
      </c>
      <c r="X24" s="187">
        <f t="shared" si="45"/>
        <v>13526.869999999995</v>
      </c>
      <c r="Y24" s="187">
        <f t="shared" si="45"/>
        <v>28752.459999999963</v>
      </c>
      <c r="Z24" s="187">
        <f t="shared" si="45"/>
        <v>-16145.679999999993</v>
      </c>
      <c r="AA24" s="187">
        <f t="shared" si="45"/>
        <v>-6336.4200000000419</v>
      </c>
      <c r="AB24" s="187">
        <f t="shared" si="45"/>
        <v>-36760.469999999972</v>
      </c>
      <c r="AC24" s="187">
        <f t="shared" si="45"/>
        <v>-12813.290000000037</v>
      </c>
      <c r="AD24" s="187">
        <f t="shared" si="45"/>
        <v>-4549.9899999999907</v>
      </c>
      <c r="AE24" s="187">
        <f t="shared" si="45"/>
        <v>214196.78000000026</v>
      </c>
      <c r="AF24" s="153">
        <f t="shared" si="3"/>
        <v>-6025.4745454545427</v>
      </c>
      <c r="AG24" s="153">
        <f t="shared" si="4"/>
        <v>6025.4745454545427</v>
      </c>
    </row>
    <row r="25" spans="1:33" x14ac:dyDescent="0.25">
      <c r="A25" s="144" t="s">
        <v>19</v>
      </c>
      <c r="B25" s="153">
        <f t="shared" ref="B25:L25" si="46">B166+B178</f>
        <v>-225153.10999999987</v>
      </c>
      <c r="C25" s="153">
        <f t="shared" si="46"/>
        <v>0</v>
      </c>
      <c r="D25" s="153">
        <f t="shared" si="46"/>
        <v>0</v>
      </c>
      <c r="E25" s="153">
        <f t="shared" si="46"/>
        <v>0</v>
      </c>
      <c r="F25" s="153">
        <f t="shared" si="46"/>
        <v>0</v>
      </c>
      <c r="G25" s="153">
        <f t="shared" si="46"/>
        <v>0</v>
      </c>
      <c r="H25" s="153">
        <f t="shared" si="46"/>
        <v>0</v>
      </c>
      <c r="I25" s="153">
        <f t="shared" si="46"/>
        <v>0</v>
      </c>
      <c r="J25" s="153">
        <f t="shared" si="46"/>
        <v>0</v>
      </c>
      <c r="K25" s="153">
        <f t="shared" si="46"/>
        <v>0</v>
      </c>
      <c r="L25" s="153">
        <f t="shared" si="46"/>
        <v>0</v>
      </c>
      <c r="M25" s="153">
        <f t="shared" ref="M25" si="47">M166+M178</f>
        <v>0</v>
      </c>
      <c r="N25" s="153">
        <f t="shared" si="41"/>
        <v>-225153.10999999987</v>
      </c>
      <c r="O25" s="153"/>
      <c r="P25" s="153">
        <f t="shared" si="24"/>
        <v>-247710.27</v>
      </c>
      <c r="Q25" s="153">
        <f t="shared" si="25"/>
        <v>-330280.36</v>
      </c>
      <c r="R25" s="153">
        <v>-330280.36</v>
      </c>
      <c r="S25" s="184">
        <f t="shared" si="9"/>
        <v>0</v>
      </c>
      <c r="T25" s="182">
        <f t="shared" ref="T25:AE25" si="48">T166+T178</f>
        <v>-17915.510000000009</v>
      </c>
      <c r="U25" s="182">
        <f t="shared" si="48"/>
        <v>0</v>
      </c>
      <c r="V25" s="182">
        <f t="shared" si="48"/>
        <v>-35497.39</v>
      </c>
      <c r="W25" s="187">
        <f t="shared" si="48"/>
        <v>2061.8000000000466</v>
      </c>
      <c r="X25" s="187">
        <f t="shared" si="48"/>
        <v>0</v>
      </c>
      <c r="Y25" s="187">
        <f t="shared" si="48"/>
        <v>0</v>
      </c>
      <c r="Z25" s="187">
        <f t="shared" si="48"/>
        <v>-19969.050000000003</v>
      </c>
      <c r="AA25" s="187">
        <f t="shared" si="48"/>
        <v>18581.950000000012</v>
      </c>
      <c r="AB25" s="187">
        <f t="shared" si="48"/>
        <v>-29775.839999999967</v>
      </c>
      <c r="AC25" s="187">
        <f t="shared" si="48"/>
        <v>-57997.5</v>
      </c>
      <c r="AD25" s="187">
        <f t="shared" si="48"/>
        <v>0</v>
      </c>
      <c r="AE25" s="187">
        <f t="shared" si="48"/>
        <v>-189768.82000000007</v>
      </c>
      <c r="AF25" s="153">
        <f t="shared" si="3"/>
        <v>-20468.464545454535</v>
      </c>
      <c r="AG25" s="153">
        <f t="shared" si="4"/>
        <v>20468.464545454535</v>
      </c>
    </row>
    <row r="26" spans="1:33" x14ac:dyDescent="0.25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7"/>
      <c r="O26" s="157"/>
      <c r="P26" s="153">
        <f t="shared" si="24"/>
        <v>0</v>
      </c>
      <c r="Q26" s="153">
        <f t="shared" si="25"/>
        <v>0</v>
      </c>
      <c r="R26" s="157"/>
      <c r="S26" s="184">
        <f t="shared" si="9"/>
        <v>0</v>
      </c>
      <c r="U26" s="182"/>
      <c r="V26" s="182"/>
      <c r="W26" s="186"/>
      <c r="X26" s="186"/>
      <c r="Y26" s="186"/>
      <c r="Z26" s="182"/>
      <c r="AA26" s="182"/>
      <c r="AB26" s="182"/>
      <c r="AC26" s="182"/>
      <c r="AD26" s="182"/>
      <c r="AE26" s="182"/>
      <c r="AF26" s="157">
        <f t="shared" si="3"/>
        <v>0</v>
      </c>
      <c r="AG26" s="157">
        <f t="shared" si="4"/>
        <v>0</v>
      </c>
    </row>
    <row r="27" spans="1:33" x14ac:dyDescent="0.25">
      <c r="A27" s="144" t="s">
        <v>20</v>
      </c>
      <c r="B27" s="153">
        <f t="shared" ref="B27:L28" si="49">B154+B159</f>
        <v>135480</v>
      </c>
      <c r="C27" s="153">
        <f t="shared" si="49"/>
        <v>0</v>
      </c>
      <c r="D27" s="153">
        <f t="shared" si="49"/>
        <v>0</v>
      </c>
      <c r="E27" s="153">
        <f t="shared" si="49"/>
        <v>0</v>
      </c>
      <c r="F27" s="153">
        <f t="shared" si="49"/>
        <v>0</v>
      </c>
      <c r="G27" s="153">
        <f t="shared" si="49"/>
        <v>0</v>
      </c>
      <c r="H27" s="153">
        <f t="shared" si="49"/>
        <v>0</v>
      </c>
      <c r="I27" s="153">
        <f t="shared" si="49"/>
        <v>0</v>
      </c>
      <c r="J27" s="153">
        <f t="shared" si="49"/>
        <v>0</v>
      </c>
      <c r="K27" s="153">
        <f t="shared" si="49"/>
        <v>0</v>
      </c>
      <c r="L27" s="153">
        <f t="shared" si="49"/>
        <v>0</v>
      </c>
      <c r="M27" s="153">
        <f t="shared" ref="M27" si="50">M154+M159</f>
        <v>0</v>
      </c>
      <c r="N27" s="153">
        <f>SUM(B27:M27)</f>
        <v>135480</v>
      </c>
      <c r="O27" s="153"/>
      <c r="P27" s="153">
        <f t="shared" si="24"/>
        <v>-305405.67750000581</v>
      </c>
      <c r="Q27" s="153">
        <f t="shared" si="25"/>
        <v>-407207.57000000775</v>
      </c>
      <c r="R27" s="153">
        <v>-407207.57000000775</v>
      </c>
      <c r="S27" s="184">
        <f t="shared" si="9"/>
        <v>0</v>
      </c>
      <c r="T27" s="182">
        <f t="shared" ref="T27:AE28" si="51">T154+T159</f>
        <v>-1451390.0700000077</v>
      </c>
      <c r="U27" s="182">
        <f t="shared" si="51"/>
        <v>-14017.5</v>
      </c>
      <c r="V27" s="182">
        <f t="shared" si="51"/>
        <v>-649600</v>
      </c>
      <c r="W27" s="182">
        <f t="shared" si="51"/>
        <v>339010</v>
      </c>
      <c r="X27" s="182">
        <f t="shared" si="51"/>
        <v>92680</v>
      </c>
      <c r="Y27" s="182">
        <f t="shared" si="51"/>
        <v>525780</v>
      </c>
      <c r="Z27" s="182">
        <f t="shared" si="51"/>
        <v>464420</v>
      </c>
      <c r="AA27" s="182">
        <f t="shared" si="51"/>
        <v>390490</v>
      </c>
      <c r="AB27" s="182">
        <f t="shared" si="51"/>
        <v>142640</v>
      </c>
      <c r="AC27" s="182">
        <f t="shared" si="51"/>
        <v>-503440</v>
      </c>
      <c r="AD27" s="182">
        <f t="shared" si="51"/>
        <v>-6050</v>
      </c>
      <c r="AE27" s="182">
        <f t="shared" si="51"/>
        <v>262270</v>
      </c>
      <c r="AF27" s="153">
        <f t="shared" si="3"/>
        <v>12316.363636363636</v>
      </c>
      <c r="AG27" s="153">
        <f t="shared" si="4"/>
        <v>-12316.363636363636</v>
      </c>
    </row>
    <row r="28" spans="1:33" x14ac:dyDescent="0.25">
      <c r="A28" s="144" t="s">
        <v>21</v>
      </c>
      <c r="B28" s="153">
        <f t="shared" si="49"/>
        <v>416798.5</v>
      </c>
      <c r="C28" s="153">
        <f t="shared" si="49"/>
        <v>0</v>
      </c>
      <c r="D28" s="153">
        <f t="shared" si="49"/>
        <v>0</v>
      </c>
      <c r="E28" s="153">
        <f t="shared" si="49"/>
        <v>0</v>
      </c>
      <c r="F28" s="153">
        <f t="shared" si="49"/>
        <v>0</v>
      </c>
      <c r="G28" s="153">
        <f t="shared" si="49"/>
        <v>0</v>
      </c>
      <c r="H28" s="153">
        <f t="shared" si="49"/>
        <v>0</v>
      </c>
      <c r="I28" s="153">
        <f t="shared" si="49"/>
        <v>0</v>
      </c>
      <c r="J28" s="153">
        <f t="shared" si="49"/>
        <v>0</v>
      </c>
      <c r="K28" s="153">
        <f t="shared" si="49"/>
        <v>0</v>
      </c>
      <c r="L28" s="153">
        <f t="shared" si="49"/>
        <v>0</v>
      </c>
      <c r="M28" s="153">
        <f t="shared" ref="M28" si="52">M155+M160</f>
        <v>0</v>
      </c>
      <c r="N28" s="153">
        <f t="shared" ref="N28:N30" si="53">SUM(B28:M28)</f>
        <v>416798.5</v>
      </c>
      <c r="O28" s="153"/>
      <c r="P28" s="153">
        <f t="shared" si="24"/>
        <v>-15201500.879999997</v>
      </c>
      <c r="Q28" s="153">
        <f t="shared" si="25"/>
        <v>-20268667.839999996</v>
      </c>
      <c r="R28" s="153">
        <v>-20268667.839999996</v>
      </c>
      <c r="S28" s="184">
        <f t="shared" si="9"/>
        <v>0</v>
      </c>
      <c r="T28" s="182">
        <f t="shared" si="51"/>
        <v>287951.64999999851</v>
      </c>
      <c r="U28" s="182">
        <f t="shared" si="51"/>
        <v>-4461877.3100000024</v>
      </c>
      <c r="V28" s="182">
        <f t="shared" si="51"/>
        <v>67555.530000001192</v>
      </c>
      <c r="W28" s="187">
        <f t="shared" si="51"/>
        <v>-3414426</v>
      </c>
      <c r="X28" s="187">
        <f t="shared" si="51"/>
        <v>-28165.459999993443</v>
      </c>
      <c r="Y28" s="187">
        <f t="shared" si="51"/>
        <v>-6775542</v>
      </c>
      <c r="Z28" s="187">
        <f t="shared" si="51"/>
        <v>-2610952</v>
      </c>
      <c r="AA28" s="187">
        <f>AA155+AA160</f>
        <v>-4106876</v>
      </c>
      <c r="AB28" s="187">
        <f>AB155+AB160</f>
        <v>-875180</v>
      </c>
      <c r="AC28" s="187">
        <f>AC155+AC160</f>
        <v>-5978691.5</v>
      </c>
      <c r="AD28" s="187">
        <f>AD155+AD160</f>
        <v>-1077231</v>
      </c>
      <c r="AE28" s="187">
        <f>AE155+AE160</f>
        <v>8704766.25</v>
      </c>
      <c r="AF28" s="153">
        <f t="shared" si="3"/>
        <v>37890.772727272728</v>
      </c>
      <c r="AG28" s="153">
        <f t="shared" si="4"/>
        <v>-37890.772727272728</v>
      </c>
    </row>
    <row r="29" spans="1:33" x14ac:dyDescent="0.25">
      <c r="A29" s="144" t="s">
        <v>22</v>
      </c>
      <c r="B29" s="153">
        <f t="shared" ref="B29:L29" si="54">B161+B156</f>
        <v>0</v>
      </c>
      <c r="C29" s="153">
        <f t="shared" si="54"/>
        <v>0</v>
      </c>
      <c r="D29" s="153">
        <f t="shared" si="54"/>
        <v>0</v>
      </c>
      <c r="E29" s="153">
        <f t="shared" si="54"/>
        <v>0</v>
      </c>
      <c r="F29" s="153">
        <f t="shared" si="54"/>
        <v>0</v>
      </c>
      <c r="G29" s="153">
        <f t="shared" si="54"/>
        <v>0</v>
      </c>
      <c r="H29" s="153">
        <f t="shared" si="54"/>
        <v>0</v>
      </c>
      <c r="I29" s="153">
        <f t="shared" si="54"/>
        <v>0</v>
      </c>
      <c r="J29" s="153">
        <f t="shared" si="54"/>
        <v>0</v>
      </c>
      <c r="K29" s="153">
        <f t="shared" si="54"/>
        <v>0</v>
      </c>
      <c r="L29" s="153">
        <f t="shared" si="54"/>
        <v>0</v>
      </c>
      <c r="M29" s="153">
        <f t="shared" ref="M29" si="55">M161+M156</f>
        <v>0</v>
      </c>
      <c r="N29" s="153">
        <f t="shared" si="53"/>
        <v>0</v>
      </c>
      <c r="O29" s="153"/>
      <c r="P29" s="153">
        <f t="shared" si="24"/>
        <v>-198.75</v>
      </c>
      <c r="Q29" s="153">
        <f t="shared" si="25"/>
        <v>-265</v>
      </c>
      <c r="R29" s="153">
        <v>-265</v>
      </c>
      <c r="S29" s="184">
        <f t="shared" si="9"/>
        <v>0</v>
      </c>
      <c r="T29" s="182">
        <f>T156+T161</f>
        <v>0</v>
      </c>
      <c r="U29" s="182">
        <f>U156+U161</f>
        <v>4535</v>
      </c>
      <c r="V29" s="182">
        <f>V156+V161</f>
        <v>-3890</v>
      </c>
      <c r="W29" s="187">
        <f>W156+W161</f>
        <v>-555</v>
      </c>
      <c r="X29" s="187">
        <f>X156+X161</f>
        <v>0</v>
      </c>
      <c r="Y29" s="187">
        <f>Y161+Y156</f>
        <v>1775</v>
      </c>
      <c r="Z29" s="187">
        <f t="shared" ref="Z29:AE29" si="56">Z161+Z156</f>
        <v>0</v>
      </c>
      <c r="AA29" s="187">
        <f t="shared" si="56"/>
        <v>0</v>
      </c>
      <c r="AB29" s="187">
        <f t="shared" si="56"/>
        <v>0</v>
      </c>
      <c r="AC29" s="187">
        <f t="shared" si="56"/>
        <v>-450</v>
      </c>
      <c r="AD29" s="187">
        <f t="shared" si="56"/>
        <v>-1680</v>
      </c>
      <c r="AE29" s="187">
        <f t="shared" si="56"/>
        <v>0</v>
      </c>
      <c r="AF29" s="153">
        <f t="shared" si="3"/>
        <v>0</v>
      </c>
      <c r="AG29" s="153">
        <f t="shared" si="4"/>
        <v>0</v>
      </c>
    </row>
    <row r="30" spans="1:33" x14ac:dyDescent="0.25">
      <c r="A30" s="144" t="s">
        <v>23</v>
      </c>
      <c r="B30" s="153">
        <f t="shared" ref="B30:L30" si="57">B157+B162</f>
        <v>0</v>
      </c>
      <c r="C30" s="153">
        <f t="shared" si="57"/>
        <v>0</v>
      </c>
      <c r="D30" s="153">
        <f t="shared" si="57"/>
        <v>0</v>
      </c>
      <c r="E30" s="153">
        <f t="shared" si="57"/>
        <v>0</v>
      </c>
      <c r="F30" s="153">
        <f t="shared" si="57"/>
        <v>0</v>
      </c>
      <c r="G30" s="153">
        <f t="shared" si="57"/>
        <v>0</v>
      </c>
      <c r="H30" s="153">
        <f t="shared" si="57"/>
        <v>0</v>
      </c>
      <c r="I30" s="153">
        <f t="shared" si="57"/>
        <v>0</v>
      </c>
      <c r="J30" s="153">
        <f t="shared" si="57"/>
        <v>0</v>
      </c>
      <c r="K30" s="153">
        <f t="shared" si="57"/>
        <v>0</v>
      </c>
      <c r="L30" s="153">
        <f t="shared" si="57"/>
        <v>0</v>
      </c>
      <c r="M30" s="153">
        <f t="shared" ref="M30" si="58">M157+M162</f>
        <v>0</v>
      </c>
      <c r="N30" s="153">
        <f t="shared" si="53"/>
        <v>0</v>
      </c>
      <c r="O30" s="153"/>
      <c r="P30" s="153">
        <f t="shared" si="24"/>
        <v>-660</v>
      </c>
      <c r="Q30" s="153">
        <f t="shared" si="25"/>
        <v>-880</v>
      </c>
      <c r="R30" s="153">
        <v>-880</v>
      </c>
      <c r="S30" s="184">
        <f t="shared" si="9"/>
        <v>0</v>
      </c>
      <c r="T30" s="182">
        <v>0</v>
      </c>
      <c r="U30" s="182">
        <v>0</v>
      </c>
      <c r="V30" s="182">
        <v>0</v>
      </c>
      <c r="W30" s="187">
        <v>0</v>
      </c>
      <c r="X30" s="187">
        <f>X157+X162</f>
        <v>0</v>
      </c>
      <c r="Y30" s="187">
        <v>0</v>
      </c>
      <c r="Z30" s="187">
        <f t="shared" ref="Z30:AE30" si="59">Z157+Z162</f>
        <v>-880</v>
      </c>
      <c r="AA30" s="187">
        <f t="shared" si="59"/>
        <v>0</v>
      </c>
      <c r="AB30" s="187">
        <f t="shared" si="59"/>
        <v>0</v>
      </c>
      <c r="AC30" s="187">
        <f t="shared" si="59"/>
        <v>0</v>
      </c>
      <c r="AD30" s="187">
        <f t="shared" si="59"/>
        <v>0</v>
      </c>
      <c r="AE30" s="187">
        <f t="shared" si="59"/>
        <v>0</v>
      </c>
      <c r="AF30" s="153">
        <f t="shared" si="3"/>
        <v>0</v>
      </c>
      <c r="AG30" s="153">
        <f t="shared" si="4"/>
        <v>0</v>
      </c>
    </row>
    <row r="31" spans="1:33" x14ac:dyDescent="0.25"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3">
        <f t="shared" si="24"/>
        <v>0</v>
      </c>
      <c r="Q31" s="153">
        <f t="shared" si="25"/>
        <v>0</v>
      </c>
      <c r="R31" s="157"/>
      <c r="S31" s="184">
        <f t="shared" si="9"/>
        <v>0</v>
      </c>
      <c r="U31" s="182"/>
      <c r="V31" s="182"/>
      <c r="W31" s="186"/>
      <c r="X31" s="186"/>
      <c r="Y31" s="186"/>
      <c r="Z31" s="186"/>
      <c r="AA31" s="186"/>
      <c r="AB31" s="186"/>
      <c r="AC31" s="186"/>
      <c r="AD31" s="186"/>
      <c r="AE31" s="186"/>
      <c r="AF31" s="157">
        <f t="shared" si="3"/>
        <v>0</v>
      </c>
      <c r="AG31" s="157">
        <f t="shared" si="4"/>
        <v>0</v>
      </c>
    </row>
    <row r="32" spans="1:33" x14ac:dyDescent="0.25">
      <c r="A32" s="144" t="s">
        <v>24</v>
      </c>
      <c r="B32" s="153">
        <f t="shared" ref="B32:L32" si="60">+B184+B198+B137+B138+B139+B140+B141</f>
        <v>7420781.5099999998</v>
      </c>
      <c r="C32" s="153">
        <f t="shared" si="60"/>
        <v>0</v>
      </c>
      <c r="D32" s="153">
        <f t="shared" si="60"/>
        <v>0</v>
      </c>
      <c r="E32" s="153">
        <f t="shared" si="60"/>
        <v>0</v>
      </c>
      <c r="F32" s="153">
        <f t="shared" si="60"/>
        <v>0</v>
      </c>
      <c r="G32" s="153">
        <f t="shared" si="60"/>
        <v>0</v>
      </c>
      <c r="H32" s="153">
        <f t="shared" si="60"/>
        <v>0</v>
      </c>
      <c r="I32" s="153">
        <f t="shared" si="60"/>
        <v>0</v>
      </c>
      <c r="J32" s="153">
        <f t="shared" si="60"/>
        <v>0</v>
      </c>
      <c r="K32" s="153">
        <f t="shared" si="60"/>
        <v>0</v>
      </c>
      <c r="L32" s="153">
        <f t="shared" si="60"/>
        <v>0</v>
      </c>
      <c r="M32" s="153">
        <f t="shared" ref="M32" si="61">+M184+M198+M137+M138+M139+M140+M141</f>
        <v>0</v>
      </c>
      <c r="N32" s="153">
        <f>SUM(B32:M32)</f>
        <v>7420781.5099999998</v>
      </c>
      <c r="O32" s="153"/>
      <c r="P32" s="153">
        <f t="shared" si="24"/>
        <v>-6086748.3000000007</v>
      </c>
      <c r="Q32" s="153">
        <f t="shared" si="25"/>
        <v>-8115664.4000000004</v>
      </c>
      <c r="R32" s="153">
        <v>-8115664.4000000004</v>
      </c>
      <c r="S32" s="184">
        <f t="shared" si="9"/>
        <v>0</v>
      </c>
      <c r="T32" s="182">
        <f t="shared" ref="T32:Y32" si="62">+T184</f>
        <v>2910296.13</v>
      </c>
      <c r="U32" s="182">
        <f t="shared" si="62"/>
        <v>1651163.39</v>
      </c>
      <c r="V32" s="182">
        <f t="shared" si="62"/>
        <v>-414097.59</v>
      </c>
      <c r="W32" s="187">
        <f t="shared" si="62"/>
        <v>959937.83</v>
      </c>
      <c r="X32" s="187">
        <f t="shared" si="62"/>
        <v>-3014399.59</v>
      </c>
      <c r="Y32" s="187">
        <f t="shared" si="62"/>
        <v>3160990.11</v>
      </c>
      <c r="Z32" s="187">
        <f>+Z184+Z198</f>
        <v>-6978241.0899999999</v>
      </c>
      <c r="AA32" s="187">
        <f>+AA184+AA198</f>
        <v>-1664169.4700000002</v>
      </c>
      <c r="AB32" s="187">
        <f>+AB184+AB198+AB137+AB138+AB139+AB140+AB141</f>
        <v>-5710025.96</v>
      </c>
      <c r="AC32" s="187">
        <f>+AC184+AC198+AC137+AC138+AC139+AC140+AC141</f>
        <v>6617453.9100000001</v>
      </c>
      <c r="AD32" s="187">
        <f>+AD184+AD198+AD137+AD138+AD139+AD140+AD141</f>
        <v>-2691846.74</v>
      </c>
      <c r="AE32" s="187">
        <f>+AE184+AE198+AE137+AE138+AE139+AE140+AE141</f>
        <v>-2942725.3299999996</v>
      </c>
      <c r="AF32" s="153">
        <f t="shared" si="3"/>
        <v>674616.50090909086</v>
      </c>
      <c r="AG32" s="153">
        <f t="shared" si="4"/>
        <v>-674616.50090909086</v>
      </c>
    </row>
    <row r="33" spans="1:33" x14ac:dyDescent="0.25">
      <c r="A33" s="144" t="s">
        <v>25</v>
      </c>
      <c r="B33" s="153">
        <f t="shared" ref="B33:L33" si="63">B180</f>
        <v>11524.23</v>
      </c>
      <c r="C33" s="153">
        <f t="shared" si="63"/>
        <v>0</v>
      </c>
      <c r="D33" s="153">
        <f t="shared" si="63"/>
        <v>0</v>
      </c>
      <c r="E33" s="153">
        <f t="shared" si="63"/>
        <v>0</v>
      </c>
      <c r="F33" s="153">
        <f t="shared" si="63"/>
        <v>0</v>
      </c>
      <c r="G33" s="153">
        <f t="shared" si="63"/>
        <v>0</v>
      </c>
      <c r="H33" s="153">
        <f t="shared" si="63"/>
        <v>0</v>
      </c>
      <c r="I33" s="153">
        <f t="shared" si="63"/>
        <v>0</v>
      </c>
      <c r="J33" s="153">
        <f t="shared" si="63"/>
        <v>0</v>
      </c>
      <c r="K33" s="153">
        <f t="shared" si="63"/>
        <v>0</v>
      </c>
      <c r="L33" s="153">
        <f t="shared" si="63"/>
        <v>0</v>
      </c>
      <c r="M33" s="153">
        <f t="shared" ref="M33" si="64">M180</f>
        <v>0</v>
      </c>
      <c r="N33" s="153">
        <f>SUM(B33:M33)</f>
        <v>11524.23</v>
      </c>
      <c r="O33" s="153"/>
      <c r="P33" s="153">
        <f t="shared" si="24"/>
        <v>57288.352499999986</v>
      </c>
      <c r="Q33" s="153">
        <f t="shared" si="25"/>
        <v>76384.469999999987</v>
      </c>
      <c r="R33" s="153">
        <v>76384.469999999987</v>
      </c>
      <c r="S33" s="184">
        <f t="shared" si="9"/>
        <v>0</v>
      </c>
      <c r="T33" s="182">
        <f t="shared" ref="T33:AE33" si="65">T180</f>
        <v>2682.05</v>
      </c>
      <c r="U33" s="182">
        <f t="shared" si="65"/>
        <v>-1617.38</v>
      </c>
      <c r="V33" s="182">
        <f t="shared" si="65"/>
        <v>5756.07</v>
      </c>
      <c r="W33" s="182">
        <f t="shared" si="65"/>
        <v>9048.32</v>
      </c>
      <c r="X33" s="182">
        <f t="shared" si="65"/>
        <v>11168.19</v>
      </c>
      <c r="Y33" s="182">
        <f t="shared" si="65"/>
        <v>3721.59</v>
      </c>
      <c r="Z33" s="182">
        <f t="shared" si="65"/>
        <v>6172.25</v>
      </c>
      <c r="AA33" s="182">
        <f t="shared" si="65"/>
        <v>7102.98</v>
      </c>
      <c r="AB33" s="182">
        <f t="shared" si="65"/>
        <v>7169.65</v>
      </c>
      <c r="AC33" s="182">
        <f t="shared" si="65"/>
        <v>9614.02</v>
      </c>
      <c r="AD33" s="182">
        <f t="shared" si="65"/>
        <v>6881.28</v>
      </c>
      <c r="AE33" s="182">
        <f t="shared" si="65"/>
        <v>8685.4500000000007</v>
      </c>
      <c r="AF33" s="153">
        <f t="shared" si="3"/>
        <v>1047.6572727272726</v>
      </c>
      <c r="AG33" s="153">
        <f t="shared" si="4"/>
        <v>-1047.6572727272726</v>
      </c>
    </row>
    <row r="34" spans="1:33" x14ac:dyDescent="0.25">
      <c r="A34" s="144" t="s">
        <v>26</v>
      </c>
      <c r="B34" s="156">
        <f t="shared" ref="B34:L34" si="66">SUM(B14:B33)</f>
        <v>500324560.25000006</v>
      </c>
      <c r="C34" s="156">
        <f t="shared" si="66"/>
        <v>0</v>
      </c>
      <c r="D34" s="156">
        <f t="shared" si="66"/>
        <v>0</v>
      </c>
      <c r="E34" s="156">
        <f t="shared" si="66"/>
        <v>0</v>
      </c>
      <c r="F34" s="156">
        <f t="shared" si="66"/>
        <v>0</v>
      </c>
      <c r="G34" s="156">
        <f t="shared" si="66"/>
        <v>0</v>
      </c>
      <c r="H34" s="156">
        <f>SUM(H14:H33)</f>
        <v>0</v>
      </c>
      <c r="I34" s="156">
        <f>SUM(I14:I33)</f>
        <v>0</v>
      </c>
      <c r="J34" s="156">
        <f t="shared" si="66"/>
        <v>0</v>
      </c>
      <c r="K34" s="156">
        <f t="shared" si="66"/>
        <v>0</v>
      </c>
      <c r="L34" s="156">
        <f t="shared" si="66"/>
        <v>0</v>
      </c>
      <c r="M34" s="156">
        <f>SUM(M14:M33)</f>
        <v>0</v>
      </c>
      <c r="N34" s="156">
        <f>SUM(N14:N33)</f>
        <v>500324560.25000006</v>
      </c>
      <c r="O34" s="156"/>
      <c r="P34" s="156">
        <f>SUM(P14:P33)</f>
        <v>3508496989.9274993</v>
      </c>
      <c r="Q34" s="156">
        <f>SUM(Q14:Q33)</f>
        <v>4677995986.5700006</v>
      </c>
      <c r="R34" s="156">
        <v>4677995986.5700006</v>
      </c>
      <c r="S34" s="184">
        <f t="shared" si="9"/>
        <v>0</v>
      </c>
      <c r="T34" s="185">
        <f t="shared" ref="T34:AE34" si="67">SUM(T14:T33)</f>
        <v>584428259.50999987</v>
      </c>
      <c r="U34" s="185">
        <f t="shared" si="67"/>
        <v>1325767059.3100004</v>
      </c>
      <c r="V34" s="185">
        <f t="shared" si="67"/>
        <v>407667417.19000006</v>
      </c>
      <c r="W34" s="185">
        <f t="shared" si="67"/>
        <v>144338649.61000001</v>
      </c>
      <c r="X34" s="185">
        <f t="shared" si="67"/>
        <v>211932002.40000001</v>
      </c>
      <c r="Y34" s="185">
        <f t="shared" si="67"/>
        <v>355674922.34000009</v>
      </c>
      <c r="Z34" s="185">
        <f>SUM(Z14:Z33)</f>
        <v>291087343.19999993</v>
      </c>
      <c r="AA34" s="185">
        <f>SUM(AA14:AA33)</f>
        <v>453663314.29999989</v>
      </c>
      <c r="AB34" s="185">
        <f t="shared" si="67"/>
        <v>336028111.43999994</v>
      </c>
      <c r="AC34" s="185">
        <f t="shared" si="67"/>
        <v>149579678.36999986</v>
      </c>
      <c r="AD34" s="185">
        <f t="shared" si="67"/>
        <v>225304044.21999988</v>
      </c>
      <c r="AE34" s="185">
        <f t="shared" si="67"/>
        <v>192525184.67999995</v>
      </c>
      <c r="AF34" s="156">
        <f t="shared" si="3"/>
        <v>45484050.931818187</v>
      </c>
      <c r="AG34" s="156">
        <f t="shared" si="4"/>
        <v>-45484050.931818187</v>
      </c>
    </row>
    <row r="35" spans="1:33" ht="24" customHeight="1" thickBot="1" x14ac:dyDescent="0.3">
      <c r="A35" s="144" t="s">
        <v>27</v>
      </c>
      <c r="B35" s="159">
        <f t="shared" ref="B35:P35" si="68">+B11-B34</f>
        <v>1302760.4899999499</v>
      </c>
      <c r="C35" s="159">
        <f t="shared" si="68"/>
        <v>0</v>
      </c>
      <c r="D35" s="159">
        <f t="shared" si="68"/>
        <v>0</v>
      </c>
      <c r="E35" s="159">
        <f t="shared" si="68"/>
        <v>0</v>
      </c>
      <c r="F35" s="159">
        <f t="shared" si="68"/>
        <v>0</v>
      </c>
      <c r="G35" s="159">
        <f t="shared" si="68"/>
        <v>0</v>
      </c>
      <c r="H35" s="159">
        <f>+H11-H34</f>
        <v>0</v>
      </c>
      <c r="I35" s="159">
        <f>+I11-I34</f>
        <v>0</v>
      </c>
      <c r="J35" s="159">
        <f t="shared" si="68"/>
        <v>0</v>
      </c>
      <c r="K35" s="159">
        <f t="shared" si="68"/>
        <v>0</v>
      </c>
      <c r="L35" s="159">
        <f t="shared" si="68"/>
        <v>0</v>
      </c>
      <c r="M35" s="159">
        <f>+M11-M34</f>
        <v>0</v>
      </c>
      <c r="N35" s="159">
        <f t="shared" si="68"/>
        <v>1302760.4899999499</v>
      </c>
      <c r="O35" s="159"/>
      <c r="P35" s="159">
        <f t="shared" si="68"/>
        <v>5318921.4450016022</v>
      </c>
      <c r="Q35" s="159">
        <f t="shared" ref="Q35" si="69">+Q11-Q34</f>
        <v>7091895.2600011826</v>
      </c>
      <c r="R35" s="159">
        <v>7091895.2600011826</v>
      </c>
      <c r="S35" s="184">
        <f t="shared" si="9"/>
        <v>9.8347663879394531E-7</v>
      </c>
      <c r="T35" s="188">
        <f t="shared" ref="T35:AE35" si="70">+T11-T34</f>
        <v>873800.75000011921</v>
      </c>
      <c r="U35" s="188">
        <f t="shared" si="70"/>
        <v>807135.46999979019</v>
      </c>
      <c r="V35" s="188">
        <f t="shared" si="70"/>
        <v>873124.75999993086</v>
      </c>
      <c r="W35" s="188">
        <f t="shared" si="70"/>
        <v>583926.69999995828</v>
      </c>
      <c r="X35" s="188">
        <f t="shared" si="70"/>
        <v>474371.84000000358</v>
      </c>
      <c r="Y35" s="188">
        <f t="shared" si="70"/>
        <v>577793.05999994278</v>
      </c>
      <c r="Z35" s="188">
        <f>+Z11-Z34</f>
        <v>426753.60000002384</v>
      </c>
      <c r="AA35" s="188">
        <f>+AA11-AA34</f>
        <v>715437.57000005245</v>
      </c>
      <c r="AB35" s="188">
        <f t="shared" si="70"/>
        <v>435915.37000006437</v>
      </c>
      <c r="AC35" s="188">
        <f t="shared" si="70"/>
        <v>655609.87000012398</v>
      </c>
      <c r="AD35" s="188">
        <f t="shared" si="70"/>
        <v>280104.40000012517</v>
      </c>
      <c r="AE35" s="188">
        <f t="shared" si="70"/>
        <v>387921.87000006437</v>
      </c>
      <c r="AF35" s="159">
        <f t="shared" si="3"/>
        <v>118432.77181817727</v>
      </c>
      <c r="AG35" s="159">
        <f t="shared" si="4"/>
        <v>-118432.77181817727</v>
      </c>
    </row>
    <row r="36" spans="1:33" ht="24" customHeight="1" thickTop="1" x14ac:dyDescent="0.25">
      <c r="B36" s="160">
        <f>+B35/B11</f>
        <v>2.5970684532854375E-3</v>
      </c>
      <c r="C36" s="160" t="e">
        <f t="shared" ref="C36:Q36" si="71">+C35/C11</f>
        <v>#DIV/0!</v>
      </c>
      <c r="D36" s="160" t="e">
        <f t="shared" si="71"/>
        <v>#DIV/0!</v>
      </c>
      <c r="E36" s="160" t="e">
        <f t="shared" si="71"/>
        <v>#DIV/0!</v>
      </c>
      <c r="F36" s="160" t="e">
        <f t="shared" si="71"/>
        <v>#DIV/0!</v>
      </c>
      <c r="G36" s="160" t="e">
        <f t="shared" si="71"/>
        <v>#DIV/0!</v>
      </c>
      <c r="H36" s="160" t="e">
        <f t="shared" ref="H36" si="72">+H35/H11</f>
        <v>#DIV/0!</v>
      </c>
      <c r="I36" s="160" t="e">
        <f t="shared" si="71"/>
        <v>#DIV/0!</v>
      </c>
      <c r="J36" s="160" t="e">
        <f t="shared" si="71"/>
        <v>#DIV/0!</v>
      </c>
      <c r="K36" s="160" t="e">
        <f t="shared" si="71"/>
        <v>#DIV/0!</v>
      </c>
      <c r="L36" s="160" t="e">
        <f t="shared" si="71"/>
        <v>#DIV/0!</v>
      </c>
      <c r="M36" s="160" t="e">
        <f>+M35/M11</f>
        <v>#DIV/0!</v>
      </c>
      <c r="N36" s="160">
        <f t="shared" si="71"/>
        <v>2.5970684532854375E-3</v>
      </c>
      <c r="O36" s="160"/>
      <c r="P36" s="160">
        <f>+P35/P11</f>
        <v>1.5137165916367043E-3</v>
      </c>
      <c r="Q36" s="160">
        <f t="shared" si="71"/>
        <v>1.5137165916365007E-3</v>
      </c>
      <c r="R36" s="160">
        <v>1.5137165916365007E-3</v>
      </c>
      <c r="S36" s="184"/>
      <c r="T36" s="189">
        <f>+T35/T11</f>
        <v>1.4929056453550902E-3</v>
      </c>
      <c r="U36" s="189">
        <f t="shared" ref="U36:AD36" si="73">+U35/U11</f>
        <v>6.0843597981615036E-4</v>
      </c>
      <c r="V36" s="189">
        <f t="shared" si="73"/>
        <v>2.137180206969006E-3</v>
      </c>
      <c r="W36" s="189">
        <f t="shared" si="73"/>
        <v>4.029232124268178E-3</v>
      </c>
      <c r="X36" s="189">
        <f t="shared" si="73"/>
        <v>2.233322053998277E-3</v>
      </c>
      <c r="Y36" s="189">
        <f t="shared" si="73"/>
        <v>1.6218628940166744E-3</v>
      </c>
      <c r="Z36" s="189">
        <f t="shared" si="73"/>
        <v>1.4639209722087921E-3</v>
      </c>
      <c r="AA36" s="189">
        <f t="shared" si="73"/>
        <v>1.5745401101078397E-3</v>
      </c>
      <c r="AB36" s="189">
        <f t="shared" si="73"/>
        <v>1.2955779378049951E-3</v>
      </c>
      <c r="AC36" s="189">
        <f t="shared" si="73"/>
        <v>4.3638873242136771E-3</v>
      </c>
      <c r="AD36" s="189">
        <f t="shared" si="73"/>
        <v>1.241684762487303E-3</v>
      </c>
      <c r="AE36" s="189">
        <f>+AE35/AE11</f>
        <v>2.0108632168002604E-3</v>
      </c>
      <c r="AF36" s="160" t="e">
        <f t="shared" si="3"/>
        <v>#DIV/0!</v>
      </c>
      <c r="AG36" s="160" t="e">
        <f t="shared" si="4"/>
        <v>#DIV/0!</v>
      </c>
    </row>
    <row r="37" spans="1:33" ht="24" customHeight="1" x14ac:dyDescent="0.25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84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53">
        <f t="shared" si="3"/>
        <v>0</v>
      </c>
      <c r="AG37" s="153">
        <f t="shared" si="4"/>
        <v>0</v>
      </c>
    </row>
    <row r="38" spans="1:33" x14ac:dyDescent="0.25">
      <c r="A38" s="144" t="s">
        <v>28</v>
      </c>
      <c r="B38" s="153">
        <v>1426395.8740802817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>
        <f>SUM(B38:M38)</f>
        <v>1426395.8740802817</v>
      </c>
      <c r="O38" s="153"/>
      <c r="P38" s="153">
        <f>Q38/12*$P$3</f>
        <v>6017112.2893621549</v>
      </c>
      <c r="Q38" s="153">
        <f>R38</f>
        <v>8022816.3858162062</v>
      </c>
      <c r="R38" s="153">
        <v>8022816.3858162062</v>
      </c>
      <c r="S38" s="184">
        <f t="shared" si="9"/>
        <v>0</v>
      </c>
      <c r="T38" s="182">
        <f>'[2]Comparison 2017-2018'!$G$30</f>
        <v>885928.51408513961</v>
      </c>
      <c r="U38" s="182">
        <f>'[2]Comparison 2017-2018'!$G$54</f>
        <v>681928.29401690571</v>
      </c>
      <c r="V38" s="182">
        <f>'[2]Comparison 2017-2018'!$G$80</f>
        <v>674363.71418699983</v>
      </c>
      <c r="W38" s="182">
        <f>'[2]Comparison 2017-2018'!$G$105</f>
        <v>655611.34502510389</v>
      </c>
      <c r="X38" s="182">
        <v>538671.68000000005</v>
      </c>
      <c r="Y38" s="182">
        <f>'[2]Comparison 2017-2018'!$G$155</f>
        <v>704133.82690028625</v>
      </c>
      <c r="Z38" s="182">
        <f>'[2]Comparison 2017-2018'!$G$181</f>
        <v>515101.24188355304</v>
      </c>
      <c r="AA38" s="182">
        <f>'[2]Comparison 2017-2018'!$G$207</f>
        <v>680756.08379218809</v>
      </c>
      <c r="AB38" s="182">
        <f>'[2]Comparison 2017-2018'!$G$232</f>
        <v>640882.53297928849</v>
      </c>
      <c r="AC38" s="182">
        <v>718772.43</v>
      </c>
      <c r="AD38" s="182">
        <v>683387.31</v>
      </c>
      <c r="AE38" s="182">
        <v>643279.41294674075</v>
      </c>
      <c r="AF38" s="153">
        <f t="shared" si="3"/>
        <v>129672.35218911651</v>
      </c>
      <c r="AG38" s="153">
        <f t="shared" si="4"/>
        <v>-129672.35218911651</v>
      </c>
    </row>
    <row r="39" spans="1:33" x14ac:dyDescent="0.25">
      <c r="A39" s="144" t="s">
        <v>29</v>
      </c>
      <c r="B39" s="153">
        <v>4984.4799999999996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>
        <f t="shared" ref="N39:N50" si="74">SUM(B39:M39)</f>
        <v>4984.4799999999996</v>
      </c>
      <c r="O39" s="153"/>
      <c r="P39" s="153">
        <f t="shared" ref="P39:P50" si="75">Q39/12*$P$3</f>
        <v>47708.805</v>
      </c>
      <c r="Q39" s="153">
        <f t="shared" ref="Q39:Q50" si="76">R39</f>
        <v>63611.74</v>
      </c>
      <c r="R39" s="153">
        <v>63611.74</v>
      </c>
      <c r="S39" s="184">
        <f t="shared" si="9"/>
        <v>0</v>
      </c>
      <c r="T39" s="182">
        <f>11347.91+1307.73</f>
        <v>12655.64</v>
      </c>
      <c r="U39" s="182">
        <f>2264.54+222.6</f>
        <v>2487.14</v>
      </c>
      <c r="V39" s="182">
        <f>3529.42+2652.3</f>
        <v>6181.72</v>
      </c>
      <c r="W39" s="182">
        <f>1899.66+1105.7</f>
        <v>3005.36</v>
      </c>
      <c r="X39" s="182">
        <v>3451.23</v>
      </c>
      <c r="Y39" s="182">
        <f>1519.77+2478.24</f>
        <v>3998.0099999999998</v>
      </c>
      <c r="Z39" s="182">
        <f>1220.82+2101.18</f>
        <v>3322</v>
      </c>
      <c r="AA39" s="182">
        <f>2140.74+387.79</f>
        <v>2528.5299999999997</v>
      </c>
      <c r="AB39" s="182">
        <f>1753.58+1855.92</f>
        <v>3609.5</v>
      </c>
      <c r="AC39" s="182">
        <v>3887.99</v>
      </c>
      <c r="AD39" s="182">
        <v>10516.9</v>
      </c>
      <c r="AE39" s="182">
        <v>7967.7199999999993</v>
      </c>
      <c r="AF39" s="153">
        <f t="shared" si="3"/>
        <v>453.13454545454539</v>
      </c>
      <c r="AG39" s="153">
        <f t="shared" si="4"/>
        <v>-453.13454545454539</v>
      </c>
    </row>
    <row r="40" spans="1:33" x14ac:dyDescent="0.25">
      <c r="A40" s="144" t="s">
        <v>30</v>
      </c>
      <c r="B40" s="153">
        <v>53892.89</v>
      </c>
      <c r="C40" s="153"/>
      <c r="D40" s="153"/>
      <c r="E40" s="153"/>
      <c r="F40" s="153"/>
      <c r="G40" s="153"/>
      <c r="H40" s="153"/>
      <c r="I40" s="153"/>
      <c r="J40" s="158"/>
      <c r="K40" s="153"/>
      <c r="L40" s="158"/>
      <c r="M40" s="158"/>
      <c r="N40" s="153">
        <f t="shared" si="74"/>
        <v>53892.89</v>
      </c>
      <c r="O40" s="153"/>
      <c r="P40" s="153">
        <f t="shared" si="75"/>
        <v>392372.76</v>
      </c>
      <c r="Q40" s="153">
        <f t="shared" si="76"/>
        <v>523163.68</v>
      </c>
      <c r="R40" s="153">
        <v>523163.68</v>
      </c>
      <c r="S40" s="184">
        <f t="shared" si="9"/>
        <v>0</v>
      </c>
      <c r="T40" s="182">
        <f>'[3]Monthly Summary'!$B$6</f>
        <v>51934.229999999996</v>
      </c>
      <c r="U40" s="182">
        <f>[4]Feb!$B$35</f>
        <v>36189.82</v>
      </c>
      <c r="V40" s="182">
        <f>[3]Mar!$B$35</f>
        <v>90332.26999999999</v>
      </c>
      <c r="W40" s="153">
        <f>[3]Apr!$B$35</f>
        <v>42087.81</v>
      </c>
      <c r="X40" s="153">
        <v>36064.49</v>
      </c>
      <c r="Y40" s="153">
        <f>[3]Jun!$B$35</f>
        <v>6099.46</v>
      </c>
      <c r="Z40" s="153">
        <f>[3]Jul!$B$35</f>
        <v>91429.33</v>
      </c>
      <c r="AA40" s="153">
        <f>[3]Aug!$B$35</f>
        <v>25335.02</v>
      </c>
      <c r="AB40" s="186">
        <f>'[3]Sept '!$B$35</f>
        <v>17267.59</v>
      </c>
      <c r="AC40" s="186">
        <v>34023.760000000002</v>
      </c>
      <c r="AD40" s="186">
        <v>37720.6</v>
      </c>
      <c r="AE40" s="186">
        <v>54679.3</v>
      </c>
      <c r="AF40" s="153">
        <f t="shared" si="3"/>
        <v>4899.3536363636367</v>
      </c>
      <c r="AG40" s="153">
        <f t="shared" si="4"/>
        <v>-4899.3536363636367</v>
      </c>
    </row>
    <row r="41" spans="1:33" x14ac:dyDescent="0.25">
      <c r="A41" s="144" t="s">
        <v>31</v>
      </c>
      <c r="B41" s="153">
        <v>-302124.51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8"/>
      <c r="M41" s="158"/>
      <c r="N41" s="153">
        <f>SUM(B41:M41)</f>
        <v>-302124.51</v>
      </c>
      <c r="O41" s="153"/>
      <c r="P41" s="153">
        <f t="shared" si="75"/>
        <v>-979272.42749999999</v>
      </c>
      <c r="Q41" s="153">
        <f t="shared" si="76"/>
        <v>-1305696.57</v>
      </c>
      <c r="R41" s="153">
        <v>-1305696.57</v>
      </c>
      <c r="S41" s="184">
        <f t="shared" si="9"/>
        <v>0</v>
      </c>
      <c r="T41" s="182">
        <f>-11152-36907.01</f>
        <v>-48059.01</v>
      </c>
      <c r="U41" s="182">
        <f>-4530.13-104404.39</f>
        <v>-108934.52</v>
      </c>
      <c r="V41" s="182">
        <v>-27223.4</v>
      </c>
      <c r="W41" s="182">
        <v>-45776.83</v>
      </c>
      <c r="X41" s="182">
        <v>-39077.56</v>
      </c>
      <c r="Y41" s="187">
        <f>-13634.37-199763.99</f>
        <v>-213398.36</v>
      </c>
      <c r="Z41" s="187">
        <v>-22650.5</v>
      </c>
      <c r="AA41" s="182">
        <f>-18941-67230.98</f>
        <v>-86171.98</v>
      </c>
      <c r="AB41" s="182">
        <f>-30571.4-9919.88</f>
        <v>-40491.279999999999</v>
      </c>
      <c r="AC41" s="186">
        <v>-186820.5</v>
      </c>
      <c r="AD41" s="186">
        <v>-272008.63</v>
      </c>
      <c r="AE41" s="186">
        <v>-215084</v>
      </c>
      <c r="AF41" s="153">
        <f t="shared" si="3"/>
        <v>-27465.864545454548</v>
      </c>
      <c r="AG41" s="153">
        <f t="shared" si="4"/>
        <v>27465.864545454548</v>
      </c>
    </row>
    <row r="42" spans="1:33" x14ac:dyDescent="0.25">
      <c r="A42" s="144" t="s">
        <v>448</v>
      </c>
      <c r="B42" s="153">
        <v>9203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8"/>
      <c r="M42" s="158"/>
      <c r="N42" s="153">
        <f t="shared" si="74"/>
        <v>9203</v>
      </c>
      <c r="O42" s="153"/>
      <c r="P42" s="153">
        <f t="shared" si="75"/>
        <v>133361.25</v>
      </c>
      <c r="Q42" s="153">
        <f t="shared" si="76"/>
        <v>177815</v>
      </c>
      <c r="R42" s="153">
        <v>177815</v>
      </c>
      <c r="S42" s="184">
        <f t="shared" si="9"/>
        <v>0</v>
      </c>
      <c r="T42" s="182">
        <v>0</v>
      </c>
      <c r="U42" s="182">
        <v>0</v>
      </c>
      <c r="V42" s="182">
        <v>0</v>
      </c>
      <c r="W42" s="182">
        <v>49617</v>
      </c>
      <c r="X42" s="182">
        <v>41682</v>
      </c>
      <c r="Y42" s="187">
        <v>28751</v>
      </c>
      <c r="Z42" s="187">
        <v>15774</v>
      </c>
      <c r="AA42" s="182">
        <v>2612</v>
      </c>
      <c r="AB42" s="182">
        <v>16737</v>
      </c>
      <c r="AC42" s="186">
        <v>12095</v>
      </c>
      <c r="AD42" s="186">
        <v>2769</v>
      </c>
      <c r="AE42" s="186">
        <v>7778</v>
      </c>
      <c r="AF42" s="153">
        <f t="shared" si="3"/>
        <v>836.63636363636363</v>
      </c>
      <c r="AG42" s="153">
        <f t="shared" si="4"/>
        <v>-836.63636363636363</v>
      </c>
    </row>
    <row r="43" spans="1:33" x14ac:dyDescent="0.25">
      <c r="A43" s="144" t="s">
        <v>32</v>
      </c>
      <c r="B43" s="153">
        <v>110958.5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8"/>
      <c r="M43" s="153"/>
      <c r="N43" s="153">
        <f t="shared" si="74"/>
        <v>110958.5</v>
      </c>
      <c r="O43" s="153"/>
      <c r="P43" s="153">
        <f t="shared" si="75"/>
        <v>-64362.997500000005</v>
      </c>
      <c r="Q43" s="153">
        <f t="shared" si="76"/>
        <v>-85817.33</v>
      </c>
      <c r="R43" s="153">
        <v>-85817.33</v>
      </c>
      <c r="S43" s="184">
        <f t="shared" si="9"/>
        <v>0</v>
      </c>
      <c r="T43" s="182">
        <f>-51657.33-70861</f>
        <v>-122518.33</v>
      </c>
      <c r="U43" s="182">
        <f>8840+42577</f>
        <v>51417</v>
      </c>
      <c r="V43" s="182">
        <f>-5460+61057-530</f>
        <v>55067</v>
      </c>
      <c r="W43" s="187">
        <f>9250+15494+530</f>
        <v>25274</v>
      </c>
      <c r="X43" s="187">
        <v>-57663</v>
      </c>
      <c r="Y43" s="187">
        <f>-3480+39926</f>
        <v>36446</v>
      </c>
      <c r="Z43" s="187">
        <v>-25800</v>
      </c>
      <c r="AA43" s="187">
        <v>36495</v>
      </c>
      <c r="AB43" s="182">
        <f>1485-23515</f>
        <v>-22030</v>
      </c>
      <c r="AC43" s="186">
        <v>73039</v>
      </c>
      <c r="AD43" s="186">
        <v>50236</v>
      </c>
      <c r="AE43" s="182">
        <v>-185780</v>
      </c>
      <c r="AF43" s="153">
        <f t="shared" si="3"/>
        <v>10087.136363636364</v>
      </c>
      <c r="AG43" s="153">
        <f t="shared" si="4"/>
        <v>-10087.136363636364</v>
      </c>
    </row>
    <row r="44" spans="1:33" x14ac:dyDescent="0.25">
      <c r="A44" s="144" t="s">
        <v>602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8"/>
      <c r="M44" s="158"/>
      <c r="N44" s="153">
        <f t="shared" si="74"/>
        <v>0</v>
      </c>
      <c r="O44" s="153"/>
      <c r="P44" s="153"/>
      <c r="Q44" s="153"/>
      <c r="R44" s="153"/>
      <c r="S44" s="184"/>
      <c r="U44" s="182"/>
      <c r="V44" s="182"/>
      <c r="W44" s="187"/>
      <c r="X44" s="187"/>
      <c r="Y44" s="187"/>
      <c r="Z44" s="187"/>
      <c r="AA44" s="187"/>
      <c r="AB44" s="182"/>
      <c r="AC44" s="186"/>
      <c r="AD44" s="186"/>
      <c r="AE44" s="182"/>
      <c r="AF44" s="153"/>
      <c r="AG44" s="153"/>
    </row>
    <row r="45" spans="1:33" x14ac:dyDescent="0.25">
      <c r="A45" s="144" t="s">
        <v>33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8"/>
      <c r="M45" s="158"/>
      <c r="N45" s="153">
        <f t="shared" si="74"/>
        <v>0</v>
      </c>
      <c r="O45" s="153"/>
      <c r="P45" s="153">
        <f t="shared" si="75"/>
        <v>97186.5</v>
      </c>
      <c r="Q45" s="153">
        <f t="shared" si="76"/>
        <v>129582</v>
      </c>
      <c r="R45" s="153">
        <v>129582</v>
      </c>
      <c r="S45" s="184">
        <f t="shared" si="9"/>
        <v>0</v>
      </c>
      <c r="T45" s="182">
        <v>129582</v>
      </c>
      <c r="U45" s="182">
        <v>0</v>
      </c>
      <c r="V45" s="182">
        <v>0</v>
      </c>
      <c r="W45" s="182">
        <v>0</v>
      </c>
      <c r="X45" s="182">
        <v>0</v>
      </c>
      <c r="Y45" s="182">
        <v>0</v>
      </c>
      <c r="Z45" s="182">
        <v>0</v>
      </c>
      <c r="AA45" s="182">
        <v>0</v>
      </c>
      <c r="AB45" s="182"/>
      <c r="AC45" s="186"/>
      <c r="AD45" s="186"/>
      <c r="AE45" s="186"/>
      <c r="AF45" s="153">
        <f t="shared" si="3"/>
        <v>0</v>
      </c>
      <c r="AG45" s="153">
        <f t="shared" si="4"/>
        <v>0</v>
      </c>
    </row>
    <row r="46" spans="1:33" x14ac:dyDescent="0.25">
      <c r="A46" s="144" t="s">
        <v>524</v>
      </c>
      <c r="B46" s="153">
        <v>30528.83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8"/>
      <c r="M46" s="158"/>
      <c r="N46" s="153">
        <f t="shared" si="74"/>
        <v>30528.83</v>
      </c>
      <c r="O46" s="153"/>
      <c r="P46" s="153">
        <f t="shared" si="75"/>
        <v>14733.397499999999</v>
      </c>
      <c r="Q46" s="153">
        <f t="shared" si="76"/>
        <v>19644.53</v>
      </c>
      <c r="R46" s="153">
        <v>19644.53</v>
      </c>
      <c r="S46" s="184">
        <f t="shared" si="9"/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6">
        <v>0</v>
      </c>
      <c r="AD46" s="186">
        <v>9288.25</v>
      </c>
      <c r="AE46" s="186">
        <v>10356.280000000001</v>
      </c>
      <c r="AF46" s="153">
        <f t="shared" si="3"/>
        <v>2775.3481818181822</v>
      </c>
      <c r="AG46" s="153">
        <f t="shared" si="4"/>
        <v>-2775.3481818181822</v>
      </c>
    </row>
    <row r="47" spans="1:33" x14ac:dyDescent="0.25">
      <c r="A47" s="144" t="s">
        <v>590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8"/>
      <c r="M47" s="158"/>
      <c r="N47" s="153">
        <f t="shared" si="74"/>
        <v>0</v>
      </c>
      <c r="O47" s="153"/>
      <c r="P47" s="153">
        <f t="shared" si="75"/>
        <v>-28154.25</v>
      </c>
      <c r="Q47" s="153">
        <f t="shared" si="76"/>
        <v>-37539</v>
      </c>
      <c r="R47" s="153">
        <v>-37539</v>
      </c>
      <c r="S47" s="184">
        <f t="shared" si="9"/>
        <v>0</v>
      </c>
      <c r="U47" s="182"/>
      <c r="V47" s="182"/>
      <c r="W47" s="182"/>
      <c r="X47" s="182"/>
      <c r="Y47" s="182"/>
      <c r="Z47" s="182"/>
      <c r="AA47" s="182"/>
      <c r="AB47" s="182">
        <v>-37539</v>
      </c>
      <c r="AC47" s="186"/>
      <c r="AD47" s="186"/>
      <c r="AE47" s="186"/>
      <c r="AF47" s="153"/>
      <c r="AG47" s="153"/>
    </row>
    <row r="48" spans="1:33" x14ac:dyDescent="0.25">
      <c r="A48" s="144" t="s">
        <v>593</v>
      </c>
      <c r="B48" s="153">
        <v>29014.68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8"/>
      <c r="M48" s="158"/>
      <c r="N48" s="153">
        <f t="shared" si="74"/>
        <v>29014.68</v>
      </c>
      <c r="O48" s="153"/>
      <c r="P48" s="153">
        <f t="shared" si="75"/>
        <v>-69564.375</v>
      </c>
      <c r="Q48" s="153">
        <f t="shared" si="76"/>
        <v>-92752.5</v>
      </c>
      <c r="R48" s="153">
        <v>-92752.5</v>
      </c>
      <c r="S48" s="184">
        <f t="shared" si="9"/>
        <v>0</v>
      </c>
      <c r="U48" s="182"/>
      <c r="V48" s="182"/>
      <c r="W48" s="182"/>
      <c r="X48" s="182"/>
      <c r="Y48" s="182"/>
      <c r="Z48" s="182"/>
      <c r="AA48" s="182"/>
      <c r="AB48" s="182"/>
      <c r="AC48" s="186"/>
      <c r="AD48" s="186">
        <v>-92752.5</v>
      </c>
      <c r="AE48" s="186"/>
      <c r="AF48" s="153"/>
      <c r="AG48" s="153"/>
    </row>
    <row r="49" spans="1:33" x14ac:dyDescent="0.25">
      <c r="A49" s="144" t="s">
        <v>601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8"/>
      <c r="M49" s="158"/>
      <c r="N49" s="153">
        <f t="shared" si="74"/>
        <v>0</v>
      </c>
      <c r="O49" s="153"/>
      <c r="P49" s="153"/>
      <c r="Q49" s="153"/>
      <c r="R49" s="153"/>
      <c r="S49" s="184"/>
      <c r="U49" s="182"/>
      <c r="V49" s="182"/>
      <c r="W49" s="182"/>
      <c r="X49" s="182"/>
      <c r="Y49" s="182"/>
      <c r="Z49" s="182"/>
      <c r="AA49" s="182"/>
      <c r="AB49" s="182"/>
      <c r="AC49" s="186"/>
      <c r="AD49" s="186"/>
      <c r="AE49" s="186"/>
      <c r="AF49" s="153"/>
      <c r="AG49" s="153"/>
    </row>
    <row r="50" spans="1:33" x14ac:dyDescent="0.25">
      <c r="A50" s="144" t="s">
        <v>34</v>
      </c>
      <c r="B50" s="153">
        <v>-35000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8"/>
      <c r="M50" s="153"/>
      <c r="N50" s="153">
        <f t="shared" si="74"/>
        <v>-35000</v>
      </c>
      <c r="O50" s="153"/>
      <c r="P50" s="153">
        <f t="shared" si="75"/>
        <v>-315000</v>
      </c>
      <c r="Q50" s="153">
        <f t="shared" si="76"/>
        <v>-420000</v>
      </c>
      <c r="R50" s="153">
        <v>-420000</v>
      </c>
      <c r="S50" s="184">
        <f t="shared" si="9"/>
        <v>0</v>
      </c>
      <c r="T50" s="182">
        <v>-35000</v>
      </c>
      <c r="U50" s="182">
        <f>-18000-17000</f>
        <v>-35000</v>
      </c>
      <c r="V50" s="182">
        <v>-35000</v>
      </c>
      <c r="W50" s="182">
        <v>-35000</v>
      </c>
      <c r="X50" s="182">
        <v>-35000</v>
      </c>
      <c r="Y50" s="182">
        <v>-35000</v>
      </c>
      <c r="Z50" s="182">
        <v>-35000</v>
      </c>
      <c r="AA50" s="182">
        <v>-35000</v>
      </c>
      <c r="AB50" s="182">
        <v>-35000</v>
      </c>
      <c r="AC50" s="182">
        <v>-35000</v>
      </c>
      <c r="AD50" s="182">
        <v>-35000</v>
      </c>
      <c r="AE50" s="182">
        <v>-35000</v>
      </c>
      <c r="AF50" s="153">
        <f t="shared" si="3"/>
        <v>-3181.818181818182</v>
      </c>
      <c r="AG50" s="153">
        <f t="shared" si="4"/>
        <v>3181.818181818182</v>
      </c>
    </row>
    <row r="51" spans="1:33" x14ac:dyDescent="0.25">
      <c r="B51" s="156">
        <f t="shared" ref="B51:N51" si="77">SUM(B38:B50)</f>
        <v>1327853.7440802816</v>
      </c>
      <c r="C51" s="156">
        <f t="shared" si="77"/>
        <v>0</v>
      </c>
      <c r="D51" s="156">
        <f t="shared" si="77"/>
        <v>0</v>
      </c>
      <c r="E51" s="156">
        <f t="shared" si="77"/>
        <v>0</v>
      </c>
      <c r="F51" s="156">
        <f t="shared" si="77"/>
        <v>0</v>
      </c>
      <c r="G51" s="156">
        <f t="shared" si="77"/>
        <v>0</v>
      </c>
      <c r="H51" s="156">
        <f t="shared" si="77"/>
        <v>0</v>
      </c>
      <c r="I51" s="156">
        <f t="shared" si="77"/>
        <v>0</v>
      </c>
      <c r="J51" s="156">
        <f t="shared" si="77"/>
        <v>0</v>
      </c>
      <c r="K51" s="156">
        <f t="shared" si="77"/>
        <v>0</v>
      </c>
      <c r="L51" s="156">
        <f t="shared" si="77"/>
        <v>0</v>
      </c>
      <c r="M51" s="156">
        <f t="shared" si="77"/>
        <v>0</v>
      </c>
      <c r="N51" s="156">
        <f t="shared" si="77"/>
        <v>1327853.7440802816</v>
      </c>
      <c r="O51" s="156"/>
      <c r="P51" s="156">
        <f>SUM(P38:P50)</f>
        <v>5246120.9518621545</v>
      </c>
      <c r="Q51" s="156">
        <f>SUM(Q38:Q50)</f>
        <v>6994827.935816207</v>
      </c>
      <c r="R51" s="156">
        <v>6994827.935816207</v>
      </c>
      <c r="S51" s="184">
        <f t="shared" si="9"/>
        <v>0</v>
      </c>
      <c r="T51" s="185">
        <f t="shared" ref="T51:AE51" si="78">SUM(T38:T50)</f>
        <v>874523.04408513964</v>
      </c>
      <c r="U51" s="185">
        <f t="shared" si="78"/>
        <v>628087.73401690566</v>
      </c>
      <c r="V51" s="185">
        <f t="shared" si="78"/>
        <v>763721.3041869998</v>
      </c>
      <c r="W51" s="185">
        <f t="shared" si="78"/>
        <v>694818.68502510397</v>
      </c>
      <c r="X51" s="185">
        <f t="shared" si="78"/>
        <v>488128.84000000008</v>
      </c>
      <c r="Y51" s="185">
        <f t="shared" si="78"/>
        <v>531029.93690028624</v>
      </c>
      <c r="Z51" s="185">
        <f t="shared" si="78"/>
        <v>542176.07188355306</v>
      </c>
      <c r="AA51" s="185">
        <f t="shared" si="78"/>
        <v>626554.65379218815</v>
      </c>
      <c r="AB51" s="185">
        <f t="shared" si="78"/>
        <v>543436.34297928843</v>
      </c>
      <c r="AC51" s="185">
        <f t="shared" si="78"/>
        <v>619997.68000000005</v>
      </c>
      <c r="AD51" s="185">
        <f t="shared" si="78"/>
        <v>394156.93000000005</v>
      </c>
      <c r="AE51" s="185">
        <f t="shared" si="78"/>
        <v>288196.71294674079</v>
      </c>
      <c r="AF51" s="156">
        <f t="shared" si="3"/>
        <v>120713.97673457106</v>
      </c>
      <c r="AG51" s="156">
        <f t="shared" si="4"/>
        <v>-120713.97673457106</v>
      </c>
    </row>
    <row r="52" spans="1:33" ht="25.5" customHeight="1" thickBot="1" x14ac:dyDescent="0.3">
      <c r="A52" s="144" t="s">
        <v>35</v>
      </c>
      <c r="B52" s="161">
        <f t="shared" ref="B52:P52" si="79">+B35-B51</f>
        <v>-25093.254080331651</v>
      </c>
      <c r="C52" s="161">
        <f t="shared" si="79"/>
        <v>0</v>
      </c>
      <c r="D52" s="161">
        <f t="shared" si="79"/>
        <v>0</v>
      </c>
      <c r="E52" s="161">
        <f t="shared" si="79"/>
        <v>0</v>
      </c>
      <c r="F52" s="161">
        <f t="shared" si="79"/>
        <v>0</v>
      </c>
      <c r="G52" s="161">
        <f t="shared" si="79"/>
        <v>0</v>
      </c>
      <c r="H52" s="161">
        <f t="shared" si="79"/>
        <v>0</v>
      </c>
      <c r="I52" s="161">
        <f t="shared" si="79"/>
        <v>0</v>
      </c>
      <c r="J52" s="161">
        <f t="shared" si="79"/>
        <v>0</v>
      </c>
      <c r="K52" s="161">
        <f t="shared" si="79"/>
        <v>0</v>
      </c>
      <c r="L52" s="161">
        <f t="shared" si="79"/>
        <v>0</v>
      </c>
      <c r="M52" s="161">
        <f>+M35-M51</f>
        <v>0</v>
      </c>
      <c r="N52" s="161">
        <f>+N35-N51</f>
        <v>-25093.254080331651</v>
      </c>
      <c r="O52" s="161"/>
      <c r="P52" s="161">
        <f t="shared" si="79"/>
        <v>72800.493139447644</v>
      </c>
      <c r="Q52" s="161">
        <f t="shared" ref="Q52" si="80">+Q35-Q51</f>
        <v>97067.324184975587</v>
      </c>
      <c r="R52" s="161">
        <v>97067.324184975587</v>
      </c>
      <c r="S52" s="184">
        <f t="shared" si="9"/>
        <v>9.824289008975029E-7</v>
      </c>
      <c r="T52" s="190">
        <f t="shared" ref="T52:AE52" si="81">+T35-T51</f>
        <v>-722.29408502043225</v>
      </c>
      <c r="U52" s="190">
        <f t="shared" si="81"/>
        <v>179047.73598288454</v>
      </c>
      <c r="V52" s="190">
        <f t="shared" si="81"/>
        <v>109403.45581293106</v>
      </c>
      <c r="W52" s="190">
        <f t="shared" si="81"/>
        <v>-110891.9850251457</v>
      </c>
      <c r="X52" s="190">
        <f t="shared" si="81"/>
        <v>-13756.999999996508</v>
      </c>
      <c r="Y52" s="190">
        <f t="shared" si="81"/>
        <v>46763.123099656543</v>
      </c>
      <c r="Z52" s="190">
        <f t="shared" si="81"/>
        <v>-115422.47188352922</v>
      </c>
      <c r="AA52" s="190">
        <f t="shared" si="81"/>
        <v>88882.916207864298</v>
      </c>
      <c r="AB52" s="190">
        <f t="shared" si="81"/>
        <v>-107520.97297922405</v>
      </c>
      <c r="AC52" s="190">
        <f t="shared" si="81"/>
        <v>35612.190000123926</v>
      </c>
      <c r="AD52" s="190">
        <f t="shared" si="81"/>
        <v>-114052.52999987488</v>
      </c>
      <c r="AE52" s="190">
        <f t="shared" si="81"/>
        <v>99725.157053323579</v>
      </c>
      <c r="AF52" s="161">
        <f t="shared" si="3"/>
        <v>-2281.2049163937863</v>
      </c>
      <c r="AG52" s="161">
        <f t="shared" si="4"/>
        <v>2281.2049163937863</v>
      </c>
    </row>
    <row r="53" spans="1:33" ht="15.75" thickTop="1" x14ac:dyDescent="0.25"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S53" s="184">
        <f t="shared" si="9"/>
        <v>0</v>
      </c>
      <c r="U53" s="182"/>
      <c r="V53" s="182"/>
      <c r="W53" s="182"/>
      <c r="X53" s="182"/>
      <c r="Y53" s="182"/>
      <c r="Z53" s="191"/>
      <c r="AA53" s="191"/>
      <c r="AB53" s="191"/>
      <c r="AC53" s="191"/>
      <c r="AD53" s="182"/>
      <c r="AE53" s="182"/>
      <c r="AF53" s="144">
        <f t="shared" si="3"/>
        <v>0</v>
      </c>
      <c r="AG53" s="144">
        <f t="shared" si="4"/>
        <v>0</v>
      </c>
    </row>
    <row r="54" spans="1:33" x14ac:dyDescent="0.25"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S54" s="184">
        <f t="shared" si="9"/>
        <v>0</v>
      </c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44">
        <f t="shared" si="3"/>
        <v>0</v>
      </c>
      <c r="AG54" s="144">
        <f t="shared" si="4"/>
        <v>0</v>
      </c>
    </row>
    <row r="55" spans="1:33" ht="30" x14ac:dyDescent="0.25">
      <c r="A55" s="146" t="s">
        <v>36</v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S55" s="184">
        <f t="shared" si="9"/>
        <v>0</v>
      </c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44">
        <f t="shared" si="3"/>
        <v>0</v>
      </c>
      <c r="AG55" s="144">
        <f t="shared" si="4"/>
        <v>0</v>
      </c>
    </row>
    <row r="56" spans="1:33" x14ac:dyDescent="0.25">
      <c r="A56" s="144" t="s">
        <v>2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S56" s="184">
        <f t="shared" si="9"/>
        <v>0</v>
      </c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44">
        <f t="shared" si="3"/>
        <v>0</v>
      </c>
      <c r="AG56" s="144">
        <f t="shared" si="4"/>
        <v>0</v>
      </c>
    </row>
    <row r="57" spans="1:33" x14ac:dyDescent="0.25">
      <c r="A57" s="144" t="s">
        <v>37</v>
      </c>
      <c r="B57" s="153">
        <f t="shared" ref="B57:L57" si="82">B108</f>
        <v>0</v>
      </c>
      <c r="C57" s="153">
        <f t="shared" si="82"/>
        <v>0</v>
      </c>
      <c r="D57" s="153">
        <f t="shared" si="82"/>
        <v>0</v>
      </c>
      <c r="E57" s="153">
        <f t="shared" si="82"/>
        <v>0</v>
      </c>
      <c r="F57" s="153">
        <f t="shared" si="82"/>
        <v>0</v>
      </c>
      <c r="G57" s="153">
        <f t="shared" si="82"/>
        <v>0</v>
      </c>
      <c r="H57" s="153">
        <f t="shared" si="82"/>
        <v>0</v>
      </c>
      <c r="I57" s="153">
        <f t="shared" si="82"/>
        <v>0</v>
      </c>
      <c r="J57" s="153">
        <f t="shared" si="82"/>
        <v>0</v>
      </c>
      <c r="K57" s="153">
        <f t="shared" si="82"/>
        <v>0</v>
      </c>
      <c r="L57" s="153">
        <f t="shared" si="82"/>
        <v>0</v>
      </c>
      <c r="M57" s="153">
        <f t="shared" ref="M57" si="83">M108</f>
        <v>0</v>
      </c>
      <c r="N57" s="153">
        <f>SUM(B57:M57)</f>
        <v>0</v>
      </c>
      <c r="O57" s="153"/>
      <c r="P57" s="153">
        <f>Q57/12*$P$3</f>
        <v>0</v>
      </c>
      <c r="Q57" s="153">
        <f>R57</f>
        <v>0</v>
      </c>
      <c r="R57" s="153">
        <v>0</v>
      </c>
      <c r="S57" s="184">
        <f t="shared" si="9"/>
        <v>0</v>
      </c>
      <c r="T57" s="182">
        <f>T108</f>
        <v>0</v>
      </c>
      <c r="U57" s="182">
        <f>U108</f>
        <v>0</v>
      </c>
      <c r="V57" s="182">
        <f>V108</f>
        <v>0</v>
      </c>
      <c r="W57" s="182">
        <f t="shared" ref="W57:AE57" si="84">W108</f>
        <v>0</v>
      </c>
      <c r="X57" s="182">
        <f t="shared" si="84"/>
        <v>0</v>
      </c>
      <c r="Y57" s="182">
        <f t="shared" si="84"/>
        <v>0</v>
      </c>
      <c r="Z57" s="182">
        <f t="shared" si="84"/>
        <v>0</v>
      </c>
      <c r="AA57" s="182">
        <f t="shared" si="84"/>
        <v>0</v>
      </c>
      <c r="AB57" s="182">
        <f t="shared" si="84"/>
        <v>0</v>
      </c>
      <c r="AC57" s="182">
        <f t="shared" si="84"/>
        <v>0</v>
      </c>
      <c r="AD57" s="182">
        <f t="shared" si="84"/>
        <v>0</v>
      </c>
      <c r="AE57" s="182">
        <f t="shared" si="84"/>
        <v>0</v>
      </c>
      <c r="AF57" s="153">
        <f t="shared" si="3"/>
        <v>0</v>
      </c>
      <c r="AG57" s="153">
        <f t="shared" si="4"/>
        <v>0</v>
      </c>
    </row>
    <row r="58" spans="1:33" x14ac:dyDescent="0.25">
      <c r="A58" s="144" t="s">
        <v>38</v>
      </c>
      <c r="B58" s="153">
        <f t="shared" ref="B58:L58" si="85">B114+B126</f>
        <v>25767.99</v>
      </c>
      <c r="C58" s="153">
        <f t="shared" si="85"/>
        <v>0</v>
      </c>
      <c r="D58" s="153">
        <f t="shared" si="85"/>
        <v>0</v>
      </c>
      <c r="E58" s="153">
        <f t="shared" si="85"/>
        <v>0</v>
      </c>
      <c r="F58" s="153">
        <f t="shared" si="85"/>
        <v>0</v>
      </c>
      <c r="G58" s="153">
        <f t="shared" si="85"/>
        <v>0</v>
      </c>
      <c r="H58" s="153">
        <f t="shared" si="85"/>
        <v>0</v>
      </c>
      <c r="I58" s="153">
        <f t="shared" si="85"/>
        <v>0</v>
      </c>
      <c r="J58" s="153">
        <f t="shared" si="85"/>
        <v>0</v>
      </c>
      <c r="K58" s="153">
        <f t="shared" si="85"/>
        <v>0</v>
      </c>
      <c r="L58" s="153">
        <f t="shared" si="85"/>
        <v>0</v>
      </c>
      <c r="M58" s="153">
        <f t="shared" ref="M58" si="86">M114+M126</f>
        <v>0</v>
      </c>
      <c r="N58" s="153">
        <f t="shared" ref="N58:N60" si="87">SUM(B58:M58)</f>
        <v>25767.99</v>
      </c>
      <c r="O58" s="153"/>
      <c r="P58" s="153">
        <f t="shared" ref="P58:P60" si="88">Q58/12*$P$3</f>
        <v>323715.04499999998</v>
      </c>
      <c r="Q58" s="153">
        <f t="shared" ref="Q58:Q78" si="89">R58</f>
        <v>431620.06</v>
      </c>
      <c r="R58" s="153">
        <v>431620.06</v>
      </c>
      <c r="S58" s="184">
        <f t="shared" si="9"/>
        <v>0</v>
      </c>
      <c r="T58" s="182">
        <f>T114+T126</f>
        <v>44174.48</v>
      </c>
      <c r="U58" s="182">
        <f>U114+U126</f>
        <v>37026.959999999999</v>
      </c>
      <c r="V58" s="182">
        <f>V114+V126</f>
        <v>50952.97</v>
      </c>
      <c r="W58" s="182">
        <f>W114+W126</f>
        <v>17383</v>
      </c>
      <c r="X58" s="182">
        <f t="shared" ref="X58:AE58" si="90">X114+X126</f>
        <v>6537.5</v>
      </c>
      <c r="Y58" s="182">
        <f t="shared" si="90"/>
        <v>12690.5</v>
      </c>
      <c r="Z58" s="182">
        <f t="shared" si="90"/>
        <v>14136.99</v>
      </c>
      <c r="AA58" s="182">
        <f t="shared" si="90"/>
        <v>3546</v>
      </c>
      <c r="AB58" s="182">
        <f t="shared" si="90"/>
        <v>6577.55</v>
      </c>
      <c r="AC58" s="182">
        <f t="shared" si="90"/>
        <v>18560.79</v>
      </c>
      <c r="AD58" s="182">
        <f t="shared" si="90"/>
        <v>30425.09</v>
      </c>
      <c r="AE58" s="182">
        <f t="shared" si="90"/>
        <v>189608.23</v>
      </c>
      <c r="AF58" s="153">
        <f t="shared" si="3"/>
        <v>2342.5445454545456</v>
      </c>
      <c r="AG58" s="153">
        <f t="shared" si="4"/>
        <v>-2342.5445454545456</v>
      </c>
    </row>
    <row r="59" spans="1:33" x14ac:dyDescent="0.25">
      <c r="A59" s="144" t="s">
        <v>39</v>
      </c>
      <c r="B59" s="153">
        <f t="shared" ref="B59:L59" si="91">B113+B125</f>
        <v>0</v>
      </c>
      <c r="C59" s="153">
        <f t="shared" si="91"/>
        <v>0</v>
      </c>
      <c r="D59" s="153">
        <f t="shared" si="91"/>
        <v>0</v>
      </c>
      <c r="E59" s="153">
        <f t="shared" si="91"/>
        <v>0</v>
      </c>
      <c r="F59" s="153">
        <f t="shared" si="91"/>
        <v>0</v>
      </c>
      <c r="G59" s="153">
        <f t="shared" si="91"/>
        <v>0</v>
      </c>
      <c r="H59" s="153">
        <f t="shared" si="91"/>
        <v>0</v>
      </c>
      <c r="I59" s="153">
        <f t="shared" si="91"/>
        <v>0</v>
      </c>
      <c r="J59" s="153">
        <f t="shared" si="91"/>
        <v>0</v>
      </c>
      <c r="K59" s="153">
        <f t="shared" si="91"/>
        <v>0</v>
      </c>
      <c r="L59" s="153">
        <f t="shared" si="91"/>
        <v>0</v>
      </c>
      <c r="M59" s="153">
        <f t="shared" ref="M59" si="92">M113+M125</f>
        <v>0</v>
      </c>
      <c r="N59" s="153">
        <f t="shared" si="87"/>
        <v>0</v>
      </c>
      <c r="O59" s="153"/>
      <c r="P59" s="153">
        <f t="shared" si="88"/>
        <v>8893.83</v>
      </c>
      <c r="Q59" s="153">
        <f t="shared" si="89"/>
        <v>11858.44</v>
      </c>
      <c r="R59" s="153">
        <v>11858.44</v>
      </c>
      <c r="S59" s="184">
        <f t="shared" si="9"/>
        <v>0</v>
      </c>
      <c r="T59" s="182">
        <f>T113+T125</f>
        <v>0</v>
      </c>
      <c r="U59" s="182">
        <f>U113+U125</f>
        <v>0</v>
      </c>
      <c r="V59" s="182">
        <f>V113+V125</f>
        <v>0</v>
      </c>
      <c r="W59" s="182">
        <f>W113+W125</f>
        <v>0</v>
      </c>
      <c r="X59" s="182">
        <f t="shared" ref="X59:AE59" si="93">X113+X125</f>
        <v>100</v>
      </c>
      <c r="Y59" s="182">
        <f t="shared" si="93"/>
        <v>0</v>
      </c>
      <c r="Z59" s="182">
        <f t="shared" si="93"/>
        <v>100</v>
      </c>
      <c r="AA59" s="182">
        <f t="shared" si="93"/>
        <v>275</v>
      </c>
      <c r="AB59" s="182">
        <f t="shared" si="93"/>
        <v>780</v>
      </c>
      <c r="AC59" s="182">
        <f t="shared" si="93"/>
        <v>145</v>
      </c>
      <c r="AD59" s="182">
        <f t="shared" si="93"/>
        <v>800</v>
      </c>
      <c r="AE59" s="182">
        <f t="shared" si="93"/>
        <v>9658.44</v>
      </c>
      <c r="AF59" s="153">
        <f t="shared" si="3"/>
        <v>0</v>
      </c>
      <c r="AG59" s="153">
        <f t="shared" si="4"/>
        <v>0</v>
      </c>
    </row>
    <row r="60" spans="1:33" x14ac:dyDescent="0.25">
      <c r="A60" s="144" t="s">
        <v>40</v>
      </c>
      <c r="B60" s="153">
        <f t="shared" ref="B60:L60" si="94">B115+B117+B118+B119+B120</f>
        <v>25943.69</v>
      </c>
      <c r="C60" s="153">
        <f t="shared" si="94"/>
        <v>0</v>
      </c>
      <c r="D60" s="153">
        <f t="shared" si="94"/>
        <v>0</v>
      </c>
      <c r="E60" s="153">
        <f t="shared" si="94"/>
        <v>0</v>
      </c>
      <c r="F60" s="153">
        <f t="shared" si="94"/>
        <v>0</v>
      </c>
      <c r="G60" s="153">
        <f t="shared" si="94"/>
        <v>0</v>
      </c>
      <c r="H60" s="153">
        <f t="shared" si="94"/>
        <v>0</v>
      </c>
      <c r="I60" s="153">
        <f t="shared" si="94"/>
        <v>0</v>
      </c>
      <c r="J60" s="153">
        <f t="shared" si="94"/>
        <v>0</v>
      </c>
      <c r="K60" s="153">
        <f t="shared" si="94"/>
        <v>0</v>
      </c>
      <c r="L60" s="153">
        <f t="shared" si="94"/>
        <v>0</v>
      </c>
      <c r="M60" s="153">
        <f>M115+M117+M118+M119+M120</f>
        <v>0</v>
      </c>
      <c r="N60" s="153">
        <f t="shared" si="87"/>
        <v>25943.69</v>
      </c>
      <c r="O60" s="153"/>
      <c r="P60" s="153">
        <f t="shared" si="88"/>
        <v>571586.66250000009</v>
      </c>
      <c r="Q60" s="153">
        <f t="shared" si="89"/>
        <v>762115.55</v>
      </c>
      <c r="R60" s="153">
        <v>762115.55</v>
      </c>
      <c r="S60" s="184">
        <f t="shared" si="9"/>
        <v>0</v>
      </c>
      <c r="T60" s="182">
        <f>T115+T117+T118+T119</f>
        <v>44096.53</v>
      </c>
      <c r="U60" s="182">
        <f>U115+U117+U118+U119</f>
        <v>78044.399999999994</v>
      </c>
      <c r="V60" s="182">
        <f>V115+V117+V118+V119</f>
        <v>64584.18</v>
      </c>
      <c r="W60" s="182">
        <f>W115+W117+W118+W119</f>
        <v>30224.629999999997</v>
      </c>
      <c r="X60" s="182">
        <f t="shared" ref="X60:AE60" si="95">X115+X117+X118+X119</f>
        <v>73319.850000000006</v>
      </c>
      <c r="Y60" s="182">
        <f t="shared" si="95"/>
        <v>39472.699999999997</v>
      </c>
      <c r="Z60" s="182">
        <f t="shared" si="95"/>
        <v>105316.34</v>
      </c>
      <c r="AA60" s="182">
        <f t="shared" si="95"/>
        <v>42109.01</v>
      </c>
      <c r="AB60" s="182">
        <f t="shared" si="95"/>
        <v>80331.100000000006</v>
      </c>
      <c r="AC60" s="182">
        <f t="shared" si="95"/>
        <v>48035.92</v>
      </c>
      <c r="AD60" s="182">
        <f t="shared" si="95"/>
        <v>68725.38</v>
      </c>
      <c r="AE60" s="182">
        <f t="shared" si="95"/>
        <v>87855.510000000009</v>
      </c>
      <c r="AF60" s="153">
        <f t="shared" si="3"/>
        <v>2358.5172727272725</v>
      </c>
      <c r="AG60" s="153">
        <f t="shared" si="4"/>
        <v>-2358.5172727272725</v>
      </c>
    </row>
    <row r="61" spans="1:33" x14ac:dyDescent="0.25">
      <c r="A61" s="144" t="s">
        <v>41</v>
      </c>
      <c r="B61" s="162">
        <f t="shared" ref="B61:L61" si="96">SUM(B57:B60)</f>
        <v>51711.68</v>
      </c>
      <c r="C61" s="162">
        <f t="shared" si="96"/>
        <v>0</v>
      </c>
      <c r="D61" s="162">
        <f t="shared" si="96"/>
        <v>0</v>
      </c>
      <c r="E61" s="162">
        <f t="shared" si="96"/>
        <v>0</v>
      </c>
      <c r="F61" s="162">
        <f t="shared" si="96"/>
        <v>0</v>
      </c>
      <c r="G61" s="162">
        <f t="shared" si="96"/>
        <v>0</v>
      </c>
      <c r="H61" s="162">
        <f t="shared" si="96"/>
        <v>0</v>
      </c>
      <c r="I61" s="162">
        <f t="shared" si="96"/>
        <v>0</v>
      </c>
      <c r="J61" s="162">
        <f t="shared" si="96"/>
        <v>0</v>
      </c>
      <c r="K61" s="162">
        <f t="shared" si="96"/>
        <v>0</v>
      </c>
      <c r="L61" s="162">
        <f t="shared" si="96"/>
        <v>0</v>
      </c>
      <c r="M61" s="162">
        <f t="shared" ref="M61" si="97">SUM(M57:M60)</f>
        <v>0</v>
      </c>
      <c r="N61" s="162">
        <f>SUM(N57:N60)</f>
        <v>51711.68</v>
      </c>
      <c r="O61" s="162"/>
      <c r="P61" s="162">
        <f>SUM(P57:P60)</f>
        <v>904195.53750000009</v>
      </c>
      <c r="Q61" s="162">
        <f t="shared" si="89"/>
        <v>1205594.05</v>
      </c>
      <c r="R61" s="162">
        <v>1205594.05</v>
      </c>
      <c r="S61" s="184">
        <f t="shared" si="9"/>
        <v>0</v>
      </c>
      <c r="T61" s="192">
        <f>SUM(T57:T60)</f>
        <v>88271.010000000009</v>
      </c>
      <c r="U61" s="192">
        <f t="shared" ref="U61:AE61" si="98">SUM(U57:U60)</f>
        <v>115071.35999999999</v>
      </c>
      <c r="V61" s="192">
        <f t="shared" si="98"/>
        <v>115537.15</v>
      </c>
      <c r="W61" s="192">
        <f t="shared" si="98"/>
        <v>47607.63</v>
      </c>
      <c r="X61" s="192">
        <f t="shared" si="98"/>
        <v>79957.350000000006</v>
      </c>
      <c r="Y61" s="192">
        <f t="shared" si="98"/>
        <v>52163.199999999997</v>
      </c>
      <c r="Z61" s="192">
        <f t="shared" si="98"/>
        <v>119553.33</v>
      </c>
      <c r="AA61" s="192">
        <f t="shared" si="98"/>
        <v>45930.01</v>
      </c>
      <c r="AB61" s="192">
        <f t="shared" si="98"/>
        <v>87688.650000000009</v>
      </c>
      <c r="AC61" s="192">
        <f t="shared" si="98"/>
        <v>66741.709999999992</v>
      </c>
      <c r="AD61" s="192">
        <f t="shared" si="98"/>
        <v>99950.47</v>
      </c>
      <c r="AE61" s="192">
        <f t="shared" si="98"/>
        <v>287122.18000000005</v>
      </c>
      <c r="AF61" s="162">
        <f t="shared" si="3"/>
        <v>4701.0618181818181</v>
      </c>
      <c r="AG61" s="162">
        <f t="shared" si="4"/>
        <v>-4701.0618181818181</v>
      </c>
    </row>
    <row r="62" spans="1:33" x14ac:dyDescent="0.25">
      <c r="A62" s="144" t="s">
        <v>42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7"/>
      <c r="O62" s="157"/>
      <c r="P62" s="157"/>
      <c r="Q62" s="153"/>
      <c r="R62" s="157"/>
      <c r="S62" s="184">
        <f t="shared" si="9"/>
        <v>0</v>
      </c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57">
        <f t="shared" si="3"/>
        <v>0</v>
      </c>
      <c r="AG62" s="157">
        <f t="shared" si="4"/>
        <v>0</v>
      </c>
    </row>
    <row r="63" spans="1:33" x14ac:dyDescent="0.25">
      <c r="A63" s="144" t="s">
        <v>37</v>
      </c>
      <c r="B63" s="153">
        <f t="shared" ref="B63:L63" si="99">B136</f>
        <v>0</v>
      </c>
      <c r="C63" s="153">
        <f t="shared" si="99"/>
        <v>0</v>
      </c>
      <c r="D63" s="153">
        <f t="shared" si="99"/>
        <v>0</v>
      </c>
      <c r="E63" s="153">
        <f t="shared" si="99"/>
        <v>0</v>
      </c>
      <c r="F63" s="153">
        <f t="shared" si="99"/>
        <v>0</v>
      </c>
      <c r="G63" s="153">
        <f t="shared" si="99"/>
        <v>0</v>
      </c>
      <c r="H63" s="153">
        <f t="shared" si="99"/>
        <v>0</v>
      </c>
      <c r="I63" s="153">
        <f t="shared" si="99"/>
        <v>0</v>
      </c>
      <c r="J63" s="153">
        <f t="shared" si="99"/>
        <v>0</v>
      </c>
      <c r="K63" s="153">
        <f t="shared" si="99"/>
        <v>0</v>
      </c>
      <c r="L63" s="153">
        <f t="shared" si="99"/>
        <v>0</v>
      </c>
      <c r="M63" s="153">
        <f t="shared" ref="M63" si="100">M136</f>
        <v>0</v>
      </c>
      <c r="N63" s="153">
        <f>SUM(B63:M63)</f>
        <v>0</v>
      </c>
      <c r="O63" s="153"/>
      <c r="P63" s="153">
        <f>Q63/12*$P$3</f>
        <v>0</v>
      </c>
      <c r="Q63" s="153">
        <f t="shared" si="89"/>
        <v>0</v>
      </c>
      <c r="R63" s="153">
        <v>0</v>
      </c>
      <c r="S63" s="184">
        <f t="shared" si="9"/>
        <v>0</v>
      </c>
      <c r="T63" s="182">
        <f>T136</f>
        <v>0</v>
      </c>
      <c r="U63" s="182">
        <f>U136</f>
        <v>0</v>
      </c>
      <c r="V63" s="182">
        <f>V136</f>
        <v>0</v>
      </c>
      <c r="W63" s="182">
        <f t="shared" ref="W63:AE63" si="101">W136</f>
        <v>0</v>
      </c>
      <c r="X63" s="182">
        <f>X136</f>
        <v>0</v>
      </c>
      <c r="Y63" s="182">
        <f t="shared" si="101"/>
        <v>0</v>
      </c>
      <c r="Z63" s="182">
        <f t="shared" si="101"/>
        <v>0</v>
      </c>
      <c r="AA63" s="182">
        <f t="shared" si="101"/>
        <v>0</v>
      </c>
      <c r="AB63" s="182">
        <f t="shared" si="101"/>
        <v>0</v>
      </c>
      <c r="AC63" s="182">
        <f t="shared" si="101"/>
        <v>0</v>
      </c>
      <c r="AD63" s="182">
        <f t="shared" si="101"/>
        <v>0</v>
      </c>
      <c r="AE63" s="182">
        <f t="shared" si="101"/>
        <v>0</v>
      </c>
      <c r="AF63" s="153">
        <f t="shared" si="3"/>
        <v>0</v>
      </c>
      <c r="AG63" s="153">
        <f t="shared" si="4"/>
        <v>0</v>
      </c>
    </row>
    <row r="64" spans="1:33" x14ac:dyDescent="0.25">
      <c r="A64" s="144" t="s">
        <v>43</v>
      </c>
      <c r="B64" s="153">
        <f t="shared" ref="B64:L64" si="102">B147+B179+B152+B153+B191+B182</f>
        <v>29898.889999999996</v>
      </c>
      <c r="C64" s="153">
        <f t="shared" si="102"/>
        <v>0</v>
      </c>
      <c r="D64" s="153">
        <f t="shared" si="102"/>
        <v>0</v>
      </c>
      <c r="E64" s="153">
        <f t="shared" si="102"/>
        <v>0</v>
      </c>
      <c r="F64" s="153">
        <f t="shared" si="102"/>
        <v>0</v>
      </c>
      <c r="G64" s="153">
        <f t="shared" si="102"/>
        <v>0</v>
      </c>
      <c r="H64" s="153">
        <f t="shared" si="102"/>
        <v>0</v>
      </c>
      <c r="I64" s="153">
        <f t="shared" si="102"/>
        <v>0</v>
      </c>
      <c r="J64" s="153">
        <f t="shared" si="102"/>
        <v>0</v>
      </c>
      <c r="K64" s="153">
        <f t="shared" si="102"/>
        <v>0</v>
      </c>
      <c r="L64" s="153">
        <f t="shared" si="102"/>
        <v>0</v>
      </c>
      <c r="M64" s="153">
        <f t="shared" ref="M64" si="103">M147+M179+M152+M153+M191+M182</f>
        <v>0</v>
      </c>
      <c r="N64" s="153">
        <f t="shared" ref="N64:N70" si="104">SUM(B64:M64)</f>
        <v>29898.889999999996</v>
      </c>
      <c r="O64" s="153"/>
      <c r="P64" s="153">
        <f t="shared" ref="P64:P70" si="105">Q64/12*$P$3</f>
        <v>365446.88249999995</v>
      </c>
      <c r="Q64" s="153">
        <f t="shared" si="89"/>
        <v>487262.50999999995</v>
      </c>
      <c r="R64" s="153">
        <v>487262.50999999995</v>
      </c>
      <c r="S64" s="184">
        <f t="shared" si="9"/>
        <v>0</v>
      </c>
      <c r="T64" s="182">
        <f>T147+T152+T153+T191+T179+T182+T190</f>
        <v>57082.080000000009</v>
      </c>
      <c r="U64" s="182">
        <f>U147+U152+U153+U191+U179+U182+U190</f>
        <v>43072.58</v>
      </c>
      <c r="V64" s="182">
        <f>V147+V152+V153+V191+V179+V182+V190</f>
        <v>59675.47</v>
      </c>
      <c r="W64" s="182">
        <f>W147+W152+W153+W191+W179+W182+W190</f>
        <v>4134.2700000000004</v>
      </c>
      <c r="X64" s="182">
        <f>X147+X152+X153+X191+X179+X182+X190</f>
        <v>5289.5499999999993</v>
      </c>
      <c r="Y64" s="182">
        <f t="shared" ref="Y64:AA64" si="106">Y147+Y179+Y152+Y153+Y146+Y190+Y191+Y182</f>
        <v>13894.16</v>
      </c>
      <c r="Z64" s="182">
        <f t="shared" si="106"/>
        <v>20530.47</v>
      </c>
      <c r="AA64" s="182">
        <f t="shared" si="106"/>
        <v>5400.13</v>
      </c>
      <c r="AB64" s="182">
        <f>AB147+AB179+AB152+AB153+AB191+AB182</f>
        <v>10087.08</v>
      </c>
      <c r="AC64" s="182">
        <f>AC147+AC179+AC152+AC153+AC191+AC182</f>
        <v>20598.52</v>
      </c>
      <c r="AD64" s="182">
        <f>AD147+AD179+AD152+AD153+AD191+AD182</f>
        <v>28536.52</v>
      </c>
      <c r="AE64" s="182">
        <f>AE147+AE179+AE152+AE153+AE191+AE182</f>
        <v>218961.68</v>
      </c>
      <c r="AF64" s="153">
        <f t="shared" si="3"/>
        <v>2718.0809090909088</v>
      </c>
      <c r="AG64" s="153">
        <f t="shared" si="4"/>
        <v>-2718.0809090909088</v>
      </c>
    </row>
    <row r="65" spans="1:33" x14ac:dyDescent="0.25">
      <c r="A65" s="144" t="s">
        <v>44</v>
      </c>
      <c r="B65" s="153">
        <f t="shared" ref="B65:L65" si="107">B149+B151</f>
        <v>145965.73000000001</v>
      </c>
      <c r="C65" s="153">
        <f t="shared" si="107"/>
        <v>0</v>
      </c>
      <c r="D65" s="153">
        <f t="shared" si="107"/>
        <v>0</v>
      </c>
      <c r="E65" s="153">
        <f t="shared" si="107"/>
        <v>0</v>
      </c>
      <c r="F65" s="153">
        <f t="shared" si="107"/>
        <v>0</v>
      </c>
      <c r="G65" s="153">
        <f t="shared" si="107"/>
        <v>0</v>
      </c>
      <c r="H65" s="153">
        <f t="shared" si="107"/>
        <v>0</v>
      </c>
      <c r="I65" s="153">
        <f t="shared" si="107"/>
        <v>0</v>
      </c>
      <c r="J65" s="153">
        <f t="shared" si="107"/>
        <v>0</v>
      </c>
      <c r="K65" s="153">
        <f t="shared" si="107"/>
        <v>0</v>
      </c>
      <c r="L65" s="153">
        <f t="shared" si="107"/>
        <v>0</v>
      </c>
      <c r="M65" s="153">
        <f t="shared" ref="M65" si="108">M149+M151</f>
        <v>0</v>
      </c>
      <c r="N65" s="153">
        <f t="shared" si="104"/>
        <v>145965.73000000001</v>
      </c>
      <c r="O65" s="153"/>
      <c r="P65" s="153">
        <f t="shared" si="105"/>
        <v>1276499.22</v>
      </c>
      <c r="Q65" s="153">
        <f t="shared" si="89"/>
        <v>1701998.96</v>
      </c>
      <c r="R65" s="153">
        <v>1701998.96</v>
      </c>
      <c r="S65" s="184">
        <f t="shared" si="9"/>
        <v>0</v>
      </c>
      <c r="T65" s="182">
        <f>T149+T151</f>
        <v>162526.82</v>
      </c>
      <c r="U65" s="182">
        <f>U149+U151</f>
        <v>186551.2</v>
      </c>
      <c r="V65" s="182">
        <f>V149+V151+V150</f>
        <v>121471.26</v>
      </c>
      <c r="W65" s="182">
        <f t="shared" ref="W65:AE65" si="109">W149+W151</f>
        <v>104538.95</v>
      </c>
      <c r="X65" s="182">
        <f>X149+X151+X150</f>
        <v>112337.33</v>
      </c>
      <c r="Y65" s="182">
        <f t="shared" si="109"/>
        <v>58522.59</v>
      </c>
      <c r="Z65" s="182">
        <f t="shared" si="109"/>
        <v>142640.88</v>
      </c>
      <c r="AA65" s="182">
        <f t="shared" si="109"/>
        <v>302010.69</v>
      </c>
      <c r="AB65" s="182">
        <f t="shared" si="109"/>
        <v>148375.73000000001</v>
      </c>
      <c r="AC65" s="182">
        <f t="shared" si="109"/>
        <v>124519.01</v>
      </c>
      <c r="AD65" s="182">
        <f t="shared" si="109"/>
        <v>101255.08</v>
      </c>
      <c r="AE65" s="182">
        <f t="shared" si="109"/>
        <v>137249.42000000001</v>
      </c>
      <c r="AF65" s="153">
        <f t="shared" si="3"/>
        <v>13269.611818181818</v>
      </c>
      <c r="AG65" s="153">
        <f t="shared" si="4"/>
        <v>-13269.611818181818</v>
      </c>
    </row>
    <row r="66" spans="1:33" x14ac:dyDescent="0.25">
      <c r="A66" s="144" t="s">
        <v>45</v>
      </c>
      <c r="B66" s="153">
        <f t="shared" ref="B66:L66" si="110">B181</f>
        <v>5000</v>
      </c>
      <c r="C66" s="153">
        <f t="shared" si="110"/>
        <v>0</v>
      </c>
      <c r="D66" s="153">
        <f t="shared" si="110"/>
        <v>0</v>
      </c>
      <c r="E66" s="153">
        <f t="shared" si="110"/>
        <v>0</v>
      </c>
      <c r="F66" s="153">
        <f t="shared" si="110"/>
        <v>0</v>
      </c>
      <c r="G66" s="153">
        <f t="shared" si="110"/>
        <v>0</v>
      </c>
      <c r="H66" s="153">
        <f t="shared" si="110"/>
        <v>0</v>
      </c>
      <c r="I66" s="153">
        <f t="shared" si="110"/>
        <v>0</v>
      </c>
      <c r="J66" s="153">
        <f t="shared" si="110"/>
        <v>0</v>
      </c>
      <c r="K66" s="153">
        <f t="shared" si="110"/>
        <v>0</v>
      </c>
      <c r="L66" s="153">
        <f t="shared" si="110"/>
        <v>0</v>
      </c>
      <c r="M66" s="153">
        <f t="shared" ref="M66" si="111">M181</f>
        <v>0</v>
      </c>
      <c r="N66" s="153">
        <f t="shared" si="104"/>
        <v>5000</v>
      </c>
      <c r="O66" s="153"/>
      <c r="P66" s="153">
        <f t="shared" si="105"/>
        <v>45000</v>
      </c>
      <c r="Q66" s="153">
        <f t="shared" si="89"/>
        <v>60000</v>
      </c>
      <c r="R66" s="153">
        <v>60000</v>
      </c>
      <c r="S66" s="184">
        <f t="shared" si="9"/>
        <v>0</v>
      </c>
      <c r="T66" s="182">
        <f t="shared" ref="T66:AE66" si="112">T181</f>
        <v>5000</v>
      </c>
      <c r="U66" s="182">
        <f t="shared" si="112"/>
        <v>16772.5</v>
      </c>
      <c r="V66" s="182">
        <f t="shared" si="112"/>
        <v>-6772.5</v>
      </c>
      <c r="W66" s="182">
        <f t="shared" si="112"/>
        <v>5000</v>
      </c>
      <c r="X66" s="182">
        <f t="shared" si="112"/>
        <v>5000</v>
      </c>
      <c r="Y66" s="182">
        <f t="shared" si="112"/>
        <v>5000</v>
      </c>
      <c r="Z66" s="182">
        <f t="shared" si="112"/>
        <v>5000</v>
      </c>
      <c r="AA66" s="182">
        <f t="shared" si="112"/>
        <v>5000</v>
      </c>
      <c r="AB66" s="182">
        <f t="shared" si="112"/>
        <v>5000</v>
      </c>
      <c r="AC66" s="182">
        <f t="shared" si="112"/>
        <v>5000</v>
      </c>
      <c r="AD66" s="182">
        <f t="shared" si="112"/>
        <v>5000</v>
      </c>
      <c r="AE66" s="182">
        <f t="shared" si="112"/>
        <v>5000</v>
      </c>
      <c r="AF66" s="153">
        <f t="shared" si="3"/>
        <v>454.54545454545456</v>
      </c>
      <c r="AG66" s="153">
        <f t="shared" si="4"/>
        <v>-454.54545454545456</v>
      </c>
    </row>
    <row r="67" spans="1:33" x14ac:dyDescent="0.25">
      <c r="A67" s="144" t="s">
        <v>46</v>
      </c>
      <c r="B67" s="153">
        <f t="shared" ref="B67:L67" si="113">B188+B192+B193+B187+B189</f>
        <v>19423.060000000001</v>
      </c>
      <c r="C67" s="153">
        <f t="shared" si="113"/>
        <v>0</v>
      </c>
      <c r="D67" s="153">
        <f t="shared" si="113"/>
        <v>0</v>
      </c>
      <c r="E67" s="153">
        <f t="shared" si="113"/>
        <v>0</v>
      </c>
      <c r="F67" s="153">
        <f t="shared" si="113"/>
        <v>0</v>
      </c>
      <c r="G67" s="153">
        <f t="shared" si="113"/>
        <v>0</v>
      </c>
      <c r="H67" s="153">
        <f t="shared" si="113"/>
        <v>0</v>
      </c>
      <c r="I67" s="153">
        <f t="shared" si="113"/>
        <v>0</v>
      </c>
      <c r="J67" s="153">
        <f t="shared" si="113"/>
        <v>0</v>
      </c>
      <c r="K67" s="153">
        <f t="shared" si="113"/>
        <v>0</v>
      </c>
      <c r="L67" s="153">
        <f t="shared" si="113"/>
        <v>0</v>
      </c>
      <c r="M67" s="153">
        <f t="shared" ref="M67" si="114">M188+M192+M193+M187+M189</f>
        <v>0</v>
      </c>
      <c r="N67" s="153">
        <f t="shared" si="104"/>
        <v>19423.060000000001</v>
      </c>
      <c r="O67" s="153"/>
      <c r="P67" s="153">
        <f t="shared" si="105"/>
        <v>154624.76999999999</v>
      </c>
      <c r="Q67" s="153">
        <f t="shared" si="89"/>
        <v>206166.36</v>
      </c>
      <c r="R67" s="153">
        <v>206166.36</v>
      </c>
      <c r="S67" s="184">
        <f t="shared" si="9"/>
        <v>0</v>
      </c>
      <c r="T67" s="182">
        <f>T188+T192+T193+T187+T189</f>
        <v>15314.77</v>
      </c>
      <c r="U67" s="182">
        <f>U188+U192+U193+U187+U189</f>
        <v>24623.15</v>
      </c>
      <c r="V67" s="182">
        <f t="shared" ref="V67:AE67" si="115">V188+V192+V193+V187+V189</f>
        <v>20393.25</v>
      </c>
      <c r="W67" s="182">
        <f t="shared" si="115"/>
        <v>17847.68</v>
      </c>
      <c r="X67" s="182">
        <f t="shared" si="115"/>
        <v>17603.449999999997</v>
      </c>
      <c r="Y67" s="182">
        <f t="shared" si="115"/>
        <v>14073.55</v>
      </c>
      <c r="Z67" s="182">
        <f t="shared" si="115"/>
        <v>12245.060000000001</v>
      </c>
      <c r="AA67" s="182">
        <f t="shared" si="115"/>
        <v>18464.39</v>
      </c>
      <c r="AB67" s="182">
        <f t="shared" si="115"/>
        <v>6687.04</v>
      </c>
      <c r="AC67" s="182">
        <f t="shared" si="115"/>
        <v>29655.07</v>
      </c>
      <c r="AD67" s="182">
        <f t="shared" si="115"/>
        <v>19372.400000000001</v>
      </c>
      <c r="AE67" s="182">
        <f t="shared" si="115"/>
        <v>9886.5500000000011</v>
      </c>
      <c r="AF67" s="153">
        <f t="shared" si="3"/>
        <v>1765.7327272727273</v>
      </c>
      <c r="AG67" s="153">
        <f t="shared" si="4"/>
        <v>-1765.7327272727273</v>
      </c>
    </row>
    <row r="68" spans="1:33" x14ac:dyDescent="0.25">
      <c r="A68" s="144" t="s">
        <v>47</v>
      </c>
      <c r="B68" s="153">
        <f t="shared" ref="B68:L68" si="116">B185</f>
        <v>22100.25</v>
      </c>
      <c r="C68" s="153">
        <f t="shared" si="116"/>
        <v>0</v>
      </c>
      <c r="D68" s="153">
        <f t="shared" si="116"/>
        <v>0</v>
      </c>
      <c r="E68" s="153">
        <f t="shared" si="116"/>
        <v>0</v>
      </c>
      <c r="F68" s="153">
        <f t="shared" si="116"/>
        <v>0</v>
      </c>
      <c r="G68" s="153">
        <f t="shared" si="116"/>
        <v>0</v>
      </c>
      <c r="H68" s="153">
        <f t="shared" si="116"/>
        <v>0</v>
      </c>
      <c r="I68" s="153">
        <f t="shared" si="116"/>
        <v>0</v>
      </c>
      <c r="J68" s="153">
        <f t="shared" si="116"/>
        <v>0</v>
      </c>
      <c r="K68" s="153">
        <f t="shared" si="116"/>
        <v>0</v>
      </c>
      <c r="L68" s="153">
        <f t="shared" si="116"/>
        <v>0</v>
      </c>
      <c r="M68" s="153">
        <f t="shared" ref="M68" si="117">M185</f>
        <v>0</v>
      </c>
      <c r="N68" s="153">
        <f t="shared" si="104"/>
        <v>22100.25</v>
      </c>
      <c r="O68" s="153"/>
      <c r="P68" s="153">
        <f t="shared" si="105"/>
        <v>233311.41000000003</v>
      </c>
      <c r="Q68" s="153">
        <f t="shared" si="89"/>
        <v>311081.88000000006</v>
      </c>
      <c r="R68" s="153">
        <v>311081.88000000006</v>
      </c>
      <c r="S68" s="184">
        <f t="shared" si="9"/>
        <v>0</v>
      </c>
      <c r="T68" s="182">
        <f>T185</f>
        <v>28233.33</v>
      </c>
      <c r="U68" s="182">
        <f>U185</f>
        <v>28233.33</v>
      </c>
      <c r="V68" s="182">
        <f>V185</f>
        <v>28595.83</v>
      </c>
      <c r="W68" s="182">
        <f t="shared" ref="W68:AE68" si="118">W185</f>
        <v>28233.33</v>
      </c>
      <c r="X68" s="182">
        <f>X185</f>
        <v>28233.33</v>
      </c>
      <c r="Y68" s="182">
        <f t="shared" si="118"/>
        <v>7627.91</v>
      </c>
      <c r="Z68" s="182">
        <f t="shared" si="118"/>
        <v>28233.33</v>
      </c>
      <c r="AA68" s="182">
        <f t="shared" si="118"/>
        <v>28233.33</v>
      </c>
      <c r="AB68" s="182">
        <f t="shared" si="118"/>
        <v>28233.33</v>
      </c>
      <c r="AC68" s="182">
        <f t="shared" si="118"/>
        <v>28233.33</v>
      </c>
      <c r="AD68" s="182">
        <f t="shared" si="118"/>
        <v>24925.040000000001</v>
      </c>
      <c r="AE68" s="182">
        <f t="shared" si="118"/>
        <v>24066.46</v>
      </c>
      <c r="AF68" s="153">
        <f t="shared" si="3"/>
        <v>2009.1136363636363</v>
      </c>
      <c r="AG68" s="153">
        <f t="shared" si="4"/>
        <v>-2009.1136363636363</v>
      </c>
    </row>
    <row r="69" spans="1:33" x14ac:dyDescent="0.25">
      <c r="A69" s="144" t="s">
        <v>48</v>
      </c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>
        <f t="shared" si="104"/>
        <v>0</v>
      </c>
      <c r="O69" s="153"/>
      <c r="P69" s="153">
        <f t="shared" si="105"/>
        <v>0</v>
      </c>
      <c r="Q69" s="153">
        <f t="shared" si="89"/>
        <v>0</v>
      </c>
      <c r="R69" s="153">
        <v>0</v>
      </c>
      <c r="S69" s="184">
        <f t="shared" si="9"/>
        <v>0</v>
      </c>
      <c r="T69" s="182">
        <v>0</v>
      </c>
      <c r="U69" s="182">
        <v>0</v>
      </c>
      <c r="V69" s="182">
        <v>0</v>
      </c>
      <c r="W69" s="182">
        <v>0</v>
      </c>
      <c r="X69" s="182">
        <v>0</v>
      </c>
      <c r="Y69" s="182">
        <v>0</v>
      </c>
      <c r="Z69" s="182">
        <v>0</v>
      </c>
      <c r="AA69" s="182">
        <v>0</v>
      </c>
      <c r="AB69" s="182"/>
      <c r="AC69" s="182"/>
      <c r="AD69" s="182"/>
      <c r="AE69" s="182"/>
      <c r="AF69" s="153">
        <f t="shared" si="3"/>
        <v>0</v>
      </c>
      <c r="AG69" s="153">
        <f t="shared" si="4"/>
        <v>0</v>
      </c>
    </row>
    <row r="70" spans="1:33" x14ac:dyDescent="0.25">
      <c r="A70" s="144" t="s">
        <v>49</v>
      </c>
      <c r="B70" s="153">
        <f t="shared" ref="B70:L70" si="119">B186</f>
        <v>0</v>
      </c>
      <c r="C70" s="153">
        <f t="shared" si="119"/>
        <v>0</v>
      </c>
      <c r="D70" s="153">
        <f t="shared" si="119"/>
        <v>0</v>
      </c>
      <c r="E70" s="153">
        <f t="shared" si="119"/>
        <v>0</v>
      </c>
      <c r="F70" s="153">
        <f t="shared" si="119"/>
        <v>0</v>
      </c>
      <c r="G70" s="153">
        <f t="shared" si="119"/>
        <v>0</v>
      </c>
      <c r="H70" s="153">
        <f t="shared" si="119"/>
        <v>0</v>
      </c>
      <c r="I70" s="153">
        <f t="shared" si="119"/>
        <v>0</v>
      </c>
      <c r="J70" s="153">
        <f t="shared" si="119"/>
        <v>0</v>
      </c>
      <c r="K70" s="153">
        <f t="shared" si="119"/>
        <v>0</v>
      </c>
      <c r="L70" s="153">
        <f t="shared" si="119"/>
        <v>0</v>
      </c>
      <c r="M70" s="153">
        <f t="shared" ref="M70" si="120">M186</f>
        <v>0</v>
      </c>
      <c r="N70" s="153">
        <f t="shared" si="104"/>
        <v>0</v>
      </c>
      <c r="O70" s="153"/>
      <c r="P70" s="153">
        <f t="shared" si="105"/>
        <v>1360.4549999999999</v>
      </c>
      <c r="Q70" s="153">
        <f t="shared" si="89"/>
        <v>1813.94</v>
      </c>
      <c r="R70" s="153">
        <v>1813.94</v>
      </c>
      <c r="S70" s="184">
        <f t="shared" si="9"/>
        <v>0</v>
      </c>
      <c r="T70" s="153">
        <f>T186</f>
        <v>0</v>
      </c>
      <c r="U70" s="153">
        <f>U186</f>
        <v>878</v>
      </c>
      <c r="V70" s="193">
        <f>V186</f>
        <v>0</v>
      </c>
      <c r="W70" s="182">
        <f t="shared" ref="W70:AE70" si="121">W186</f>
        <v>0</v>
      </c>
      <c r="X70" s="182">
        <f>X186</f>
        <v>620</v>
      </c>
      <c r="Y70" s="182">
        <f t="shared" si="121"/>
        <v>0</v>
      </c>
      <c r="Z70" s="182">
        <f t="shared" si="121"/>
        <v>12</v>
      </c>
      <c r="AA70" s="182">
        <f t="shared" si="121"/>
        <v>0</v>
      </c>
      <c r="AB70" s="182">
        <f t="shared" si="121"/>
        <v>0</v>
      </c>
      <c r="AC70" s="182">
        <f t="shared" si="121"/>
        <v>0</v>
      </c>
      <c r="AD70" s="182">
        <f t="shared" si="121"/>
        <v>0</v>
      </c>
      <c r="AE70" s="182">
        <f t="shared" si="121"/>
        <v>303.94</v>
      </c>
      <c r="AF70" s="153">
        <f t="shared" si="3"/>
        <v>0</v>
      </c>
      <c r="AG70" s="153">
        <f t="shared" si="4"/>
        <v>0</v>
      </c>
    </row>
    <row r="71" spans="1:33" x14ac:dyDescent="0.25">
      <c r="A71" s="144" t="s">
        <v>50</v>
      </c>
      <c r="B71" s="156">
        <f t="shared" ref="B71:L71" si="122">SUM(B63:B70)</f>
        <v>222387.93</v>
      </c>
      <c r="C71" s="156">
        <f t="shared" si="122"/>
        <v>0</v>
      </c>
      <c r="D71" s="156">
        <f t="shared" si="122"/>
        <v>0</v>
      </c>
      <c r="E71" s="156">
        <f t="shared" si="122"/>
        <v>0</v>
      </c>
      <c r="F71" s="156">
        <f t="shared" si="122"/>
        <v>0</v>
      </c>
      <c r="G71" s="156">
        <f t="shared" si="122"/>
        <v>0</v>
      </c>
      <c r="H71" s="156">
        <f t="shared" si="122"/>
        <v>0</v>
      </c>
      <c r="I71" s="156">
        <f t="shared" si="122"/>
        <v>0</v>
      </c>
      <c r="J71" s="156">
        <f t="shared" si="122"/>
        <v>0</v>
      </c>
      <c r="K71" s="156">
        <f t="shared" si="122"/>
        <v>0</v>
      </c>
      <c r="L71" s="156">
        <f t="shared" si="122"/>
        <v>0</v>
      </c>
      <c r="M71" s="156">
        <f t="shared" ref="M71" si="123">SUM(M63:M70)</f>
        <v>0</v>
      </c>
      <c r="N71" s="156">
        <f>SUM(N63:N70)</f>
        <v>222387.93</v>
      </c>
      <c r="O71" s="156"/>
      <c r="P71" s="156">
        <f>SUM(P63:P70)</f>
        <v>2076242.7375000003</v>
      </c>
      <c r="Q71" s="156">
        <f>SUM(Q63:Q70)</f>
        <v>2768323.6499999994</v>
      </c>
      <c r="R71" s="156">
        <v>2768323.6499999994</v>
      </c>
      <c r="S71" s="184">
        <f t="shared" si="9"/>
        <v>0</v>
      </c>
      <c r="T71" s="156">
        <f>SUM(T63:T70)</f>
        <v>268157</v>
      </c>
      <c r="U71" s="156">
        <f t="shared" ref="U71:AE71" si="124">SUM(U63:U70)</f>
        <v>300130.76000000007</v>
      </c>
      <c r="V71" s="153">
        <f t="shared" si="124"/>
        <v>223363.31</v>
      </c>
      <c r="W71" s="156">
        <f t="shared" si="124"/>
        <v>159754.22999999998</v>
      </c>
      <c r="X71" s="156">
        <f t="shared" si="124"/>
        <v>169083.66000000003</v>
      </c>
      <c r="Y71" s="156">
        <f t="shared" si="124"/>
        <v>99118.21</v>
      </c>
      <c r="Z71" s="156">
        <f t="shared" si="124"/>
        <v>208661.74</v>
      </c>
      <c r="AA71" s="156">
        <f t="shared" si="124"/>
        <v>359108.54000000004</v>
      </c>
      <c r="AB71" s="156">
        <f t="shared" si="124"/>
        <v>198383.18</v>
      </c>
      <c r="AC71" s="156">
        <f t="shared" si="124"/>
        <v>208005.93</v>
      </c>
      <c r="AD71" s="156">
        <f t="shared" si="124"/>
        <v>179089.04</v>
      </c>
      <c r="AE71" s="156">
        <f t="shared" si="124"/>
        <v>395468.05</v>
      </c>
      <c r="AF71" s="156">
        <f t="shared" si="3"/>
        <v>20217.084545454545</v>
      </c>
      <c r="AG71" s="156">
        <f t="shared" si="4"/>
        <v>-20217.084545454545</v>
      </c>
    </row>
    <row r="72" spans="1:33" x14ac:dyDescent="0.25">
      <c r="A72" s="144" t="s">
        <v>51</v>
      </c>
      <c r="B72" s="162">
        <f t="shared" ref="B72:L72" si="125">+B61-B71</f>
        <v>-170676.25</v>
      </c>
      <c r="C72" s="162">
        <f t="shared" si="125"/>
        <v>0</v>
      </c>
      <c r="D72" s="162">
        <f t="shared" si="125"/>
        <v>0</v>
      </c>
      <c r="E72" s="162">
        <f t="shared" si="125"/>
        <v>0</v>
      </c>
      <c r="F72" s="162">
        <f t="shared" si="125"/>
        <v>0</v>
      </c>
      <c r="G72" s="162">
        <f t="shared" si="125"/>
        <v>0</v>
      </c>
      <c r="H72" s="162">
        <f t="shared" si="125"/>
        <v>0</v>
      </c>
      <c r="I72" s="162">
        <f t="shared" si="125"/>
        <v>0</v>
      </c>
      <c r="J72" s="162">
        <f t="shared" si="125"/>
        <v>0</v>
      </c>
      <c r="K72" s="162">
        <f t="shared" si="125"/>
        <v>0</v>
      </c>
      <c r="L72" s="162">
        <f t="shared" si="125"/>
        <v>0</v>
      </c>
      <c r="M72" s="162">
        <f t="shared" ref="M72" si="126">+M61-M71</f>
        <v>0</v>
      </c>
      <c r="N72" s="162">
        <f t="shared" ref="N72:P72" si="127">+N61-N71</f>
        <v>-170676.25</v>
      </c>
      <c r="O72" s="162"/>
      <c r="P72" s="162">
        <f t="shared" si="127"/>
        <v>-1172047.2000000002</v>
      </c>
      <c r="Q72" s="162">
        <f t="shared" ref="Q72" si="128">+Q61-Q71</f>
        <v>-1562729.5999999994</v>
      </c>
      <c r="R72" s="162">
        <v>-1562729.5999999994</v>
      </c>
      <c r="S72" s="184">
        <f t="shared" ref="S72:S137" si="129">R72-SUM(T72:AE72)</f>
        <v>0</v>
      </c>
      <c r="T72" s="162">
        <f>+T61-T71</f>
        <v>-179885.99</v>
      </c>
      <c r="U72" s="162">
        <f t="shared" ref="U72:AE72" si="130">+U61-U71</f>
        <v>-185059.40000000008</v>
      </c>
      <c r="V72" s="162">
        <f t="shared" si="130"/>
        <v>-107826.16</v>
      </c>
      <c r="W72" s="162">
        <f t="shared" si="130"/>
        <v>-112146.59999999998</v>
      </c>
      <c r="X72" s="162">
        <f t="shared" si="130"/>
        <v>-89126.310000000027</v>
      </c>
      <c r="Y72" s="162">
        <f t="shared" si="130"/>
        <v>-46955.010000000009</v>
      </c>
      <c r="Z72" s="162">
        <f t="shared" si="130"/>
        <v>-89108.409999999989</v>
      </c>
      <c r="AA72" s="162">
        <f t="shared" si="130"/>
        <v>-313178.53000000003</v>
      </c>
      <c r="AB72" s="162">
        <f t="shared" si="130"/>
        <v>-110694.52999999998</v>
      </c>
      <c r="AC72" s="162">
        <f t="shared" si="130"/>
        <v>-141264.22</v>
      </c>
      <c r="AD72" s="162">
        <f t="shared" si="130"/>
        <v>-79138.570000000007</v>
      </c>
      <c r="AE72" s="162">
        <f t="shared" si="130"/>
        <v>-108345.86999999994</v>
      </c>
      <c r="AF72" s="162">
        <f t="shared" si="3"/>
        <v>-15516.022727272728</v>
      </c>
      <c r="AG72" s="162">
        <f t="shared" si="4"/>
        <v>15516.022727272728</v>
      </c>
    </row>
    <row r="73" spans="1:33" x14ac:dyDescent="0.25"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7"/>
      <c r="O73" s="157"/>
      <c r="P73" s="157"/>
      <c r="Q73" s="153"/>
      <c r="R73" s="157"/>
      <c r="S73" s="184">
        <f t="shared" si="129"/>
        <v>0</v>
      </c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57">
        <f t="shared" si="3"/>
        <v>0</v>
      </c>
      <c r="AG73" s="157">
        <f t="shared" si="4"/>
        <v>0</v>
      </c>
    </row>
    <row r="74" spans="1:33" x14ac:dyDescent="0.25">
      <c r="A74" s="144" t="s">
        <v>52</v>
      </c>
      <c r="B74" s="153">
        <f t="shared" ref="B74:L74" si="131">B222</f>
        <v>331233.27000000008</v>
      </c>
      <c r="C74" s="153">
        <f t="shared" si="131"/>
        <v>0</v>
      </c>
      <c r="D74" s="153">
        <f t="shared" si="131"/>
        <v>0</v>
      </c>
      <c r="E74" s="153">
        <f t="shared" si="131"/>
        <v>0</v>
      </c>
      <c r="F74" s="153">
        <f t="shared" si="131"/>
        <v>0</v>
      </c>
      <c r="G74" s="153">
        <f t="shared" si="131"/>
        <v>0</v>
      </c>
      <c r="H74" s="153">
        <f t="shared" si="131"/>
        <v>0</v>
      </c>
      <c r="I74" s="153">
        <f t="shared" si="131"/>
        <v>0</v>
      </c>
      <c r="J74" s="153">
        <f t="shared" si="131"/>
        <v>0</v>
      </c>
      <c r="K74" s="153">
        <f t="shared" si="131"/>
        <v>0</v>
      </c>
      <c r="L74" s="153">
        <f t="shared" si="131"/>
        <v>0</v>
      </c>
      <c r="M74" s="153">
        <f t="shared" ref="M74" si="132">M222</f>
        <v>0</v>
      </c>
      <c r="N74" s="153">
        <f>SUM(B74:M74)</f>
        <v>331233.27000000008</v>
      </c>
      <c r="O74" s="153"/>
      <c r="P74" s="153">
        <f>Q74/12*$P$3</f>
        <v>2409135.8625000003</v>
      </c>
      <c r="Q74" s="153">
        <f t="shared" si="89"/>
        <v>3212181.1500000004</v>
      </c>
      <c r="R74" s="153">
        <v>3212181.1500000004</v>
      </c>
      <c r="S74" s="184">
        <f t="shared" si="129"/>
        <v>0</v>
      </c>
      <c r="T74" s="182">
        <f t="shared" ref="T74:AA74" si="133">T222</f>
        <v>405193.11</v>
      </c>
      <c r="U74" s="182">
        <f t="shared" si="133"/>
        <v>341937.99000000005</v>
      </c>
      <c r="V74" s="182">
        <f t="shared" si="133"/>
        <v>343625.55</v>
      </c>
      <c r="W74" s="182">
        <f t="shared" si="133"/>
        <v>353871.56</v>
      </c>
      <c r="X74" s="182">
        <f t="shared" si="133"/>
        <v>420339.36000000004</v>
      </c>
      <c r="Y74" s="182">
        <f t="shared" si="133"/>
        <v>403802.07</v>
      </c>
      <c r="Z74" s="182">
        <f t="shared" si="133"/>
        <v>404965.73</v>
      </c>
      <c r="AA74" s="182">
        <f t="shared" si="133"/>
        <v>398996.33</v>
      </c>
      <c r="AB74" s="182">
        <f>AB222</f>
        <v>-774085.3</v>
      </c>
      <c r="AC74" s="182">
        <f>AC222</f>
        <v>288817.17</v>
      </c>
      <c r="AD74" s="182">
        <f>AD222</f>
        <v>212558.63</v>
      </c>
      <c r="AE74" s="182">
        <f>AE222</f>
        <v>412158.95</v>
      </c>
      <c r="AF74" s="153">
        <f t="shared" si="3"/>
        <v>30112.115454545463</v>
      </c>
      <c r="AG74" s="153">
        <f t="shared" si="4"/>
        <v>-30112.115454545463</v>
      </c>
    </row>
    <row r="75" spans="1:33" x14ac:dyDescent="0.25">
      <c r="A75" s="144" t="s">
        <v>53</v>
      </c>
      <c r="B75" s="153">
        <f t="shared" ref="B75:L75" si="134">B247</f>
        <v>201127.27999999997</v>
      </c>
      <c r="C75" s="153">
        <f t="shared" si="134"/>
        <v>0</v>
      </c>
      <c r="D75" s="153">
        <f t="shared" si="134"/>
        <v>0</v>
      </c>
      <c r="E75" s="153">
        <f t="shared" si="134"/>
        <v>0</v>
      </c>
      <c r="F75" s="153">
        <f t="shared" si="134"/>
        <v>0</v>
      </c>
      <c r="G75" s="153">
        <f t="shared" si="134"/>
        <v>0</v>
      </c>
      <c r="H75" s="153">
        <f t="shared" si="134"/>
        <v>0</v>
      </c>
      <c r="I75" s="153">
        <f t="shared" si="134"/>
        <v>0</v>
      </c>
      <c r="J75" s="153">
        <f t="shared" si="134"/>
        <v>0</v>
      </c>
      <c r="K75" s="153">
        <f t="shared" si="134"/>
        <v>0</v>
      </c>
      <c r="L75" s="153">
        <f t="shared" si="134"/>
        <v>0</v>
      </c>
      <c r="M75" s="153">
        <f t="shared" ref="M75" si="135">M247</f>
        <v>0</v>
      </c>
      <c r="N75" s="153">
        <f t="shared" ref="N75:N78" si="136">SUM(B75:M75)</f>
        <v>201127.27999999997</v>
      </c>
      <c r="O75" s="153"/>
      <c r="P75" s="153">
        <f>Q75/12*$P$3</f>
        <v>1993590.2700000003</v>
      </c>
      <c r="Q75" s="153">
        <f t="shared" si="89"/>
        <v>2658120.3600000003</v>
      </c>
      <c r="R75" s="153">
        <v>2658120.3600000003</v>
      </c>
      <c r="S75" s="184">
        <f t="shared" si="129"/>
        <v>0</v>
      </c>
      <c r="T75" s="182">
        <f t="shared" ref="T75:Y75" si="137">T247</f>
        <v>217438.18</v>
      </c>
      <c r="U75" s="182">
        <f t="shared" si="137"/>
        <v>209198.51</v>
      </c>
      <c r="V75" s="182">
        <f t="shared" si="137"/>
        <v>217237.15000000002</v>
      </c>
      <c r="W75" s="182">
        <f t="shared" si="137"/>
        <v>198728.25999999998</v>
      </c>
      <c r="X75" s="182">
        <f t="shared" si="137"/>
        <v>199475.94999999998</v>
      </c>
      <c r="Y75" s="182">
        <f t="shared" si="137"/>
        <v>222170.33999999997</v>
      </c>
      <c r="Z75" s="182">
        <f>Z247</f>
        <v>232432.36999999997</v>
      </c>
      <c r="AA75" s="182">
        <f t="shared" ref="AA75" si="138">AA247</f>
        <v>206199.65</v>
      </c>
      <c r="AB75" s="182">
        <f>AB247</f>
        <v>262615.36</v>
      </c>
      <c r="AC75" s="182">
        <f>AC247</f>
        <v>237014.89</v>
      </c>
      <c r="AD75" s="182">
        <f>AD247</f>
        <v>216333.72999999995</v>
      </c>
      <c r="AE75" s="182">
        <f>AE247</f>
        <v>239275.96999999997</v>
      </c>
      <c r="AF75" s="153">
        <f t="shared" si="3"/>
        <v>18284.29818181818</v>
      </c>
      <c r="AG75" s="153">
        <f t="shared" si="4"/>
        <v>-18284.29818181818</v>
      </c>
    </row>
    <row r="76" spans="1:33" x14ac:dyDescent="0.25">
      <c r="A76" s="144" t="s">
        <v>54</v>
      </c>
      <c r="B76" s="153">
        <f t="shared" ref="B76:L76" si="139">B282</f>
        <v>64605.359999999993</v>
      </c>
      <c r="C76" s="153">
        <f t="shared" si="139"/>
        <v>0</v>
      </c>
      <c r="D76" s="153">
        <f t="shared" si="139"/>
        <v>0</v>
      </c>
      <c r="E76" s="153">
        <f t="shared" si="139"/>
        <v>0</v>
      </c>
      <c r="F76" s="153">
        <f t="shared" si="139"/>
        <v>0</v>
      </c>
      <c r="G76" s="153">
        <f t="shared" si="139"/>
        <v>0</v>
      </c>
      <c r="H76" s="153">
        <f t="shared" si="139"/>
        <v>0</v>
      </c>
      <c r="I76" s="153">
        <f t="shared" si="139"/>
        <v>0</v>
      </c>
      <c r="J76" s="153">
        <f t="shared" si="139"/>
        <v>0</v>
      </c>
      <c r="K76" s="153">
        <f t="shared" si="139"/>
        <v>0</v>
      </c>
      <c r="L76" s="153">
        <f t="shared" si="139"/>
        <v>0</v>
      </c>
      <c r="M76" s="153">
        <f t="shared" ref="M76" si="140">M282</f>
        <v>0</v>
      </c>
      <c r="N76" s="153">
        <f>SUM(B76:M76)</f>
        <v>64605.359999999993</v>
      </c>
      <c r="O76" s="153"/>
      <c r="P76" s="153">
        <f>Q76/12*$P$3</f>
        <v>709984.13250000007</v>
      </c>
      <c r="Q76" s="153">
        <f t="shared" si="89"/>
        <v>946645.51</v>
      </c>
      <c r="R76" s="153">
        <v>946645.51</v>
      </c>
      <c r="S76" s="184">
        <f t="shared" si="129"/>
        <v>0</v>
      </c>
      <c r="T76" s="182">
        <f t="shared" ref="T76:AA76" si="141">T282</f>
        <v>90442.829999999987</v>
      </c>
      <c r="U76" s="182">
        <f t="shared" si="141"/>
        <v>71415.44</v>
      </c>
      <c r="V76" s="182">
        <f t="shared" si="141"/>
        <v>72804.350000000006</v>
      </c>
      <c r="W76" s="182">
        <f t="shared" si="141"/>
        <v>77596.460000000006</v>
      </c>
      <c r="X76" s="182">
        <f t="shared" si="141"/>
        <v>76368.37</v>
      </c>
      <c r="Y76" s="182">
        <f t="shared" si="141"/>
        <v>87260.21</v>
      </c>
      <c r="Z76" s="182">
        <f t="shared" si="141"/>
        <v>100682.48999999999</v>
      </c>
      <c r="AA76" s="182">
        <f t="shared" si="141"/>
        <v>93622.96</v>
      </c>
      <c r="AB76" s="182">
        <f>AB282</f>
        <v>3254.6100000000069</v>
      </c>
      <c r="AC76" s="182">
        <f>AC282</f>
        <v>90818.64</v>
      </c>
      <c r="AD76" s="182">
        <f>AD282</f>
        <v>66473.72</v>
      </c>
      <c r="AE76" s="182">
        <f>AE282</f>
        <v>115905.43000000002</v>
      </c>
      <c r="AF76" s="153">
        <f t="shared" ref="AF76:AF148" si="142">(N76-M76)/11</f>
        <v>5873.2145454545453</v>
      </c>
      <c r="AG76" s="153">
        <f t="shared" ref="AG76:AG148" si="143">M76-AF76</f>
        <v>-5873.2145454545453</v>
      </c>
    </row>
    <row r="77" spans="1:33" x14ac:dyDescent="0.25">
      <c r="A77" s="144" t="s">
        <v>55</v>
      </c>
      <c r="B77" s="153">
        <f t="shared" ref="B77:L77" si="144">-B298</f>
        <v>-41637.839999999997</v>
      </c>
      <c r="C77" s="153">
        <f t="shared" si="144"/>
        <v>0</v>
      </c>
      <c r="D77" s="153">
        <f t="shared" si="144"/>
        <v>0</v>
      </c>
      <c r="E77" s="153">
        <f t="shared" si="144"/>
        <v>0</v>
      </c>
      <c r="F77" s="153">
        <f t="shared" si="144"/>
        <v>0</v>
      </c>
      <c r="G77" s="153">
        <f t="shared" si="144"/>
        <v>0</v>
      </c>
      <c r="H77" s="153">
        <f t="shared" si="144"/>
        <v>0</v>
      </c>
      <c r="I77" s="153">
        <f t="shared" si="144"/>
        <v>0</v>
      </c>
      <c r="J77" s="153">
        <f t="shared" si="144"/>
        <v>0</v>
      </c>
      <c r="K77" s="153">
        <f t="shared" si="144"/>
        <v>0</v>
      </c>
      <c r="L77" s="153">
        <f t="shared" si="144"/>
        <v>0</v>
      </c>
      <c r="M77" s="153">
        <f t="shared" ref="M77" si="145">-M298</f>
        <v>0</v>
      </c>
      <c r="N77" s="153">
        <f t="shared" si="136"/>
        <v>-41637.839999999997</v>
      </c>
      <c r="O77" s="153"/>
      <c r="P77" s="153">
        <f>Q77/12*$P$3</f>
        <v>-518103.9975</v>
      </c>
      <c r="Q77" s="153">
        <f t="shared" si="89"/>
        <v>-690805.33</v>
      </c>
      <c r="R77" s="153">
        <v>-690805.33</v>
      </c>
      <c r="S77" s="184">
        <f t="shared" si="129"/>
        <v>0</v>
      </c>
      <c r="T77" s="153">
        <f t="shared" ref="T77:AA77" si="146">-T298</f>
        <v>-81297.39</v>
      </c>
      <c r="U77" s="153">
        <f t="shared" si="146"/>
        <v>-60573.55</v>
      </c>
      <c r="V77" s="153">
        <f t="shared" si="146"/>
        <v>-54599.840000000004</v>
      </c>
      <c r="W77" s="187">
        <f t="shared" si="146"/>
        <v>-82044.150000000009</v>
      </c>
      <c r="X77" s="187">
        <f t="shared" si="146"/>
        <v>-105834.51000000001</v>
      </c>
      <c r="Y77" s="187">
        <f t="shared" si="146"/>
        <v>-92499.849999999991</v>
      </c>
      <c r="Z77" s="182">
        <f t="shared" si="146"/>
        <v>-94568.209999999992</v>
      </c>
      <c r="AA77" s="182">
        <f t="shared" si="146"/>
        <v>-83366.98</v>
      </c>
      <c r="AB77" s="182">
        <f>-AB298</f>
        <v>211658.71</v>
      </c>
      <c r="AC77" s="182">
        <f>-AC298</f>
        <v>-66662.75</v>
      </c>
      <c r="AD77" s="182">
        <f>-AD298</f>
        <v>-75012.94</v>
      </c>
      <c r="AE77" s="182">
        <f>-AE298</f>
        <v>-106003.87000000001</v>
      </c>
      <c r="AF77" s="153">
        <f t="shared" si="142"/>
        <v>-3785.2581818181816</v>
      </c>
      <c r="AG77" s="153">
        <f t="shared" si="143"/>
        <v>3785.2581818181816</v>
      </c>
    </row>
    <row r="78" spans="1:33" x14ac:dyDescent="0.25">
      <c r="A78" s="144" t="s">
        <v>56</v>
      </c>
      <c r="B78" s="153">
        <f t="shared" ref="B78:L78" si="147">B135</f>
        <v>-10052.25</v>
      </c>
      <c r="C78" s="153">
        <f t="shared" si="147"/>
        <v>0</v>
      </c>
      <c r="D78" s="153">
        <f t="shared" si="147"/>
        <v>0</v>
      </c>
      <c r="E78" s="153">
        <f t="shared" si="147"/>
        <v>0</v>
      </c>
      <c r="F78" s="153">
        <f t="shared" si="147"/>
        <v>0</v>
      </c>
      <c r="G78" s="153">
        <f t="shared" si="147"/>
        <v>0</v>
      </c>
      <c r="H78" s="153">
        <f t="shared" si="147"/>
        <v>0</v>
      </c>
      <c r="I78" s="153">
        <f t="shared" si="147"/>
        <v>0</v>
      </c>
      <c r="J78" s="153">
        <f t="shared" si="147"/>
        <v>0</v>
      </c>
      <c r="K78" s="153">
        <f t="shared" si="147"/>
        <v>0</v>
      </c>
      <c r="L78" s="153">
        <f t="shared" si="147"/>
        <v>0</v>
      </c>
      <c r="M78" s="153">
        <f t="shared" ref="M78" si="148">M135</f>
        <v>0</v>
      </c>
      <c r="N78" s="153">
        <f t="shared" si="136"/>
        <v>-10052.25</v>
      </c>
      <c r="O78" s="153"/>
      <c r="P78" s="153">
        <f>Q78/12*$P$3</f>
        <v>-19776.202499999999</v>
      </c>
      <c r="Q78" s="153">
        <f t="shared" si="89"/>
        <v>-26368.269999999997</v>
      </c>
      <c r="R78" s="153">
        <v>-26368.269999999997</v>
      </c>
      <c r="S78" s="184">
        <f t="shared" si="129"/>
        <v>0</v>
      </c>
      <c r="T78" s="153">
        <f>T135</f>
        <v>-3595.4</v>
      </c>
      <c r="U78" s="153">
        <f>U135</f>
        <v>-2471.31</v>
      </c>
      <c r="V78" s="153">
        <f>V135</f>
        <v>-4621.22</v>
      </c>
      <c r="W78" s="187">
        <f t="shared" ref="W78:AE78" si="149">W135</f>
        <v>-5799.91</v>
      </c>
      <c r="X78" s="187">
        <f>X135</f>
        <v>-1360.64</v>
      </c>
      <c r="Y78" s="187">
        <f t="shared" si="149"/>
        <v>-1536.21</v>
      </c>
      <c r="Z78" s="182">
        <f t="shared" si="149"/>
        <v>-2242.15</v>
      </c>
      <c r="AA78" s="182">
        <f t="shared" si="149"/>
        <v>-4335.7700000000004</v>
      </c>
      <c r="AB78" s="182">
        <f t="shared" si="149"/>
        <v>-2948.83</v>
      </c>
      <c r="AC78" s="182">
        <f t="shared" si="149"/>
        <v>-5190.07</v>
      </c>
      <c r="AD78" s="182">
        <f t="shared" si="149"/>
        <v>1017.16</v>
      </c>
      <c r="AE78" s="182">
        <f t="shared" si="149"/>
        <v>6716.08</v>
      </c>
      <c r="AF78" s="153">
        <f t="shared" si="142"/>
        <v>-913.84090909090912</v>
      </c>
      <c r="AG78" s="153">
        <f t="shared" si="143"/>
        <v>913.84090909090912</v>
      </c>
    </row>
    <row r="79" spans="1:33" x14ac:dyDescent="0.25">
      <c r="A79" s="144" t="s">
        <v>57</v>
      </c>
      <c r="B79" s="156">
        <f t="shared" ref="B79:L79" si="150">SUM(B74:B78)</f>
        <v>545275.82000000007</v>
      </c>
      <c r="C79" s="156">
        <f t="shared" si="150"/>
        <v>0</v>
      </c>
      <c r="D79" s="156">
        <f t="shared" si="150"/>
        <v>0</v>
      </c>
      <c r="E79" s="156">
        <f t="shared" si="150"/>
        <v>0</v>
      </c>
      <c r="F79" s="156">
        <f t="shared" si="150"/>
        <v>0</v>
      </c>
      <c r="G79" s="156">
        <f t="shared" si="150"/>
        <v>0</v>
      </c>
      <c r="H79" s="156">
        <f t="shared" si="150"/>
        <v>0</v>
      </c>
      <c r="I79" s="156">
        <f t="shared" si="150"/>
        <v>0</v>
      </c>
      <c r="J79" s="156">
        <f t="shared" si="150"/>
        <v>0</v>
      </c>
      <c r="K79" s="156">
        <f t="shared" si="150"/>
        <v>0</v>
      </c>
      <c r="L79" s="156">
        <f t="shared" si="150"/>
        <v>0</v>
      </c>
      <c r="M79" s="156">
        <f t="shared" ref="M79" si="151">SUM(M74:M78)</f>
        <v>0</v>
      </c>
      <c r="N79" s="156">
        <f>SUM(N74:N78)</f>
        <v>545275.82000000007</v>
      </c>
      <c r="O79" s="156"/>
      <c r="P79" s="156">
        <f t="shared" ref="P79" si="152">SUM(P74:P78)</f>
        <v>4574830.0650000013</v>
      </c>
      <c r="Q79" s="156">
        <f>SUM(Q74:Q78)</f>
        <v>6099773.4200000009</v>
      </c>
      <c r="R79" s="156">
        <v>6099773.4200000009</v>
      </c>
      <c r="S79" s="184">
        <f t="shared" si="129"/>
        <v>0</v>
      </c>
      <c r="T79" s="185">
        <f>SUM(T74:T78)</f>
        <v>628181.32999999996</v>
      </c>
      <c r="U79" s="185">
        <f>SUM(U74:U78)</f>
        <v>559507.07999999984</v>
      </c>
      <c r="V79" s="185">
        <f t="shared" ref="V79:AD79" si="153">SUM(V74:V78)</f>
        <v>574445.99</v>
      </c>
      <c r="W79" s="185">
        <f>SUM(W74:W78)</f>
        <v>542352.21999999986</v>
      </c>
      <c r="X79" s="185">
        <f t="shared" si="153"/>
        <v>588988.53</v>
      </c>
      <c r="Y79" s="185">
        <f t="shared" si="153"/>
        <v>619196.55999999994</v>
      </c>
      <c r="Z79" s="185">
        <f>SUM(Z74:Z78)</f>
        <v>641270.23</v>
      </c>
      <c r="AA79" s="185">
        <f>SUM(AA74:AA78)</f>
        <v>611116.18999999994</v>
      </c>
      <c r="AB79" s="185">
        <f t="shared" si="153"/>
        <v>-299505.45000000013</v>
      </c>
      <c r="AC79" s="185">
        <f t="shared" si="153"/>
        <v>544797.88000000012</v>
      </c>
      <c r="AD79" s="185">
        <f t="shared" si="153"/>
        <v>421370.29999999993</v>
      </c>
      <c r="AE79" s="185">
        <f>SUM(AE74:AE78)</f>
        <v>668052.55999999994</v>
      </c>
      <c r="AF79" s="156">
        <f t="shared" si="142"/>
        <v>49570.529090909098</v>
      </c>
      <c r="AG79" s="156">
        <f t="shared" si="143"/>
        <v>-49570.529090909098</v>
      </c>
    </row>
    <row r="80" spans="1:33" ht="27" customHeight="1" thickBot="1" x14ac:dyDescent="0.3">
      <c r="A80" s="144" t="s">
        <v>58</v>
      </c>
      <c r="B80" s="159">
        <f t="shared" ref="B80:L80" si="154">+B35+B72-B79</f>
        <v>586808.41999994987</v>
      </c>
      <c r="C80" s="159">
        <f t="shared" si="154"/>
        <v>0</v>
      </c>
      <c r="D80" s="159">
        <f t="shared" si="154"/>
        <v>0</v>
      </c>
      <c r="E80" s="159">
        <f t="shared" si="154"/>
        <v>0</v>
      </c>
      <c r="F80" s="159">
        <f t="shared" si="154"/>
        <v>0</v>
      </c>
      <c r="G80" s="159">
        <f t="shared" si="154"/>
        <v>0</v>
      </c>
      <c r="H80" s="159">
        <f t="shared" si="154"/>
        <v>0</v>
      </c>
      <c r="I80" s="159">
        <f t="shared" si="154"/>
        <v>0</v>
      </c>
      <c r="J80" s="159">
        <f t="shared" si="154"/>
        <v>0</v>
      </c>
      <c r="K80" s="159">
        <f t="shared" si="154"/>
        <v>0</v>
      </c>
      <c r="L80" s="159">
        <f t="shared" si="154"/>
        <v>0</v>
      </c>
      <c r="M80" s="159">
        <f>+M35+M72-M79</f>
        <v>0</v>
      </c>
      <c r="N80" s="159">
        <f>+N35+N72-N79</f>
        <v>586808.41999994987</v>
      </c>
      <c r="O80" s="159"/>
      <c r="P80" s="159">
        <f t="shared" ref="B80:P80" si="155">+P35+P72-P79</f>
        <v>-427955.81999839935</v>
      </c>
      <c r="Q80" s="159">
        <f t="shared" ref="Q80" si="156">+Q35+Q72-Q79</f>
        <v>-570607.75999881793</v>
      </c>
      <c r="R80" s="159">
        <v>-570607.75999881793</v>
      </c>
      <c r="S80" s="184">
        <f t="shared" si="129"/>
        <v>9.8254531621932983E-7</v>
      </c>
      <c r="T80" s="188">
        <f t="shared" ref="T80:AE80" si="157">+T35+T72-T79</f>
        <v>65733.430000119261</v>
      </c>
      <c r="U80" s="188">
        <f t="shared" si="157"/>
        <v>62568.98999979021</v>
      </c>
      <c r="V80" s="188">
        <f t="shared" si="157"/>
        <v>190852.60999993084</v>
      </c>
      <c r="W80" s="188">
        <f t="shared" si="157"/>
        <v>-70572.120000041556</v>
      </c>
      <c r="X80" s="188">
        <f t="shared" si="157"/>
        <v>-203742.99999999651</v>
      </c>
      <c r="Y80" s="188">
        <f t="shared" si="157"/>
        <v>-88358.510000057169</v>
      </c>
      <c r="Z80" s="188">
        <f t="shared" si="157"/>
        <v>-303625.03999997611</v>
      </c>
      <c r="AA80" s="188">
        <f t="shared" si="157"/>
        <v>-208857.14999994752</v>
      </c>
      <c r="AB80" s="188">
        <f t="shared" si="157"/>
        <v>624726.29000006453</v>
      </c>
      <c r="AC80" s="188">
        <f t="shared" si="157"/>
        <v>-30452.229999876115</v>
      </c>
      <c r="AD80" s="188">
        <f t="shared" si="157"/>
        <v>-220404.46999987477</v>
      </c>
      <c r="AE80" s="188">
        <f t="shared" si="157"/>
        <v>-388476.5599999355</v>
      </c>
      <c r="AF80" s="159">
        <f t="shared" si="142"/>
        <v>53346.219999995439</v>
      </c>
      <c r="AG80" s="159">
        <f t="shared" si="143"/>
        <v>-53346.219999995439</v>
      </c>
    </row>
    <row r="81" spans="1:33" ht="15.75" thickTop="1" x14ac:dyDescent="0.25"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S81" s="184">
        <f t="shared" si="129"/>
        <v>0</v>
      </c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44">
        <f t="shared" si="142"/>
        <v>0</v>
      </c>
      <c r="AG81" s="144">
        <f t="shared" si="143"/>
        <v>0</v>
      </c>
    </row>
    <row r="82" spans="1:33" x14ac:dyDescent="0.25">
      <c r="A82" s="144" t="s">
        <v>59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S82" s="184">
        <f t="shared" si="129"/>
        <v>0</v>
      </c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44">
        <f t="shared" si="142"/>
        <v>0</v>
      </c>
      <c r="AG82" s="144">
        <f t="shared" si="143"/>
        <v>0</v>
      </c>
    </row>
    <row r="83" spans="1:33" x14ac:dyDescent="0.25"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84">
        <f t="shared" si="129"/>
        <v>0</v>
      </c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53">
        <f t="shared" si="142"/>
        <v>0</v>
      </c>
      <c r="AG83" s="153">
        <f t="shared" si="143"/>
        <v>0</v>
      </c>
    </row>
    <row r="84" spans="1:33" hidden="1" x14ac:dyDescent="0.25">
      <c r="B84" s="153">
        <f t="shared" ref="B84:K84" si="158">+B80-B83</f>
        <v>586808.41999994987</v>
      </c>
      <c r="C84" s="153">
        <f t="shared" si="158"/>
        <v>0</v>
      </c>
      <c r="D84" s="153">
        <f t="shared" si="158"/>
        <v>0</v>
      </c>
      <c r="E84" s="153">
        <f t="shared" si="158"/>
        <v>0</v>
      </c>
      <c r="F84" s="153">
        <f t="shared" si="158"/>
        <v>0</v>
      </c>
      <c r="G84" s="153">
        <f t="shared" si="158"/>
        <v>0</v>
      </c>
      <c r="H84" s="153">
        <f t="shared" ref="H84" si="159">+H80-H83</f>
        <v>0</v>
      </c>
      <c r="I84" s="153">
        <f t="shared" si="158"/>
        <v>0</v>
      </c>
      <c r="J84" s="153">
        <f t="shared" si="158"/>
        <v>0</v>
      </c>
      <c r="K84" s="153">
        <f t="shared" si="158"/>
        <v>0</v>
      </c>
      <c r="L84" s="153">
        <v>0</v>
      </c>
      <c r="M84" s="153"/>
      <c r="N84" s="153">
        <v>0</v>
      </c>
      <c r="O84" s="153"/>
      <c r="P84" s="153"/>
      <c r="Q84" s="153"/>
      <c r="R84" s="153">
        <v>0</v>
      </c>
      <c r="S84" s="184">
        <f t="shared" si="129"/>
        <v>-38273.270000009798</v>
      </c>
      <c r="T84" s="182">
        <f t="shared" ref="T84:AC84" si="160">+T80-T83</f>
        <v>65733.430000119261</v>
      </c>
      <c r="U84" s="182">
        <f t="shared" si="160"/>
        <v>62568.98999979021</v>
      </c>
      <c r="V84" s="182">
        <f t="shared" si="160"/>
        <v>190852.60999993084</v>
      </c>
      <c r="W84" s="182">
        <f t="shared" si="160"/>
        <v>-70572.120000041556</v>
      </c>
      <c r="X84" s="182">
        <f t="shared" si="160"/>
        <v>-203742.99999999651</v>
      </c>
      <c r="Y84" s="182">
        <f t="shared" si="160"/>
        <v>-88358.510000057169</v>
      </c>
      <c r="Z84" s="182">
        <f t="shared" si="160"/>
        <v>-303625.03999997611</v>
      </c>
      <c r="AA84" s="182">
        <f t="shared" si="160"/>
        <v>-208857.14999994752</v>
      </c>
      <c r="AB84" s="182">
        <f t="shared" si="160"/>
        <v>624726.29000006453</v>
      </c>
      <c r="AC84" s="182">
        <f t="shared" si="160"/>
        <v>-30452.229999876115</v>
      </c>
      <c r="AD84" s="182">
        <v>0</v>
      </c>
      <c r="AE84" s="182"/>
      <c r="AF84" s="153">
        <f t="shared" si="142"/>
        <v>0</v>
      </c>
      <c r="AG84" s="153">
        <f t="shared" si="143"/>
        <v>0</v>
      </c>
    </row>
    <row r="85" spans="1:33" ht="15.75" thickBot="1" x14ac:dyDescent="0.3"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S85" s="184">
        <f t="shared" si="129"/>
        <v>0</v>
      </c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44">
        <f t="shared" si="142"/>
        <v>0</v>
      </c>
      <c r="AG85" s="144">
        <f t="shared" si="143"/>
        <v>0</v>
      </c>
    </row>
    <row r="86" spans="1:33" x14ac:dyDescent="0.25">
      <c r="A86" s="147" t="s">
        <v>60</v>
      </c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4"/>
      <c r="O86" s="164"/>
      <c r="P86" s="164"/>
      <c r="Q86" s="164"/>
      <c r="R86" s="164"/>
      <c r="S86" s="184">
        <f t="shared" si="129"/>
        <v>0</v>
      </c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64">
        <f t="shared" si="142"/>
        <v>0</v>
      </c>
      <c r="AG86" s="164">
        <f t="shared" si="143"/>
        <v>0</v>
      </c>
    </row>
    <row r="87" spans="1:33" x14ac:dyDescent="0.25">
      <c r="A87" s="148" t="s">
        <v>37</v>
      </c>
      <c r="B87" s="153">
        <f t="shared" ref="B87:L88" si="161">+B57</f>
        <v>0</v>
      </c>
      <c r="C87" s="153">
        <f t="shared" si="161"/>
        <v>0</v>
      </c>
      <c r="D87" s="153">
        <f t="shared" si="161"/>
        <v>0</v>
      </c>
      <c r="E87" s="153">
        <f t="shared" si="161"/>
        <v>0</v>
      </c>
      <c r="F87" s="153">
        <f t="shared" si="161"/>
        <v>0</v>
      </c>
      <c r="G87" s="153">
        <f t="shared" si="161"/>
        <v>0</v>
      </c>
      <c r="H87" s="153">
        <f t="shared" si="161"/>
        <v>0</v>
      </c>
      <c r="I87" s="153">
        <f t="shared" si="161"/>
        <v>0</v>
      </c>
      <c r="J87" s="153">
        <f t="shared" si="161"/>
        <v>0</v>
      </c>
      <c r="K87" s="153">
        <f t="shared" si="161"/>
        <v>0</v>
      </c>
      <c r="L87" s="153">
        <f t="shared" si="161"/>
        <v>0</v>
      </c>
      <c r="M87" s="153">
        <f t="shared" ref="M87" si="162">+M57</f>
        <v>0</v>
      </c>
      <c r="N87" s="165">
        <f>SUM(B87:M87)</f>
        <v>0</v>
      </c>
      <c r="O87" s="165"/>
      <c r="P87" s="165">
        <f>Q87/12*$P$3</f>
        <v>0</v>
      </c>
      <c r="Q87" s="165">
        <f>R87</f>
        <v>0</v>
      </c>
      <c r="R87" s="165">
        <v>0</v>
      </c>
      <c r="S87" s="184">
        <f t="shared" si="129"/>
        <v>0</v>
      </c>
      <c r="T87" s="182">
        <f t="shared" ref="T87:W88" si="163">+T57</f>
        <v>0</v>
      </c>
      <c r="U87" s="182">
        <f t="shared" si="163"/>
        <v>0</v>
      </c>
      <c r="V87" s="182">
        <f t="shared" si="163"/>
        <v>0</v>
      </c>
      <c r="W87" s="182">
        <f t="shared" si="163"/>
        <v>0</v>
      </c>
      <c r="X87" s="182">
        <f>X108</f>
        <v>0</v>
      </c>
      <c r="Y87" s="182">
        <f t="shared" ref="Y87:AE88" si="164">+Y57</f>
        <v>0</v>
      </c>
      <c r="Z87" s="182">
        <f t="shared" si="164"/>
        <v>0</v>
      </c>
      <c r="AA87" s="182">
        <f t="shared" si="164"/>
        <v>0</v>
      </c>
      <c r="AB87" s="182">
        <f t="shared" si="164"/>
        <v>0</v>
      </c>
      <c r="AC87" s="182">
        <f t="shared" si="164"/>
        <v>0</v>
      </c>
      <c r="AD87" s="182">
        <f t="shared" si="164"/>
        <v>0</v>
      </c>
      <c r="AE87" s="182">
        <f t="shared" si="164"/>
        <v>0</v>
      </c>
      <c r="AF87" s="165">
        <f t="shared" si="142"/>
        <v>0</v>
      </c>
      <c r="AG87" s="165">
        <f t="shared" si="143"/>
        <v>0</v>
      </c>
    </row>
    <row r="88" spans="1:33" x14ac:dyDescent="0.25">
      <c r="A88" s="148" t="s">
        <v>61</v>
      </c>
      <c r="B88" s="153">
        <f t="shared" si="161"/>
        <v>25767.99</v>
      </c>
      <c r="C88" s="153">
        <f t="shared" si="161"/>
        <v>0</v>
      </c>
      <c r="D88" s="153">
        <f t="shared" si="161"/>
        <v>0</v>
      </c>
      <c r="E88" s="153">
        <f t="shared" si="161"/>
        <v>0</v>
      </c>
      <c r="F88" s="153">
        <f t="shared" si="161"/>
        <v>0</v>
      </c>
      <c r="G88" s="153">
        <f t="shared" si="161"/>
        <v>0</v>
      </c>
      <c r="H88" s="153">
        <f t="shared" si="161"/>
        <v>0</v>
      </c>
      <c r="I88" s="153">
        <f t="shared" si="161"/>
        <v>0</v>
      </c>
      <c r="J88" s="153">
        <f t="shared" si="161"/>
        <v>0</v>
      </c>
      <c r="K88" s="153">
        <f t="shared" si="161"/>
        <v>0</v>
      </c>
      <c r="L88" s="153">
        <f t="shared" si="161"/>
        <v>0</v>
      </c>
      <c r="M88" s="153">
        <f t="shared" ref="M88" si="165">+M58</f>
        <v>0</v>
      </c>
      <c r="N88" s="165">
        <f>SUM(B88:M88)</f>
        <v>25767.99</v>
      </c>
      <c r="O88" s="165"/>
      <c r="P88" s="165">
        <f>Q88/12*$P$3</f>
        <v>323715.04499999998</v>
      </c>
      <c r="Q88" s="165">
        <f>R88</f>
        <v>431620.06</v>
      </c>
      <c r="R88" s="165">
        <v>431620.06</v>
      </c>
      <c r="S88" s="184">
        <f t="shared" si="129"/>
        <v>0</v>
      </c>
      <c r="T88" s="182">
        <f t="shared" si="163"/>
        <v>44174.48</v>
      </c>
      <c r="U88" s="182">
        <f t="shared" si="163"/>
        <v>37026.959999999999</v>
      </c>
      <c r="V88" s="182">
        <f t="shared" si="163"/>
        <v>50952.97</v>
      </c>
      <c r="W88" s="182">
        <f t="shared" si="163"/>
        <v>17383</v>
      </c>
      <c r="X88" s="182">
        <f>X114+X126</f>
        <v>6537.5</v>
      </c>
      <c r="Y88" s="182">
        <f t="shared" si="164"/>
        <v>12690.5</v>
      </c>
      <c r="Z88" s="182">
        <f t="shared" si="164"/>
        <v>14136.99</v>
      </c>
      <c r="AA88" s="182">
        <f t="shared" si="164"/>
        <v>3546</v>
      </c>
      <c r="AB88" s="182">
        <f t="shared" si="164"/>
        <v>6577.55</v>
      </c>
      <c r="AC88" s="182">
        <f t="shared" si="164"/>
        <v>18560.79</v>
      </c>
      <c r="AD88" s="182">
        <f t="shared" si="164"/>
        <v>30425.09</v>
      </c>
      <c r="AE88" s="182">
        <f t="shared" si="164"/>
        <v>189608.23</v>
      </c>
      <c r="AF88" s="165">
        <f t="shared" si="142"/>
        <v>2342.5445454545456</v>
      </c>
      <c r="AG88" s="165">
        <f t="shared" si="143"/>
        <v>-2342.5445454545456</v>
      </c>
    </row>
    <row r="89" spans="1:33" x14ac:dyDescent="0.25">
      <c r="A89" s="148" t="s">
        <v>62</v>
      </c>
      <c r="B89" s="156">
        <f t="shared" ref="B89:L89" si="166">SUM(B87:B88)</f>
        <v>25767.99</v>
      </c>
      <c r="C89" s="156">
        <f t="shared" si="166"/>
        <v>0</v>
      </c>
      <c r="D89" s="156">
        <f t="shared" si="166"/>
        <v>0</v>
      </c>
      <c r="E89" s="156">
        <f t="shared" si="166"/>
        <v>0</v>
      </c>
      <c r="F89" s="156">
        <f t="shared" si="166"/>
        <v>0</v>
      </c>
      <c r="G89" s="156">
        <f t="shared" si="166"/>
        <v>0</v>
      </c>
      <c r="H89" s="156">
        <f t="shared" si="166"/>
        <v>0</v>
      </c>
      <c r="I89" s="156">
        <f t="shared" si="166"/>
        <v>0</v>
      </c>
      <c r="J89" s="156">
        <f t="shared" si="166"/>
        <v>0</v>
      </c>
      <c r="K89" s="156">
        <f t="shared" si="166"/>
        <v>0</v>
      </c>
      <c r="L89" s="156">
        <f t="shared" si="166"/>
        <v>0</v>
      </c>
      <c r="M89" s="156">
        <f t="shared" ref="M89" si="167">SUM(M87:M88)</f>
        <v>0</v>
      </c>
      <c r="N89" s="166">
        <f>SUM(N87:N88)</f>
        <v>25767.99</v>
      </c>
      <c r="O89" s="166"/>
      <c r="P89" s="166">
        <f>SUM(P87:P88)</f>
        <v>323715.04499999998</v>
      </c>
      <c r="Q89" s="166">
        <f>SUM(Q87:Q88)</f>
        <v>431620.06</v>
      </c>
      <c r="R89" s="166">
        <v>431620.06</v>
      </c>
      <c r="S89" s="184">
        <f t="shared" si="129"/>
        <v>0</v>
      </c>
      <c r="T89" s="185">
        <f>SUM(T87:T88)</f>
        <v>44174.48</v>
      </c>
      <c r="U89" s="185">
        <f t="shared" ref="U89:AB89" si="168">SUM(U87:U88)</f>
        <v>37026.959999999999</v>
      </c>
      <c r="V89" s="185">
        <f t="shared" si="168"/>
        <v>50952.97</v>
      </c>
      <c r="W89" s="185">
        <f t="shared" si="168"/>
        <v>17383</v>
      </c>
      <c r="X89" s="185">
        <f t="shared" si="168"/>
        <v>6537.5</v>
      </c>
      <c r="Y89" s="185">
        <f t="shared" si="168"/>
        <v>12690.5</v>
      </c>
      <c r="Z89" s="185">
        <f t="shared" si="168"/>
        <v>14136.99</v>
      </c>
      <c r="AA89" s="185">
        <f t="shared" si="168"/>
        <v>3546</v>
      </c>
      <c r="AB89" s="185">
        <f t="shared" si="168"/>
        <v>6577.55</v>
      </c>
      <c r="AC89" s="185">
        <f>SUM(AC87:AC88)</f>
        <v>18560.79</v>
      </c>
      <c r="AD89" s="185">
        <f>SUM(AD87:AD88)</f>
        <v>30425.09</v>
      </c>
      <c r="AE89" s="185">
        <f>SUM(AE87:AE88)</f>
        <v>189608.23</v>
      </c>
      <c r="AF89" s="166">
        <f t="shared" si="142"/>
        <v>2342.5445454545456</v>
      </c>
      <c r="AG89" s="166">
        <f t="shared" si="143"/>
        <v>-2342.5445454545456</v>
      </c>
    </row>
    <row r="90" spans="1:33" x14ac:dyDescent="0.25">
      <c r="A90" s="148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67"/>
      <c r="O90" s="167"/>
      <c r="P90" s="167"/>
      <c r="Q90" s="167"/>
      <c r="R90" s="167"/>
      <c r="S90" s="184">
        <f t="shared" si="129"/>
        <v>0</v>
      </c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67">
        <f t="shared" si="142"/>
        <v>0</v>
      </c>
      <c r="AG90" s="167">
        <f t="shared" si="143"/>
        <v>0</v>
      </c>
    </row>
    <row r="91" spans="1:33" x14ac:dyDescent="0.25">
      <c r="A91" s="148" t="s">
        <v>63</v>
      </c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67"/>
      <c r="O91" s="167"/>
      <c r="P91" s="167"/>
      <c r="Q91" s="167"/>
      <c r="R91" s="167"/>
      <c r="S91" s="184">
        <f t="shared" si="129"/>
        <v>0</v>
      </c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67">
        <f t="shared" si="142"/>
        <v>0</v>
      </c>
      <c r="AG91" s="167">
        <f t="shared" si="143"/>
        <v>0</v>
      </c>
    </row>
    <row r="92" spans="1:33" x14ac:dyDescent="0.25">
      <c r="A92" s="148" t="s">
        <v>64</v>
      </c>
      <c r="B92" s="153">
        <f t="shared" ref="B92:L93" si="169">+B63</f>
        <v>0</v>
      </c>
      <c r="C92" s="153">
        <f t="shared" si="169"/>
        <v>0</v>
      </c>
      <c r="D92" s="153">
        <f t="shared" si="169"/>
        <v>0</v>
      </c>
      <c r="E92" s="153">
        <f t="shared" si="169"/>
        <v>0</v>
      </c>
      <c r="F92" s="153">
        <f t="shared" si="169"/>
        <v>0</v>
      </c>
      <c r="G92" s="153">
        <f t="shared" si="169"/>
        <v>0</v>
      </c>
      <c r="H92" s="153">
        <f t="shared" si="169"/>
        <v>0</v>
      </c>
      <c r="I92" s="153">
        <f t="shared" si="169"/>
        <v>0</v>
      </c>
      <c r="J92" s="153">
        <f t="shared" si="169"/>
        <v>0</v>
      </c>
      <c r="K92" s="153">
        <f t="shared" si="169"/>
        <v>0</v>
      </c>
      <c r="L92" s="153">
        <f t="shared" si="169"/>
        <v>0</v>
      </c>
      <c r="M92" s="153">
        <f t="shared" ref="M92" si="170">+M63</f>
        <v>0</v>
      </c>
      <c r="N92" s="165">
        <f>SUM(B92:M92)</f>
        <v>0</v>
      </c>
      <c r="O92" s="165"/>
      <c r="P92" s="165">
        <f>Q92/12*$P$3</f>
        <v>0</v>
      </c>
      <c r="Q92" s="165">
        <f>R92</f>
        <v>0</v>
      </c>
      <c r="R92" s="165">
        <v>0</v>
      </c>
      <c r="S92" s="184">
        <f t="shared" si="129"/>
        <v>0</v>
      </c>
      <c r="T92" s="182">
        <f>+T63</f>
        <v>0</v>
      </c>
      <c r="U92" s="182">
        <f>+U63</f>
        <v>0</v>
      </c>
      <c r="V92" s="182">
        <f>+V63</f>
        <v>0</v>
      </c>
      <c r="W92" s="182">
        <f>+W63</f>
        <v>0</v>
      </c>
      <c r="X92" s="182">
        <f>X136</f>
        <v>0</v>
      </c>
      <c r="Y92" s="182">
        <f t="shared" ref="Y92:AE93" si="171">+Y63</f>
        <v>0</v>
      </c>
      <c r="Z92" s="182">
        <f t="shared" si="171"/>
        <v>0</v>
      </c>
      <c r="AA92" s="182">
        <f t="shared" si="171"/>
        <v>0</v>
      </c>
      <c r="AB92" s="182">
        <f t="shared" si="171"/>
        <v>0</v>
      </c>
      <c r="AC92" s="182">
        <f t="shared" si="171"/>
        <v>0</v>
      </c>
      <c r="AD92" s="182">
        <f t="shared" si="171"/>
        <v>0</v>
      </c>
      <c r="AE92" s="182">
        <f t="shared" si="171"/>
        <v>0</v>
      </c>
      <c r="AF92" s="165">
        <f t="shared" si="142"/>
        <v>0</v>
      </c>
      <c r="AG92" s="165">
        <f t="shared" si="143"/>
        <v>0</v>
      </c>
    </row>
    <row r="93" spans="1:33" x14ac:dyDescent="0.25">
      <c r="A93" s="148" t="s">
        <v>65</v>
      </c>
      <c r="B93" s="153">
        <f t="shared" si="169"/>
        <v>29898.889999999996</v>
      </c>
      <c r="C93" s="153">
        <f t="shared" si="169"/>
        <v>0</v>
      </c>
      <c r="D93" s="153">
        <f t="shared" si="169"/>
        <v>0</v>
      </c>
      <c r="E93" s="153">
        <f t="shared" si="169"/>
        <v>0</v>
      </c>
      <c r="F93" s="153">
        <f t="shared" si="169"/>
        <v>0</v>
      </c>
      <c r="G93" s="153">
        <f t="shared" si="169"/>
        <v>0</v>
      </c>
      <c r="H93" s="153">
        <f t="shared" si="169"/>
        <v>0</v>
      </c>
      <c r="I93" s="153">
        <f t="shared" si="169"/>
        <v>0</v>
      </c>
      <c r="J93" s="153">
        <f t="shared" si="169"/>
        <v>0</v>
      </c>
      <c r="K93" s="153">
        <f t="shared" si="169"/>
        <v>0</v>
      </c>
      <c r="L93" s="153">
        <f t="shared" si="169"/>
        <v>0</v>
      </c>
      <c r="M93" s="153">
        <f t="shared" ref="M93" si="172">+M64</f>
        <v>0</v>
      </c>
      <c r="N93" s="165">
        <f t="shared" ref="N93:N96" si="173">SUM(B93:M93)</f>
        <v>29898.889999999996</v>
      </c>
      <c r="O93" s="165"/>
      <c r="P93" s="165">
        <f t="shared" ref="P93:P96" si="174">Q93/12*$P$3</f>
        <v>344512.38750000001</v>
      </c>
      <c r="Q93" s="165">
        <f t="shared" ref="Q93:Q96" si="175">R93</f>
        <v>459349.85</v>
      </c>
      <c r="R93" s="165">
        <v>459349.85</v>
      </c>
      <c r="S93" s="184">
        <f t="shared" si="129"/>
        <v>0</v>
      </c>
      <c r="T93" s="182">
        <f t="shared" ref="T93:Y93" si="176">T147</f>
        <v>47744.73</v>
      </c>
      <c r="U93" s="182">
        <f t="shared" si="176"/>
        <v>40318.61</v>
      </c>
      <c r="V93" s="182">
        <f t="shared" si="176"/>
        <v>53566.29</v>
      </c>
      <c r="W93" s="182">
        <f t="shared" si="176"/>
        <v>-3427.84</v>
      </c>
      <c r="X93" s="182">
        <f t="shared" si="176"/>
        <v>5808.03</v>
      </c>
      <c r="Y93" s="182">
        <f t="shared" si="176"/>
        <v>11225.63</v>
      </c>
      <c r="Z93" s="182">
        <f t="shared" si="171"/>
        <v>20530.47</v>
      </c>
      <c r="AA93" s="182">
        <f t="shared" si="171"/>
        <v>5400.13</v>
      </c>
      <c r="AB93" s="182">
        <f t="shared" si="171"/>
        <v>10087.08</v>
      </c>
      <c r="AC93" s="182">
        <f t="shared" si="171"/>
        <v>20598.52</v>
      </c>
      <c r="AD93" s="182">
        <f t="shared" si="171"/>
        <v>28536.52</v>
      </c>
      <c r="AE93" s="182">
        <f t="shared" si="171"/>
        <v>218961.68</v>
      </c>
      <c r="AF93" s="165">
        <f t="shared" si="142"/>
        <v>2718.0809090909088</v>
      </c>
      <c r="AG93" s="165">
        <f t="shared" si="143"/>
        <v>-2718.0809090909088</v>
      </c>
    </row>
    <row r="94" spans="1:33" x14ac:dyDescent="0.25">
      <c r="A94" s="148" t="s">
        <v>66</v>
      </c>
      <c r="B94" s="153">
        <f t="shared" ref="B94:L94" si="177">B179</f>
        <v>0</v>
      </c>
      <c r="C94" s="153">
        <f t="shared" si="177"/>
        <v>0</v>
      </c>
      <c r="D94" s="153">
        <f t="shared" si="177"/>
        <v>0</v>
      </c>
      <c r="E94" s="153">
        <f t="shared" si="177"/>
        <v>0</v>
      </c>
      <c r="F94" s="153">
        <f t="shared" si="177"/>
        <v>0</v>
      </c>
      <c r="G94" s="153">
        <f t="shared" si="177"/>
        <v>0</v>
      </c>
      <c r="H94" s="153">
        <f t="shared" si="177"/>
        <v>0</v>
      </c>
      <c r="I94" s="153">
        <f t="shared" si="177"/>
        <v>0</v>
      </c>
      <c r="J94" s="153">
        <f t="shared" si="177"/>
        <v>0</v>
      </c>
      <c r="K94" s="153">
        <f t="shared" si="177"/>
        <v>0</v>
      </c>
      <c r="L94" s="153">
        <f t="shared" si="177"/>
        <v>0</v>
      </c>
      <c r="M94" s="153">
        <f t="shared" ref="M94" si="178">M179</f>
        <v>0</v>
      </c>
      <c r="N94" s="165">
        <f t="shared" si="173"/>
        <v>0</v>
      </c>
      <c r="O94" s="165"/>
      <c r="P94" s="165">
        <f t="shared" si="174"/>
        <v>-4200</v>
      </c>
      <c r="Q94" s="165">
        <f t="shared" si="175"/>
        <v>-5600</v>
      </c>
      <c r="R94" s="165">
        <v>-5600</v>
      </c>
      <c r="S94" s="184">
        <f t="shared" si="129"/>
        <v>0</v>
      </c>
      <c r="T94" s="182">
        <f t="shared" ref="T94:AE94" si="179">T179</f>
        <v>0</v>
      </c>
      <c r="U94" s="182">
        <f t="shared" si="179"/>
        <v>800</v>
      </c>
      <c r="V94" s="182">
        <f t="shared" si="179"/>
        <v>0</v>
      </c>
      <c r="W94" s="182">
        <f t="shared" si="179"/>
        <v>0</v>
      </c>
      <c r="X94" s="182">
        <f t="shared" si="179"/>
        <v>0</v>
      </c>
      <c r="Y94" s="182">
        <f t="shared" si="179"/>
        <v>0</v>
      </c>
      <c r="Z94" s="182">
        <f t="shared" si="179"/>
        <v>0</v>
      </c>
      <c r="AA94" s="182">
        <f t="shared" si="179"/>
        <v>0</v>
      </c>
      <c r="AB94" s="182">
        <f t="shared" si="179"/>
        <v>0</v>
      </c>
      <c r="AC94" s="182">
        <f t="shared" si="179"/>
        <v>0</v>
      </c>
      <c r="AD94" s="182">
        <f t="shared" si="179"/>
        <v>-6400</v>
      </c>
      <c r="AE94" s="182">
        <f t="shared" si="179"/>
        <v>0</v>
      </c>
      <c r="AF94" s="165">
        <f t="shared" si="142"/>
        <v>0</v>
      </c>
      <c r="AG94" s="165">
        <f t="shared" si="143"/>
        <v>0</v>
      </c>
    </row>
    <row r="95" spans="1:33" x14ac:dyDescent="0.25">
      <c r="A95" s="148" t="s">
        <v>67</v>
      </c>
      <c r="B95" s="153">
        <f t="shared" ref="B95:L95" si="180">B191</f>
        <v>0</v>
      </c>
      <c r="C95" s="153">
        <f t="shared" si="180"/>
        <v>0</v>
      </c>
      <c r="D95" s="153">
        <f t="shared" si="180"/>
        <v>0</v>
      </c>
      <c r="E95" s="153">
        <f t="shared" si="180"/>
        <v>0</v>
      </c>
      <c r="F95" s="153">
        <f t="shared" si="180"/>
        <v>0</v>
      </c>
      <c r="G95" s="153">
        <f t="shared" si="180"/>
        <v>0</v>
      </c>
      <c r="H95" s="153">
        <f t="shared" si="180"/>
        <v>0</v>
      </c>
      <c r="I95" s="153">
        <f t="shared" si="180"/>
        <v>0</v>
      </c>
      <c r="J95" s="153">
        <f t="shared" si="180"/>
        <v>0</v>
      </c>
      <c r="K95" s="153">
        <f t="shared" si="180"/>
        <v>0</v>
      </c>
      <c r="L95" s="153">
        <f t="shared" si="180"/>
        <v>0</v>
      </c>
      <c r="M95" s="153">
        <f t="shared" ref="M95" si="181">M191</f>
        <v>0</v>
      </c>
      <c r="N95" s="165">
        <f t="shared" si="173"/>
        <v>0</v>
      </c>
      <c r="O95" s="165"/>
      <c r="P95" s="165">
        <f t="shared" si="174"/>
        <v>596.40750000000003</v>
      </c>
      <c r="Q95" s="165">
        <f t="shared" si="175"/>
        <v>795.20999999999992</v>
      </c>
      <c r="R95" s="165">
        <v>795.20999999999992</v>
      </c>
      <c r="S95" s="184">
        <f t="shared" si="129"/>
        <v>0</v>
      </c>
      <c r="T95" s="182">
        <f>T191</f>
        <v>1.87</v>
      </c>
      <c r="U95" s="182">
        <f t="shared" ref="U95:AE95" si="182">U191</f>
        <v>0</v>
      </c>
      <c r="V95" s="182">
        <f t="shared" si="182"/>
        <v>-115.12</v>
      </c>
      <c r="W95" s="182">
        <f t="shared" si="182"/>
        <v>3216.06</v>
      </c>
      <c r="X95" s="182">
        <f t="shared" si="182"/>
        <v>-2308</v>
      </c>
      <c r="Y95" s="182">
        <f t="shared" si="182"/>
        <v>0</v>
      </c>
      <c r="Z95" s="182">
        <f t="shared" si="182"/>
        <v>0</v>
      </c>
      <c r="AA95" s="182">
        <f t="shared" si="182"/>
        <v>0</v>
      </c>
      <c r="AB95" s="182">
        <f t="shared" si="182"/>
        <v>0</v>
      </c>
      <c r="AC95" s="182">
        <f t="shared" si="182"/>
        <v>0</v>
      </c>
      <c r="AD95" s="182">
        <f t="shared" si="182"/>
        <v>0.4</v>
      </c>
      <c r="AE95" s="182">
        <f t="shared" si="182"/>
        <v>0</v>
      </c>
      <c r="AF95" s="165">
        <f t="shared" si="142"/>
        <v>0</v>
      </c>
      <c r="AG95" s="165">
        <f t="shared" si="143"/>
        <v>0</v>
      </c>
    </row>
    <row r="96" spans="1:33" x14ac:dyDescent="0.25">
      <c r="A96" s="148" t="s">
        <v>68</v>
      </c>
      <c r="B96" s="153">
        <f t="shared" ref="B96:L96" si="183">B70</f>
        <v>0</v>
      </c>
      <c r="C96" s="153">
        <f t="shared" si="183"/>
        <v>0</v>
      </c>
      <c r="D96" s="153">
        <f t="shared" si="183"/>
        <v>0</v>
      </c>
      <c r="E96" s="153">
        <f t="shared" si="183"/>
        <v>0</v>
      </c>
      <c r="F96" s="153">
        <f t="shared" si="183"/>
        <v>0</v>
      </c>
      <c r="G96" s="153">
        <f t="shared" si="183"/>
        <v>0</v>
      </c>
      <c r="H96" s="153">
        <f t="shared" si="183"/>
        <v>0</v>
      </c>
      <c r="I96" s="153">
        <f t="shared" si="183"/>
        <v>0</v>
      </c>
      <c r="J96" s="153">
        <f t="shared" si="183"/>
        <v>0</v>
      </c>
      <c r="K96" s="153">
        <f t="shared" si="183"/>
        <v>0</v>
      </c>
      <c r="L96" s="153">
        <f t="shared" si="183"/>
        <v>0</v>
      </c>
      <c r="M96" s="153">
        <f t="shared" ref="M96" si="184">M70</f>
        <v>0</v>
      </c>
      <c r="N96" s="165">
        <f t="shared" si="173"/>
        <v>0</v>
      </c>
      <c r="O96" s="165"/>
      <c r="P96" s="165">
        <f t="shared" si="174"/>
        <v>1360.4549999999999</v>
      </c>
      <c r="Q96" s="165">
        <f t="shared" si="175"/>
        <v>1813.94</v>
      </c>
      <c r="R96" s="165">
        <v>1813.94</v>
      </c>
      <c r="S96" s="184">
        <f t="shared" si="129"/>
        <v>0</v>
      </c>
      <c r="T96" s="182">
        <f>T70</f>
        <v>0</v>
      </c>
      <c r="U96" s="182">
        <f>U70</f>
        <v>878</v>
      </c>
      <c r="V96" s="182">
        <f>V70</f>
        <v>0</v>
      </c>
      <c r="W96" s="182">
        <f>W70</f>
        <v>0</v>
      </c>
      <c r="X96" s="182">
        <f>X186</f>
        <v>620</v>
      </c>
      <c r="Y96" s="182">
        <f t="shared" ref="Y96:AE96" si="185">Y70</f>
        <v>0</v>
      </c>
      <c r="Z96" s="182">
        <f t="shared" si="185"/>
        <v>12</v>
      </c>
      <c r="AA96" s="182">
        <f t="shared" si="185"/>
        <v>0</v>
      </c>
      <c r="AB96" s="182">
        <f t="shared" si="185"/>
        <v>0</v>
      </c>
      <c r="AC96" s="182">
        <f t="shared" si="185"/>
        <v>0</v>
      </c>
      <c r="AD96" s="182">
        <f t="shared" si="185"/>
        <v>0</v>
      </c>
      <c r="AE96" s="182">
        <f t="shared" si="185"/>
        <v>303.94</v>
      </c>
      <c r="AF96" s="165">
        <f t="shared" si="142"/>
        <v>0</v>
      </c>
      <c r="AG96" s="165">
        <f t="shared" si="143"/>
        <v>0</v>
      </c>
    </row>
    <row r="97" spans="1:33" x14ac:dyDescent="0.25">
      <c r="A97" s="148"/>
      <c r="B97" s="156">
        <f t="shared" ref="B97:L97" si="186">SUM(B92:B96)</f>
        <v>29898.889999999996</v>
      </c>
      <c r="C97" s="156">
        <f t="shared" si="186"/>
        <v>0</v>
      </c>
      <c r="D97" s="156">
        <f t="shared" si="186"/>
        <v>0</v>
      </c>
      <c r="E97" s="156">
        <f t="shared" si="186"/>
        <v>0</v>
      </c>
      <c r="F97" s="156">
        <f t="shared" si="186"/>
        <v>0</v>
      </c>
      <c r="G97" s="156">
        <f t="shared" si="186"/>
        <v>0</v>
      </c>
      <c r="H97" s="156">
        <f t="shared" si="186"/>
        <v>0</v>
      </c>
      <c r="I97" s="156">
        <f t="shared" si="186"/>
        <v>0</v>
      </c>
      <c r="J97" s="156">
        <f t="shared" si="186"/>
        <v>0</v>
      </c>
      <c r="K97" s="156">
        <f t="shared" si="186"/>
        <v>0</v>
      </c>
      <c r="L97" s="156">
        <f t="shared" si="186"/>
        <v>0</v>
      </c>
      <c r="M97" s="156">
        <f t="shared" ref="M97" si="187">SUM(M92:M96)</f>
        <v>0</v>
      </c>
      <c r="N97" s="166">
        <f>SUM(N92:N96)</f>
        <v>29898.889999999996</v>
      </c>
      <c r="O97" s="166"/>
      <c r="P97" s="166">
        <f>SUM(P92:P96)</f>
        <v>342269.25</v>
      </c>
      <c r="Q97" s="166">
        <f>SUM(Q92:Q96)</f>
        <v>456359</v>
      </c>
      <c r="R97" s="166">
        <v>456359</v>
      </c>
      <c r="S97" s="184">
        <f t="shared" si="129"/>
        <v>0</v>
      </c>
      <c r="T97" s="185">
        <f>SUM(T92:T96)</f>
        <v>47746.600000000006</v>
      </c>
      <c r="U97" s="185">
        <f t="shared" ref="U97:AD97" si="188">SUM(U92:U96)</f>
        <v>41996.61</v>
      </c>
      <c r="V97" s="185">
        <f t="shared" si="188"/>
        <v>53451.17</v>
      </c>
      <c r="W97" s="185">
        <f t="shared" si="188"/>
        <v>-211.7800000000002</v>
      </c>
      <c r="X97" s="185">
        <f t="shared" si="188"/>
        <v>4120.03</v>
      </c>
      <c r="Y97" s="185">
        <f t="shared" si="188"/>
        <v>11225.63</v>
      </c>
      <c r="Z97" s="185">
        <f t="shared" si="188"/>
        <v>20542.47</v>
      </c>
      <c r="AA97" s="185">
        <f t="shared" si="188"/>
        <v>5400.13</v>
      </c>
      <c r="AB97" s="185">
        <f t="shared" si="188"/>
        <v>10087.08</v>
      </c>
      <c r="AC97" s="185">
        <f t="shared" si="188"/>
        <v>20598.52</v>
      </c>
      <c r="AD97" s="185">
        <f t="shared" si="188"/>
        <v>22136.920000000002</v>
      </c>
      <c r="AE97" s="185">
        <f>SUM(AE92:AE96)</f>
        <v>219265.62</v>
      </c>
      <c r="AF97" s="166">
        <f t="shared" si="142"/>
        <v>2718.0809090909088</v>
      </c>
      <c r="AG97" s="166">
        <f t="shared" si="143"/>
        <v>-2718.0809090909088</v>
      </c>
    </row>
    <row r="98" spans="1:33" ht="27" customHeight="1" thickBot="1" x14ac:dyDescent="0.3">
      <c r="A98" s="148"/>
      <c r="B98" s="159">
        <f t="shared" ref="B98:L98" si="189">+B89-B97</f>
        <v>-4130.8999999999942</v>
      </c>
      <c r="C98" s="159">
        <f t="shared" si="189"/>
        <v>0</v>
      </c>
      <c r="D98" s="159">
        <f t="shared" si="189"/>
        <v>0</v>
      </c>
      <c r="E98" s="159">
        <f t="shared" si="189"/>
        <v>0</v>
      </c>
      <c r="F98" s="159">
        <f t="shared" si="189"/>
        <v>0</v>
      </c>
      <c r="G98" s="159">
        <f t="shared" si="189"/>
        <v>0</v>
      </c>
      <c r="H98" s="159">
        <f t="shared" si="189"/>
        <v>0</v>
      </c>
      <c r="I98" s="159">
        <f t="shared" si="189"/>
        <v>0</v>
      </c>
      <c r="J98" s="159">
        <f t="shared" si="189"/>
        <v>0</v>
      </c>
      <c r="K98" s="159">
        <f t="shared" si="189"/>
        <v>0</v>
      </c>
      <c r="L98" s="159">
        <f t="shared" si="189"/>
        <v>0</v>
      </c>
      <c r="M98" s="159">
        <f t="shared" ref="M98" si="190">+M89-M97</f>
        <v>0</v>
      </c>
      <c r="N98" s="168">
        <f>+N89-N97</f>
        <v>-4130.8999999999942</v>
      </c>
      <c r="O98" s="168"/>
      <c r="P98" s="168">
        <f>+P89-P97</f>
        <v>-18554.205000000016</v>
      </c>
      <c r="Q98" s="168">
        <f>+Q89-Q97</f>
        <v>-24738.940000000002</v>
      </c>
      <c r="R98" s="168">
        <v>-24738.940000000002</v>
      </c>
      <c r="S98" s="184">
        <f t="shared" si="129"/>
        <v>0</v>
      </c>
      <c r="T98" s="188">
        <f>+T89-T97</f>
        <v>-3572.1200000000026</v>
      </c>
      <c r="U98" s="188">
        <f t="shared" ref="U98:AD98" si="191">+U89-U97</f>
        <v>-4969.6500000000015</v>
      </c>
      <c r="V98" s="188">
        <f t="shared" si="191"/>
        <v>-2498.1999999999971</v>
      </c>
      <c r="W98" s="188">
        <f t="shared" si="191"/>
        <v>17594.78</v>
      </c>
      <c r="X98" s="188">
        <f t="shared" si="191"/>
        <v>2417.4700000000003</v>
      </c>
      <c r="Y98" s="188">
        <f t="shared" si="191"/>
        <v>1464.8700000000008</v>
      </c>
      <c r="Z98" s="188">
        <f t="shared" si="191"/>
        <v>-6405.4800000000014</v>
      </c>
      <c r="AA98" s="188">
        <f t="shared" si="191"/>
        <v>-1854.13</v>
      </c>
      <c r="AB98" s="188">
        <f t="shared" si="191"/>
        <v>-3509.5299999999997</v>
      </c>
      <c r="AC98" s="188">
        <f t="shared" si="191"/>
        <v>-2037.7299999999996</v>
      </c>
      <c r="AD98" s="188">
        <f t="shared" si="191"/>
        <v>8288.1699999999983</v>
      </c>
      <c r="AE98" s="188">
        <f>+AE89-AE97</f>
        <v>-29657.389999999985</v>
      </c>
      <c r="AF98" s="168">
        <f t="shared" si="142"/>
        <v>-375.53636363636309</v>
      </c>
      <c r="AG98" s="168">
        <f t="shared" si="143"/>
        <v>375.53636363636309</v>
      </c>
    </row>
    <row r="99" spans="1:33" ht="16.5" thickTop="1" thickBot="1" x14ac:dyDescent="0.3">
      <c r="A99" s="149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70"/>
      <c r="O99" s="170"/>
      <c r="P99" s="170"/>
      <c r="Q99" s="170"/>
      <c r="R99" s="170"/>
      <c r="S99" s="184">
        <f t="shared" si="129"/>
        <v>0</v>
      </c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70">
        <f t="shared" si="142"/>
        <v>0</v>
      </c>
      <c r="AG99" s="170">
        <f t="shared" si="143"/>
        <v>0</v>
      </c>
    </row>
    <row r="100" spans="1:33" x14ac:dyDescent="0.25"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S100" s="184">
        <f t="shared" si="129"/>
        <v>0</v>
      </c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44">
        <f t="shared" si="142"/>
        <v>0</v>
      </c>
      <c r="AG100" s="144">
        <f t="shared" si="143"/>
        <v>0</v>
      </c>
    </row>
    <row r="101" spans="1:33" x14ac:dyDescent="0.25"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S101" s="184">
        <f t="shared" si="129"/>
        <v>0</v>
      </c>
      <c r="U101" s="182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44">
        <f t="shared" si="142"/>
        <v>0</v>
      </c>
      <c r="AG101" s="144">
        <f t="shared" si="143"/>
        <v>0</v>
      </c>
    </row>
    <row r="102" spans="1:33" ht="30.75" customHeight="1" x14ac:dyDescent="0.25">
      <c r="A102" s="144" t="s">
        <v>69</v>
      </c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7">
        <f>SUM(B102:M102)</f>
        <v>0</v>
      </c>
      <c r="O102" s="157"/>
      <c r="P102" s="157"/>
      <c r="Q102" s="157">
        <f>S102/12*$P$3</f>
        <v>0</v>
      </c>
      <c r="R102" s="157">
        <v>0</v>
      </c>
      <c r="S102" s="184">
        <f t="shared" si="129"/>
        <v>0</v>
      </c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57">
        <f t="shared" si="142"/>
        <v>0</v>
      </c>
      <c r="AG102" s="157">
        <f t="shared" si="143"/>
        <v>0</v>
      </c>
    </row>
    <row r="103" spans="1:33" x14ac:dyDescent="0.25"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S103" s="184">
        <f t="shared" si="129"/>
        <v>0</v>
      </c>
      <c r="U103" s="182"/>
      <c r="V103" s="182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44">
        <f t="shared" si="142"/>
        <v>0</v>
      </c>
      <c r="AG103" s="144">
        <f t="shared" si="143"/>
        <v>0</v>
      </c>
    </row>
    <row r="104" spans="1:33" x14ac:dyDescent="0.25"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S104" s="184">
        <f t="shared" si="129"/>
        <v>0</v>
      </c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44">
        <f t="shared" si="142"/>
        <v>0</v>
      </c>
      <c r="AG104" s="144">
        <f t="shared" si="143"/>
        <v>0</v>
      </c>
    </row>
    <row r="105" spans="1:33" x14ac:dyDescent="0.25"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S105" s="184">
        <f t="shared" si="129"/>
        <v>0</v>
      </c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44">
        <f t="shared" si="142"/>
        <v>0</v>
      </c>
      <c r="AG105" s="144">
        <f t="shared" si="143"/>
        <v>0</v>
      </c>
    </row>
    <row r="106" spans="1:33" s="150" customFormat="1" ht="15.75" thickBot="1" x14ac:dyDescent="0.3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S106" s="184">
        <f t="shared" si="129"/>
        <v>0</v>
      </c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50">
        <f t="shared" si="142"/>
        <v>0</v>
      </c>
      <c r="AG106" s="150">
        <f t="shared" si="143"/>
        <v>0</v>
      </c>
    </row>
    <row r="107" spans="1:33" x14ac:dyDescent="0.25">
      <c r="A107" s="151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S107" s="184">
        <f t="shared" si="129"/>
        <v>0</v>
      </c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44">
        <f t="shared" si="142"/>
        <v>0</v>
      </c>
      <c r="AG107" s="144">
        <f t="shared" si="143"/>
        <v>0</v>
      </c>
    </row>
    <row r="108" spans="1:33" hidden="1" x14ac:dyDescent="0.25">
      <c r="A108" s="144" t="s">
        <v>70</v>
      </c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>
        <f>SUM(B108:M108)</f>
        <v>0</v>
      </c>
      <c r="O108" s="153"/>
      <c r="P108" s="153">
        <f t="shared" ref="P108:P132" si="192">Q108/12*$P$3</f>
        <v>0</v>
      </c>
      <c r="Q108" s="153">
        <f>R108</f>
        <v>0</v>
      </c>
      <c r="R108" s="153">
        <v>0</v>
      </c>
      <c r="S108" s="184">
        <f t="shared" si="129"/>
        <v>0</v>
      </c>
      <c r="T108" s="182">
        <v>0</v>
      </c>
      <c r="U108" s="182">
        <v>0</v>
      </c>
      <c r="V108" s="182">
        <v>0</v>
      </c>
      <c r="W108" s="182"/>
      <c r="X108" s="182"/>
      <c r="Y108" s="182">
        <v>0</v>
      </c>
      <c r="Z108" s="182">
        <v>0</v>
      </c>
      <c r="AA108" s="182">
        <v>0</v>
      </c>
      <c r="AB108" s="182">
        <v>0</v>
      </c>
      <c r="AC108" s="182"/>
      <c r="AD108" s="182"/>
      <c r="AE108" s="182"/>
      <c r="AF108" s="153">
        <f t="shared" si="142"/>
        <v>0</v>
      </c>
      <c r="AG108" s="153">
        <f t="shared" si="143"/>
        <v>0</v>
      </c>
    </row>
    <row r="109" spans="1:33" x14ac:dyDescent="0.25">
      <c r="A109" s="144" t="s">
        <v>71</v>
      </c>
      <c r="B109" s="153">
        <v>153164253.25999999</v>
      </c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>
        <f>SUM(B109:M109)</f>
        <v>153164253.25999999</v>
      </c>
      <c r="O109" s="153"/>
      <c r="P109" s="153">
        <f t="shared" si="192"/>
        <v>931678150.86750007</v>
      </c>
      <c r="Q109" s="153">
        <f t="shared" ref="Q109:Q132" si="193">R109</f>
        <v>1242237534.49</v>
      </c>
      <c r="R109" s="153">
        <v>1242237534.49</v>
      </c>
      <c r="S109" s="184">
        <f t="shared" si="129"/>
        <v>0</v>
      </c>
      <c r="T109" s="182">
        <v>154744703.27000001</v>
      </c>
      <c r="U109" s="182">
        <v>123954975.27</v>
      </c>
      <c r="V109" s="182">
        <v>101935013.19</v>
      </c>
      <c r="W109" s="182">
        <v>92863307.959999993</v>
      </c>
      <c r="X109" s="182">
        <v>94258757.019999996</v>
      </c>
      <c r="Y109" s="182">
        <v>97605649.239999995</v>
      </c>
      <c r="Z109" s="182">
        <v>123097958.22</v>
      </c>
      <c r="AA109" s="182">
        <v>127862684.09999999</v>
      </c>
      <c r="AB109" s="182">
        <v>96885769.400000006</v>
      </c>
      <c r="AC109" s="182">
        <v>91117545.120000005</v>
      </c>
      <c r="AD109" s="182">
        <v>79237235.719999999</v>
      </c>
      <c r="AE109" s="182">
        <v>58673935.979999997</v>
      </c>
      <c r="AF109" s="153">
        <f t="shared" si="142"/>
        <v>13924023.023636363</v>
      </c>
      <c r="AG109" s="153">
        <f t="shared" si="143"/>
        <v>-13924023.023636363</v>
      </c>
    </row>
    <row r="110" spans="1:33" x14ac:dyDescent="0.25">
      <c r="A110" s="144" t="s">
        <v>72</v>
      </c>
      <c r="B110" s="153">
        <v>328326967.17000002</v>
      </c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>
        <f t="shared" ref="N110:N132" si="194">SUM(B110:M110)</f>
        <v>328326967.17000002</v>
      </c>
      <c r="O110" s="153"/>
      <c r="P110" s="153">
        <f t="shared" si="192"/>
        <v>2658149847.8700004</v>
      </c>
      <c r="Q110" s="153">
        <f t="shared" si="193"/>
        <v>3544199797.1600003</v>
      </c>
      <c r="R110" s="153">
        <v>3544199797.1600003</v>
      </c>
      <c r="S110" s="184">
        <f t="shared" si="129"/>
        <v>0</v>
      </c>
      <c r="T110" s="182">
        <v>474420383.94999999</v>
      </c>
      <c r="U110" s="182">
        <v>1272769788.22</v>
      </c>
      <c r="V110" s="182">
        <v>305526926.99000001</v>
      </c>
      <c r="W110" s="182">
        <v>46941731.32</v>
      </c>
      <c r="X110" s="182">
        <v>115118797.62</v>
      </c>
      <c r="Y110" s="182">
        <v>261188870.69</v>
      </c>
      <c r="Z110" s="182">
        <v>167224902.31999999</v>
      </c>
      <c r="AA110" s="182">
        <v>334958641.80000001</v>
      </c>
      <c r="AB110" s="182">
        <v>240211825.59</v>
      </c>
      <c r="AC110" s="182">
        <v>61729895.789999999</v>
      </c>
      <c r="AD110" s="182">
        <v>139453291.03999999</v>
      </c>
      <c r="AE110" s="182">
        <v>124654741.83</v>
      </c>
      <c r="AF110" s="153">
        <f t="shared" si="142"/>
        <v>29847906.106363639</v>
      </c>
      <c r="AG110" s="153">
        <f t="shared" si="143"/>
        <v>-29847906.106363639</v>
      </c>
    </row>
    <row r="111" spans="1:33" x14ac:dyDescent="0.25">
      <c r="A111" s="144" t="s">
        <v>73</v>
      </c>
      <c r="B111" s="153">
        <v>1932533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>
        <f t="shared" si="194"/>
        <v>1932533</v>
      </c>
      <c r="O111" s="153"/>
      <c r="P111" s="153">
        <f t="shared" si="192"/>
        <v>12605631.960000001</v>
      </c>
      <c r="Q111" s="153">
        <f t="shared" si="193"/>
        <v>16807509.280000001</v>
      </c>
      <c r="R111" s="153">
        <v>16807509.280000001</v>
      </c>
      <c r="S111" s="184">
        <f t="shared" si="129"/>
        <v>0</v>
      </c>
      <c r="T111" s="182">
        <v>2898099.37</v>
      </c>
      <c r="U111" s="182">
        <v>2610105.7200000002</v>
      </c>
      <c r="V111" s="182">
        <v>622399.88</v>
      </c>
      <c r="W111" s="182">
        <v>1945746.84</v>
      </c>
      <c r="X111" s="182">
        <v>1927944.8</v>
      </c>
      <c r="Y111" s="182">
        <v>474866.98</v>
      </c>
      <c r="Z111" s="182">
        <v>1059505.05</v>
      </c>
      <c r="AA111" s="182">
        <v>1458942.34</v>
      </c>
      <c r="AB111" s="182">
        <v>319490.71999999997</v>
      </c>
      <c r="AC111" s="182">
        <v>210539.64</v>
      </c>
      <c r="AD111" s="182">
        <v>2119802.66</v>
      </c>
      <c r="AE111" s="182">
        <v>1160065.28</v>
      </c>
      <c r="AF111" s="153">
        <f t="shared" si="142"/>
        <v>175684.81818181818</v>
      </c>
      <c r="AG111" s="153">
        <f t="shared" si="143"/>
        <v>-175684.81818181818</v>
      </c>
    </row>
    <row r="112" spans="1:33" x14ac:dyDescent="0.25">
      <c r="A112" s="144" t="s">
        <v>74</v>
      </c>
      <c r="B112" s="153">
        <v>19224117.800000001</v>
      </c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>
        <f t="shared" si="194"/>
        <v>19224117.800000001</v>
      </c>
      <c r="O112" s="153"/>
      <c r="P112" s="153">
        <f t="shared" si="192"/>
        <v>16307923.7925</v>
      </c>
      <c r="Q112" s="153">
        <f t="shared" si="193"/>
        <v>21743898.390000001</v>
      </c>
      <c r="R112" s="153">
        <v>21743898.390000001</v>
      </c>
      <c r="S112" s="184">
        <f t="shared" si="129"/>
        <v>0</v>
      </c>
      <c r="T112" s="182">
        <v>3238349</v>
      </c>
      <c r="U112" s="182">
        <v>1478660.42</v>
      </c>
      <c r="V112" s="182">
        <v>1427673</v>
      </c>
      <c r="W112" s="182">
        <v>2167697.4500000002</v>
      </c>
      <c r="X112" s="182">
        <v>847867.6</v>
      </c>
      <c r="Y112" s="182">
        <v>844240.5</v>
      </c>
      <c r="Z112" s="182">
        <v>518684.94</v>
      </c>
      <c r="AA112" s="182">
        <v>749745</v>
      </c>
      <c r="AB112" s="182">
        <v>593767</v>
      </c>
      <c r="AC112" s="182">
        <v>2838661.13</v>
      </c>
      <c r="AD112" s="182">
        <v>1687433.35</v>
      </c>
      <c r="AE112" s="182">
        <v>5351119</v>
      </c>
      <c r="AF112" s="153">
        <f t="shared" si="142"/>
        <v>1747647.0727272728</v>
      </c>
      <c r="AG112" s="153">
        <f t="shared" si="143"/>
        <v>-1747647.0727272728</v>
      </c>
    </row>
    <row r="113" spans="1:33" x14ac:dyDescent="0.25">
      <c r="A113" s="144" t="s">
        <v>75</v>
      </c>
      <c r="B113" s="153">
        <v>0</v>
      </c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>
        <f t="shared" si="194"/>
        <v>0</v>
      </c>
      <c r="O113" s="153"/>
      <c r="P113" s="153">
        <f t="shared" si="192"/>
        <v>8893.83</v>
      </c>
      <c r="Q113" s="153">
        <f t="shared" si="193"/>
        <v>11858.44</v>
      </c>
      <c r="R113" s="153">
        <v>11858.44</v>
      </c>
      <c r="S113" s="184">
        <f t="shared" si="129"/>
        <v>0</v>
      </c>
      <c r="T113" s="182">
        <v>0</v>
      </c>
      <c r="U113" s="182">
        <v>0</v>
      </c>
      <c r="V113" s="182">
        <v>0</v>
      </c>
      <c r="W113" s="182">
        <v>0</v>
      </c>
      <c r="X113" s="182">
        <v>100</v>
      </c>
      <c r="Y113" s="182">
        <v>0</v>
      </c>
      <c r="Z113" s="182">
        <v>100</v>
      </c>
      <c r="AA113" s="182">
        <v>275</v>
      </c>
      <c r="AB113" s="182">
        <v>780</v>
      </c>
      <c r="AC113" s="182">
        <v>145</v>
      </c>
      <c r="AD113" s="182">
        <v>800</v>
      </c>
      <c r="AE113" s="182">
        <v>9658.44</v>
      </c>
      <c r="AF113" s="153">
        <f t="shared" si="142"/>
        <v>0</v>
      </c>
      <c r="AG113" s="153">
        <f t="shared" si="143"/>
        <v>0</v>
      </c>
    </row>
    <row r="114" spans="1:33" x14ac:dyDescent="0.25">
      <c r="A114" s="144" t="s">
        <v>76</v>
      </c>
      <c r="B114" s="153">
        <v>25767.99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>
        <f t="shared" si="194"/>
        <v>25767.99</v>
      </c>
      <c r="O114" s="153"/>
      <c r="P114" s="153">
        <f t="shared" si="192"/>
        <v>323778.79500000004</v>
      </c>
      <c r="Q114" s="153">
        <f t="shared" si="193"/>
        <v>431705.06</v>
      </c>
      <c r="R114" s="153">
        <v>431705.06</v>
      </c>
      <c r="S114" s="184">
        <f t="shared" si="129"/>
        <v>0</v>
      </c>
      <c r="T114" s="182">
        <v>44174.48</v>
      </c>
      <c r="U114" s="182">
        <v>37026.959999999999</v>
      </c>
      <c r="V114" s="182">
        <v>50952.97</v>
      </c>
      <c r="W114" s="182">
        <v>17383</v>
      </c>
      <c r="X114" s="182">
        <v>6537.5</v>
      </c>
      <c r="Y114" s="182">
        <v>12690.5</v>
      </c>
      <c r="Z114" s="182">
        <v>14136.99</v>
      </c>
      <c r="AA114" s="182">
        <v>3631</v>
      </c>
      <c r="AB114" s="182">
        <v>6577.55</v>
      </c>
      <c r="AC114" s="182">
        <v>18560.79</v>
      </c>
      <c r="AD114" s="182">
        <v>30425.09</v>
      </c>
      <c r="AE114" s="182">
        <v>189608.23</v>
      </c>
      <c r="AF114" s="153">
        <f t="shared" si="142"/>
        <v>2342.5445454545456</v>
      </c>
      <c r="AG114" s="153">
        <f t="shared" si="143"/>
        <v>-2342.5445454545456</v>
      </c>
    </row>
    <row r="115" spans="1:33" x14ac:dyDescent="0.25">
      <c r="A115" s="144" t="s">
        <v>77</v>
      </c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>
        <f t="shared" si="194"/>
        <v>0</v>
      </c>
      <c r="O115" s="153"/>
      <c r="P115" s="153">
        <f t="shared" si="192"/>
        <v>46875</v>
      </c>
      <c r="Q115" s="153">
        <f t="shared" si="193"/>
        <v>62500</v>
      </c>
      <c r="R115" s="153">
        <v>62500</v>
      </c>
      <c r="S115" s="184">
        <f t="shared" si="129"/>
        <v>0</v>
      </c>
      <c r="T115" s="182">
        <v>0</v>
      </c>
      <c r="U115" s="182">
        <v>40000</v>
      </c>
      <c r="V115" s="182">
        <v>0</v>
      </c>
      <c r="W115" s="182">
        <v>0</v>
      </c>
      <c r="X115" s="182">
        <v>0</v>
      </c>
      <c r="Y115" s="182">
        <v>0</v>
      </c>
      <c r="Z115" s="182">
        <v>10000</v>
      </c>
      <c r="AA115" s="182">
        <v>0</v>
      </c>
      <c r="AB115" s="182">
        <v>0</v>
      </c>
      <c r="AC115" s="182">
        <v>10700</v>
      </c>
      <c r="AD115" s="182">
        <v>1800</v>
      </c>
      <c r="AE115" s="182">
        <v>0</v>
      </c>
      <c r="AF115" s="153">
        <f t="shared" si="142"/>
        <v>0</v>
      </c>
      <c r="AG115" s="153">
        <f t="shared" si="143"/>
        <v>0</v>
      </c>
    </row>
    <row r="116" spans="1:33" x14ac:dyDescent="0.25">
      <c r="A116" s="144" t="s">
        <v>78</v>
      </c>
      <c r="B116" s="153">
        <v>5615755.9000000004</v>
      </c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>
        <f t="shared" si="194"/>
        <v>5615755.9000000004</v>
      </c>
      <c r="O116" s="153"/>
      <c r="P116" s="153">
        <f t="shared" si="192"/>
        <v>5283806.9775</v>
      </c>
      <c r="Q116" s="153">
        <f t="shared" si="193"/>
        <v>7045075.9700000007</v>
      </c>
      <c r="R116" s="153">
        <v>7045075.9700000007</v>
      </c>
      <c r="S116" s="184">
        <f t="shared" si="129"/>
        <v>0</v>
      </c>
      <c r="T116" s="182">
        <v>85825</v>
      </c>
      <c r="U116" s="182">
        <v>579872.5</v>
      </c>
      <c r="V116" s="182">
        <v>108078.75</v>
      </c>
      <c r="W116" s="182">
        <v>961999.14</v>
      </c>
      <c r="X116" s="182">
        <v>349854.6</v>
      </c>
      <c r="Y116" s="182">
        <v>1360150.98</v>
      </c>
      <c r="Z116" s="182">
        <v>454175</v>
      </c>
      <c r="AA116" s="182">
        <v>875445</v>
      </c>
      <c r="AB116" s="182">
        <v>461025</v>
      </c>
      <c r="AC116" s="182">
        <v>664960</v>
      </c>
      <c r="AD116" s="182">
        <v>720675</v>
      </c>
      <c r="AE116" s="182">
        <v>423015</v>
      </c>
      <c r="AF116" s="153">
        <f t="shared" si="142"/>
        <v>510523.26363636367</v>
      </c>
      <c r="AG116" s="153">
        <f t="shared" si="143"/>
        <v>-510523.26363636367</v>
      </c>
    </row>
    <row r="117" spans="1:33" x14ac:dyDescent="0.25">
      <c r="A117" s="144" t="s">
        <v>79</v>
      </c>
      <c r="B117" s="153">
        <v>9793.3799999999992</v>
      </c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>
        <f t="shared" si="194"/>
        <v>9793.3799999999992</v>
      </c>
      <c r="O117" s="153"/>
      <c r="P117" s="153">
        <f t="shared" si="192"/>
        <v>209819.31750000003</v>
      </c>
      <c r="Q117" s="153">
        <f t="shared" si="193"/>
        <v>279759.09000000003</v>
      </c>
      <c r="R117" s="153">
        <v>279759.09000000003</v>
      </c>
      <c r="S117" s="184">
        <f t="shared" si="129"/>
        <v>0</v>
      </c>
      <c r="T117" s="182">
        <v>26781.78</v>
      </c>
      <c r="U117" s="182">
        <v>27848.98</v>
      </c>
      <c r="V117" s="182">
        <v>17975.66</v>
      </c>
      <c r="W117" s="182">
        <v>19219.95</v>
      </c>
      <c r="X117" s="182">
        <v>22546.73</v>
      </c>
      <c r="Y117" s="182">
        <v>22323.95</v>
      </c>
      <c r="Z117" s="182">
        <v>27263.29</v>
      </c>
      <c r="AA117" s="182">
        <v>23494.07</v>
      </c>
      <c r="AB117" s="182">
        <v>23850.720000000001</v>
      </c>
      <c r="AC117" s="182">
        <v>18433.18</v>
      </c>
      <c r="AD117" s="182">
        <v>12973.45</v>
      </c>
      <c r="AE117" s="182">
        <v>37047.33</v>
      </c>
      <c r="AF117" s="153">
        <f t="shared" si="142"/>
        <v>890.30727272727268</v>
      </c>
      <c r="AG117" s="153">
        <f t="shared" si="143"/>
        <v>-890.30727272727268</v>
      </c>
    </row>
    <row r="118" spans="1:33" x14ac:dyDescent="0.25">
      <c r="A118" s="144" t="s">
        <v>80</v>
      </c>
      <c r="B118" s="153">
        <v>5219.17</v>
      </c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>
        <f t="shared" si="194"/>
        <v>5219.17</v>
      </c>
      <c r="O118" s="153"/>
      <c r="P118" s="153">
        <f t="shared" si="192"/>
        <v>39851.722500000003</v>
      </c>
      <c r="Q118" s="153">
        <f t="shared" si="193"/>
        <v>53135.63</v>
      </c>
      <c r="R118" s="153">
        <v>53135.63</v>
      </c>
      <c r="S118" s="184">
        <f t="shared" si="129"/>
        <v>0</v>
      </c>
      <c r="T118" s="182">
        <v>5348.08</v>
      </c>
      <c r="U118" s="182">
        <v>3319.45</v>
      </c>
      <c r="V118" s="182">
        <v>4134.66</v>
      </c>
      <c r="W118" s="182">
        <v>2672.3</v>
      </c>
      <c r="X118" s="182">
        <v>3055.3</v>
      </c>
      <c r="Y118" s="182">
        <v>3045.54</v>
      </c>
      <c r="Z118" s="182">
        <v>4022.15</v>
      </c>
      <c r="AA118" s="182">
        <v>6517.32</v>
      </c>
      <c r="AB118" s="182">
        <v>4329.42</v>
      </c>
      <c r="AC118" s="182">
        <v>5529.92</v>
      </c>
      <c r="AD118" s="182">
        <v>3482.32</v>
      </c>
      <c r="AE118" s="182">
        <v>7679.17</v>
      </c>
      <c r="AF118" s="153">
        <f t="shared" si="142"/>
        <v>474.47</v>
      </c>
      <c r="AG118" s="153">
        <f t="shared" si="143"/>
        <v>-474.47</v>
      </c>
    </row>
    <row r="119" spans="1:33" x14ac:dyDescent="0.25">
      <c r="A119" s="144" t="s">
        <v>81</v>
      </c>
      <c r="B119" s="153">
        <v>10806.14</v>
      </c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>
        <f t="shared" si="194"/>
        <v>10806.14</v>
      </c>
      <c r="O119" s="153"/>
      <c r="P119" s="153">
        <f t="shared" si="192"/>
        <v>275040.6225</v>
      </c>
      <c r="Q119" s="153">
        <f t="shared" si="193"/>
        <v>366720.82999999996</v>
      </c>
      <c r="R119" s="153">
        <v>366720.82999999996</v>
      </c>
      <c r="S119" s="184">
        <f t="shared" si="129"/>
        <v>0</v>
      </c>
      <c r="T119" s="182">
        <v>11966.67</v>
      </c>
      <c r="U119" s="182">
        <v>6875.97</v>
      </c>
      <c r="V119" s="182">
        <v>42473.86</v>
      </c>
      <c r="W119" s="182">
        <v>8332.3799999999992</v>
      </c>
      <c r="X119" s="182">
        <v>47717.82</v>
      </c>
      <c r="Y119" s="182">
        <v>14103.21</v>
      </c>
      <c r="Z119" s="182">
        <v>64030.9</v>
      </c>
      <c r="AA119" s="182">
        <v>12097.62</v>
      </c>
      <c r="AB119" s="182">
        <v>52150.96</v>
      </c>
      <c r="AC119" s="182">
        <v>13372.82</v>
      </c>
      <c r="AD119" s="182">
        <v>50469.61</v>
      </c>
      <c r="AE119" s="182">
        <v>43129.01</v>
      </c>
      <c r="AF119" s="153">
        <f t="shared" si="142"/>
        <v>982.37636363636364</v>
      </c>
      <c r="AG119" s="153">
        <f t="shared" si="143"/>
        <v>-982.37636363636364</v>
      </c>
    </row>
    <row r="120" spans="1:33" x14ac:dyDescent="0.25">
      <c r="A120" s="144" t="s">
        <v>603</v>
      </c>
      <c r="B120" s="153">
        <v>125</v>
      </c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>
        <f t="shared" si="194"/>
        <v>125</v>
      </c>
      <c r="O120" s="153"/>
      <c r="P120" s="153"/>
      <c r="Q120" s="153"/>
      <c r="R120" s="153"/>
      <c r="S120" s="184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2"/>
      <c r="AE120" s="182"/>
      <c r="AF120" s="153"/>
      <c r="AG120" s="153"/>
    </row>
    <row r="121" spans="1:33" x14ac:dyDescent="0.25">
      <c r="A121" s="144" t="s">
        <v>82</v>
      </c>
      <c r="B121" s="153">
        <v>-8226772.7000000002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>
        <f t="shared" si="194"/>
        <v>-8226772.7000000002</v>
      </c>
      <c r="O121" s="153"/>
      <c r="P121" s="153">
        <f t="shared" si="192"/>
        <v>-25091803.439999998</v>
      </c>
      <c r="Q121" s="153">
        <f t="shared" si="193"/>
        <v>-33455737.919999998</v>
      </c>
      <c r="R121" s="153">
        <v>-33455737.919999998</v>
      </c>
      <c r="S121" s="184">
        <f t="shared" si="129"/>
        <v>0</v>
      </c>
      <c r="T121" s="182">
        <v>-181274.6</v>
      </c>
      <c r="U121" s="182">
        <v>-14353247.48</v>
      </c>
      <c r="V121" s="182">
        <v>-865145</v>
      </c>
      <c r="W121" s="182">
        <v>-191768.9</v>
      </c>
      <c r="X121" s="182">
        <v>0</v>
      </c>
      <c r="Y121" s="182">
        <v>-4824560.62</v>
      </c>
      <c r="Z121" s="182">
        <v>-481109.16</v>
      </c>
      <c r="AA121" s="182">
        <v>-1464419.23</v>
      </c>
      <c r="AB121" s="182">
        <v>-3207158.47</v>
      </c>
      <c r="AC121" s="182">
        <v>-7212416.5499999998</v>
      </c>
      <c r="AD121" s="182">
        <v>-555999.32999999996</v>
      </c>
      <c r="AE121" s="182">
        <v>-118638.58</v>
      </c>
      <c r="AF121" s="153">
        <f t="shared" si="142"/>
        <v>-747888.42727272725</v>
      </c>
      <c r="AG121" s="153">
        <f t="shared" si="143"/>
        <v>747888.42727272725</v>
      </c>
    </row>
    <row r="122" spans="1:33" x14ac:dyDescent="0.25">
      <c r="A122" s="144" t="s">
        <v>83</v>
      </c>
      <c r="B122" s="153">
        <v>-14180.1</v>
      </c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>
        <f t="shared" si="194"/>
        <v>-14180.1</v>
      </c>
      <c r="O122" s="153"/>
      <c r="P122" s="153">
        <f t="shared" si="192"/>
        <v>-92600220.389999986</v>
      </c>
      <c r="Q122" s="153">
        <f t="shared" si="193"/>
        <v>-123466960.51999998</v>
      </c>
      <c r="R122" s="153">
        <v>-123466960.51999998</v>
      </c>
      <c r="S122" s="184">
        <f t="shared" si="129"/>
        <v>0</v>
      </c>
      <c r="T122" s="182">
        <v>-49890630.729999997</v>
      </c>
      <c r="U122" s="182">
        <v>-60452389.869999997</v>
      </c>
      <c r="V122" s="182">
        <v>-214404.86</v>
      </c>
      <c r="W122" s="182">
        <v>0</v>
      </c>
      <c r="X122" s="182">
        <v>-57992.4</v>
      </c>
      <c r="Y122" s="182">
        <v>-225137.37</v>
      </c>
      <c r="Z122" s="182">
        <v>-521496.35</v>
      </c>
      <c r="AA122" s="182">
        <v>-10192938.970000001</v>
      </c>
      <c r="AB122" s="182">
        <v>-826272.24</v>
      </c>
      <c r="AC122" s="182">
        <v>-723408.49</v>
      </c>
      <c r="AD122" s="182">
        <v>-111920</v>
      </c>
      <c r="AE122" s="182">
        <v>-250369.24</v>
      </c>
      <c r="AF122" s="153">
        <f t="shared" si="142"/>
        <v>-1289.1000000000001</v>
      </c>
      <c r="AG122" s="153">
        <f t="shared" si="143"/>
        <v>1289.1000000000001</v>
      </c>
    </row>
    <row r="123" spans="1:33" x14ac:dyDescent="0.25">
      <c r="A123" s="144" t="s">
        <v>84</v>
      </c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>
        <f t="shared" si="194"/>
        <v>0</v>
      </c>
      <c r="O123" s="153"/>
      <c r="P123" s="153">
        <f t="shared" si="192"/>
        <v>-33238.934999999998</v>
      </c>
      <c r="Q123" s="153">
        <f t="shared" si="193"/>
        <v>-44318.58</v>
      </c>
      <c r="R123" s="153">
        <v>-44318.58</v>
      </c>
      <c r="S123" s="184">
        <f t="shared" si="129"/>
        <v>0</v>
      </c>
      <c r="T123" s="182">
        <v>-13395</v>
      </c>
      <c r="U123" s="182">
        <v>-13570</v>
      </c>
      <c r="V123" s="182">
        <v>0</v>
      </c>
      <c r="W123" s="182">
        <v>0</v>
      </c>
      <c r="X123" s="182">
        <v>0</v>
      </c>
      <c r="Y123" s="182">
        <v>0</v>
      </c>
      <c r="Z123" s="182">
        <v>0</v>
      </c>
      <c r="AA123" s="182">
        <v>-8300</v>
      </c>
      <c r="AB123" s="182">
        <v>0</v>
      </c>
      <c r="AC123" s="182"/>
      <c r="AD123" s="182"/>
      <c r="AE123" s="182">
        <v>-9053.58</v>
      </c>
      <c r="AF123" s="153">
        <f t="shared" si="142"/>
        <v>0</v>
      </c>
      <c r="AG123" s="153">
        <f t="shared" si="143"/>
        <v>0</v>
      </c>
    </row>
    <row r="124" spans="1:33" x14ac:dyDescent="0.25">
      <c r="A124" s="144" t="s">
        <v>85</v>
      </c>
      <c r="B124" s="153">
        <v>-11410</v>
      </c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>
        <f t="shared" si="194"/>
        <v>-11410</v>
      </c>
      <c r="O124" s="153"/>
      <c r="P124" s="153">
        <f t="shared" si="192"/>
        <v>-44460</v>
      </c>
      <c r="Q124" s="153">
        <f t="shared" si="193"/>
        <v>-59280</v>
      </c>
      <c r="R124" s="153">
        <v>-59280</v>
      </c>
      <c r="S124" s="184">
        <f t="shared" si="129"/>
        <v>0</v>
      </c>
      <c r="T124" s="182">
        <v>0</v>
      </c>
      <c r="U124" s="182">
        <v>0</v>
      </c>
      <c r="V124" s="182">
        <v>0</v>
      </c>
      <c r="W124" s="182">
        <v>0</v>
      </c>
      <c r="X124" s="182">
        <v>0</v>
      </c>
      <c r="Y124" s="182">
        <v>-59280</v>
      </c>
      <c r="Z124" s="182">
        <v>0</v>
      </c>
      <c r="AA124" s="182">
        <v>0</v>
      </c>
      <c r="AB124" s="182">
        <v>0</v>
      </c>
      <c r="AC124" s="182"/>
      <c r="AD124" s="182"/>
      <c r="AE124" s="182">
        <v>0</v>
      </c>
      <c r="AF124" s="153">
        <f t="shared" si="142"/>
        <v>-1037.2727272727273</v>
      </c>
      <c r="AG124" s="153">
        <f t="shared" si="143"/>
        <v>1037.2727272727273</v>
      </c>
    </row>
    <row r="125" spans="1:33" hidden="1" x14ac:dyDescent="0.25">
      <c r="A125" s="144" t="s">
        <v>86</v>
      </c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>
        <f t="shared" si="194"/>
        <v>0</v>
      </c>
      <c r="O125" s="153"/>
      <c r="P125" s="153">
        <f t="shared" si="192"/>
        <v>0</v>
      </c>
      <c r="Q125" s="153">
        <f t="shared" si="193"/>
        <v>0</v>
      </c>
      <c r="R125" s="153">
        <v>0</v>
      </c>
      <c r="S125" s="184">
        <f t="shared" si="129"/>
        <v>0</v>
      </c>
      <c r="T125" s="182">
        <v>0</v>
      </c>
      <c r="U125" s="182">
        <v>0</v>
      </c>
      <c r="V125" s="182">
        <v>0</v>
      </c>
      <c r="W125" s="182">
        <v>0</v>
      </c>
      <c r="X125" s="182">
        <v>0</v>
      </c>
      <c r="Y125" s="182">
        <v>0</v>
      </c>
      <c r="Z125" s="182">
        <v>0</v>
      </c>
      <c r="AA125" s="182">
        <v>0</v>
      </c>
      <c r="AB125" s="182">
        <v>0</v>
      </c>
      <c r="AC125" s="182"/>
      <c r="AD125" s="182"/>
      <c r="AE125" s="182">
        <v>0</v>
      </c>
      <c r="AF125" s="153">
        <f t="shared" si="142"/>
        <v>0</v>
      </c>
      <c r="AG125" s="153">
        <f t="shared" si="143"/>
        <v>0</v>
      </c>
    </row>
    <row r="126" spans="1:33" x14ac:dyDescent="0.25">
      <c r="A126" s="144" t="s">
        <v>87</v>
      </c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>
        <f t="shared" si="194"/>
        <v>0</v>
      </c>
      <c r="O126" s="153"/>
      <c r="P126" s="153">
        <f t="shared" si="192"/>
        <v>-63.75</v>
      </c>
      <c r="Q126" s="153">
        <f t="shared" si="193"/>
        <v>-85</v>
      </c>
      <c r="R126" s="153">
        <v>-85</v>
      </c>
      <c r="S126" s="184">
        <f t="shared" si="129"/>
        <v>0</v>
      </c>
      <c r="T126" s="182">
        <v>0</v>
      </c>
      <c r="U126" s="182">
        <v>0</v>
      </c>
      <c r="V126" s="182">
        <v>0</v>
      </c>
      <c r="W126" s="182">
        <v>0</v>
      </c>
      <c r="X126" s="182">
        <v>0</v>
      </c>
      <c r="Y126" s="182">
        <v>0</v>
      </c>
      <c r="Z126" s="182">
        <v>0</v>
      </c>
      <c r="AA126" s="182">
        <v>-85</v>
      </c>
      <c r="AB126" s="182">
        <v>0</v>
      </c>
      <c r="AC126" s="182"/>
      <c r="AD126" s="182"/>
      <c r="AE126" s="182"/>
      <c r="AF126" s="153">
        <f t="shared" si="142"/>
        <v>0</v>
      </c>
      <c r="AG126" s="153">
        <f t="shared" si="143"/>
        <v>0</v>
      </c>
    </row>
    <row r="127" spans="1:33" x14ac:dyDescent="0.25">
      <c r="A127" s="144" t="s">
        <v>88</v>
      </c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>
        <f t="shared" si="194"/>
        <v>0</v>
      </c>
      <c r="O127" s="153"/>
      <c r="P127" s="153">
        <f t="shared" si="192"/>
        <v>-239621.25</v>
      </c>
      <c r="Q127" s="153">
        <f t="shared" si="193"/>
        <v>-319495</v>
      </c>
      <c r="R127" s="153">
        <v>-319495</v>
      </c>
      <c r="S127" s="184">
        <f t="shared" si="129"/>
        <v>0</v>
      </c>
      <c r="T127" s="182">
        <v>0</v>
      </c>
      <c r="U127" s="182">
        <v>0</v>
      </c>
      <c r="V127" s="182">
        <v>0</v>
      </c>
      <c r="W127" s="182">
        <v>-58450</v>
      </c>
      <c r="X127" s="182">
        <v>-38855</v>
      </c>
      <c r="Y127" s="182">
        <v>-113930</v>
      </c>
      <c r="Z127" s="182">
        <v>0</v>
      </c>
      <c r="AA127" s="182">
        <v>0</v>
      </c>
      <c r="AB127" s="182">
        <v>-2460</v>
      </c>
      <c r="AC127" s="182"/>
      <c r="AD127" s="182">
        <v>-100000</v>
      </c>
      <c r="AE127" s="182">
        <v>-5800</v>
      </c>
      <c r="AF127" s="153">
        <f t="shared" si="142"/>
        <v>0</v>
      </c>
      <c r="AG127" s="153">
        <f t="shared" si="143"/>
        <v>0</v>
      </c>
    </row>
    <row r="128" spans="1:33" x14ac:dyDescent="0.25">
      <c r="A128" s="144" t="s">
        <v>89</v>
      </c>
      <c r="B128" s="153">
        <v>270.17</v>
      </c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>
        <f t="shared" si="194"/>
        <v>270.17</v>
      </c>
      <c r="O128" s="153"/>
      <c r="P128" s="153">
        <f t="shared" si="192"/>
        <v>216950.08500000002</v>
      </c>
      <c r="Q128" s="153">
        <f t="shared" si="193"/>
        <v>289266.78000000003</v>
      </c>
      <c r="R128" s="153">
        <v>289266.78000000003</v>
      </c>
      <c r="S128" s="184">
        <f t="shared" si="129"/>
        <v>0</v>
      </c>
      <c r="T128" s="182">
        <v>0</v>
      </c>
      <c r="U128" s="182">
        <v>0</v>
      </c>
      <c r="V128" s="182">
        <v>0</v>
      </c>
      <c r="W128" s="182">
        <v>279000</v>
      </c>
      <c r="X128" s="182">
        <v>0</v>
      </c>
      <c r="Y128" s="182">
        <v>1845</v>
      </c>
      <c r="Z128" s="182">
        <v>1346.78</v>
      </c>
      <c r="AA128" s="182">
        <v>132.93</v>
      </c>
      <c r="AB128" s="182">
        <v>3076.12</v>
      </c>
      <c r="AC128" s="182">
        <v>336</v>
      </c>
      <c r="AD128" s="182">
        <v>2943.62</v>
      </c>
      <c r="AE128" s="182">
        <v>586.33000000000004</v>
      </c>
      <c r="AF128" s="153"/>
      <c r="AG128" s="153"/>
    </row>
    <row r="129" spans="1:33" x14ac:dyDescent="0.25">
      <c r="A129" s="144" t="s">
        <v>443</v>
      </c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>
        <f t="shared" si="194"/>
        <v>0</v>
      </c>
      <c r="O129" s="153"/>
      <c r="P129" s="153">
        <f t="shared" si="192"/>
        <v>9300</v>
      </c>
      <c r="Q129" s="153">
        <f t="shared" si="193"/>
        <v>12400</v>
      </c>
      <c r="R129" s="153">
        <v>12400</v>
      </c>
      <c r="S129" s="184">
        <f t="shared" si="129"/>
        <v>0</v>
      </c>
      <c r="T129" s="182">
        <v>0</v>
      </c>
      <c r="U129" s="182">
        <v>0</v>
      </c>
      <c r="V129" s="182">
        <v>0</v>
      </c>
      <c r="W129" s="182">
        <v>0</v>
      </c>
      <c r="X129" s="182">
        <v>0</v>
      </c>
      <c r="Y129" s="182">
        <v>0</v>
      </c>
      <c r="Z129" s="182">
        <v>0</v>
      </c>
      <c r="AA129" s="182">
        <v>3720</v>
      </c>
      <c r="AB129" s="182">
        <v>3720</v>
      </c>
      <c r="AC129" s="182"/>
      <c r="AD129" s="182">
        <v>0</v>
      </c>
      <c r="AE129" s="182">
        <v>4960</v>
      </c>
      <c r="AF129" s="153"/>
    </row>
    <row r="130" spans="1:33" x14ac:dyDescent="0.25">
      <c r="A130" s="144" t="s">
        <v>90</v>
      </c>
      <c r="B130" s="153">
        <v>1580782.44</v>
      </c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>
        <f t="shared" si="194"/>
        <v>1580782.44</v>
      </c>
      <c r="O130" s="153"/>
      <c r="P130" s="153">
        <f t="shared" si="192"/>
        <v>7768463.835</v>
      </c>
      <c r="Q130" s="153">
        <f t="shared" si="193"/>
        <v>10357951.779999999</v>
      </c>
      <c r="R130" s="153">
        <v>10357951.779999999</v>
      </c>
      <c r="S130" s="184">
        <f t="shared" si="129"/>
        <v>0</v>
      </c>
      <c r="T130" s="182">
        <v>0</v>
      </c>
      <c r="U130" s="182">
        <v>0</v>
      </c>
      <c r="V130" s="182">
        <v>0</v>
      </c>
      <c r="W130" s="182">
        <v>13312.5</v>
      </c>
      <c r="X130" s="182">
        <v>0</v>
      </c>
      <c r="Y130" s="182">
        <v>0</v>
      </c>
      <c r="Z130" s="182">
        <v>160130</v>
      </c>
      <c r="AA130" s="182">
        <v>231818.9</v>
      </c>
      <c r="AB130" s="182">
        <v>2021243.69</v>
      </c>
      <c r="AC130" s="182">
        <v>1627165.6</v>
      </c>
      <c r="AD130" s="182">
        <v>3275736.56</v>
      </c>
      <c r="AE130" s="182">
        <v>3028544.53</v>
      </c>
      <c r="AF130" s="153"/>
      <c r="AG130" s="153"/>
    </row>
    <row r="131" spans="1:33" x14ac:dyDescent="0.25">
      <c r="A131" s="144" t="s">
        <v>577</v>
      </c>
      <c r="B131" s="153">
        <v>35003.800000000003</v>
      </c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>
        <f t="shared" si="194"/>
        <v>35003.800000000003</v>
      </c>
      <c r="O131" s="153"/>
      <c r="P131" s="153"/>
      <c r="Q131" s="153"/>
      <c r="R131" s="153"/>
      <c r="S131" s="184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82"/>
      <c r="AE131" s="182"/>
      <c r="AF131" s="153"/>
      <c r="AG131" s="153"/>
    </row>
    <row r="132" spans="1:33" x14ac:dyDescent="0.25">
      <c r="A132" s="144" t="s">
        <v>444</v>
      </c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>
        <f t="shared" si="194"/>
        <v>0</v>
      </c>
      <c r="O132" s="153"/>
      <c r="P132" s="153">
        <f t="shared" si="192"/>
        <v>-194820</v>
      </c>
      <c r="Q132" s="153">
        <f t="shared" si="193"/>
        <v>-259760</v>
      </c>
      <c r="R132" s="153">
        <v>-259760</v>
      </c>
      <c r="S132" s="184">
        <f t="shared" si="129"/>
        <v>0</v>
      </c>
      <c r="T132" s="182">
        <v>0</v>
      </c>
      <c r="U132" s="182">
        <v>0</v>
      </c>
      <c r="V132" s="182">
        <v>0</v>
      </c>
      <c r="W132" s="182">
        <v>0</v>
      </c>
      <c r="X132" s="182">
        <v>0</v>
      </c>
      <c r="Y132" s="182">
        <v>0</v>
      </c>
      <c r="Z132" s="182">
        <v>0</v>
      </c>
      <c r="AA132" s="182">
        <v>-96720</v>
      </c>
      <c r="AB132" s="182">
        <v>0</v>
      </c>
      <c r="AC132" s="182">
        <v>-17990</v>
      </c>
      <c r="AD132" s="182">
        <v>-145050</v>
      </c>
      <c r="AE132" s="182">
        <v>0</v>
      </c>
      <c r="AF132" s="153"/>
    </row>
    <row r="133" spans="1:33" s="152" customFormat="1" ht="15.75" thickBot="1" x14ac:dyDescent="0.3">
      <c r="A133" s="152" t="s">
        <v>91</v>
      </c>
      <c r="B133" s="171">
        <f>SUM(B108:B132)</f>
        <v>501679032.42000002</v>
      </c>
      <c r="C133" s="171">
        <f t="shared" ref="C133:Q133" si="195">SUM(C108:C132)</f>
        <v>0</v>
      </c>
      <c r="D133" s="171">
        <f>SUM(D108:D132)</f>
        <v>0</v>
      </c>
      <c r="E133" s="171">
        <f t="shared" si="195"/>
        <v>0</v>
      </c>
      <c r="F133" s="171">
        <f t="shared" si="195"/>
        <v>0</v>
      </c>
      <c r="G133" s="171">
        <f t="shared" si="195"/>
        <v>0</v>
      </c>
      <c r="H133" s="171">
        <f t="shared" si="195"/>
        <v>0</v>
      </c>
      <c r="I133" s="171">
        <f t="shared" si="195"/>
        <v>0</v>
      </c>
      <c r="J133" s="171">
        <f t="shared" si="195"/>
        <v>0</v>
      </c>
      <c r="K133" s="171">
        <f t="shared" si="195"/>
        <v>0</v>
      </c>
      <c r="L133" s="171">
        <f t="shared" si="195"/>
        <v>0</v>
      </c>
      <c r="M133" s="171">
        <f>SUM(M108:M132)</f>
        <v>0</v>
      </c>
      <c r="N133" s="171">
        <f t="shared" si="195"/>
        <v>501679032.42000002</v>
      </c>
      <c r="O133" s="171"/>
      <c r="P133" s="171">
        <f>SUM(P108:P132)</f>
        <v>3514720106.9100003</v>
      </c>
      <c r="Q133" s="171">
        <f t="shared" si="195"/>
        <v>4686293475.8800011</v>
      </c>
      <c r="R133" s="171">
        <v>4686293475.8800011</v>
      </c>
      <c r="S133" s="184">
        <f t="shared" si="129"/>
        <v>0</v>
      </c>
      <c r="T133" s="196">
        <f>SUM(T108:T130)</f>
        <v>585390331.26999998</v>
      </c>
      <c r="U133" s="196">
        <f t="shared" ref="U133:X133" si="196">SUM(U108:U130)</f>
        <v>1326689266.1400003</v>
      </c>
      <c r="V133" s="196">
        <f t="shared" si="196"/>
        <v>408656079.10000008</v>
      </c>
      <c r="W133" s="196">
        <f t="shared" si="196"/>
        <v>144970183.93999997</v>
      </c>
      <c r="X133" s="196">
        <f t="shared" si="196"/>
        <v>212486331.58999997</v>
      </c>
      <c r="Y133" s="196">
        <f>SUM(Y108:Y130)</f>
        <v>356304878.60000002</v>
      </c>
      <c r="Z133" s="196">
        <f t="shared" ref="Z133" si="197">SUM(Z108:Z130)</f>
        <v>291633650.12999988</v>
      </c>
      <c r="AA133" s="196">
        <f t="shared" ref="AA133:AE133" si="198">SUM(AA108:AA132)</f>
        <v>454424681.87999988</v>
      </c>
      <c r="AB133" s="196">
        <f t="shared" si="198"/>
        <v>336551715.46000004</v>
      </c>
      <c r="AC133" s="196">
        <f t="shared" si="198"/>
        <v>150302029.94999993</v>
      </c>
      <c r="AD133" s="196">
        <f t="shared" si="198"/>
        <v>225684099.08999997</v>
      </c>
      <c r="AE133" s="196">
        <f t="shared" si="198"/>
        <v>193200228.72999996</v>
      </c>
      <c r="AF133" s="171">
        <f t="shared" si="142"/>
        <v>45607184.765454546</v>
      </c>
      <c r="AG133" s="171">
        <f t="shared" si="143"/>
        <v>-45607184.765454546</v>
      </c>
    </row>
    <row r="134" spans="1:33" ht="15.75" thickTop="1" x14ac:dyDescent="0.25"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84">
        <f t="shared" si="129"/>
        <v>0</v>
      </c>
      <c r="U134" s="182"/>
      <c r="V134" s="182"/>
      <c r="W134" s="182"/>
      <c r="X134" s="182"/>
      <c r="Y134" s="182"/>
      <c r="Z134" s="182"/>
      <c r="AA134" s="182"/>
      <c r="AB134" s="182"/>
      <c r="AC134" s="182"/>
      <c r="AD134" s="182"/>
      <c r="AE134" s="182"/>
      <c r="AF134" s="153">
        <f t="shared" si="142"/>
        <v>0</v>
      </c>
      <c r="AG134" s="153">
        <f t="shared" si="143"/>
        <v>0</v>
      </c>
    </row>
    <row r="135" spans="1:33" x14ac:dyDescent="0.25">
      <c r="A135" s="144" t="s">
        <v>92</v>
      </c>
      <c r="B135" s="153">
        <v>-10052.25</v>
      </c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>
        <f t="shared" ref="N135:N183" si="199">SUM(B135:M135)</f>
        <v>-10052.25</v>
      </c>
      <c r="O135" s="153"/>
      <c r="P135" s="153">
        <f t="shared" ref="P135:P166" si="200">Q135/12*$P$3</f>
        <v>-19776.202499999999</v>
      </c>
      <c r="Q135" s="153">
        <f>R135</f>
        <v>-26368.269999999997</v>
      </c>
      <c r="R135" s="153">
        <v>-26368.269999999997</v>
      </c>
      <c r="S135" s="184">
        <f t="shared" si="129"/>
        <v>0</v>
      </c>
      <c r="T135" s="182">
        <v>-3595.4</v>
      </c>
      <c r="U135" s="182">
        <v>-2471.31</v>
      </c>
      <c r="V135" s="182">
        <v>-4621.22</v>
      </c>
      <c r="W135" s="182">
        <v>-5799.91</v>
      </c>
      <c r="X135" s="182">
        <v>-1360.64</v>
      </c>
      <c r="Y135" s="182">
        <v>-1536.21</v>
      </c>
      <c r="Z135" s="182">
        <v>-2242.15</v>
      </c>
      <c r="AA135" s="182">
        <v>-4335.7700000000004</v>
      </c>
      <c r="AB135" s="182">
        <v>-2948.83</v>
      </c>
      <c r="AC135" s="182">
        <v>-5190.07</v>
      </c>
      <c r="AD135" s="182">
        <v>1017.16</v>
      </c>
      <c r="AE135" s="182">
        <v>6716.08</v>
      </c>
      <c r="AF135" s="153">
        <f t="shared" si="142"/>
        <v>-913.84090909090912</v>
      </c>
      <c r="AG135" s="153">
        <f t="shared" si="143"/>
        <v>913.84090909090912</v>
      </c>
    </row>
    <row r="136" spans="1:33" x14ac:dyDescent="0.25">
      <c r="A136" s="144" t="s">
        <v>93</v>
      </c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>
        <f t="shared" si="199"/>
        <v>0</v>
      </c>
      <c r="O136" s="153"/>
      <c r="P136" s="153">
        <f t="shared" si="200"/>
        <v>0</v>
      </c>
      <c r="Q136" s="153">
        <f t="shared" ref="Q136:Q201" si="201">R136</f>
        <v>0</v>
      </c>
      <c r="R136" s="153">
        <v>0</v>
      </c>
      <c r="S136" s="184">
        <f t="shared" si="129"/>
        <v>0</v>
      </c>
      <c r="T136" s="182">
        <v>0</v>
      </c>
      <c r="U136" s="182">
        <v>0</v>
      </c>
      <c r="V136" s="182">
        <v>0</v>
      </c>
      <c r="W136" s="182"/>
      <c r="X136" s="182">
        <v>0</v>
      </c>
      <c r="Y136" s="182">
        <v>0</v>
      </c>
      <c r="Z136" s="182">
        <v>0</v>
      </c>
      <c r="AA136" s="182">
        <v>0</v>
      </c>
      <c r="AB136" s="182">
        <v>0</v>
      </c>
      <c r="AC136" s="182"/>
      <c r="AD136" s="182"/>
      <c r="AE136" s="182"/>
      <c r="AF136" s="153">
        <f t="shared" si="142"/>
        <v>0</v>
      </c>
      <c r="AG136" s="153">
        <f t="shared" si="143"/>
        <v>0</v>
      </c>
    </row>
    <row r="137" spans="1:33" x14ac:dyDescent="0.25">
      <c r="A137" s="144" t="s">
        <v>458</v>
      </c>
      <c r="B137" s="153">
        <v>5762228.0499999998</v>
      </c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>
        <f t="shared" si="199"/>
        <v>5762228.0499999998</v>
      </c>
      <c r="O137" s="153"/>
      <c r="P137" s="153">
        <f t="shared" si="200"/>
        <v>14394351.150000002</v>
      </c>
      <c r="Q137" s="153">
        <f t="shared" si="201"/>
        <v>19192468.200000003</v>
      </c>
      <c r="R137" s="153">
        <v>19192468.200000003</v>
      </c>
      <c r="S137" s="184">
        <f t="shared" si="129"/>
        <v>0</v>
      </c>
      <c r="U137" s="182"/>
      <c r="V137" s="182"/>
      <c r="W137" s="182"/>
      <c r="X137" s="182"/>
      <c r="Y137" s="182"/>
      <c r="Z137" s="182"/>
      <c r="AA137" s="182"/>
      <c r="AB137" s="182">
        <v>15588272.5</v>
      </c>
      <c r="AC137" s="182">
        <v>1472539.23</v>
      </c>
      <c r="AD137" s="182">
        <v>250102.1</v>
      </c>
      <c r="AE137" s="182">
        <v>1881554.37</v>
      </c>
      <c r="AF137" s="153"/>
      <c r="AG137" s="153"/>
    </row>
    <row r="138" spans="1:33" x14ac:dyDescent="0.25">
      <c r="A138" s="144" t="s">
        <v>459</v>
      </c>
      <c r="B138" s="153">
        <v>2612532.7000000002</v>
      </c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>
        <f t="shared" si="199"/>
        <v>2612532.7000000002</v>
      </c>
      <c r="O138" s="153"/>
      <c r="P138" s="153">
        <f t="shared" si="200"/>
        <v>-6943718.5425000004</v>
      </c>
      <c r="Q138" s="153">
        <f t="shared" si="201"/>
        <v>-9258291.3900000006</v>
      </c>
      <c r="R138" s="153">
        <v>-9258291.3900000006</v>
      </c>
      <c r="S138" s="184">
        <f t="shared" ref="S138:S203" si="202">R138-SUM(T138:AE138)</f>
        <v>0</v>
      </c>
      <c r="U138" s="182"/>
      <c r="V138" s="182"/>
      <c r="W138" s="182"/>
      <c r="X138" s="182"/>
      <c r="Y138" s="182"/>
      <c r="Z138" s="182"/>
      <c r="AA138" s="182"/>
      <c r="AB138" s="182">
        <v>-6396769.0099999998</v>
      </c>
      <c r="AC138" s="182">
        <v>4760717.22</v>
      </c>
      <c r="AD138" s="182">
        <v>-2945718.42</v>
      </c>
      <c r="AE138" s="182">
        <v>-4676521.18</v>
      </c>
      <c r="AF138" s="153"/>
      <c r="AG138" s="153"/>
    </row>
    <row r="139" spans="1:33" x14ac:dyDescent="0.25">
      <c r="A139" s="144" t="s">
        <v>460</v>
      </c>
      <c r="B139" s="153">
        <v>124326.35</v>
      </c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>
        <f t="shared" si="199"/>
        <v>124326.35</v>
      </c>
      <c r="O139" s="153"/>
      <c r="P139" s="153">
        <f t="shared" si="200"/>
        <v>-605909.25750000007</v>
      </c>
      <c r="Q139" s="153">
        <f t="shared" si="201"/>
        <v>-807879.01</v>
      </c>
      <c r="R139" s="153">
        <v>-807879.01</v>
      </c>
      <c r="S139" s="184">
        <f t="shared" si="202"/>
        <v>0</v>
      </c>
      <c r="U139" s="182"/>
      <c r="V139" s="182"/>
      <c r="W139" s="182"/>
      <c r="X139" s="182"/>
      <c r="Y139" s="182"/>
      <c r="Z139" s="182"/>
      <c r="AA139" s="182"/>
      <c r="AB139" s="182">
        <v>-689871.66</v>
      </c>
      <c r="AC139" s="182">
        <v>12519.79</v>
      </c>
      <c r="AD139" s="182">
        <v>162218.01</v>
      </c>
      <c r="AE139" s="182">
        <v>-292745.15000000002</v>
      </c>
      <c r="AF139" s="153"/>
      <c r="AG139" s="153"/>
    </row>
    <row r="140" spans="1:33" x14ac:dyDescent="0.25">
      <c r="A140" s="144" t="s">
        <v>461</v>
      </c>
      <c r="B140" s="153">
        <v>-1000305.16</v>
      </c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>
        <f t="shared" si="199"/>
        <v>-1000305.16</v>
      </c>
      <c r="O140" s="153"/>
      <c r="P140" s="153">
        <f t="shared" si="200"/>
        <v>-147888.33749999997</v>
      </c>
      <c r="Q140" s="153">
        <f t="shared" si="201"/>
        <v>-197184.44999999995</v>
      </c>
      <c r="R140" s="153">
        <v>-197184.44999999995</v>
      </c>
      <c r="S140" s="184">
        <f t="shared" si="202"/>
        <v>0</v>
      </c>
      <c r="U140" s="182"/>
      <c r="V140" s="182"/>
      <c r="W140" s="182"/>
      <c r="X140" s="182"/>
      <c r="Y140" s="182"/>
      <c r="Z140" s="182"/>
      <c r="AA140" s="182"/>
      <c r="AB140" s="182">
        <v>-374194.7</v>
      </c>
      <c r="AC140" s="182">
        <v>54321.4</v>
      </c>
      <c r="AD140" s="182">
        <v>-8364.91</v>
      </c>
      <c r="AE140" s="182">
        <v>131053.75999999999</v>
      </c>
      <c r="AF140" s="153"/>
      <c r="AG140" s="153"/>
    </row>
    <row r="141" spans="1:33" x14ac:dyDescent="0.25">
      <c r="A141" s="144" t="s">
        <v>462</v>
      </c>
      <c r="B141" s="153">
        <v>-163519.85</v>
      </c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>
        <f t="shared" si="199"/>
        <v>-163519.85</v>
      </c>
      <c r="O141" s="153"/>
      <c r="P141" s="153">
        <f t="shared" si="200"/>
        <v>-27937.747500000001</v>
      </c>
      <c r="Q141" s="153">
        <f t="shared" si="201"/>
        <v>-37250.33</v>
      </c>
      <c r="R141" s="153">
        <v>-37250.33</v>
      </c>
      <c r="S141" s="184">
        <f t="shared" si="202"/>
        <v>0</v>
      </c>
      <c r="U141" s="182"/>
      <c r="V141" s="182"/>
      <c r="W141" s="182"/>
      <c r="X141" s="182"/>
      <c r="Y141" s="182"/>
      <c r="Z141" s="182"/>
      <c r="AA141" s="182"/>
      <c r="AB141" s="182">
        <v>-38467.15</v>
      </c>
      <c r="AC141" s="182">
        <v>-6789.17</v>
      </c>
      <c r="AD141" s="182">
        <v>-9793.51</v>
      </c>
      <c r="AE141" s="182">
        <v>17799.5</v>
      </c>
      <c r="AF141" s="153"/>
      <c r="AG141" s="153"/>
    </row>
    <row r="142" spans="1:33" x14ac:dyDescent="0.25">
      <c r="A142" s="144" t="s">
        <v>94</v>
      </c>
      <c r="B142" s="153">
        <v>142255478.09999999</v>
      </c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>
        <f t="shared" si="199"/>
        <v>142255478.09999999</v>
      </c>
      <c r="O142" s="153"/>
      <c r="P142" s="153">
        <f t="shared" si="200"/>
        <v>906857930.61750007</v>
      </c>
      <c r="Q142" s="153">
        <f t="shared" si="201"/>
        <v>1209143907.49</v>
      </c>
      <c r="R142" s="153">
        <v>1209143907.49</v>
      </c>
      <c r="S142" s="184">
        <f t="shared" si="202"/>
        <v>0</v>
      </c>
      <c r="T142" s="182">
        <v>155441266.31</v>
      </c>
      <c r="U142" s="182">
        <v>109044152.26000001</v>
      </c>
      <c r="V142" s="182">
        <v>100539266.20999999</v>
      </c>
      <c r="W142" s="182">
        <v>91915243.909999996</v>
      </c>
      <c r="X142" s="182">
        <v>94245288.590000004</v>
      </c>
      <c r="Y142" s="182">
        <v>92942665.650000006</v>
      </c>
      <c r="Z142" s="182">
        <v>124203449.56999999</v>
      </c>
      <c r="AA142" s="182">
        <v>128282249.83</v>
      </c>
      <c r="AB142" s="182">
        <v>93706532.980000004</v>
      </c>
      <c r="AC142" s="182">
        <v>82976594.870000005</v>
      </c>
      <c r="AD142" s="182">
        <v>78235202.469999999</v>
      </c>
      <c r="AE142" s="182">
        <v>57611994.840000004</v>
      </c>
      <c r="AF142" s="153">
        <f t="shared" si="142"/>
        <v>12932316.19090909</v>
      </c>
      <c r="AG142" s="153">
        <f t="shared" si="143"/>
        <v>-12932316.19090909</v>
      </c>
    </row>
    <row r="143" spans="1:33" x14ac:dyDescent="0.25">
      <c r="A143" s="144" t="s">
        <v>95</v>
      </c>
      <c r="B143" s="153">
        <v>327797519.86000001</v>
      </c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>
        <f t="shared" si="199"/>
        <v>327797519.86000001</v>
      </c>
      <c r="O143" s="153"/>
      <c r="P143" s="153">
        <f t="shared" si="200"/>
        <v>2623000290.5474997</v>
      </c>
      <c r="Q143" s="153">
        <f t="shared" si="201"/>
        <v>3497333720.7299995</v>
      </c>
      <c r="R143" s="153">
        <v>3497333720.7299995</v>
      </c>
      <c r="S143" s="184">
        <f t="shared" si="202"/>
        <v>0</v>
      </c>
      <c r="T143" s="182">
        <v>422458884.52999997</v>
      </c>
      <c r="U143" s="182">
        <v>1215702481.6500001</v>
      </c>
      <c r="V143" s="182">
        <v>305866481.80000001</v>
      </c>
      <c r="W143" s="182">
        <v>46984540.060000002</v>
      </c>
      <c r="X143" s="182">
        <v>116527400.42</v>
      </c>
      <c r="Y143" s="182">
        <v>262829543.78999999</v>
      </c>
      <c r="Z143" s="182">
        <v>170093292.22</v>
      </c>
      <c r="AA143" s="182">
        <v>328155648.12</v>
      </c>
      <c r="AB143" s="182">
        <v>244306582.47999999</v>
      </c>
      <c r="AC143" s="182">
        <v>118310445.38</v>
      </c>
      <c r="AD143" s="182">
        <v>141465570.94999999</v>
      </c>
      <c r="AE143" s="182">
        <v>124632849.33</v>
      </c>
      <c r="AF143" s="153">
        <f t="shared" si="142"/>
        <v>29799774.532727275</v>
      </c>
      <c r="AG143" s="153">
        <f t="shared" si="143"/>
        <v>-29799774.532727275</v>
      </c>
    </row>
    <row r="144" spans="1:33" x14ac:dyDescent="0.25">
      <c r="A144" s="144" t="s">
        <v>96</v>
      </c>
      <c r="B144" s="153">
        <v>1822789.13</v>
      </c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>
        <f t="shared" si="199"/>
        <v>1822789.13</v>
      </c>
      <c r="O144" s="153"/>
      <c r="P144" s="153">
        <f t="shared" si="200"/>
        <v>12400239.247500002</v>
      </c>
      <c r="Q144" s="153">
        <f t="shared" si="201"/>
        <v>16533652.330000002</v>
      </c>
      <c r="R144" s="153">
        <v>16533652.330000002</v>
      </c>
      <c r="S144" s="184">
        <f t="shared" si="202"/>
        <v>0</v>
      </c>
      <c r="T144" s="182">
        <v>2776246.68</v>
      </c>
      <c r="U144" s="182">
        <v>2484320.38</v>
      </c>
      <c r="V144" s="182">
        <v>617771.9</v>
      </c>
      <c r="W144" s="182">
        <v>1936970.97</v>
      </c>
      <c r="X144" s="182">
        <v>2008716.84</v>
      </c>
      <c r="Y144" s="182">
        <v>489895.91</v>
      </c>
      <c r="Z144" s="182">
        <v>1072423.6100000001</v>
      </c>
      <c r="AA144" s="182">
        <v>1487745.77</v>
      </c>
      <c r="AB144" s="182">
        <v>330283.58</v>
      </c>
      <c r="AC144" s="182">
        <v>212260.13</v>
      </c>
      <c r="AD144" s="182">
        <v>1950809.67</v>
      </c>
      <c r="AE144" s="182">
        <v>1166206.8899999999</v>
      </c>
      <c r="AF144" s="153">
        <f t="shared" si="142"/>
        <v>165708.10272727272</v>
      </c>
      <c r="AG144" s="153">
        <f t="shared" si="143"/>
        <v>-165708.10272727272</v>
      </c>
    </row>
    <row r="145" spans="1:33" x14ac:dyDescent="0.25">
      <c r="A145" s="144" t="s">
        <v>97</v>
      </c>
      <c r="B145" s="153">
        <v>19218639.629999999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>
        <f t="shared" si="199"/>
        <v>19218639.629999999</v>
      </c>
      <c r="O145" s="153"/>
      <c r="P145" s="153">
        <f t="shared" si="200"/>
        <v>16045213.777500002</v>
      </c>
      <c r="Q145" s="153">
        <f t="shared" si="201"/>
        <v>21393618.370000001</v>
      </c>
      <c r="R145" s="153">
        <v>21393618.370000001</v>
      </c>
      <c r="S145" s="184">
        <f t="shared" si="202"/>
        <v>0</v>
      </c>
      <c r="T145" s="182">
        <v>3078499.21</v>
      </c>
      <c r="U145" s="182">
        <v>1513901.47</v>
      </c>
      <c r="V145" s="182">
        <v>1441767.82</v>
      </c>
      <c r="W145" s="182">
        <v>2113636.39</v>
      </c>
      <c r="X145" s="182">
        <v>844764.25</v>
      </c>
      <c r="Y145" s="182">
        <v>760350.9</v>
      </c>
      <c r="Z145" s="182">
        <v>520958.08</v>
      </c>
      <c r="AA145" s="182">
        <v>746076.51</v>
      </c>
      <c r="AB145" s="182">
        <v>593567</v>
      </c>
      <c r="AC145" s="182">
        <v>2796158.3</v>
      </c>
      <c r="AD145" s="182">
        <v>1671669.22</v>
      </c>
      <c r="AE145" s="182">
        <v>5312269.22</v>
      </c>
      <c r="AF145" s="153">
        <f t="shared" si="142"/>
        <v>1747149.0572727271</v>
      </c>
      <c r="AG145" s="153">
        <f t="shared" si="143"/>
        <v>-1747149.0572727271</v>
      </c>
    </row>
    <row r="146" spans="1:33" x14ac:dyDescent="0.25">
      <c r="A146" s="144" t="s">
        <v>98</v>
      </c>
      <c r="B146" s="153">
        <v>-0.93</v>
      </c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>
        <f t="shared" si="199"/>
        <v>-0.93</v>
      </c>
      <c r="O146" s="153"/>
      <c r="P146" s="153">
        <f t="shared" si="200"/>
        <v>8307.1125000000011</v>
      </c>
      <c r="Q146" s="153">
        <f t="shared" si="201"/>
        <v>11076.150000000001</v>
      </c>
      <c r="R146" s="153">
        <v>11076.150000000001</v>
      </c>
      <c r="S146" s="184">
        <f t="shared" si="202"/>
        <v>0</v>
      </c>
      <c r="T146" s="182">
        <v>0</v>
      </c>
      <c r="U146" s="182">
        <v>0</v>
      </c>
      <c r="V146" s="182">
        <v>0</v>
      </c>
      <c r="W146" s="182">
        <v>0</v>
      </c>
      <c r="X146" s="182">
        <v>72</v>
      </c>
      <c r="Y146" s="182">
        <v>0</v>
      </c>
      <c r="Z146" s="182">
        <v>72</v>
      </c>
      <c r="AA146" s="182">
        <v>198</v>
      </c>
      <c r="AB146" s="182">
        <v>396</v>
      </c>
      <c r="AC146" s="182">
        <v>107.2</v>
      </c>
      <c r="AD146" s="182">
        <v>630</v>
      </c>
      <c r="AE146" s="182">
        <v>9600.9500000000007</v>
      </c>
      <c r="AF146" s="153">
        <f t="shared" si="142"/>
        <v>-8.4545454545454549E-2</v>
      </c>
      <c r="AG146" s="153">
        <f t="shared" si="143"/>
        <v>8.4545454545454549E-2</v>
      </c>
    </row>
    <row r="147" spans="1:33" x14ac:dyDescent="0.25">
      <c r="A147" s="144" t="s">
        <v>99</v>
      </c>
      <c r="B147" s="153">
        <v>24441.759999999998</v>
      </c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>
        <f t="shared" si="199"/>
        <v>24441.759999999998</v>
      </c>
      <c r="O147" s="153"/>
      <c r="P147" s="153">
        <f t="shared" si="200"/>
        <v>335508.32999999996</v>
      </c>
      <c r="Q147" s="153">
        <f t="shared" si="201"/>
        <v>447344.44</v>
      </c>
      <c r="R147" s="153">
        <v>447344.44</v>
      </c>
      <c r="S147" s="184">
        <f t="shared" si="202"/>
        <v>0</v>
      </c>
      <c r="T147" s="182">
        <v>47744.73</v>
      </c>
      <c r="U147" s="182">
        <v>40318.61</v>
      </c>
      <c r="V147" s="182">
        <v>53566.29</v>
      </c>
      <c r="W147" s="182">
        <v>-3427.84</v>
      </c>
      <c r="X147" s="182">
        <v>5808.03</v>
      </c>
      <c r="Y147" s="182">
        <v>11225.63</v>
      </c>
      <c r="Z147" s="182">
        <v>11757.35</v>
      </c>
      <c r="AA147" s="182">
        <v>2887.52</v>
      </c>
      <c r="AB147" s="182">
        <v>5270.91</v>
      </c>
      <c r="AC147" s="182">
        <v>20141.43</v>
      </c>
      <c r="AD147" s="182">
        <v>34705.21</v>
      </c>
      <c r="AE147" s="182">
        <v>217346.57</v>
      </c>
      <c r="AF147" s="153">
        <f t="shared" si="142"/>
        <v>2221.9781818181818</v>
      </c>
      <c r="AG147" s="153">
        <f t="shared" si="143"/>
        <v>-2221.9781818181818</v>
      </c>
    </row>
    <row r="148" spans="1:33" x14ac:dyDescent="0.25">
      <c r="A148" s="144" t="s">
        <v>100</v>
      </c>
      <c r="B148" s="153">
        <v>5172446.9000000004</v>
      </c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>
        <f t="shared" si="199"/>
        <v>5172446.9000000004</v>
      </c>
      <c r="O148" s="153"/>
      <c r="P148" s="153">
        <f t="shared" si="200"/>
        <v>4771766.4749999996</v>
      </c>
      <c r="Q148" s="153">
        <f t="shared" si="201"/>
        <v>6362355.2999999989</v>
      </c>
      <c r="R148" s="153">
        <v>6362355.2999999989</v>
      </c>
      <c r="S148" s="184">
        <f t="shared" si="202"/>
        <v>0</v>
      </c>
      <c r="T148" s="182">
        <v>82580.429999999993</v>
      </c>
      <c r="U148" s="182">
        <v>556415.63</v>
      </c>
      <c r="V148" s="182">
        <v>104546.19</v>
      </c>
      <c r="W148" s="182">
        <v>891459.31</v>
      </c>
      <c r="X148" s="182">
        <v>309417.95</v>
      </c>
      <c r="Y148" s="182">
        <v>1066421.99</v>
      </c>
      <c r="Z148" s="182">
        <v>438557.16</v>
      </c>
      <c r="AA148" s="182">
        <v>839710.44</v>
      </c>
      <c r="AB148" s="182">
        <v>439830.71</v>
      </c>
      <c r="AC148" s="182">
        <v>651036.23</v>
      </c>
      <c r="AD148" s="182">
        <v>611668.13</v>
      </c>
      <c r="AE148" s="182">
        <v>370711.13</v>
      </c>
      <c r="AF148" s="153">
        <f t="shared" si="142"/>
        <v>470222.44545454549</v>
      </c>
      <c r="AG148" s="153">
        <f t="shared" si="143"/>
        <v>-470222.44545454549</v>
      </c>
    </row>
    <row r="149" spans="1:33" x14ac:dyDescent="0.25">
      <c r="A149" s="144" t="s">
        <v>101</v>
      </c>
      <c r="B149" s="153">
        <v>145965.73000000001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>
        <f t="shared" si="199"/>
        <v>145965.73000000001</v>
      </c>
      <c r="O149" s="153"/>
      <c r="P149" s="153">
        <f t="shared" si="200"/>
        <v>1276499.22</v>
      </c>
      <c r="Q149" s="153">
        <f t="shared" si="201"/>
        <v>1701998.96</v>
      </c>
      <c r="R149" s="153">
        <v>1701998.96</v>
      </c>
      <c r="S149" s="184">
        <f t="shared" si="202"/>
        <v>0</v>
      </c>
      <c r="T149" s="182">
        <v>162526.82</v>
      </c>
      <c r="U149" s="182">
        <v>186551.2</v>
      </c>
      <c r="V149" s="182">
        <f>120971.26+500</f>
        <v>121471.26</v>
      </c>
      <c r="W149" s="182">
        <v>104538.95</v>
      </c>
      <c r="X149" s="182">
        <f>108837.33+3500</f>
        <v>112337.33</v>
      </c>
      <c r="Y149" s="182">
        <v>58522.59</v>
      </c>
      <c r="Z149" s="182">
        <v>142640.88</v>
      </c>
      <c r="AA149" s="182">
        <v>302010.69</v>
      </c>
      <c r="AB149" s="182">
        <v>148375.73000000001</v>
      </c>
      <c r="AC149" s="182">
        <v>124519.01</v>
      </c>
      <c r="AD149" s="182">
        <v>101255.08</v>
      </c>
      <c r="AE149" s="182">
        <v>137249.42000000001</v>
      </c>
      <c r="AF149" s="153">
        <f t="shared" ref="AF149:AF223" si="203">(N149-M149)/11</f>
        <v>13269.611818181818</v>
      </c>
      <c r="AG149" s="153">
        <f t="shared" ref="AG149:AG223" si="204">M149-AF149</f>
        <v>-13269.611818181818</v>
      </c>
    </row>
    <row r="150" spans="1:33" hidden="1" x14ac:dyDescent="0.25">
      <c r="A150" s="144" t="s">
        <v>102</v>
      </c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>
        <f t="shared" si="199"/>
        <v>0</v>
      </c>
      <c r="O150" s="153"/>
      <c r="P150" s="153">
        <f t="shared" si="200"/>
        <v>0</v>
      </c>
      <c r="Q150" s="153">
        <f t="shared" si="201"/>
        <v>0</v>
      </c>
      <c r="R150" s="153">
        <v>0</v>
      </c>
      <c r="S150" s="184">
        <f t="shared" si="202"/>
        <v>0</v>
      </c>
      <c r="T150" s="182">
        <v>0</v>
      </c>
      <c r="U150" s="182">
        <v>0</v>
      </c>
      <c r="V150" s="182">
        <v>0</v>
      </c>
      <c r="W150" s="182">
        <v>0</v>
      </c>
      <c r="X150" s="182">
        <v>0</v>
      </c>
      <c r="Y150" s="182">
        <v>0</v>
      </c>
      <c r="Z150" s="182">
        <v>0</v>
      </c>
      <c r="AA150" s="182">
        <v>0</v>
      </c>
      <c r="AB150" s="182">
        <v>0</v>
      </c>
      <c r="AC150" s="182"/>
      <c r="AD150" s="182"/>
      <c r="AE150" s="182"/>
      <c r="AF150" s="153">
        <f t="shared" si="203"/>
        <v>0</v>
      </c>
      <c r="AG150" s="153">
        <f t="shared" si="204"/>
        <v>0</v>
      </c>
    </row>
    <row r="151" spans="1:33" hidden="1" x14ac:dyDescent="0.25">
      <c r="A151" s="144" t="s">
        <v>103</v>
      </c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>
        <f t="shared" si="199"/>
        <v>0</v>
      </c>
      <c r="O151" s="153"/>
      <c r="P151" s="153">
        <f t="shared" si="200"/>
        <v>0</v>
      </c>
      <c r="Q151" s="153">
        <f t="shared" si="201"/>
        <v>0</v>
      </c>
      <c r="R151" s="153">
        <v>0</v>
      </c>
      <c r="S151" s="184">
        <f t="shared" si="202"/>
        <v>0</v>
      </c>
      <c r="T151" s="182">
        <v>0</v>
      </c>
      <c r="U151" s="182">
        <v>0</v>
      </c>
      <c r="V151" s="182">
        <v>0</v>
      </c>
      <c r="W151" s="182">
        <v>0</v>
      </c>
      <c r="X151" s="182">
        <v>0</v>
      </c>
      <c r="Y151" s="182">
        <v>0</v>
      </c>
      <c r="Z151" s="182">
        <v>0</v>
      </c>
      <c r="AA151" s="182">
        <v>0</v>
      </c>
      <c r="AB151" s="182">
        <v>0</v>
      </c>
      <c r="AC151" s="182"/>
      <c r="AD151" s="182"/>
      <c r="AE151" s="182"/>
      <c r="AF151" s="153">
        <f t="shared" si="203"/>
        <v>0</v>
      </c>
      <c r="AG151" s="153">
        <f t="shared" si="204"/>
        <v>0</v>
      </c>
    </row>
    <row r="152" spans="1:33" x14ac:dyDescent="0.25">
      <c r="A152" s="144" t="s">
        <v>104</v>
      </c>
      <c r="B152" s="153">
        <v>5196.83</v>
      </c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>
        <f t="shared" si="199"/>
        <v>5196.83</v>
      </c>
      <c r="O152" s="153"/>
      <c r="P152" s="153">
        <f t="shared" si="200"/>
        <v>31968.42</v>
      </c>
      <c r="Q152" s="153">
        <f t="shared" si="201"/>
        <v>42624.56</v>
      </c>
      <c r="R152" s="153">
        <v>42624.56</v>
      </c>
      <c r="S152" s="184">
        <f t="shared" si="202"/>
        <v>0</v>
      </c>
      <c r="T152" s="182">
        <v>9335.48</v>
      </c>
      <c r="U152" s="182">
        <v>703.97</v>
      </c>
      <c r="V152" s="182">
        <v>6224.3</v>
      </c>
      <c r="W152" s="182">
        <v>4346.05</v>
      </c>
      <c r="X152" s="182">
        <v>1861.52</v>
      </c>
      <c r="Y152" s="182">
        <v>2668.53</v>
      </c>
      <c r="Z152" s="182">
        <v>8773.1200000000008</v>
      </c>
      <c r="AA152" s="182">
        <v>2512.61</v>
      </c>
      <c r="AB152" s="182">
        <v>4656.17</v>
      </c>
      <c r="AC152" s="182">
        <v>457.09</v>
      </c>
      <c r="AD152" s="182">
        <v>230.91</v>
      </c>
      <c r="AE152" s="182">
        <v>854.81</v>
      </c>
      <c r="AF152" s="153">
        <f t="shared" si="203"/>
        <v>472.43909090909091</v>
      </c>
      <c r="AG152" s="153">
        <f t="shared" si="204"/>
        <v>-472.43909090909091</v>
      </c>
    </row>
    <row r="153" spans="1:33" x14ac:dyDescent="0.25">
      <c r="A153" s="144" t="s">
        <v>105</v>
      </c>
      <c r="B153" s="153">
        <v>260.3</v>
      </c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>
        <f t="shared" si="199"/>
        <v>260.3</v>
      </c>
      <c r="O153" s="153"/>
      <c r="P153" s="153">
        <f t="shared" si="200"/>
        <v>1507.7250000000001</v>
      </c>
      <c r="Q153" s="153">
        <f t="shared" si="201"/>
        <v>2010.3</v>
      </c>
      <c r="R153" s="153">
        <v>2010.3</v>
      </c>
      <c r="S153" s="184">
        <f t="shared" si="202"/>
        <v>0</v>
      </c>
      <c r="T153" s="182">
        <v>0</v>
      </c>
      <c r="U153" s="182">
        <v>1250</v>
      </c>
      <c r="V153" s="182">
        <v>0</v>
      </c>
      <c r="W153" s="182">
        <v>0</v>
      </c>
      <c r="X153" s="182">
        <v>0</v>
      </c>
      <c r="Y153" s="182">
        <v>0</v>
      </c>
      <c r="Z153" s="182">
        <v>0</v>
      </c>
      <c r="AA153" s="182">
        <v>0</v>
      </c>
      <c r="AB153" s="182">
        <v>0</v>
      </c>
      <c r="AC153" s="182"/>
      <c r="AD153" s="182"/>
      <c r="AE153" s="182">
        <v>760.3</v>
      </c>
      <c r="AF153" s="153">
        <f t="shared" si="203"/>
        <v>23.663636363636364</v>
      </c>
      <c r="AG153" s="153">
        <f t="shared" si="204"/>
        <v>-23.663636363636364</v>
      </c>
    </row>
    <row r="154" spans="1:33" x14ac:dyDescent="0.25">
      <c r="A154" s="144" t="s">
        <v>106</v>
      </c>
      <c r="B154" s="153">
        <v>38015430</v>
      </c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>
        <f t="shared" si="199"/>
        <v>38015430</v>
      </c>
      <c r="O154" s="153"/>
      <c r="P154" s="153">
        <f t="shared" si="200"/>
        <v>333972778.72499996</v>
      </c>
      <c r="Q154" s="153">
        <f t="shared" si="201"/>
        <v>445297038.30000001</v>
      </c>
      <c r="R154" s="153">
        <v>445297038.30000001</v>
      </c>
      <c r="S154" s="184">
        <f t="shared" si="202"/>
        <v>0</v>
      </c>
      <c r="T154" s="182">
        <v>93164865.799999997</v>
      </c>
      <c r="U154" s="182">
        <v>43694992.5</v>
      </c>
      <c r="V154" s="182">
        <v>49872500</v>
      </c>
      <c r="W154" s="182">
        <v>37423820</v>
      </c>
      <c r="X154" s="182">
        <v>33390470</v>
      </c>
      <c r="Y154" s="182">
        <v>18213000</v>
      </c>
      <c r="Z154" s="182">
        <v>40236590</v>
      </c>
      <c r="AA154" s="182">
        <v>27854150</v>
      </c>
      <c r="AB154" s="182">
        <v>13967680</v>
      </c>
      <c r="AC154" s="182">
        <v>26154870</v>
      </c>
      <c r="AD154" s="182">
        <v>56299240</v>
      </c>
      <c r="AE154" s="182">
        <v>5024860</v>
      </c>
      <c r="AF154" s="153">
        <f t="shared" si="203"/>
        <v>3455948.1818181816</v>
      </c>
      <c r="AG154" s="153">
        <f t="shared" si="204"/>
        <v>-3455948.1818181816</v>
      </c>
    </row>
    <row r="155" spans="1:33" x14ac:dyDescent="0.25">
      <c r="A155" s="144" t="s">
        <v>107</v>
      </c>
      <c r="B155" s="153">
        <v>8583948.5</v>
      </c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>
        <f t="shared" si="199"/>
        <v>8583948.5</v>
      </c>
      <c r="O155" s="153"/>
      <c r="P155" s="153">
        <f t="shared" si="200"/>
        <v>635511263.81999993</v>
      </c>
      <c r="Q155" s="153">
        <f t="shared" si="201"/>
        <v>847348351.75999999</v>
      </c>
      <c r="R155" s="153">
        <v>847348351.75999999</v>
      </c>
      <c r="S155" s="184">
        <f t="shared" si="202"/>
        <v>0</v>
      </c>
      <c r="T155" s="182">
        <v>39860269.659999996</v>
      </c>
      <c r="U155" s="182">
        <v>50039912.299999997</v>
      </c>
      <c r="V155" s="182">
        <v>119070965.51000001</v>
      </c>
      <c r="W155" s="182">
        <v>32569174</v>
      </c>
      <c r="X155" s="182">
        <v>104415723.54000001</v>
      </c>
      <c r="Y155" s="182">
        <v>53384233</v>
      </c>
      <c r="Z155" s="182">
        <v>102371087</v>
      </c>
      <c r="AA155" s="182">
        <v>40532974</v>
      </c>
      <c r="AB155" s="182">
        <v>73873420</v>
      </c>
      <c r="AC155" s="182">
        <v>28642758.5</v>
      </c>
      <c r="AD155" s="182">
        <v>128282994</v>
      </c>
      <c r="AE155" s="182">
        <v>74304840.25</v>
      </c>
      <c r="AF155" s="153">
        <f t="shared" si="203"/>
        <v>780358.95454545459</v>
      </c>
      <c r="AG155" s="153">
        <f t="shared" si="204"/>
        <v>-780358.95454545459</v>
      </c>
    </row>
    <row r="156" spans="1:33" x14ac:dyDescent="0.25">
      <c r="A156" s="144" t="s">
        <v>108</v>
      </c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>
        <f t="shared" si="199"/>
        <v>0</v>
      </c>
      <c r="O156" s="153"/>
      <c r="P156" s="153">
        <f t="shared" si="200"/>
        <v>576060</v>
      </c>
      <c r="Q156" s="153">
        <f t="shared" si="201"/>
        <v>768080</v>
      </c>
      <c r="R156" s="153">
        <v>768080</v>
      </c>
      <c r="S156" s="184">
        <f t="shared" si="202"/>
        <v>0</v>
      </c>
      <c r="T156" s="182">
        <v>0</v>
      </c>
      <c r="U156" s="182">
        <v>252635</v>
      </c>
      <c r="V156" s="182">
        <v>333245</v>
      </c>
      <c r="W156" s="182">
        <v>95125</v>
      </c>
      <c r="X156" s="182">
        <v>0</v>
      </c>
      <c r="Y156" s="182">
        <v>45375</v>
      </c>
      <c r="Z156" s="182">
        <v>0</v>
      </c>
      <c r="AA156" s="182">
        <v>0</v>
      </c>
      <c r="AB156" s="182">
        <v>0</v>
      </c>
      <c r="AC156" s="182">
        <v>-450</v>
      </c>
      <c r="AD156" s="182">
        <v>42150</v>
      </c>
      <c r="AE156" s="182">
        <v>0</v>
      </c>
      <c r="AF156" s="153">
        <f t="shared" si="203"/>
        <v>0</v>
      </c>
      <c r="AG156" s="153">
        <f t="shared" si="204"/>
        <v>0</v>
      </c>
    </row>
    <row r="157" spans="1:33" hidden="1" x14ac:dyDescent="0.25">
      <c r="A157" s="151" t="s">
        <v>109</v>
      </c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>
        <f t="shared" si="199"/>
        <v>0</v>
      </c>
      <c r="O157" s="153"/>
      <c r="P157" s="153">
        <f t="shared" si="200"/>
        <v>140415</v>
      </c>
      <c r="Q157" s="153">
        <f t="shared" si="201"/>
        <v>187220</v>
      </c>
      <c r="R157" s="153">
        <v>187220</v>
      </c>
      <c r="S157" s="184">
        <f t="shared" si="202"/>
        <v>0</v>
      </c>
      <c r="T157" s="182">
        <v>0</v>
      </c>
      <c r="U157" s="182">
        <v>0</v>
      </c>
      <c r="V157" s="182">
        <v>0</v>
      </c>
      <c r="W157" s="182">
        <v>0</v>
      </c>
      <c r="X157" s="182">
        <v>0</v>
      </c>
      <c r="Y157" s="182">
        <v>0</v>
      </c>
      <c r="Z157" s="182">
        <v>187220</v>
      </c>
      <c r="AA157" s="182">
        <v>0</v>
      </c>
      <c r="AB157" s="182">
        <v>0</v>
      </c>
      <c r="AC157" s="182">
        <v>0</v>
      </c>
      <c r="AD157" s="182">
        <v>0</v>
      </c>
      <c r="AE157" s="182">
        <v>0</v>
      </c>
      <c r="AF157" s="153">
        <f t="shared" si="203"/>
        <v>0</v>
      </c>
      <c r="AG157" s="153">
        <f t="shared" si="204"/>
        <v>0</v>
      </c>
    </row>
    <row r="158" spans="1:33" x14ac:dyDescent="0.25">
      <c r="A158" s="144" t="s">
        <v>110</v>
      </c>
      <c r="B158" s="153">
        <v>-948052241.21000004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>
        <f t="shared" si="199"/>
        <v>-948052241.21000004</v>
      </c>
      <c r="O158" s="153"/>
      <c r="P158" s="153">
        <f t="shared" si="200"/>
        <v>-2111714665.3799996</v>
      </c>
      <c r="Q158" s="153">
        <f t="shared" si="201"/>
        <v>-2815619553.8399997</v>
      </c>
      <c r="R158" s="153">
        <v>-2815619553.8399997</v>
      </c>
      <c r="S158" s="184">
        <f t="shared" si="202"/>
        <v>0</v>
      </c>
      <c r="T158" s="182">
        <v>-250773118.75999999</v>
      </c>
      <c r="U158" s="182">
        <v>-106292010.51000001</v>
      </c>
      <c r="V158" s="182">
        <v>-199926459.47999999</v>
      </c>
      <c r="W158" s="182">
        <v>-102886856.97</v>
      </c>
      <c r="X158" s="182">
        <v>-60969608.149999999</v>
      </c>
      <c r="Y158" s="182">
        <v>-168909239.22</v>
      </c>
      <c r="Z158" s="182">
        <v>-211950197.00999999</v>
      </c>
      <c r="AA158" s="182">
        <v>-284906461.36000001</v>
      </c>
      <c r="AB158" s="182">
        <v>-412764522.29000002</v>
      </c>
      <c r="AC158" s="182">
        <v>-121881132.84</v>
      </c>
      <c r="AD158" s="182">
        <v>-236276556.91999999</v>
      </c>
      <c r="AE158" s="182">
        <v>-658083390.33000004</v>
      </c>
      <c r="AF158" s="153">
        <f t="shared" si="203"/>
        <v>-86186567.38272728</v>
      </c>
      <c r="AG158" s="153">
        <f t="shared" si="204"/>
        <v>86186567.38272728</v>
      </c>
    </row>
    <row r="159" spans="1:33" x14ac:dyDescent="0.25">
      <c r="A159" s="144" t="s">
        <v>111</v>
      </c>
      <c r="B159" s="153">
        <v>-37879950</v>
      </c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>
        <f t="shared" si="199"/>
        <v>-37879950</v>
      </c>
      <c r="O159" s="153"/>
      <c r="P159" s="153">
        <f t="shared" si="200"/>
        <v>-334278184.40250003</v>
      </c>
      <c r="Q159" s="153">
        <f t="shared" si="201"/>
        <v>-445704245.87</v>
      </c>
      <c r="R159" s="153">
        <v>-445704245.87</v>
      </c>
      <c r="S159" s="184">
        <f t="shared" si="202"/>
        <v>0</v>
      </c>
      <c r="T159" s="182">
        <v>-94616255.870000005</v>
      </c>
      <c r="U159" s="182">
        <v>-43709010</v>
      </c>
      <c r="V159" s="182">
        <v>-50522100</v>
      </c>
      <c r="W159" s="182">
        <v>-37084810</v>
      </c>
      <c r="X159" s="182">
        <v>-33297790</v>
      </c>
      <c r="Y159" s="182">
        <v>-17687220</v>
      </c>
      <c r="Z159" s="182">
        <v>-39772170</v>
      </c>
      <c r="AA159" s="182">
        <v>-27463660</v>
      </c>
      <c r="AB159" s="182">
        <v>-13825040</v>
      </c>
      <c r="AC159" s="182">
        <v>-26658310</v>
      </c>
      <c r="AD159" s="182">
        <v>-56305290</v>
      </c>
      <c r="AE159" s="182">
        <v>-4762590</v>
      </c>
      <c r="AF159" s="153">
        <f t="shared" si="203"/>
        <v>-3443631.8181818184</v>
      </c>
      <c r="AG159" s="153">
        <f t="shared" si="204"/>
        <v>3443631.8181818184</v>
      </c>
    </row>
    <row r="160" spans="1:33" x14ac:dyDescent="0.25">
      <c r="A160" s="144" t="s">
        <v>112</v>
      </c>
      <c r="B160" s="153">
        <v>-8167150</v>
      </c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>
        <f t="shared" si="199"/>
        <v>-8167150</v>
      </c>
      <c r="O160" s="153"/>
      <c r="P160" s="153">
        <f t="shared" si="200"/>
        <v>-650712764.69999993</v>
      </c>
      <c r="Q160" s="153">
        <f t="shared" si="201"/>
        <v>-867617019.60000002</v>
      </c>
      <c r="R160" s="153">
        <v>-867617019.60000002</v>
      </c>
      <c r="S160" s="184">
        <f t="shared" si="202"/>
        <v>0</v>
      </c>
      <c r="T160" s="182">
        <v>-39572318.009999998</v>
      </c>
      <c r="U160" s="182">
        <v>-54501789.609999999</v>
      </c>
      <c r="V160" s="182">
        <v>-119003409.98</v>
      </c>
      <c r="W160" s="182">
        <v>-35983600</v>
      </c>
      <c r="X160" s="182">
        <v>-104443889</v>
      </c>
      <c r="Y160" s="182">
        <v>-60159775</v>
      </c>
      <c r="Z160" s="182">
        <v>-104982039</v>
      </c>
      <c r="AA160" s="182">
        <v>-44639850</v>
      </c>
      <c r="AB160" s="182">
        <v>-74748600</v>
      </c>
      <c r="AC160" s="182">
        <v>-34621450</v>
      </c>
      <c r="AD160" s="182">
        <v>-129360225</v>
      </c>
      <c r="AE160" s="182">
        <v>-65600074</v>
      </c>
      <c r="AF160" s="153">
        <f t="shared" si="203"/>
        <v>-742468.18181818177</v>
      </c>
      <c r="AG160" s="153">
        <f t="shared" si="204"/>
        <v>742468.18181818177</v>
      </c>
    </row>
    <row r="161" spans="1:33" x14ac:dyDescent="0.25">
      <c r="A161" s="144" t="s">
        <v>113</v>
      </c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>
        <f t="shared" si="199"/>
        <v>0</v>
      </c>
      <c r="O161" s="153"/>
      <c r="P161" s="153">
        <f t="shared" si="200"/>
        <v>-576258.75</v>
      </c>
      <c r="Q161" s="153">
        <f t="shared" si="201"/>
        <v>-768345</v>
      </c>
      <c r="R161" s="153">
        <v>-768345</v>
      </c>
      <c r="S161" s="184">
        <f t="shared" si="202"/>
        <v>0</v>
      </c>
      <c r="T161" s="182">
        <v>0</v>
      </c>
      <c r="U161" s="182">
        <v>-248100</v>
      </c>
      <c r="V161" s="182">
        <v>-337135</v>
      </c>
      <c r="W161" s="182">
        <v>-95680</v>
      </c>
      <c r="X161" s="182">
        <v>0</v>
      </c>
      <c r="Y161" s="182">
        <v>-43600</v>
      </c>
      <c r="Z161" s="182">
        <v>0</v>
      </c>
      <c r="AA161" s="182">
        <v>0</v>
      </c>
      <c r="AB161" s="182">
        <v>0</v>
      </c>
      <c r="AC161" s="182"/>
      <c r="AD161" s="182">
        <v>-43830</v>
      </c>
      <c r="AE161" s="182">
        <v>0</v>
      </c>
      <c r="AF161" s="153">
        <f t="shared" si="203"/>
        <v>0</v>
      </c>
      <c r="AG161" s="153">
        <f t="shared" si="204"/>
        <v>0</v>
      </c>
    </row>
    <row r="162" spans="1:33" hidden="1" x14ac:dyDescent="0.25">
      <c r="A162" s="151" t="s">
        <v>114</v>
      </c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>
        <f t="shared" si="199"/>
        <v>0</v>
      </c>
      <c r="O162" s="153"/>
      <c r="P162" s="153">
        <f t="shared" si="200"/>
        <v>-141075</v>
      </c>
      <c r="Q162" s="153">
        <f t="shared" si="201"/>
        <v>-188100</v>
      </c>
      <c r="R162" s="153">
        <v>-188100</v>
      </c>
      <c r="S162" s="184">
        <f t="shared" si="202"/>
        <v>0</v>
      </c>
      <c r="T162" s="182">
        <v>0</v>
      </c>
      <c r="U162" s="182">
        <v>0</v>
      </c>
      <c r="V162" s="182">
        <v>0</v>
      </c>
      <c r="W162" s="182">
        <v>0</v>
      </c>
      <c r="X162" s="182">
        <v>0</v>
      </c>
      <c r="Y162" s="182">
        <v>0</v>
      </c>
      <c r="Z162" s="182">
        <v>-188100</v>
      </c>
      <c r="AA162" s="182">
        <v>0</v>
      </c>
      <c r="AB162" s="182">
        <v>0</v>
      </c>
      <c r="AC162" s="182"/>
      <c r="AD162" s="182">
        <v>0</v>
      </c>
      <c r="AE162" s="182">
        <v>0</v>
      </c>
      <c r="AF162" s="153">
        <f t="shared" si="203"/>
        <v>0</v>
      </c>
      <c r="AG162" s="153">
        <f t="shared" si="204"/>
        <v>0</v>
      </c>
    </row>
    <row r="163" spans="1:33" x14ac:dyDescent="0.25">
      <c r="A163" s="144" t="s">
        <v>115</v>
      </c>
      <c r="B163" s="153">
        <v>942773558.42999995</v>
      </c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>
        <f t="shared" si="199"/>
        <v>942773558.42999995</v>
      </c>
      <c r="O163" s="153"/>
      <c r="P163" s="153">
        <f t="shared" si="200"/>
        <v>2107335587.6474998</v>
      </c>
      <c r="Q163" s="153">
        <f t="shared" si="201"/>
        <v>2809780783.5299997</v>
      </c>
      <c r="R163" s="153">
        <v>2809780783.5299997</v>
      </c>
      <c r="S163" s="184">
        <f t="shared" si="202"/>
        <v>0</v>
      </c>
      <c r="T163" s="182">
        <v>246469534.72</v>
      </c>
      <c r="U163" s="182">
        <v>106061841.73</v>
      </c>
      <c r="V163" s="182">
        <v>199824413.44</v>
      </c>
      <c r="W163" s="182">
        <v>102901638.84999999</v>
      </c>
      <c r="X163" s="182">
        <v>61067887.670000002</v>
      </c>
      <c r="Y163" s="182">
        <v>169335911.84</v>
      </c>
      <c r="Z163" s="182">
        <v>212243315.12</v>
      </c>
      <c r="AA163" s="182">
        <v>285234425.79000002</v>
      </c>
      <c r="AB163" s="182">
        <v>413041926.32999998</v>
      </c>
      <c r="AC163" s="182">
        <v>121510314.61</v>
      </c>
      <c r="AD163" s="182">
        <v>236012919.81</v>
      </c>
      <c r="AE163" s="182">
        <v>656076653.62</v>
      </c>
      <c r="AF163" s="153">
        <f t="shared" si="203"/>
        <v>85706687.129999995</v>
      </c>
      <c r="AG163" s="153">
        <f t="shared" si="204"/>
        <v>-85706687.129999995</v>
      </c>
    </row>
    <row r="164" spans="1:33" x14ac:dyDescent="0.25">
      <c r="A164" s="144" t="s">
        <v>116</v>
      </c>
      <c r="B164" s="153">
        <v>1168796106.1600001</v>
      </c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>
        <f t="shared" si="199"/>
        <v>1168796106.1600001</v>
      </c>
      <c r="O164" s="153"/>
      <c r="P164" s="153">
        <f t="shared" si="200"/>
        <v>5301342952.6199999</v>
      </c>
      <c r="Q164" s="153">
        <f t="shared" si="201"/>
        <v>7068457270.1599998</v>
      </c>
      <c r="R164" s="153">
        <v>7068457270.1599998</v>
      </c>
      <c r="S164" s="184">
        <f t="shared" si="202"/>
        <v>0</v>
      </c>
      <c r="T164" s="182">
        <v>57035597.560000002</v>
      </c>
      <c r="U164" s="182">
        <v>15207183.189999999</v>
      </c>
      <c r="V164" s="182">
        <v>56539241.420000002</v>
      </c>
      <c r="W164" s="182">
        <v>530220449.82999998</v>
      </c>
      <c r="X164" s="182">
        <v>504763748.92000002</v>
      </c>
      <c r="Y164" s="182">
        <v>868361816.95000005</v>
      </c>
      <c r="Z164" s="182">
        <v>303826130.91000003</v>
      </c>
      <c r="AA164" s="182">
        <v>310975719.51999998</v>
      </c>
      <c r="AB164" s="182">
        <v>122798210.73</v>
      </c>
      <c r="AC164" s="182">
        <v>1251003800.6199999</v>
      </c>
      <c r="AD164" s="182">
        <v>2039732956.0699999</v>
      </c>
      <c r="AE164" s="182">
        <v>1007992414.4400001</v>
      </c>
      <c r="AF164" s="153">
        <f t="shared" si="203"/>
        <v>106254191.46909092</v>
      </c>
      <c r="AG164" s="153">
        <f t="shared" si="204"/>
        <v>-106254191.46909092</v>
      </c>
    </row>
    <row r="165" spans="1:33" x14ac:dyDescent="0.25">
      <c r="A165" s="144" t="s">
        <v>117</v>
      </c>
      <c r="B165" s="153">
        <v>1779894.24</v>
      </c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>
        <f t="shared" si="199"/>
        <v>1779894.24</v>
      </c>
      <c r="O165" s="153"/>
      <c r="P165" s="153">
        <f t="shared" si="200"/>
        <v>8398478.745000001</v>
      </c>
      <c r="Q165" s="153">
        <f t="shared" si="201"/>
        <v>11197971.66</v>
      </c>
      <c r="R165" s="153">
        <v>11197971.66</v>
      </c>
      <c r="S165" s="184">
        <f t="shared" si="202"/>
        <v>0</v>
      </c>
      <c r="T165" s="182">
        <v>598572.09</v>
      </c>
      <c r="U165" s="182">
        <v>1754577.38</v>
      </c>
      <c r="V165" s="182">
        <v>588811.42000000004</v>
      </c>
      <c r="W165" s="182">
        <v>283948.55</v>
      </c>
      <c r="X165" s="182">
        <v>707796.87</v>
      </c>
      <c r="Y165" s="182">
        <v>1284752.46</v>
      </c>
      <c r="Z165" s="182">
        <v>497824.77</v>
      </c>
      <c r="AA165" s="182">
        <v>795083.58</v>
      </c>
      <c r="AB165" s="182">
        <v>408056.53</v>
      </c>
      <c r="AC165" s="182">
        <v>560986.71</v>
      </c>
      <c r="AD165" s="182">
        <v>594157.51</v>
      </c>
      <c r="AE165" s="182">
        <v>3123403.79</v>
      </c>
      <c r="AF165" s="153">
        <f t="shared" si="203"/>
        <v>161808.56727272726</v>
      </c>
      <c r="AG165" s="153">
        <f t="shared" si="204"/>
        <v>-161808.56727272726</v>
      </c>
    </row>
    <row r="166" spans="1:33" x14ac:dyDescent="0.25">
      <c r="A166" s="144" t="s">
        <v>118</v>
      </c>
      <c r="B166" s="153">
        <v>3300831.81</v>
      </c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>
        <f t="shared" si="199"/>
        <v>3300831.81</v>
      </c>
      <c r="O166" s="153"/>
      <c r="P166" s="153">
        <f t="shared" si="200"/>
        <v>4331714.6175000006</v>
      </c>
      <c r="Q166" s="153">
        <f t="shared" si="201"/>
        <v>5775619.4900000002</v>
      </c>
      <c r="R166" s="153">
        <v>5775619.4900000002</v>
      </c>
      <c r="S166" s="184">
        <f t="shared" si="202"/>
        <v>0</v>
      </c>
      <c r="T166" s="182">
        <v>223864.49</v>
      </c>
      <c r="U166" s="182">
        <v>0</v>
      </c>
      <c r="V166" s="182">
        <v>6537.06</v>
      </c>
      <c r="W166" s="182">
        <v>918411.8</v>
      </c>
      <c r="X166" s="182">
        <v>48550</v>
      </c>
      <c r="Y166" s="182">
        <v>0</v>
      </c>
      <c r="Z166" s="182">
        <v>28932.61</v>
      </c>
      <c r="AA166" s="182">
        <v>247481.95</v>
      </c>
      <c r="AB166" s="182">
        <v>1006564.16</v>
      </c>
      <c r="AC166" s="182">
        <v>1706376.64</v>
      </c>
      <c r="AD166" s="182">
        <v>344926</v>
      </c>
      <c r="AE166" s="182">
        <v>1243974.78</v>
      </c>
      <c r="AF166" s="153">
        <f t="shared" si="203"/>
        <v>300075.61909090908</v>
      </c>
      <c r="AG166" s="153">
        <f t="shared" si="204"/>
        <v>-300075.61909090908</v>
      </c>
    </row>
    <row r="167" spans="1:33" x14ac:dyDescent="0.25">
      <c r="A167" s="144" t="s">
        <v>119</v>
      </c>
      <c r="B167" s="153">
        <v>484990.94</v>
      </c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>
        <f t="shared" si="199"/>
        <v>484990.94</v>
      </c>
      <c r="O167" s="153"/>
      <c r="P167" s="153">
        <f t="shared" ref="P167:P200" si="205">Q167/12*$P$3</f>
        <v>295875.495</v>
      </c>
      <c r="Q167" s="153">
        <f t="shared" si="201"/>
        <v>394500.66</v>
      </c>
      <c r="R167" s="153">
        <v>394500.66</v>
      </c>
      <c r="S167" s="184">
        <f t="shared" si="202"/>
        <v>0</v>
      </c>
      <c r="T167" s="182">
        <v>170622.29</v>
      </c>
      <c r="U167" s="182">
        <v>-355074.95</v>
      </c>
      <c r="V167" s="182">
        <v>93202.33</v>
      </c>
      <c r="W167" s="182">
        <v>151429.5</v>
      </c>
      <c r="X167" s="182">
        <v>472954.71</v>
      </c>
      <c r="Y167" s="182">
        <v>-437756.06</v>
      </c>
      <c r="Z167" s="182">
        <v>118154.22</v>
      </c>
      <c r="AA167" s="182">
        <v>-187544.92</v>
      </c>
      <c r="AB167" s="182">
        <v>302364.55</v>
      </c>
      <c r="AC167" s="182">
        <v>-12638.04</v>
      </c>
      <c r="AD167" s="182">
        <v>36948.42</v>
      </c>
      <c r="AE167" s="182">
        <v>41838.61</v>
      </c>
      <c r="AF167" s="153">
        <f t="shared" si="203"/>
        <v>44090.085454545457</v>
      </c>
      <c r="AG167" s="153">
        <f t="shared" si="204"/>
        <v>-44090.085454545457</v>
      </c>
    </row>
    <row r="168" spans="1:33" x14ac:dyDescent="0.25">
      <c r="A168" s="144" t="s">
        <v>120</v>
      </c>
      <c r="B168" s="153">
        <v>-36970.58</v>
      </c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>
        <f t="shared" si="199"/>
        <v>-36970.58</v>
      </c>
      <c r="O168" s="153"/>
      <c r="P168" s="153">
        <f t="shared" si="205"/>
        <v>-44727066.667500012</v>
      </c>
      <c r="Q168" s="153">
        <f t="shared" si="201"/>
        <v>-59636088.890000008</v>
      </c>
      <c r="R168" s="153">
        <v>-59636088.890000008</v>
      </c>
      <c r="S168" s="184">
        <f t="shared" si="202"/>
        <v>0</v>
      </c>
      <c r="T168" s="182">
        <v>-126361.61</v>
      </c>
      <c r="U168" s="182">
        <v>-158081.74</v>
      </c>
      <c r="V168" s="182">
        <v>-293026.18</v>
      </c>
      <c r="W168" s="182">
        <v>10452.620000000001</v>
      </c>
      <c r="X168" s="182">
        <v>175404.24</v>
      </c>
      <c r="Y168" s="182">
        <v>14443.59</v>
      </c>
      <c r="Z168" s="182">
        <v>-416683.86</v>
      </c>
      <c r="AA168" s="182">
        <v>-13303.72</v>
      </c>
      <c r="AB168" s="182">
        <v>102066.31</v>
      </c>
      <c r="AC168" s="182">
        <v>-57904306.450000003</v>
      </c>
      <c r="AD168" s="182">
        <v>-91416.320000000007</v>
      </c>
      <c r="AE168" s="182">
        <v>-935275.77</v>
      </c>
      <c r="AF168" s="153">
        <f t="shared" si="203"/>
        <v>-3360.9618181818182</v>
      </c>
      <c r="AG168" s="153">
        <f t="shared" si="204"/>
        <v>3360.9618181818182</v>
      </c>
    </row>
    <row r="169" spans="1:33" x14ac:dyDescent="0.25">
      <c r="A169" s="144" t="s">
        <v>121</v>
      </c>
      <c r="B169" s="153">
        <v>2812.55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>
        <f t="shared" si="199"/>
        <v>2812.55</v>
      </c>
      <c r="O169" s="153"/>
      <c r="P169" s="153">
        <f t="shared" si="205"/>
        <v>31518.172500000001</v>
      </c>
      <c r="Q169" s="153">
        <f t="shared" si="201"/>
        <v>42024.23</v>
      </c>
      <c r="R169" s="153">
        <v>42024.23</v>
      </c>
      <c r="S169" s="184">
        <f t="shared" si="202"/>
        <v>0</v>
      </c>
      <c r="T169" s="182">
        <v>18221.580000000002</v>
      </c>
      <c r="U169" s="182">
        <v>-143.22</v>
      </c>
      <c r="V169" s="182">
        <v>554.66999999999996</v>
      </c>
      <c r="W169" s="182">
        <v>-4571.0200000000004</v>
      </c>
      <c r="X169" s="182">
        <v>42.88</v>
      </c>
      <c r="Y169" s="182">
        <v>-5187.8100000000004</v>
      </c>
      <c r="Z169" s="182">
        <v>-12485.88</v>
      </c>
      <c r="AA169" s="182">
        <v>-3196.33</v>
      </c>
      <c r="AB169" s="182">
        <v>50315.040000000001</v>
      </c>
      <c r="AC169" s="182">
        <v>-2189.91</v>
      </c>
      <c r="AD169" s="182">
        <v>0</v>
      </c>
      <c r="AE169" s="182">
        <v>664.23</v>
      </c>
      <c r="AF169" s="153">
        <f t="shared" si="203"/>
        <v>255.68636363636367</v>
      </c>
      <c r="AG169" s="153">
        <f t="shared" si="204"/>
        <v>-255.68636363636367</v>
      </c>
    </row>
    <row r="170" spans="1:33" x14ac:dyDescent="0.25">
      <c r="A170" s="144" t="s">
        <v>122</v>
      </c>
      <c r="B170" s="153">
        <v>-8734.24</v>
      </c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>
        <f t="shared" si="199"/>
        <v>-8734.24</v>
      </c>
      <c r="O170" s="153"/>
      <c r="P170" s="153">
        <f t="shared" si="205"/>
        <v>-421375.77</v>
      </c>
      <c r="Q170" s="153">
        <f t="shared" si="201"/>
        <v>-561834.36</v>
      </c>
      <c r="R170" s="153">
        <v>-561834.36</v>
      </c>
      <c r="S170" s="184">
        <f t="shared" si="202"/>
        <v>0</v>
      </c>
      <c r="T170" s="182">
        <v>5399.7</v>
      </c>
      <c r="U170" s="182">
        <v>-3149.21</v>
      </c>
      <c r="V170" s="182">
        <v>6568.13</v>
      </c>
      <c r="W170" s="182">
        <v>405.19</v>
      </c>
      <c r="X170" s="182">
        <v>-182869.11</v>
      </c>
      <c r="Y170" s="182">
        <v>-387.53</v>
      </c>
      <c r="Z170" s="182">
        <v>-158271.75</v>
      </c>
      <c r="AA170" s="182">
        <v>0</v>
      </c>
      <c r="AB170" s="182">
        <v>-1562</v>
      </c>
      <c r="AC170" s="182">
        <v>0</v>
      </c>
      <c r="AD170" s="182">
        <v>-225652.85</v>
      </c>
      <c r="AE170" s="182">
        <v>-2314.9299999999998</v>
      </c>
      <c r="AF170" s="153">
        <f t="shared" si="203"/>
        <v>-794.02181818181816</v>
      </c>
      <c r="AG170" s="153">
        <f t="shared" si="204"/>
        <v>794.02181818181816</v>
      </c>
    </row>
    <row r="171" spans="1:33" x14ac:dyDescent="0.25">
      <c r="A171" s="144" t="s">
        <v>123</v>
      </c>
      <c r="B171" s="153">
        <v>-1170739419.3199999</v>
      </c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>
        <f t="shared" si="199"/>
        <v>-1170739419.3199999</v>
      </c>
      <c r="O171" s="153"/>
      <c r="P171" s="153">
        <f t="shared" si="205"/>
        <v>-5295237343.8525009</v>
      </c>
      <c r="Q171" s="153">
        <f t="shared" si="201"/>
        <v>-7060316458.4700003</v>
      </c>
      <c r="R171" s="153">
        <v>-7060316458.4700003</v>
      </c>
      <c r="S171" s="184">
        <f t="shared" si="202"/>
        <v>0</v>
      </c>
      <c r="T171" s="182">
        <v>-57233909.109999999</v>
      </c>
      <c r="U171" s="182">
        <v>-15348255</v>
      </c>
      <c r="V171" s="182">
        <v>-56465326.530000001</v>
      </c>
      <c r="W171" s="182">
        <v>-529777770.38</v>
      </c>
      <c r="X171" s="182">
        <v>-504081581.20999998</v>
      </c>
      <c r="Y171" s="182">
        <v>-867014981.53999996</v>
      </c>
      <c r="Z171" s="182">
        <v>-299329589.75</v>
      </c>
      <c r="AA171" s="182">
        <v>-310814046.86000001</v>
      </c>
      <c r="AB171" s="182">
        <v>-122133504.51000001</v>
      </c>
      <c r="AC171" s="182">
        <v>-1249266848.22</v>
      </c>
      <c r="AD171" s="182">
        <v>-2037846333.24</v>
      </c>
      <c r="AE171" s="182">
        <v>-1011004312.12</v>
      </c>
      <c r="AF171" s="153">
        <f t="shared" si="203"/>
        <v>-106430856.30181818</v>
      </c>
      <c r="AG171" s="153">
        <f t="shared" si="204"/>
        <v>106430856.30181818</v>
      </c>
    </row>
    <row r="172" spans="1:33" x14ac:dyDescent="0.25">
      <c r="A172" s="144" t="s">
        <v>421</v>
      </c>
      <c r="B172" s="153">
        <v>0</v>
      </c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>
        <f t="shared" si="199"/>
        <v>0</v>
      </c>
      <c r="O172" s="153"/>
      <c r="P172" s="153">
        <f t="shared" si="205"/>
        <v>-8109.1724999999997</v>
      </c>
      <c r="Q172" s="153">
        <f t="shared" si="201"/>
        <v>-10812.23</v>
      </c>
      <c r="R172" s="153">
        <v>-10812.23</v>
      </c>
      <c r="S172" s="184">
        <f t="shared" si="202"/>
        <v>0</v>
      </c>
      <c r="T172" s="182">
        <v>0</v>
      </c>
      <c r="U172" s="182">
        <v>0</v>
      </c>
      <c r="V172" s="182">
        <v>0</v>
      </c>
      <c r="W172" s="182">
        <v>0</v>
      </c>
      <c r="X172" s="182">
        <v>0</v>
      </c>
      <c r="Y172" s="182">
        <v>-3537.84</v>
      </c>
      <c r="Z172" s="182">
        <v>-1594.95</v>
      </c>
      <c r="AA172" s="182">
        <v>1143.75</v>
      </c>
      <c r="AB172" s="182">
        <v>182.18</v>
      </c>
      <c r="AC172" s="182">
        <v>3603.34</v>
      </c>
      <c r="AD172" s="182">
        <v>-888.71</v>
      </c>
      <c r="AE172" s="182">
        <v>-9720</v>
      </c>
      <c r="AF172" s="153"/>
      <c r="AG172" s="153"/>
    </row>
    <row r="173" spans="1:33" x14ac:dyDescent="0.25">
      <c r="A173" s="144" t="s">
        <v>124</v>
      </c>
      <c r="B173" s="153">
        <v>-1846174.46</v>
      </c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>
        <f t="shared" si="199"/>
        <v>-1846174.46</v>
      </c>
      <c r="O173" s="153"/>
      <c r="P173" s="153">
        <f t="shared" si="205"/>
        <v>-8335950.9900000002</v>
      </c>
      <c r="Q173" s="153">
        <f t="shared" si="201"/>
        <v>-11114601.32</v>
      </c>
      <c r="R173" s="153">
        <v>-11114601.32</v>
      </c>
      <c r="S173" s="184">
        <f t="shared" si="202"/>
        <v>0</v>
      </c>
      <c r="T173" s="182">
        <v>-626650</v>
      </c>
      <c r="U173" s="182">
        <v>-1795920</v>
      </c>
      <c r="V173" s="182">
        <v>-616939.36</v>
      </c>
      <c r="W173" s="182">
        <v>-282900</v>
      </c>
      <c r="X173" s="182">
        <v>-694270</v>
      </c>
      <c r="Y173" s="182">
        <v>-1256000</v>
      </c>
      <c r="Z173" s="182">
        <v>-513970.45</v>
      </c>
      <c r="AA173" s="182">
        <v>-801420</v>
      </c>
      <c r="AB173" s="182">
        <v>-444817</v>
      </c>
      <c r="AC173" s="182">
        <v>-573800</v>
      </c>
      <c r="AD173" s="182">
        <v>-598707.5</v>
      </c>
      <c r="AE173" s="182">
        <v>-2909207.01</v>
      </c>
      <c r="AF173" s="153">
        <f t="shared" si="203"/>
        <v>-167834.04181818181</v>
      </c>
      <c r="AG173" s="153">
        <f t="shared" si="204"/>
        <v>167834.04181818181</v>
      </c>
    </row>
    <row r="174" spans="1:33" x14ac:dyDescent="0.25">
      <c r="A174" s="144" t="s">
        <v>125</v>
      </c>
      <c r="B174" s="153">
        <v>1323455.1299999999</v>
      </c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>
        <f t="shared" si="199"/>
        <v>1323455.1299999999</v>
      </c>
      <c r="O174" s="153"/>
      <c r="P174" s="153">
        <f t="shared" si="205"/>
        <v>1852860.1575</v>
      </c>
      <c r="Q174" s="153">
        <f t="shared" si="201"/>
        <v>2470480.21</v>
      </c>
      <c r="R174" s="153">
        <v>2470480.21</v>
      </c>
      <c r="S174" s="184">
        <f t="shared" si="202"/>
        <v>0</v>
      </c>
      <c r="T174" s="182">
        <v>2230495.09</v>
      </c>
      <c r="U174" s="182">
        <v>157077.15</v>
      </c>
      <c r="V174" s="182">
        <v>273729.07</v>
      </c>
      <c r="W174" s="182">
        <v>307005.37</v>
      </c>
      <c r="X174" s="182">
        <v>-462524.73</v>
      </c>
      <c r="Y174" s="182">
        <v>-239021.09</v>
      </c>
      <c r="Z174" s="182">
        <v>-273397.37</v>
      </c>
      <c r="AA174" s="182">
        <v>-459773.78</v>
      </c>
      <c r="AB174" s="182">
        <v>-12461.47</v>
      </c>
      <c r="AC174" s="182">
        <v>44458.32</v>
      </c>
      <c r="AD174" s="182">
        <v>322491.38</v>
      </c>
      <c r="AE174" s="182">
        <v>582402.27</v>
      </c>
      <c r="AF174" s="153">
        <f t="shared" si="203"/>
        <v>120314.10272727272</v>
      </c>
      <c r="AG174" s="153">
        <f t="shared" si="204"/>
        <v>-120314.10272727272</v>
      </c>
    </row>
    <row r="175" spans="1:33" x14ac:dyDescent="0.25">
      <c r="A175" s="144" t="s">
        <v>126</v>
      </c>
      <c r="B175" s="153">
        <v>-787404.86</v>
      </c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>
        <f t="shared" si="199"/>
        <v>-787404.86</v>
      </c>
      <c r="O175" s="153"/>
      <c r="P175" s="153">
        <f t="shared" si="205"/>
        <v>-732681.05249999987</v>
      </c>
      <c r="Q175" s="153">
        <f t="shared" si="201"/>
        <v>-976908.06999999972</v>
      </c>
      <c r="R175" s="153">
        <v>-976908.06999999972</v>
      </c>
      <c r="S175" s="184">
        <f t="shared" si="202"/>
        <v>0</v>
      </c>
      <c r="T175" s="182">
        <v>132999.03</v>
      </c>
      <c r="U175" s="182">
        <v>1861.72</v>
      </c>
      <c r="V175" s="182">
        <v>104613.37</v>
      </c>
      <c r="W175" s="182">
        <v>1487036.54</v>
      </c>
      <c r="X175" s="182">
        <v>-195552.97</v>
      </c>
      <c r="Y175" s="182">
        <v>-463703.41</v>
      </c>
      <c r="Z175" s="182">
        <v>-388902.1</v>
      </c>
      <c r="AA175" s="182">
        <v>-516832.24</v>
      </c>
      <c r="AB175" s="182">
        <v>-517332.49</v>
      </c>
      <c r="AC175" s="182">
        <v>-228957.51</v>
      </c>
      <c r="AD175" s="182">
        <v>72.64</v>
      </c>
      <c r="AE175" s="182">
        <v>-392210.65</v>
      </c>
      <c r="AF175" s="153">
        <f t="shared" si="203"/>
        <v>-71582.259999999995</v>
      </c>
      <c r="AG175" s="153">
        <f t="shared" si="204"/>
        <v>71582.259999999995</v>
      </c>
    </row>
    <row r="176" spans="1:33" x14ac:dyDescent="0.25">
      <c r="A176" s="144" t="s">
        <v>127</v>
      </c>
      <c r="B176" s="153">
        <v>20828.900000000001</v>
      </c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>
        <f t="shared" si="199"/>
        <v>20828.900000000001</v>
      </c>
      <c r="O176" s="153"/>
      <c r="P176" s="153">
        <f t="shared" si="205"/>
        <v>132804.61500000002</v>
      </c>
      <c r="Q176" s="153">
        <f t="shared" si="201"/>
        <v>177072.82</v>
      </c>
      <c r="R176" s="153">
        <v>177072.82</v>
      </c>
      <c r="S176" s="184">
        <f t="shared" si="202"/>
        <v>0</v>
      </c>
      <c r="T176" s="182">
        <v>48155.93</v>
      </c>
      <c r="U176" s="182">
        <v>51045.58</v>
      </c>
      <c r="V176" s="182">
        <v>0</v>
      </c>
      <c r="W176" s="182">
        <v>12980.84</v>
      </c>
      <c r="X176" s="182">
        <v>75.5</v>
      </c>
      <c r="Y176" s="182">
        <v>0</v>
      </c>
      <c r="Z176" s="182">
        <v>-13005.34</v>
      </c>
      <c r="AA176" s="182">
        <v>20986.639999999999</v>
      </c>
      <c r="AB176" s="182">
        <v>20965.86</v>
      </c>
      <c r="AC176" s="182">
        <v>25.8</v>
      </c>
      <c r="AD176" s="182">
        <v>1200</v>
      </c>
      <c r="AE176" s="182">
        <v>34642.01</v>
      </c>
      <c r="AF176" s="153">
        <f t="shared" si="203"/>
        <v>1893.5363636363638</v>
      </c>
      <c r="AG176" s="153">
        <f t="shared" si="204"/>
        <v>-1893.5363636363638</v>
      </c>
    </row>
    <row r="177" spans="1:33" x14ac:dyDescent="0.25">
      <c r="A177" s="144" t="s">
        <v>128</v>
      </c>
      <c r="B177" s="153">
        <v>864094.87</v>
      </c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>
        <f t="shared" si="199"/>
        <v>864094.87</v>
      </c>
      <c r="O177" s="153"/>
      <c r="P177" s="153">
        <f t="shared" si="205"/>
        <v>1145537.94</v>
      </c>
      <c r="Q177" s="153">
        <f t="shared" si="201"/>
        <v>1527383.92</v>
      </c>
      <c r="R177" s="153">
        <v>1527383.92</v>
      </c>
      <c r="S177" s="184">
        <f t="shared" si="202"/>
        <v>0</v>
      </c>
      <c r="T177" s="182">
        <v>888979.59</v>
      </c>
      <c r="U177" s="182">
        <v>5499.6</v>
      </c>
      <c r="V177" s="182">
        <v>-2025.65</v>
      </c>
      <c r="W177" s="182">
        <v>-2516.61</v>
      </c>
      <c r="X177" s="182">
        <v>174609.93</v>
      </c>
      <c r="Y177" s="182">
        <v>-356.02</v>
      </c>
      <c r="Z177" s="182">
        <v>108192.24</v>
      </c>
      <c r="AA177" s="182">
        <v>23422.84</v>
      </c>
      <c r="AB177" s="182">
        <v>40194.65</v>
      </c>
      <c r="AC177" s="182">
        <v>21708.07</v>
      </c>
      <c r="AD177" s="182">
        <v>230585.81</v>
      </c>
      <c r="AE177" s="182">
        <v>39089.47</v>
      </c>
      <c r="AF177" s="153">
        <f t="shared" si="203"/>
        <v>78554.079090909087</v>
      </c>
      <c r="AG177" s="153">
        <f t="shared" si="204"/>
        <v>-78554.079090909087</v>
      </c>
    </row>
    <row r="178" spans="1:33" x14ac:dyDescent="0.25">
      <c r="A178" s="144" t="s">
        <v>129</v>
      </c>
      <c r="B178" s="153">
        <v>-3525984.92</v>
      </c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>
        <f t="shared" si="199"/>
        <v>-3525984.92</v>
      </c>
      <c r="O178" s="153"/>
      <c r="P178" s="153">
        <f t="shared" si="205"/>
        <v>-4579424.8875000002</v>
      </c>
      <c r="Q178" s="153">
        <f t="shared" si="201"/>
        <v>-6105899.8499999996</v>
      </c>
      <c r="R178" s="153">
        <v>-6105899.8499999996</v>
      </c>
      <c r="S178" s="184">
        <f t="shared" si="202"/>
        <v>0</v>
      </c>
      <c r="T178" s="182">
        <v>-241780</v>
      </c>
      <c r="U178" s="182">
        <v>0</v>
      </c>
      <c r="V178" s="182">
        <v>-42034.45</v>
      </c>
      <c r="W178" s="182">
        <f>-916350</f>
        <v>-916350</v>
      </c>
      <c r="X178" s="182">
        <v>-48550</v>
      </c>
      <c r="Y178" s="182">
        <v>0</v>
      </c>
      <c r="Z178" s="182">
        <v>-48901.66</v>
      </c>
      <c r="AA178" s="182">
        <v>-228900</v>
      </c>
      <c r="AB178" s="182">
        <v>-1036340</v>
      </c>
      <c r="AC178" s="182">
        <v>-1764374.14</v>
      </c>
      <c r="AD178" s="182">
        <v>-344926</v>
      </c>
      <c r="AE178" s="182">
        <v>-1433743.6</v>
      </c>
      <c r="AF178" s="153">
        <f t="shared" si="203"/>
        <v>-320544.08363636362</v>
      </c>
      <c r="AG178" s="153">
        <f t="shared" si="204"/>
        <v>320544.08363636362</v>
      </c>
    </row>
    <row r="179" spans="1:33" x14ac:dyDescent="0.25">
      <c r="A179" s="144" t="s">
        <v>130</v>
      </c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>
        <f t="shared" si="199"/>
        <v>0</v>
      </c>
      <c r="O179" s="153"/>
      <c r="P179" s="153">
        <f t="shared" si="205"/>
        <v>-4200</v>
      </c>
      <c r="Q179" s="153">
        <f t="shared" si="201"/>
        <v>-5600</v>
      </c>
      <c r="R179" s="153">
        <v>-5600</v>
      </c>
      <c r="S179" s="184">
        <f t="shared" si="202"/>
        <v>0</v>
      </c>
      <c r="T179" s="182">
        <v>0</v>
      </c>
      <c r="U179" s="182">
        <v>800</v>
      </c>
      <c r="V179" s="182">
        <v>0</v>
      </c>
      <c r="W179" s="182">
        <v>0</v>
      </c>
      <c r="X179" s="182">
        <v>0</v>
      </c>
      <c r="Y179" s="182">
        <v>0</v>
      </c>
      <c r="Z179" s="182">
        <v>0</v>
      </c>
      <c r="AA179" s="182">
        <v>0</v>
      </c>
      <c r="AB179" s="182">
        <v>0</v>
      </c>
      <c r="AC179" s="182">
        <v>0</v>
      </c>
      <c r="AD179" s="182">
        <v>-6400</v>
      </c>
      <c r="AE179" s="182">
        <v>0</v>
      </c>
      <c r="AF179" s="153">
        <f t="shared" si="203"/>
        <v>0</v>
      </c>
      <c r="AG179" s="153">
        <f t="shared" si="204"/>
        <v>0</v>
      </c>
    </row>
    <row r="180" spans="1:33" x14ac:dyDescent="0.25">
      <c r="A180" s="144" t="s">
        <v>131</v>
      </c>
      <c r="B180" s="153">
        <v>11524.23</v>
      </c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>
        <f t="shared" si="199"/>
        <v>11524.23</v>
      </c>
      <c r="O180" s="153"/>
      <c r="P180" s="153">
        <f t="shared" si="205"/>
        <v>57288.352499999986</v>
      </c>
      <c r="Q180" s="153">
        <f t="shared" si="201"/>
        <v>76384.469999999987</v>
      </c>
      <c r="R180" s="153">
        <v>76384.469999999987</v>
      </c>
      <c r="S180" s="184">
        <f t="shared" si="202"/>
        <v>0</v>
      </c>
      <c r="T180" s="182">
        <v>2682.05</v>
      </c>
      <c r="U180" s="182">
        <v>-1617.38</v>
      </c>
      <c r="V180" s="182">
        <v>5756.07</v>
      </c>
      <c r="W180" s="182">
        <v>9048.32</v>
      </c>
      <c r="X180" s="182">
        <v>11168.19</v>
      </c>
      <c r="Y180" s="182">
        <v>3721.59</v>
      </c>
      <c r="Z180" s="182">
        <v>6172.25</v>
      </c>
      <c r="AA180" s="182">
        <v>7102.98</v>
      </c>
      <c r="AB180" s="182">
        <v>7169.65</v>
      </c>
      <c r="AC180" s="182">
        <v>9614.02</v>
      </c>
      <c r="AD180" s="182">
        <v>6881.28</v>
      </c>
      <c r="AE180" s="182">
        <v>8685.4500000000007</v>
      </c>
      <c r="AF180" s="153">
        <f t="shared" si="203"/>
        <v>1047.6572727272726</v>
      </c>
      <c r="AG180" s="153">
        <f t="shared" si="204"/>
        <v>-1047.6572727272726</v>
      </c>
    </row>
    <row r="181" spans="1:33" x14ac:dyDescent="0.25">
      <c r="A181" s="144" t="s">
        <v>132</v>
      </c>
      <c r="B181" s="153">
        <v>5000</v>
      </c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>
        <f t="shared" si="199"/>
        <v>5000</v>
      </c>
      <c r="O181" s="153"/>
      <c r="P181" s="153">
        <f t="shared" si="205"/>
        <v>45000</v>
      </c>
      <c r="Q181" s="153">
        <f t="shared" si="201"/>
        <v>60000</v>
      </c>
      <c r="R181" s="153">
        <v>60000</v>
      </c>
      <c r="S181" s="184">
        <f t="shared" si="202"/>
        <v>0</v>
      </c>
      <c r="T181" s="182">
        <v>5000</v>
      </c>
      <c r="U181" s="182">
        <v>16772.5</v>
      </c>
      <c r="V181" s="182">
        <v>-6772.5</v>
      </c>
      <c r="W181" s="182">
        <v>5000</v>
      </c>
      <c r="X181" s="182">
        <v>5000</v>
      </c>
      <c r="Y181" s="182">
        <v>5000</v>
      </c>
      <c r="Z181" s="182">
        <v>5000</v>
      </c>
      <c r="AA181" s="182">
        <v>5000</v>
      </c>
      <c r="AB181" s="182">
        <v>5000</v>
      </c>
      <c r="AC181" s="182">
        <v>5000</v>
      </c>
      <c r="AD181" s="182">
        <v>5000</v>
      </c>
      <c r="AE181" s="182">
        <v>5000</v>
      </c>
      <c r="AF181" s="153">
        <f t="shared" si="203"/>
        <v>454.54545454545456</v>
      </c>
      <c r="AG181" s="153">
        <f t="shared" si="204"/>
        <v>-454.54545454545456</v>
      </c>
    </row>
    <row r="182" spans="1:33" x14ac:dyDescent="0.25">
      <c r="A182" s="144" t="s">
        <v>133</v>
      </c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>
        <f t="shared" si="199"/>
        <v>0</v>
      </c>
      <c r="O182" s="153"/>
      <c r="P182" s="153">
        <f t="shared" si="205"/>
        <v>120</v>
      </c>
      <c r="Q182" s="153">
        <f t="shared" si="201"/>
        <v>160</v>
      </c>
      <c r="R182" s="153">
        <v>160</v>
      </c>
      <c r="S182" s="184">
        <f t="shared" si="202"/>
        <v>0</v>
      </c>
      <c r="T182" s="182">
        <v>0</v>
      </c>
      <c r="U182" s="182">
        <v>0</v>
      </c>
      <c r="V182" s="182">
        <v>0</v>
      </c>
      <c r="W182" s="182">
        <v>0</v>
      </c>
      <c r="X182" s="182">
        <v>0</v>
      </c>
      <c r="Y182" s="182">
        <v>0</v>
      </c>
      <c r="Z182" s="182">
        <v>0</v>
      </c>
      <c r="AA182" s="182">
        <v>0</v>
      </c>
      <c r="AB182" s="182">
        <v>160</v>
      </c>
      <c r="AC182" s="182"/>
      <c r="AD182" s="182">
        <v>0</v>
      </c>
      <c r="AE182" s="182">
        <v>0</v>
      </c>
      <c r="AF182" s="153">
        <f t="shared" si="203"/>
        <v>0</v>
      </c>
      <c r="AG182" s="153">
        <f t="shared" si="204"/>
        <v>0</v>
      </c>
    </row>
    <row r="183" spans="1:33" x14ac:dyDescent="0.25">
      <c r="A183" s="144" t="s">
        <v>134</v>
      </c>
      <c r="B183" s="153">
        <v>199069.15</v>
      </c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>
        <f t="shared" si="199"/>
        <v>199069.15</v>
      </c>
      <c r="O183" s="153"/>
      <c r="P183" s="153">
        <f t="shared" si="205"/>
        <v>165513.77249999996</v>
      </c>
      <c r="Q183" s="153">
        <f t="shared" si="201"/>
        <v>220685.02999999997</v>
      </c>
      <c r="R183" s="153">
        <v>220685.02999999997</v>
      </c>
      <c r="S183" s="184">
        <f t="shared" si="202"/>
        <v>0</v>
      </c>
      <c r="T183" s="182">
        <v>20620</v>
      </c>
      <c r="U183" s="182">
        <v>1150</v>
      </c>
      <c r="V183" s="182">
        <v>0</v>
      </c>
      <c r="W183" s="182">
        <v>0</v>
      </c>
      <c r="X183" s="182">
        <v>158944.68</v>
      </c>
      <c r="Y183" s="182">
        <v>1357.06</v>
      </c>
      <c r="Z183" s="182">
        <v>-3040</v>
      </c>
      <c r="AA183" s="182">
        <v>10319.799999999999</v>
      </c>
      <c r="AB183" s="182">
        <v>1091.1099999999999</v>
      </c>
      <c r="AC183" s="182">
        <v>294.55</v>
      </c>
      <c r="AD183" s="182">
        <v>-499.08</v>
      </c>
      <c r="AE183" s="182">
        <v>30446.91</v>
      </c>
      <c r="AF183" s="153">
        <f t="shared" si="203"/>
        <v>18097.195454545454</v>
      </c>
      <c r="AG183" s="153">
        <f t="shared" si="204"/>
        <v>-18097.195454545454</v>
      </c>
    </row>
    <row r="184" spans="1:33" hidden="1" x14ac:dyDescent="0.25">
      <c r="A184" s="144" t="s">
        <v>135</v>
      </c>
      <c r="C184" s="153"/>
      <c r="D184" s="153"/>
      <c r="E184" s="158"/>
      <c r="F184" s="158"/>
      <c r="G184" s="153"/>
      <c r="H184" s="153"/>
      <c r="I184" s="153"/>
      <c r="J184" s="153"/>
      <c r="K184" s="153"/>
      <c r="L184" s="153"/>
      <c r="M184" s="153"/>
      <c r="N184" s="153">
        <f t="shared" ref="N184:N204" si="206">SUM(B184:M184)</f>
        <v>0</v>
      </c>
      <c r="O184" s="153"/>
      <c r="P184" s="153">
        <f t="shared" si="205"/>
        <v>-12721742.700000001</v>
      </c>
      <c r="Q184" s="153">
        <f t="shared" si="201"/>
        <v>-16962323.600000001</v>
      </c>
      <c r="R184" s="153">
        <v>-16962323.600000001</v>
      </c>
      <c r="S184" s="184">
        <f t="shared" si="202"/>
        <v>0</v>
      </c>
      <c r="T184" s="182">
        <v>2910296.13</v>
      </c>
      <c r="U184" s="182">
        <v>1651163.39</v>
      </c>
      <c r="V184" s="182">
        <v>-414097.59</v>
      </c>
      <c r="W184" s="186">
        <v>959937.83</v>
      </c>
      <c r="X184" s="186">
        <v>-3014399.59</v>
      </c>
      <c r="Y184" s="182">
        <v>3160990.11</v>
      </c>
      <c r="Z184" s="182">
        <v>-6973390.4900000002</v>
      </c>
      <c r="AA184" s="182">
        <v>-1655327.37</v>
      </c>
      <c r="AB184" s="182">
        <v>-13587496.02</v>
      </c>
      <c r="AC184" s="182">
        <v>0</v>
      </c>
      <c r="AD184" s="182">
        <v>0</v>
      </c>
      <c r="AE184" s="182">
        <v>0</v>
      </c>
      <c r="AF184" s="184">
        <f t="shared" si="203"/>
        <v>0</v>
      </c>
      <c r="AG184" s="184">
        <f t="shared" si="204"/>
        <v>0</v>
      </c>
    </row>
    <row r="185" spans="1:33" x14ac:dyDescent="0.25">
      <c r="A185" s="144" t="s">
        <v>136</v>
      </c>
      <c r="B185" s="153">
        <v>22100.25</v>
      </c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>
        <f t="shared" si="206"/>
        <v>22100.25</v>
      </c>
      <c r="O185" s="153"/>
      <c r="P185" s="153">
        <f t="shared" si="205"/>
        <v>233311.41000000003</v>
      </c>
      <c r="Q185" s="153">
        <f t="shared" si="201"/>
        <v>311081.88000000006</v>
      </c>
      <c r="R185" s="153">
        <v>311081.88000000006</v>
      </c>
      <c r="S185" s="184">
        <f t="shared" si="202"/>
        <v>0</v>
      </c>
      <c r="T185" s="182">
        <v>28233.33</v>
      </c>
      <c r="U185" s="182">
        <v>28233.33</v>
      </c>
      <c r="V185" s="182">
        <v>28595.83</v>
      </c>
      <c r="W185" s="182">
        <v>28233.33</v>
      </c>
      <c r="X185" s="182">
        <v>28233.33</v>
      </c>
      <c r="Y185" s="182">
        <v>7627.91</v>
      </c>
      <c r="Z185" s="182">
        <v>28233.33</v>
      </c>
      <c r="AA185" s="182">
        <v>28233.33</v>
      </c>
      <c r="AB185" s="182">
        <v>28233.33</v>
      </c>
      <c r="AC185" s="182">
        <v>28233.33</v>
      </c>
      <c r="AD185" s="182">
        <v>24925.040000000001</v>
      </c>
      <c r="AE185" s="182">
        <v>24066.46</v>
      </c>
      <c r="AF185" s="153">
        <f t="shared" si="203"/>
        <v>2009.1136363636363</v>
      </c>
      <c r="AG185" s="153">
        <f t="shared" si="204"/>
        <v>-2009.1136363636363</v>
      </c>
    </row>
    <row r="186" spans="1:33" hidden="1" x14ac:dyDescent="0.25">
      <c r="A186" s="144" t="s">
        <v>137</v>
      </c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>
        <f t="shared" si="206"/>
        <v>0</v>
      </c>
      <c r="O186" s="153"/>
      <c r="P186" s="153">
        <f t="shared" si="205"/>
        <v>1360.4549999999999</v>
      </c>
      <c r="Q186" s="153">
        <f t="shared" si="201"/>
        <v>1813.94</v>
      </c>
      <c r="R186" s="153">
        <v>1813.94</v>
      </c>
      <c r="S186" s="184">
        <f t="shared" si="202"/>
        <v>0</v>
      </c>
      <c r="T186" s="182">
        <v>0</v>
      </c>
      <c r="U186" s="182">
        <v>878</v>
      </c>
      <c r="V186" s="182">
        <v>0</v>
      </c>
      <c r="W186" s="182">
        <v>0</v>
      </c>
      <c r="X186" s="182">
        <v>620</v>
      </c>
      <c r="Y186" s="182">
        <v>0</v>
      </c>
      <c r="Z186" s="182">
        <v>12</v>
      </c>
      <c r="AA186" s="182">
        <v>0</v>
      </c>
      <c r="AB186" s="182">
        <v>0</v>
      </c>
      <c r="AC186" s="182">
        <v>0</v>
      </c>
      <c r="AD186" s="182">
        <v>0</v>
      </c>
      <c r="AE186" s="182">
        <v>303.94</v>
      </c>
      <c r="AF186" s="153">
        <f t="shared" si="203"/>
        <v>0</v>
      </c>
      <c r="AG186" s="153">
        <f t="shared" si="204"/>
        <v>0</v>
      </c>
    </row>
    <row r="187" spans="1:33" x14ac:dyDescent="0.25">
      <c r="A187" s="144" t="s">
        <v>138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>
        <f t="shared" si="206"/>
        <v>0</v>
      </c>
      <c r="O187" s="153"/>
      <c r="P187" s="153">
        <f t="shared" si="205"/>
        <v>15733.109999999999</v>
      </c>
      <c r="Q187" s="153">
        <f t="shared" si="201"/>
        <v>20977.48</v>
      </c>
      <c r="R187" s="153">
        <v>20977.48</v>
      </c>
      <c r="S187" s="184">
        <f t="shared" si="202"/>
        <v>0</v>
      </c>
      <c r="T187" s="182">
        <v>935.34</v>
      </c>
      <c r="U187" s="182">
        <v>6097.82</v>
      </c>
      <c r="V187" s="182">
        <v>0</v>
      </c>
      <c r="W187" s="182">
        <v>924</v>
      </c>
      <c r="X187" s="182">
        <v>0</v>
      </c>
      <c r="Y187" s="182">
        <v>0</v>
      </c>
      <c r="Z187" s="182">
        <v>0</v>
      </c>
      <c r="AA187" s="182">
        <v>6764.11</v>
      </c>
      <c r="AB187" s="182">
        <v>0</v>
      </c>
      <c r="AC187" s="182">
        <v>6256.21</v>
      </c>
      <c r="AD187" s="182">
        <v>0</v>
      </c>
      <c r="AE187" s="182">
        <v>0</v>
      </c>
      <c r="AF187" s="153">
        <f t="shared" si="203"/>
        <v>0</v>
      </c>
      <c r="AG187" s="153">
        <f t="shared" si="204"/>
        <v>0</v>
      </c>
    </row>
    <row r="188" spans="1:33" x14ac:dyDescent="0.25">
      <c r="A188" s="144" t="s">
        <v>139</v>
      </c>
      <c r="B188" s="153">
        <v>14246.42</v>
      </c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>
        <f t="shared" si="206"/>
        <v>14246.42</v>
      </c>
      <c r="O188" s="153"/>
      <c r="P188" s="153">
        <f t="shared" si="205"/>
        <v>135608.82749999998</v>
      </c>
      <c r="Q188" s="153">
        <f t="shared" si="201"/>
        <v>180811.77</v>
      </c>
      <c r="R188" s="153">
        <v>180811.77</v>
      </c>
      <c r="S188" s="184">
        <f t="shared" si="202"/>
        <v>0</v>
      </c>
      <c r="T188" s="182">
        <v>13984.01</v>
      </c>
      <c r="U188" s="182">
        <v>16090.71</v>
      </c>
      <c r="V188" s="182">
        <v>17832.23</v>
      </c>
      <c r="W188" s="182">
        <v>16363.64</v>
      </c>
      <c r="X188" s="182">
        <v>18902.009999999998</v>
      </c>
      <c r="Y188" s="182">
        <v>15846.75</v>
      </c>
      <c r="Z188" s="182">
        <v>13522.84</v>
      </c>
      <c r="AA188" s="182">
        <v>14007.24</v>
      </c>
      <c r="AB188" s="182">
        <v>8848.61</v>
      </c>
      <c r="AC188" s="182">
        <v>22497</v>
      </c>
      <c r="AD188" s="182">
        <v>14362.47</v>
      </c>
      <c r="AE188" s="182">
        <v>8554.26</v>
      </c>
      <c r="AF188" s="153">
        <f t="shared" si="203"/>
        <v>1295.129090909091</v>
      </c>
      <c r="AG188" s="153">
        <f t="shared" si="204"/>
        <v>-1295.129090909091</v>
      </c>
    </row>
    <row r="189" spans="1:33" x14ac:dyDescent="0.25">
      <c r="A189" s="144" t="s">
        <v>140</v>
      </c>
      <c r="B189" s="153">
        <v>5812.52</v>
      </c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>
        <f t="shared" si="206"/>
        <v>5812.52</v>
      </c>
      <c r="O189" s="153"/>
      <c r="P189" s="153">
        <f t="shared" si="205"/>
        <v>27483.510000000002</v>
      </c>
      <c r="Q189" s="153">
        <f t="shared" si="201"/>
        <v>36644.68</v>
      </c>
      <c r="R189" s="153">
        <v>36644.68</v>
      </c>
      <c r="S189" s="184">
        <f t="shared" si="202"/>
        <v>0</v>
      </c>
      <c r="T189" s="182">
        <v>0</v>
      </c>
      <c r="U189" s="182">
        <v>2779.92</v>
      </c>
      <c r="V189" s="182">
        <v>3901.48</v>
      </c>
      <c r="W189" s="182">
        <v>3738.32</v>
      </c>
      <c r="X189" s="182">
        <v>2514.86</v>
      </c>
      <c r="Y189" s="182">
        <v>3378.54</v>
      </c>
      <c r="Z189" s="182">
        <v>1013.2</v>
      </c>
      <c r="AA189" s="182">
        <v>2380.56</v>
      </c>
      <c r="AB189" s="182">
        <v>1769.04</v>
      </c>
      <c r="AC189" s="182">
        <v>5497</v>
      </c>
      <c r="AD189" s="182">
        <v>5210.08</v>
      </c>
      <c r="AE189" s="182">
        <v>4461.68</v>
      </c>
      <c r="AF189" s="153">
        <f t="shared" si="203"/>
        <v>528.41090909090917</v>
      </c>
      <c r="AG189" s="153">
        <f t="shared" si="204"/>
        <v>-528.41090909090917</v>
      </c>
    </row>
    <row r="190" spans="1:33" x14ac:dyDescent="0.25">
      <c r="A190" s="144" t="s">
        <v>141</v>
      </c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>
        <f t="shared" si="206"/>
        <v>0</v>
      </c>
      <c r="O190" s="153"/>
      <c r="P190" s="153">
        <f t="shared" si="205"/>
        <v>-1652.97</v>
      </c>
      <c r="Q190" s="153">
        <f t="shared" si="201"/>
        <v>-2203.96</v>
      </c>
      <c r="R190" s="153">
        <v>-2203.96</v>
      </c>
      <c r="S190" s="184">
        <f t="shared" si="202"/>
        <v>0</v>
      </c>
      <c r="T190" s="182">
        <v>0</v>
      </c>
      <c r="U190" s="182">
        <v>0</v>
      </c>
      <c r="V190" s="182">
        <v>0</v>
      </c>
      <c r="W190" s="182">
        <v>0</v>
      </c>
      <c r="X190" s="182">
        <v>-72</v>
      </c>
      <c r="Y190" s="182">
        <v>0</v>
      </c>
      <c r="Z190" s="182">
        <v>-72</v>
      </c>
      <c r="AA190" s="182">
        <v>-198</v>
      </c>
      <c r="AB190" s="182">
        <v>-309.95999999999998</v>
      </c>
      <c r="AC190" s="182">
        <v>-250</v>
      </c>
      <c r="AD190" s="182">
        <v>-1122</v>
      </c>
      <c r="AE190" s="182">
        <v>-180</v>
      </c>
      <c r="AF190" s="153">
        <f t="shared" si="203"/>
        <v>0</v>
      </c>
      <c r="AG190" s="153">
        <f t="shared" si="204"/>
        <v>0</v>
      </c>
    </row>
    <row r="191" spans="1:33" x14ac:dyDescent="0.25">
      <c r="A191" s="144" t="s">
        <v>142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>
        <f t="shared" si="206"/>
        <v>0</v>
      </c>
      <c r="O191" s="153"/>
      <c r="P191" s="153">
        <f t="shared" si="205"/>
        <v>596.40750000000003</v>
      </c>
      <c r="Q191" s="153">
        <f t="shared" si="201"/>
        <v>795.20999999999992</v>
      </c>
      <c r="R191" s="153">
        <v>795.20999999999992</v>
      </c>
      <c r="S191" s="184">
        <f t="shared" si="202"/>
        <v>0</v>
      </c>
      <c r="T191" s="182">
        <v>1.87</v>
      </c>
      <c r="U191" s="182">
        <v>0</v>
      </c>
      <c r="V191" s="182">
        <v>-115.12</v>
      </c>
      <c r="W191" s="182">
        <v>3216.06</v>
      </c>
      <c r="X191" s="182">
        <v>-2308</v>
      </c>
      <c r="Y191" s="182">
        <v>0</v>
      </c>
      <c r="Z191" s="182">
        <v>0</v>
      </c>
      <c r="AA191" s="182">
        <v>0</v>
      </c>
      <c r="AB191" s="182">
        <v>0</v>
      </c>
      <c r="AC191" s="182">
        <v>0</v>
      </c>
      <c r="AD191" s="182">
        <v>0.4</v>
      </c>
      <c r="AE191" s="182">
        <v>0</v>
      </c>
      <c r="AF191" s="153">
        <f t="shared" si="203"/>
        <v>0</v>
      </c>
      <c r="AG191" s="153">
        <f t="shared" si="204"/>
        <v>0</v>
      </c>
    </row>
    <row r="192" spans="1:33" x14ac:dyDescent="0.25">
      <c r="A192" s="144" t="s">
        <v>143</v>
      </c>
      <c r="B192" s="153">
        <v>-635.88</v>
      </c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>
        <f t="shared" si="206"/>
        <v>-635.88</v>
      </c>
      <c r="O192" s="153"/>
      <c r="P192" s="153">
        <f t="shared" si="205"/>
        <v>-23932.552500000002</v>
      </c>
      <c r="Q192" s="153">
        <f t="shared" si="201"/>
        <v>-31910.07</v>
      </c>
      <c r="R192" s="153">
        <v>-31910.07</v>
      </c>
      <c r="S192" s="184">
        <f t="shared" si="202"/>
        <v>0</v>
      </c>
      <c r="T192" s="182">
        <v>655.42</v>
      </c>
      <c r="U192" s="182">
        <v>-345.3</v>
      </c>
      <c r="V192" s="182">
        <v>-1325.46</v>
      </c>
      <c r="W192" s="182">
        <v>-3163.28</v>
      </c>
      <c r="X192" s="182">
        <v>-3813.42</v>
      </c>
      <c r="Y192" s="182">
        <v>-5151.74</v>
      </c>
      <c r="Z192" s="182">
        <v>-2238.48</v>
      </c>
      <c r="AA192" s="182">
        <v>-4687.5200000000004</v>
      </c>
      <c r="AB192" s="182">
        <v>-3915.61</v>
      </c>
      <c r="AC192" s="182">
        <v>-4595.1400000000003</v>
      </c>
      <c r="AD192" s="182">
        <v>-200.15</v>
      </c>
      <c r="AE192" s="182">
        <v>-3129.39</v>
      </c>
      <c r="AF192" s="153">
        <f t="shared" si="203"/>
        <v>-57.807272727272725</v>
      </c>
      <c r="AG192" s="153">
        <f t="shared" si="204"/>
        <v>57.807272727272725</v>
      </c>
    </row>
    <row r="193" spans="1:33" ht="15.6" customHeight="1" x14ac:dyDescent="0.25">
      <c r="A193" s="144" t="s">
        <v>144</v>
      </c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>
        <f t="shared" si="206"/>
        <v>0</v>
      </c>
      <c r="O193" s="153"/>
      <c r="P193" s="153">
        <f t="shared" si="205"/>
        <v>-268.125</v>
      </c>
      <c r="Q193" s="153">
        <f t="shared" si="201"/>
        <v>-357.5</v>
      </c>
      <c r="R193" s="153">
        <v>-357.5</v>
      </c>
      <c r="S193" s="184">
        <f t="shared" si="202"/>
        <v>0</v>
      </c>
      <c r="T193" s="182">
        <v>-260</v>
      </c>
      <c r="U193" s="182">
        <v>0</v>
      </c>
      <c r="V193" s="182">
        <v>-15</v>
      </c>
      <c r="W193" s="182">
        <f>-15</f>
        <v>-15</v>
      </c>
      <c r="X193" s="182">
        <v>0</v>
      </c>
      <c r="Y193" s="182">
        <v>0</v>
      </c>
      <c r="Z193" s="182">
        <v>-52.5</v>
      </c>
      <c r="AA193" s="182">
        <v>0</v>
      </c>
      <c r="AB193" s="182">
        <v>-15</v>
      </c>
      <c r="AC193" s="182">
        <v>0</v>
      </c>
      <c r="AD193" s="182">
        <v>0</v>
      </c>
      <c r="AE193" s="182">
        <v>0</v>
      </c>
      <c r="AF193" s="153">
        <f t="shared" si="203"/>
        <v>0</v>
      </c>
      <c r="AG193" s="153">
        <f t="shared" si="204"/>
        <v>0</v>
      </c>
    </row>
    <row r="194" spans="1:33" ht="15.6" customHeight="1" x14ac:dyDescent="0.25">
      <c r="A194" s="144" t="s">
        <v>145</v>
      </c>
      <c r="B194" s="153">
        <v>195.38</v>
      </c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>
        <f t="shared" si="206"/>
        <v>195.38</v>
      </c>
      <c r="O194" s="153"/>
      <c r="P194" s="153">
        <f t="shared" si="205"/>
        <v>131436.33750000002</v>
      </c>
      <c r="Q194" s="153">
        <f t="shared" si="201"/>
        <v>175248.45000000004</v>
      </c>
      <c r="R194" s="153">
        <v>175248.45000000004</v>
      </c>
      <c r="S194" s="184">
        <f t="shared" si="202"/>
        <v>0</v>
      </c>
      <c r="T194" s="182">
        <v>0</v>
      </c>
      <c r="U194" s="182">
        <v>0</v>
      </c>
      <c r="V194" s="182">
        <v>0</v>
      </c>
      <c r="W194" s="182">
        <v>168314.67</v>
      </c>
      <c r="X194" s="182">
        <v>0</v>
      </c>
      <c r="Y194" s="182">
        <v>1178.56</v>
      </c>
      <c r="Z194" s="182">
        <v>707.78</v>
      </c>
      <c r="AA194" s="182">
        <v>73.5</v>
      </c>
      <c r="AB194" s="182">
        <v>3004.54</v>
      </c>
      <c r="AC194" s="182">
        <v>336</v>
      </c>
      <c r="AD194" s="182">
        <v>1452.89</v>
      </c>
      <c r="AE194" s="182">
        <v>180.51</v>
      </c>
      <c r="AF194" s="153"/>
      <c r="AG194" s="153"/>
    </row>
    <row r="195" spans="1:33" ht="15.6" customHeight="1" x14ac:dyDescent="0.25">
      <c r="A195" s="144" t="s">
        <v>445</v>
      </c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>
        <f t="shared" si="206"/>
        <v>0</v>
      </c>
      <c r="O195" s="153"/>
      <c r="P195" s="153">
        <f t="shared" si="205"/>
        <v>9203.2049999999999</v>
      </c>
      <c r="Q195" s="153">
        <f t="shared" si="201"/>
        <v>12270.94</v>
      </c>
      <c r="R195" s="153">
        <v>12270.94</v>
      </c>
      <c r="S195" s="184">
        <f t="shared" si="202"/>
        <v>0</v>
      </c>
      <c r="U195" s="182"/>
      <c r="V195" s="182"/>
      <c r="W195" s="182"/>
      <c r="X195" s="182"/>
      <c r="Y195" s="182">
        <v>0</v>
      </c>
      <c r="Z195" s="182">
        <v>0</v>
      </c>
      <c r="AA195" s="182">
        <v>3682.32</v>
      </c>
      <c r="AB195" s="182">
        <v>3682.32</v>
      </c>
      <c r="AC195" s="182">
        <v>0</v>
      </c>
      <c r="AD195" s="182">
        <v>-3.46</v>
      </c>
      <c r="AE195" s="182">
        <v>4909.76</v>
      </c>
      <c r="AF195" s="153"/>
      <c r="AG195" s="153"/>
    </row>
    <row r="196" spans="1:33" ht="15.6" customHeight="1" x14ac:dyDescent="0.25">
      <c r="A196" s="144" t="s">
        <v>146</v>
      </c>
      <c r="B196" s="153">
        <v>1489191.55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>
        <f t="shared" si="206"/>
        <v>1489191.55</v>
      </c>
      <c r="O196" s="153"/>
      <c r="P196" s="153">
        <f t="shared" si="205"/>
        <v>7529634.6449999996</v>
      </c>
      <c r="Q196" s="153">
        <f t="shared" si="201"/>
        <v>10039512.859999999</v>
      </c>
      <c r="R196" s="153">
        <v>10039512.859999999</v>
      </c>
      <c r="S196" s="184">
        <f t="shared" si="202"/>
        <v>0</v>
      </c>
      <c r="T196" s="182">
        <v>0</v>
      </c>
      <c r="U196" s="182">
        <v>0</v>
      </c>
      <c r="V196" s="182">
        <v>0</v>
      </c>
      <c r="W196" s="182">
        <v>12675.04</v>
      </c>
      <c r="X196" s="182">
        <v>-0.02</v>
      </c>
      <c r="Y196" s="182">
        <v>0</v>
      </c>
      <c r="Z196" s="182">
        <v>164595.71</v>
      </c>
      <c r="AA196" s="182">
        <v>146739.68</v>
      </c>
      <c r="AB196" s="182">
        <v>2220349.09</v>
      </c>
      <c r="AC196" s="182">
        <v>1271914.67</v>
      </c>
      <c r="AD196" s="182">
        <v>3238726.03</v>
      </c>
      <c r="AE196" s="182">
        <v>2984512.66</v>
      </c>
      <c r="AF196" s="153"/>
      <c r="AG196" s="153"/>
    </row>
    <row r="197" spans="1:33" ht="15.6" customHeight="1" x14ac:dyDescent="0.25">
      <c r="A197" s="144" t="s">
        <v>588</v>
      </c>
      <c r="B197" s="153">
        <v>35003.800000000003</v>
      </c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>
        <f t="shared" si="206"/>
        <v>35003.800000000003</v>
      </c>
      <c r="O197" s="153"/>
      <c r="P197" s="153"/>
      <c r="Q197" s="153"/>
      <c r="R197" s="153"/>
      <c r="S197" s="184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53"/>
      <c r="AG197" s="153"/>
    </row>
    <row r="198" spans="1:33" ht="15.6" customHeight="1" x14ac:dyDescent="0.25">
      <c r="A198" s="144" t="s">
        <v>439</v>
      </c>
      <c r="B198" s="153">
        <v>85519.42</v>
      </c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>
        <f t="shared" si="206"/>
        <v>85519.42</v>
      </c>
      <c r="O198" s="153"/>
      <c r="P198" s="153">
        <f t="shared" si="205"/>
        <v>-33902.86500000002</v>
      </c>
      <c r="Q198" s="153">
        <f t="shared" si="201"/>
        <v>-45203.820000000029</v>
      </c>
      <c r="R198" s="153">
        <v>-45203.820000000029</v>
      </c>
      <c r="S198" s="184">
        <f t="shared" si="202"/>
        <v>0</v>
      </c>
      <c r="T198" s="182">
        <v>0</v>
      </c>
      <c r="U198" s="182">
        <v>0</v>
      </c>
      <c r="V198" s="182">
        <v>0</v>
      </c>
      <c r="W198" s="182">
        <v>0</v>
      </c>
      <c r="X198" s="182">
        <v>0</v>
      </c>
      <c r="Y198" s="182">
        <v>0</v>
      </c>
      <c r="Z198" s="182">
        <v>-4850.6000000000004</v>
      </c>
      <c r="AA198" s="182">
        <v>-8842.1</v>
      </c>
      <c r="AB198" s="182">
        <v>-211499.92</v>
      </c>
      <c r="AC198" s="182">
        <v>324145.44</v>
      </c>
      <c r="AD198" s="182">
        <v>-140290.01</v>
      </c>
      <c r="AE198" s="182">
        <v>-3866.63</v>
      </c>
      <c r="AF198" s="153"/>
      <c r="AG198" s="153"/>
    </row>
    <row r="199" spans="1:33" ht="15.6" customHeight="1" x14ac:dyDescent="0.25">
      <c r="A199" s="144" t="s">
        <v>578</v>
      </c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>
        <f t="shared" si="206"/>
        <v>0</v>
      </c>
      <c r="O199" s="153"/>
      <c r="P199" s="153"/>
      <c r="Q199" s="153"/>
      <c r="R199" s="153"/>
      <c r="S199" s="184"/>
      <c r="U199" s="182"/>
      <c r="V199" s="182"/>
      <c r="W199" s="182"/>
      <c r="X199" s="182"/>
      <c r="Y199" s="182"/>
      <c r="Z199" s="182"/>
      <c r="AA199" s="182"/>
      <c r="AB199" s="182"/>
      <c r="AC199" s="182"/>
      <c r="AD199" s="182"/>
      <c r="AE199" s="182"/>
      <c r="AF199" s="153"/>
      <c r="AG199" s="153"/>
    </row>
    <row r="200" spans="1:33" ht="15.6" hidden="1" customHeight="1" x14ac:dyDescent="0.25">
      <c r="A200" s="144" t="s">
        <v>446</v>
      </c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>
        <f t="shared" si="206"/>
        <v>0</v>
      </c>
      <c r="O200" s="153"/>
      <c r="P200" s="153">
        <f t="shared" si="205"/>
        <v>7175.6549999999997</v>
      </c>
      <c r="Q200" s="153">
        <f t="shared" si="201"/>
        <v>9567.5399999999991</v>
      </c>
      <c r="R200" s="153">
        <v>9567.5399999999991</v>
      </c>
      <c r="S200" s="184">
        <f t="shared" si="202"/>
        <v>0</v>
      </c>
      <c r="U200" s="182"/>
      <c r="V200" s="182"/>
      <c r="W200" s="182"/>
      <c r="X200" s="182"/>
      <c r="Y200" s="182">
        <v>0</v>
      </c>
      <c r="Z200" s="182">
        <v>0</v>
      </c>
      <c r="AA200" s="182">
        <v>-686.87</v>
      </c>
      <c r="AB200" s="182">
        <v>-1890.15</v>
      </c>
      <c r="AC200" s="182">
        <v>0</v>
      </c>
      <c r="AD200" s="182">
        <v>8135.59</v>
      </c>
      <c r="AE200" s="182">
        <v>4008.97</v>
      </c>
      <c r="AF200" s="153"/>
      <c r="AG200" s="153"/>
    </row>
    <row r="201" spans="1:33" ht="15.6" customHeight="1" x14ac:dyDescent="0.25">
      <c r="A201" s="144" t="s">
        <v>419</v>
      </c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>
        <f t="shared" si="206"/>
        <v>0</v>
      </c>
      <c r="O201" s="153"/>
      <c r="P201" s="153">
        <f t="shared" ref="P201" si="207">Q201/12*$P$3</f>
        <v>68.475000000000009</v>
      </c>
      <c r="Q201" s="153">
        <f t="shared" si="201"/>
        <v>91.300000000000011</v>
      </c>
      <c r="R201" s="153">
        <v>91.300000000000011</v>
      </c>
      <c r="S201" s="184">
        <f t="shared" si="202"/>
        <v>0</v>
      </c>
      <c r="T201" s="182">
        <v>0</v>
      </c>
      <c r="U201" s="182">
        <v>0</v>
      </c>
      <c r="V201" s="182">
        <v>0</v>
      </c>
      <c r="W201" s="182">
        <v>0</v>
      </c>
      <c r="X201" s="182">
        <v>0</v>
      </c>
      <c r="Y201" s="182">
        <v>29.46</v>
      </c>
      <c r="Z201" s="182">
        <v>61.84</v>
      </c>
      <c r="AA201" s="182">
        <v>0</v>
      </c>
      <c r="AB201" s="182">
        <v>0</v>
      </c>
      <c r="AC201" s="182">
        <v>0</v>
      </c>
      <c r="AD201" s="182">
        <v>0</v>
      </c>
      <c r="AE201" s="182">
        <v>0</v>
      </c>
      <c r="AF201" s="153"/>
      <c r="AG201" s="153"/>
    </row>
    <row r="202" spans="1:33" ht="15.6" customHeight="1" x14ac:dyDescent="0.25">
      <c r="A202" s="144" t="s">
        <v>420</v>
      </c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>
        <f t="shared" si="206"/>
        <v>0</v>
      </c>
      <c r="O202" s="153"/>
      <c r="P202" s="153">
        <f t="shared" ref="P202:P204" si="208">Q202/12*$P$3</f>
        <v>-1882.7550000000001</v>
      </c>
      <c r="Q202" s="153">
        <f t="shared" ref="Q202:Q204" si="209">R202</f>
        <v>-2510.34</v>
      </c>
      <c r="R202" s="153">
        <v>-2510.34</v>
      </c>
      <c r="S202" s="184">
        <f t="shared" si="202"/>
        <v>0</v>
      </c>
      <c r="T202" s="182">
        <v>0</v>
      </c>
      <c r="U202" s="182">
        <v>0</v>
      </c>
      <c r="V202" s="182">
        <v>0</v>
      </c>
      <c r="W202" s="182">
        <v>0</v>
      </c>
      <c r="X202" s="182">
        <v>0</v>
      </c>
      <c r="Y202" s="182">
        <v>0</v>
      </c>
      <c r="Z202" s="182">
        <v>100.32</v>
      </c>
      <c r="AA202" s="182">
        <v>-1577.17</v>
      </c>
      <c r="AB202" s="182">
        <v>81.47</v>
      </c>
      <c r="AC202" s="182">
        <v>-732.39</v>
      </c>
      <c r="AD202" s="182">
        <v>0</v>
      </c>
      <c r="AE202" s="182">
        <v>-382.57</v>
      </c>
      <c r="AF202" s="153"/>
      <c r="AG202" s="153"/>
    </row>
    <row r="203" spans="1:33" ht="15.6" hidden="1" customHeight="1" x14ac:dyDescent="0.25">
      <c r="A203" s="144" t="s">
        <v>435</v>
      </c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>
        <f t="shared" si="206"/>
        <v>0</v>
      </c>
      <c r="O203" s="153"/>
      <c r="P203" s="153">
        <f t="shared" si="208"/>
        <v>126</v>
      </c>
      <c r="Q203" s="153">
        <f t="shared" si="209"/>
        <v>168</v>
      </c>
      <c r="R203" s="153">
        <v>168</v>
      </c>
      <c r="S203" s="184">
        <f t="shared" si="202"/>
        <v>0</v>
      </c>
      <c r="T203" s="182">
        <v>0</v>
      </c>
      <c r="U203" s="182">
        <v>0</v>
      </c>
      <c r="V203" s="182">
        <v>0</v>
      </c>
      <c r="W203" s="182">
        <v>0</v>
      </c>
      <c r="X203" s="182">
        <v>0</v>
      </c>
      <c r="Y203" s="182">
        <v>0</v>
      </c>
      <c r="Z203" s="182">
        <v>168</v>
      </c>
      <c r="AA203" s="182">
        <v>0</v>
      </c>
      <c r="AB203" s="182">
        <v>0</v>
      </c>
      <c r="AC203" s="182">
        <v>0</v>
      </c>
      <c r="AD203" s="182">
        <v>0</v>
      </c>
      <c r="AE203" s="182">
        <v>0</v>
      </c>
      <c r="AF203" s="153"/>
      <c r="AG203" s="153"/>
    </row>
    <row r="204" spans="1:33" ht="15.6" customHeight="1" x14ac:dyDescent="0.25">
      <c r="A204" s="144" t="s">
        <v>523</v>
      </c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>
        <f t="shared" si="206"/>
        <v>0</v>
      </c>
      <c r="O204" s="153"/>
      <c r="P204" s="153">
        <f t="shared" si="208"/>
        <v>78.802499999999995</v>
      </c>
      <c r="Q204" s="153">
        <f t="shared" si="209"/>
        <v>105.07000000000001</v>
      </c>
      <c r="R204" s="153">
        <v>105.07000000000001</v>
      </c>
      <c r="S204" s="184">
        <f t="shared" ref="S204:S271" si="210">R204-SUM(T204:AE204)</f>
        <v>0</v>
      </c>
      <c r="T204" s="182">
        <v>0</v>
      </c>
      <c r="U204" s="182">
        <v>0</v>
      </c>
      <c r="V204" s="182">
        <v>0</v>
      </c>
      <c r="W204" s="182">
        <v>0</v>
      </c>
      <c r="X204" s="182">
        <v>0</v>
      </c>
      <c r="Y204" s="182">
        <v>0</v>
      </c>
      <c r="Z204" s="182">
        <v>0</v>
      </c>
      <c r="AA204" s="182">
        <v>0</v>
      </c>
      <c r="AB204" s="182">
        <v>0</v>
      </c>
      <c r="AC204" s="182">
        <v>0</v>
      </c>
      <c r="AD204" s="182">
        <v>-45.83</v>
      </c>
      <c r="AE204" s="182">
        <v>150.9</v>
      </c>
      <c r="AF204" s="153"/>
      <c r="AG204" s="153"/>
    </row>
    <row r="205" spans="1:33" s="152" customFormat="1" x14ac:dyDescent="0.25">
      <c r="A205" s="152" t="s">
        <v>147</v>
      </c>
      <c r="B205" s="172">
        <f>SUM(B135:B204)</f>
        <v>500536895.93000007</v>
      </c>
      <c r="C205" s="172">
        <f t="shared" ref="C205:M205" si="211">SUM(C135:C204)</f>
        <v>0</v>
      </c>
      <c r="D205" s="172">
        <f t="shared" si="211"/>
        <v>0</v>
      </c>
      <c r="E205" s="172">
        <f t="shared" si="211"/>
        <v>0</v>
      </c>
      <c r="F205" s="172">
        <f t="shared" si="211"/>
        <v>0</v>
      </c>
      <c r="G205" s="172">
        <f t="shared" si="211"/>
        <v>0</v>
      </c>
      <c r="H205" s="172">
        <f t="shared" si="211"/>
        <v>0</v>
      </c>
      <c r="I205" s="172">
        <f>SUM(I135:I204)</f>
        <v>0</v>
      </c>
      <c r="J205" s="172">
        <f t="shared" si="211"/>
        <v>0</v>
      </c>
      <c r="K205" s="172">
        <f t="shared" si="211"/>
        <v>0</v>
      </c>
      <c r="L205" s="172">
        <f t="shared" si="211"/>
        <v>0</v>
      </c>
      <c r="M205" s="172">
        <f t="shared" si="211"/>
        <v>0</v>
      </c>
      <c r="N205" s="172">
        <f>SUM(N135:N204)</f>
        <v>500536895.93000007</v>
      </c>
      <c r="O205" s="172"/>
      <c r="P205" s="172">
        <f>SUM(P135:P204)</f>
        <v>3510553456.462502</v>
      </c>
      <c r="Q205" s="172">
        <f>SUM(Q135:Q204)</f>
        <v>4680737941.9499979</v>
      </c>
      <c r="R205" s="172">
        <v>4680737941.9499979</v>
      </c>
      <c r="S205" s="184">
        <f t="shared" si="210"/>
        <v>0</v>
      </c>
      <c r="T205" s="197">
        <f>SUM(T135:T204)</f>
        <v>584692821.1099999</v>
      </c>
      <c r="U205" s="197">
        <f t="shared" ref="U205:X205" si="212">SUM(U135:U202)</f>
        <v>1326064718.7600005</v>
      </c>
      <c r="V205" s="197">
        <f t="shared" si="212"/>
        <v>407886159.28000009</v>
      </c>
      <c r="W205" s="197">
        <f>SUM(W135:W204)</f>
        <v>144492603.92999986</v>
      </c>
      <c r="X205" s="197">
        <f t="shared" si="212"/>
        <v>212099725.4200002</v>
      </c>
      <c r="Y205" s="197">
        <f t="shared" ref="Y205:AD205" si="213">SUM(Y135:Y204)</f>
        <v>355772504.34000009</v>
      </c>
      <c r="Z205" s="197">
        <f t="shared" si="213"/>
        <v>291293762.78999996</v>
      </c>
      <c r="AA205" s="197">
        <f t="shared" si="213"/>
        <v>454018087.06999999</v>
      </c>
      <c r="AB205" s="197">
        <f t="shared" si="213"/>
        <v>336223545.79000008</v>
      </c>
      <c r="AC205" s="197">
        <f t="shared" si="213"/>
        <v>149782494.22999993</v>
      </c>
      <c r="AD205" s="197">
        <f t="shared" si="213"/>
        <v>225484150.4199999</v>
      </c>
      <c r="AE205" s="197">
        <f>SUM(AE135:AE204)</f>
        <v>192927368.80999973</v>
      </c>
      <c r="AF205" s="172">
        <f t="shared" si="203"/>
        <v>45503354.175454549</v>
      </c>
      <c r="AG205" s="172">
        <f t="shared" si="204"/>
        <v>-45503354.175454549</v>
      </c>
    </row>
    <row r="206" spans="1:33" s="152" customFormat="1" ht="15.75" thickBot="1" x14ac:dyDescent="0.3">
      <c r="A206" s="152" t="s">
        <v>148</v>
      </c>
      <c r="B206" s="171">
        <f t="shared" ref="B206:G206" si="214">B133-B205</f>
        <v>1142136.4899999499</v>
      </c>
      <c r="C206" s="171">
        <f t="shared" si="214"/>
        <v>0</v>
      </c>
      <c r="D206" s="171">
        <f t="shared" si="214"/>
        <v>0</v>
      </c>
      <c r="E206" s="171">
        <f t="shared" si="214"/>
        <v>0</v>
      </c>
      <c r="F206" s="171">
        <f t="shared" si="214"/>
        <v>0</v>
      </c>
      <c r="G206" s="171">
        <f t="shared" si="214"/>
        <v>0</v>
      </c>
      <c r="H206" s="171">
        <f t="shared" ref="H206" si="215">H133-H205</f>
        <v>0</v>
      </c>
      <c r="I206" s="171">
        <f>I133-I205</f>
        <v>0</v>
      </c>
      <c r="J206" s="171">
        <f>J133-J205</f>
        <v>0</v>
      </c>
      <c r="K206" s="171">
        <f>K133-K205</f>
        <v>0</v>
      </c>
      <c r="L206" s="171">
        <f>L133-L205</f>
        <v>0</v>
      </c>
      <c r="M206" s="171">
        <f>M133-M205</f>
        <v>0</v>
      </c>
      <c r="N206" s="171">
        <f>SUM(B206:M206)</f>
        <v>1142136.4899999499</v>
      </c>
      <c r="O206" s="171"/>
      <c r="P206" s="171">
        <f t="shared" ref="P206" si="216">P133-P205</f>
        <v>4166650.4474983215</v>
      </c>
      <c r="Q206" s="171">
        <f>Q133-Q205</f>
        <v>5555533.9300031662</v>
      </c>
      <c r="R206" s="171">
        <v>5555533.9299998283</v>
      </c>
      <c r="S206" s="184">
        <f t="shared" si="210"/>
        <v>0</v>
      </c>
      <c r="T206" s="196">
        <f t="shared" ref="T206:Z206" si="217">T133-T205</f>
        <v>697510.16000008583</v>
      </c>
      <c r="U206" s="196">
        <f t="shared" si="217"/>
        <v>624547.37999987602</v>
      </c>
      <c r="V206" s="196">
        <f t="shared" si="217"/>
        <v>769919.81999999285</v>
      </c>
      <c r="W206" s="196">
        <f t="shared" si="217"/>
        <v>477580.01000010967</v>
      </c>
      <c r="X206" s="196">
        <f t="shared" si="217"/>
        <v>386606.16999977827</v>
      </c>
      <c r="Y206" s="196">
        <f t="shared" si="217"/>
        <v>532374.25999993086</v>
      </c>
      <c r="Z206" s="196">
        <f t="shared" si="217"/>
        <v>339887.33999991417</v>
      </c>
      <c r="AA206" s="196">
        <f>AA133-AA205</f>
        <v>406594.80999988317</v>
      </c>
      <c r="AB206" s="196">
        <f>AB133-AB205</f>
        <v>328169.66999995708</v>
      </c>
      <c r="AC206" s="196">
        <f>AC133-AC205</f>
        <v>519535.71999999881</v>
      </c>
      <c r="AD206" s="196">
        <f>AD133-AD205</f>
        <v>199948.67000007629</v>
      </c>
      <c r="AE206" s="196">
        <f>AE133-AE205</f>
        <v>272859.92000022531</v>
      </c>
      <c r="AF206" s="171">
        <f t="shared" si="203"/>
        <v>103830.58999999544</v>
      </c>
      <c r="AG206" s="171">
        <f t="shared" si="204"/>
        <v>-103830.58999999544</v>
      </c>
    </row>
    <row r="207" spans="1:33" ht="15.75" thickTop="1" x14ac:dyDescent="0.25"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84">
        <f t="shared" si="210"/>
        <v>0</v>
      </c>
      <c r="U207" s="182"/>
      <c r="V207" s="182"/>
      <c r="W207" s="182"/>
      <c r="X207" s="182"/>
      <c r="Y207" s="182"/>
      <c r="Z207" s="182"/>
      <c r="AA207" s="182"/>
      <c r="AB207" s="182"/>
      <c r="AC207" s="182"/>
      <c r="AD207" s="182"/>
      <c r="AE207" s="182"/>
      <c r="AF207" s="153">
        <f t="shared" si="203"/>
        <v>0</v>
      </c>
      <c r="AG207" s="153">
        <f t="shared" si="204"/>
        <v>0</v>
      </c>
    </row>
    <row r="208" spans="1:33" x14ac:dyDescent="0.25">
      <c r="A208" s="144" t="s">
        <v>149</v>
      </c>
      <c r="B208" s="153">
        <v>239442.44</v>
      </c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>
        <f t="shared" ref="N208:N221" si="218">SUM(B208:M208)</f>
        <v>239442.44</v>
      </c>
      <c r="O208" s="153"/>
      <c r="P208" s="153">
        <f>Q208/12*$P$3</f>
        <v>1955056.6875</v>
      </c>
      <c r="Q208" s="153">
        <f>R208</f>
        <v>2606742.25</v>
      </c>
      <c r="R208" s="153">
        <v>2606742.25</v>
      </c>
      <c r="S208" s="184">
        <f t="shared" si="210"/>
        <v>0</v>
      </c>
      <c r="T208" s="182">
        <v>321540.08</v>
      </c>
      <c r="U208" s="182">
        <v>265057.82</v>
      </c>
      <c r="V208" s="182">
        <v>284816.11</v>
      </c>
      <c r="W208" s="182">
        <v>286945.63</v>
      </c>
      <c r="X208" s="182">
        <v>338930.51</v>
      </c>
      <c r="Y208" s="182">
        <v>336452.67</v>
      </c>
      <c r="Z208" s="182">
        <v>332380.34000000003</v>
      </c>
      <c r="AA208" s="182">
        <v>332790.09000000003</v>
      </c>
      <c r="AB208" s="182">
        <v>-648016.48</v>
      </c>
      <c r="AC208" s="182">
        <v>241846.34</v>
      </c>
      <c r="AD208" s="182">
        <v>170686.83</v>
      </c>
      <c r="AE208" s="182">
        <v>343312.31</v>
      </c>
      <c r="AF208" s="153">
        <f t="shared" si="203"/>
        <v>21767.494545454545</v>
      </c>
      <c r="AG208" s="153">
        <f t="shared" si="204"/>
        <v>-21767.494545454545</v>
      </c>
    </row>
    <row r="209" spans="1:33" x14ac:dyDescent="0.25">
      <c r="A209" s="144" t="s">
        <v>150</v>
      </c>
      <c r="B209" s="153">
        <v>15786.57</v>
      </c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>
        <f t="shared" si="218"/>
        <v>15786.57</v>
      </c>
      <c r="O209" s="153"/>
      <c r="P209" s="153">
        <f t="shared" ref="P209:P221" si="219">Q209/12*$P$3</f>
        <v>119681.73</v>
      </c>
      <c r="Q209" s="153">
        <f>13297.97*12</f>
        <v>159575.63999999998</v>
      </c>
      <c r="R209" s="153">
        <v>286.27999999999997</v>
      </c>
      <c r="S209" s="184">
        <f t="shared" si="210"/>
        <v>0</v>
      </c>
      <c r="T209" s="182">
        <v>0</v>
      </c>
      <c r="U209" s="182">
        <v>0</v>
      </c>
      <c r="V209" s="182">
        <v>0</v>
      </c>
      <c r="W209" s="182">
        <v>0</v>
      </c>
      <c r="X209" s="182">
        <v>0</v>
      </c>
      <c r="Y209" s="182">
        <v>0</v>
      </c>
      <c r="Z209" s="182">
        <v>0</v>
      </c>
      <c r="AA209" s="182">
        <v>0</v>
      </c>
      <c r="AB209" s="182">
        <v>0</v>
      </c>
      <c r="AC209" s="182"/>
      <c r="AD209" s="182">
        <v>0</v>
      </c>
      <c r="AE209" s="182">
        <v>286.27999999999997</v>
      </c>
      <c r="AF209" s="153">
        <f t="shared" si="203"/>
        <v>1435.1427272727271</v>
      </c>
      <c r="AG209" s="153">
        <f t="shared" si="204"/>
        <v>-1435.1427272727271</v>
      </c>
    </row>
    <row r="210" spans="1:33" x14ac:dyDescent="0.25">
      <c r="A210" s="144" t="s">
        <v>151</v>
      </c>
      <c r="B210" s="153">
        <v>1544.13</v>
      </c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>
        <f t="shared" si="218"/>
        <v>1544.13</v>
      </c>
      <c r="O210" s="153"/>
      <c r="P210" s="153">
        <f t="shared" si="219"/>
        <v>28710.75</v>
      </c>
      <c r="Q210" s="153">
        <f t="shared" ref="Q210:Q221" si="220">R210</f>
        <v>38281</v>
      </c>
      <c r="R210" s="153">
        <v>38281</v>
      </c>
      <c r="S210" s="184">
        <f t="shared" si="210"/>
        <v>0</v>
      </c>
      <c r="T210" s="182">
        <v>0</v>
      </c>
      <c r="U210" s="182">
        <v>4088</v>
      </c>
      <c r="V210" s="182">
        <v>4088</v>
      </c>
      <c r="W210" s="182">
        <v>4088</v>
      </c>
      <c r="X210" s="182">
        <v>4088</v>
      </c>
      <c r="Y210" s="182">
        <v>-2599</v>
      </c>
      <c r="Z210" s="182">
        <f>[5]Sheet1!$R$95</f>
        <v>4088</v>
      </c>
      <c r="AA210" s="182">
        <v>4088</v>
      </c>
      <c r="AB210" s="182">
        <v>4088</v>
      </c>
      <c r="AC210" s="182">
        <v>4088</v>
      </c>
      <c r="AD210" s="182">
        <v>4088</v>
      </c>
      <c r="AE210" s="182">
        <v>4088</v>
      </c>
      <c r="AF210" s="153">
        <f t="shared" si="203"/>
        <v>140.37545454545455</v>
      </c>
      <c r="AG210" s="153">
        <f t="shared" si="204"/>
        <v>-140.37545454545455</v>
      </c>
    </row>
    <row r="211" spans="1:33" x14ac:dyDescent="0.25">
      <c r="A211" s="144" t="s">
        <v>152</v>
      </c>
      <c r="B211" s="153">
        <v>25587.14</v>
      </c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>
        <f t="shared" si="218"/>
        <v>25587.14</v>
      </c>
      <c r="O211" s="153"/>
      <c r="P211" s="153">
        <f t="shared" si="219"/>
        <v>157327.73249999998</v>
      </c>
      <c r="Q211" s="153">
        <f t="shared" si="220"/>
        <v>209770.30999999997</v>
      </c>
      <c r="R211" s="153">
        <v>209770.30999999997</v>
      </c>
      <c r="S211" s="184">
        <f t="shared" si="210"/>
        <v>0</v>
      </c>
      <c r="T211" s="182">
        <v>34485.919999999998</v>
      </c>
      <c r="U211" s="182">
        <v>25848.55</v>
      </c>
      <c r="V211" s="182">
        <v>25451.64</v>
      </c>
      <c r="W211" s="182">
        <v>26482.85</v>
      </c>
      <c r="X211" s="182">
        <v>27594.59</v>
      </c>
      <c r="Y211" s="182">
        <v>26155.119999999999</v>
      </c>
      <c r="Z211" s="182">
        <f>[5]Sheet1!$R$96</f>
        <v>24572.799999999999</v>
      </c>
      <c r="AA211" s="182">
        <v>24177.29</v>
      </c>
      <c r="AB211" s="182">
        <v>-60236.23</v>
      </c>
      <c r="AC211" s="182">
        <v>15408.87</v>
      </c>
      <c r="AD211" s="182">
        <v>10816.19</v>
      </c>
      <c r="AE211" s="182">
        <v>29012.720000000001</v>
      </c>
      <c r="AF211" s="153">
        <f t="shared" si="203"/>
        <v>2326.1036363636363</v>
      </c>
      <c r="AG211" s="153">
        <f t="shared" si="204"/>
        <v>-2326.1036363636363</v>
      </c>
    </row>
    <row r="212" spans="1:33" x14ac:dyDescent="0.25">
      <c r="A212" s="144" t="s">
        <v>153</v>
      </c>
      <c r="B212" s="153">
        <v>28222.57</v>
      </c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>
        <f t="shared" si="218"/>
        <v>28222.57</v>
      </c>
      <c r="O212" s="153"/>
      <c r="P212" s="153">
        <f t="shared" si="219"/>
        <v>202311</v>
      </c>
      <c r="Q212" s="153">
        <f>22479*12</f>
        <v>269748</v>
      </c>
      <c r="R212" s="153">
        <v>223406.7</v>
      </c>
      <c r="S212" s="184">
        <f t="shared" si="210"/>
        <v>0</v>
      </c>
      <c r="T212" s="182">
        <v>34701.300000000003</v>
      </c>
      <c r="U212" s="182">
        <v>29078.31</v>
      </c>
      <c r="V212" s="182">
        <v>14776.7</v>
      </c>
      <c r="W212" s="182">
        <v>22093.19</v>
      </c>
      <c r="X212" s="182">
        <v>36544.94</v>
      </c>
      <c r="Y212" s="182">
        <v>29148.65</v>
      </c>
      <c r="Z212" s="182">
        <f>[5]Sheet1!$R$97</f>
        <v>26044.41</v>
      </c>
      <c r="AA212" s="182">
        <v>23927.88</v>
      </c>
      <c r="AB212" s="182">
        <v>-43787.11</v>
      </c>
      <c r="AC212" s="182">
        <v>17362.52</v>
      </c>
      <c r="AD212" s="182">
        <v>16364.54</v>
      </c>
      <c r="AE212" s="182">
        <v>17151.37</v>
      </c>
      <c r="AF212" s="153">
        <f t="shared" si="203"/>
        <v>2565.6881818181819</v>
      </c>
      <c r="AG212" s="153">
        <f t="shared" si="204"/>
        <v>-2565.6881818181819</v>
      </c>
    </row>
    <row r="213" spans="1:33" x14ac:dyDescent="0.25">
      <c r="A213" s="144" t="s">
        <v>154</v>
      </c>
      <c r="B213" s="153">
        <v>4102.88</v>
      </c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>
        <f>SUM(B213:M213)</f>
        <v>4102.88</v>
      </c>
      <c r="O213" s="153"/>
      <c r="P213" s="153">
        <f t="shared" si="219"/>
        <v>29250</v>
      </c>
      <c r="Q213" s="153">
        <v>39000</v>
      </c>
      <c r="R213" s="153">
        <v>31540.97</v>
      </c>
      <c r="S213" s="184">
        <f t="shared" si="210"/>
        <v>0</v>
      </c>
      <c r="T213" s="182">
        <v>3985.86</v>
      </c>
      <c r="U213" s="182">
        <v>4106.21</v>
      </c>
      <c r="V213" s="182">
        <v>4155.76</v>
      </c>
      <c r="W213" s="182">
        <v>3572.78</v>
      </c>
      <c r="X213" s="182">
        <v>2661.9</v>
      </c>
      <c r="Y213" s="182">
        <v>4701.25</v>
      </c>
      <c r="Z213" s="182">
        <f>[5]Sheet1!$R$98</f>
        <v>4559.01</v>
      </c>
      <c r="AA213" s="182">
        <v>4006.17</v>
      </c>
      <c r="AB213" s="182">
        <v>-8718.48</v>
      </c>
      <c r="AC213" s="198">
        <v>2920.76</v>
      </c>
      <c r="AD213" s="182">
        <v>2800.78</v>
      </c>
      <c r="AE213" s="182">
        <v>2788.97</v>
      </c>
      <c r="AF213" s="153">
        <f t="shared" si="203"/>
        <v>372.98909090909092</v>
      </c>
      <c r="AG213" s="153">
        <f t="shared" si="204"/>
        <v>-372.98909090909092</v>
      </c>
    </row>
    <row r="214" spans="1:33" x14ac:dyDescent="0.25">
      <c r="A214" s="144" t="s">
        <v>155</v>
      </c>
      <c r="B214" s="153">
        <v>4264.72</v>
      </c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>
        <f t="shared" si="218"/>
        <v>4264.72</v>
      </c>
      <c r="O214" s="153"/>
      <c r="P214" s="153">
        <f t="shared" si="219"/>
        <v>90000</v>
      </c>
      <c r="Q214" s="153">
        <v>120000</v>
      </c>
      <c r="R214" s="153">
        <v>77546.92</v>
      </c>
      <c r="S214" s="184">
        <f t="shared" si="210"/>
        <v>0</v>
      </c>
      <c r="T214" s="182">
        <v>9167</v>
      </c>
      <c r="U214" s="182">
        <v>9167</v>
      </c>
      <c r="V214" s="182">
        <v>9167</v>
      </c>
      <c r="W214" s="182">
        <v>9167</v>
      </c>
      <c r="X214" s="182">
        <v>9167</v>
      </c>
      <c r="Y214" s="182">
        <v>8600</v>
      </c>
      <c r="Z214" s="182">
        <f>[5]Sheet1!$R$99</f>
        <v>8600</v>
      </c>
      <c r="AA214" s="182">
        <v>8600</v>
      </c>
      <c r="AB214" s="182">
        <v>-19312.41</v>
      </c>
      <c r="AC214" s="182">
        <v>5621.19</v>
      </c>
      <c r="AD214" s="182">
        <v>5498.79</v>
      </c>
      <c r="AE214" s="182">
        <v>14104.35</v>
      </c>
      <c r="AF214" s="153">
        <f t="shared" si="203"/>
        <v>387.70181818181823</v>
      </c>
      <c r="AG214" s="153">
        <f t="shared" si="204"/>
        <v>-387.70181818181823</v>
      </c>
    </row>
    <row r="215" spans="1:33" x14ac:dyDescent="0.25">
      <c r="A215" s="144" t="s">
        <v>156</v>
      </c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>
        <f t="shared" si="218"/>
        <v>0</v>
      </c>
      <c r="O215" s="153"/>
      <c r="P215" s="153">
        <f t="shared" si="219"/>
        <v>9000</v>
      </c>
      <c r="Q215" s="153">
        <v>12000</v>
      </c>
      <c r="R215" s="153">
        <v>2495.85</v>
      </c>
      <c r="S215" s="184">
        <f t="shared" si="210"/>
        <v>0</v>
      </c>
      <c r="T215" s="182">
        <v>116.2</v>
      </c>
      <c r="U215" s="182">
        <v>164.9</v>
      </c>
      <c r="V215" s="182">
        <v>55.05</v>
      </c>
      <c r="W215" s="182">
        <v>59.95</v>
      </c>
      <c r="X215" s="182">
        <v>100</v>
      </c>
      <c r="Y215" s="182">
        <v>59.95</v>
      </c>
      <c r="Z215" s="182">
        <f>[5]Sheet1!$R$100</f>
        <v>1600</v>
      </c>
      <c r="AA215" s="182">
        <v>0</v>
      </c>
      <c r="AB215" s="182">
        <v>59.95</v>
      </c>
      <c r="AC215" s="182">
        <v>159.94999999999999</v>
      </c>
      <c r="AD215" s="182">
        <v>119.9</v>
      </c>
      <c r="AE215" s="182">
        <v>0</v>
      </c>
      <c r="AF215" s="153">
        <f t="shared" si="203"/>
        <v>0</v>
      </c>
      <c r="AG215" s="153">
        <f t="shared" si="204"/>
        <v>0</v>
      </c>
    </row>
    <row r="216" spans="1:33" x14ac:dyDescent="0.25">
      <c r="A216" s="144" t="s">
        <v>157</v>
      </c>
      <c r="B216" s="153">
        <v>1778.51</v>
      </c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>
        <f t="shared" si="218"/>
        <v>1778.51</v>
      </c>
      <c r="O216" s="153"/>
      <c r="P216" s="153">
        <f t="shared" si="219"/>
        <v>11101.634999999998</v>
      </c>
      <c r="Q216" s="153">
        <f t="shared" si="220"/>
        <v>14802.179999999998</v>
      </c>
      <c r="R216" s="153">
        <v>14802.179999999998</v>
      </c>
      <c r="S216" s="184">
        <f t="shared" si="210"/>
        <v>0</v>
      </c>
      <c r="T216" s="182">
        <v>1196.75</v>
      </c>
      <c r="U216" s="182">
        <v>1627.2</v>
      </c>
      <c r="V216" s="182">
        <v>1115.29</v>
      </c>
      <c r="W216" s="182">
        <v>1152.68</v>
      </c>
      <c r="X216" s="182">
        <v>1252.42</v>
      </c>
      <c r="Y216" s="182">
        <v>1063.43</v>
      </c>
      <c r="Z216" s="182">
        <f>[5]Sheet1!$R$101</f>
        <v>1388.91</v>
      </c>
      <c r="AA216" s="182">
        <v>1086.9000000000001</v>
      </c>
      <c r="AB216" s="182">
        <v>477.46</v>
      </c>
      <c r="AC216" s="182">
        <v>1409.54</v>
      </c>
      <c r="AD216" s="182">
        <v>2183.6</v>
      </c>
      <c r="AE216" s="182">
        <v>848</v>
      </c>
      <c r="AF216" s="153">
        <f t="shared" si="203"/>
        <v>161.68272727272728</v>
      </c>
      <c r="AG216" s="153">
        <f t="shared" si="204"/>
        <v>-161.68272727272728</v>
      </c>
    </row>
    <row r="217" spans="1:33" x14ac:dyDescent="0.25">
      <c r="A217" s="144" t="s">
        <v>158</v>
      </c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>
        <f t="shared" si="218"/>
        <v>0</v>
      </c>
      <c r="O217" s="153"/>
      <c r="P217" s="153">
        <f t="shared" si="219"/>
        <v>3142.5</v>
      </c>
      <c r="Q217" s="153">
        <f t="shared" si="220"/>
        <v>4190</v>
      </c>
      <c r="R217" s="153">
        <v>4190</v>
      </c>
      <c r="S217" s="184">
        <f t="shared" si="210"/>
        <v>0</v>
      </c>
      <c r="T217" s="182">
        <v>0</v>
      </c>
      <c r="U217" s="182">
        <v>2800</v>
      </c>
      <c r="V217" s="182">
        <v>0</v>
      </c>
      <c r="W217" s="182">
        <v>0</v>
      </c>
      <c r="X217" s="182">
        <v>0</v>
      </c>
      <c r="Y217" s="182">
        <v>220</v>
      </c>
      <c r="Z217" s="182">
        <f>[5]Sheet1!$R$102</f>
        <v>0</v>
      </c>
      <c r="AA217" s="182">
        <v>320</v>
      </c>
      <c r="AB217" s="182">
        <v>340</v>
      </c>
      <c r="AC217" s="182">
        <v>0</v>
      </c>
      <c r="AD217" s="182">
        <v>0</v>
      </c>
      <c r="AE217" s="182">
        <v>510</v>
      </c>
      <c r="AF217" s="153">
        <f t="shared" si="203"/>
        <v>0</v>
      </c>
      <c r="AG217" s="153">
        <f t="shared" si="204"/>
        <v>0</v>
      </c>
    </row>
    <row r="218" spans="1:33" x14ac:dyDescent="0.25">
      <c r="A218" s="144" t="s">
        <v>573</v>
      </c>
      <c r="B218" s="153">
        <v>3174.2</v>
      </c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>
        <f t="shared" si="218"/>
        <v>3174.2</v>
      </c>
      <c r="O218" s="153"/>
      <c r="P218" s="153">
        <f t="shared" si="219"/>
        <v>0</v>
      </c>
      <c r="Q218" s="153"/>
      <c r="R218" s="153"/>
      <c r="S218" s="184"/>
      <c r="U218" s="182"/>
      <c r="V218" s="182"/>
      <c r="W218" s="182"/>
      <c r="X218" s="182"/>
      <c r="Y218" s="182"/>
      <c r="Z218" s="182"/>
      <c r="AA218" s="182"/>
      <c r="AB218" s="182"/>
      <c r="AC218" s="182"/>
      <c r="AD218" s="182"/>
      <c r="AE218" s="182"/>
      <c r="AF218" s="153">
        <f t="shared" si="203"/>
        <v>288.56363636363636</v>
      </c>
      <c r="AG218" s="153">
        <f t="shared" si="204"/>
        <v>-288.56363636363636</v>
      </c>
    </row>
    <row r="219" spans="1:33" x14ac:dyDescent="0.25">
      <c r="A219" s="144" t="s">
        <v>159</v>
      </c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>
        <f t="shared" si="218"/>
        <v>0</v>
      </c>
      <c r="O219" s="153"/>
      <c r="P219" s="153">
        <f t="shared" si="219"/>
        <v>2296.3049999999998</v>
      </c>
      <c r="Q219" s="153">
        <f t="shared" si="220"/>
        <v>3061.74</v>
      </c>
      <c r="R219" s="153">
        <v>3061.74</v>
      </c>
      <c r="S219" s="184">
        <f t="shared" si="210"/>
        <v>0</v>
      </c>
      <c r="T219" s="182">
        <v>0</v>
      </c>
      <c r="U219" s="182">
        <v>0</v>
      </c>
      <c r="V219" s="182">
        <v>0</v>
      </c>
      <c r="W219" s="182">
        <v>309.48</v>
      </c>
      <c r="X219" s="182">
        <v>0</v>
      </c>
      <c r="Y219" s="182">
        <v>0</v>
      </c>
      <c r="Z219" s="182">
        <f>[5]Sheet1!$R$103</f>
        <v>1732.26</v>
      </c>
      <c r="AA219" s="182">
        <v>0</v>
      </c>
      <c r="AB219" s="182">
        <v>1020</v>
      </c>
      <c r="AC219" s="182">
        <v>0</v>
      </c>
      <c r="AD219" s="182">
        <v>0</v>
      </c>
      <c r="AE219" s="182"/>
      <c r="AF219" s="153">
        <f t="shared" si="203"/>
        <v>0</v>
      </c>
      <c r="AG219" s="153">
        <f t="shared" si="204"/>
        <v>0</v>
      </c>
    </row>
    <row r="220" spans="1:33" x14ac:dyDescent="0.25">
      <c r="A220" s="144" t="s">
        <v>617</v>
      </c>
      <c r="B220" s="153">
        <v>2170.83</v>
      </c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>
        <f t="shared" si="218"/>
        <v>2170.83</v>
      </c>
      <c r="O220" s="153"/>
      <c r="P220" s="153"/>
      <c r="Q220" s="153"/>
      <c r="R220" s="153"/>
      <c r="S220" s="184"/>
      <c r="U220" s="182"/>
      <c r="V220" s="182"/>
      <c r="W220" s="182"/>
      <c r="X220" s="182"/>
      <c r="Y220" s="182"/>
      <c r="Z220" s="182"/>
      <c r="AA220" s="182"/>
      <c r="AB220" s="182"/>
      <c r="AC220" s="182"/>
      <c r="AD220" s="182"/>
      <c r="AE220" s="182"/>
      <c r="AF220" s="153"/>
      <c r="AG220" s="153"/>
    </row>
    <row r="221" spans="1:33" x14ac:dyDescent="0.25">
      <c r="A221" s="144" t="s">
        <v>530</v>
      </c>
      <c r="B221" s="153">
        <v>5159.28</v>
      </c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>
        <f t="shared" si="218"/>
        <v>5159.28</v>
      </c>
      <c r="O221" s="153"/>
      <c r="P221" s="153">
        <f t="shared" si="219"/>
        <v>42.712500000000006</v>
      </c>
      <c r="Q221" s="153">
        <f t="shared" si="220"/>
        <v>56.95</v>
      </c>
      <c r="R221" s="153">
        <v>56.95</v>
      </c>
      <c r="S221" s="184">
        <f t="shared" si="210"/>
        <v>0</v>
      </c>
      <c r="U221" s="182"/>
      <c r="V221" s="182"/>
      <c r="W221" s="182"/>
      <c r="X221" s="182"/>
      <c r="Y221" s="182"/>
      <c r="Z221" s="182"/>
      <c r="AA221" s="182"/>
      <c r="AB221" s="182"/>
      <c r="AC221" s="182"/>
      <c r="AD221" s="182"/>
      <c r="AE221" s="182">
        <v>56.95</v>
      </c>
      <c r="AF221" s="153"/>
      <c r="AG221" s="153"/>
    </row>
    <row r="222" spans="1:33" ht="15.75" thickBot="1" x14ac:dyDescent="0.3">
      <c r="A222" s="152" t="s">
        <v>160</v>
      </c>
      <c r="B222" s="171">
        <f>SUM(B208:B221)</f>
        <v>331233.27000000008</v>
      </c>
      <c r="C222" s="171">
        <f t="shared" ref="C222:M222" si="221">SUM(C208:C221)</f>
        <v>0</v>
      </c>
      <c r="D222" s="171">
        <f t="shared" si="221"/>
        <v>0</v>
      </c>
      <c r="E222" s="171">
        <f>SUM(E208:E221)</f>
        <v>0</v>
      </c>
      <c r="F222" s="171">
        <f>SUM(F208:F221)</f>
        <v>0</v>
      </c>
      <c r="G222" s="171">
        <f t="shared" si="221"/>
        <v>0</v>
      </c>
      <c r="H222" s="171">
        <f t="shared" si="221"/>
        <v>0</v>
      </c>
      <c r="I222" s="171">
        <f t="shared" si="221"/>
        <v>0</v>
      </c>
      <c r="J222" s="171">
        <f t="shared" si="221"/>
        <v>0</v>
      </c>
      <c r="K222" s="171">
        <f t="shared" si="221"/>
        <v>0</v>
      </c>
      <c r="L222" s="171">
        <f t="shared" si="221"/>
        <v>0</v>
      </c>
      <c r="M222" s="171">
        <f t="shared" si="221"/>
        <v>0</v>
      </c>
      <c r="N222" s="171">
        <f>SUM(N208:N221)</f>
        <v>331233.27000000008</v>
      </c>
      <c r="O222" s="171"/>
      <c r="P222" s="171">
        <f>SUM(P208:P221)</f>
        <v>2607921.0524999998</v>
      </c>
      <c r="Q222" s="171">
        <f>SUM(Q208:Q221)</f>
        <v>3477228.0700000008</v>
      </c>
      <c r="R222" s="171">
        <v>3212181.1500000008</v>
      </c>
      <c r="S222" s="184">
        <f t="shared" si="210"/>
        <v>0</v>
      </c>
      <c r="T222" s="196">
        <f t="shared" ref="T222:Y222" si="222">SUM(T208:T219)</f>
        <v>405193.11</v>
      </c>
      <c r="U222" s="196">
        <f t="shared" si="222"/>
        <v>341937.99000000005</v>
      </c>
      <c r="V222" s="196">
        <f t="shared" si="222"/>
        <v>343625.55</v>
      </c>
      <c r="W222" s="196">
        <f t="shared" si="222"/>
        <v>353871.56</v>
      </c>
      <c r="X222" s="196">
        <f t="shared" si="222"/>
        <v>420339.36000000004</v>
      </c>
      <c r="Y222" s="196">
        <f t="shared" si="222"/>
        <v>403802.07</v>
      </c>
      <c r="Z222" s="196">
        <f>SUM(Z208:Z219)</f>
        <v>404965.73</v>
      </c>
      <c r="AA222" s="196">
        <f>SUM(AA208:AA219)</f>
        <v>398996.33</v>
      </c>
      <c r="AB222" s="196">
        <f>SUM(AB208:AB219)</f>
        <v>-774085.3</v>
      </c>
      <c r="AC222" s="196">
        <f>SUM(AC208:AC219)</f>
        <v>288817.17</v>
      </c>
      <c r="AD222" s="196">
        <f>SUM(AD208:AD219)</f>
        <v>212558.63</v>
      </c>
      <c r="AE222" s="196">
        <f>SUM(AE208:AE221)</f>
        <v>412158.95</v>
      </c>
      <c r="AF222" s="171">
        <f t="shared" si="203"/>
        <v>30112.115454545463</v>
      </c>
      <c r="AG222" s="171">
        <f t="shared" si="204"/>
        <v>-30112.115454545463</v>
      </c>
    </row>
    <row r="223" spans="1:33" ht="15.75" thickTop="1" x14ac:dyDescent="0.25"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84">
        <f t="shared" si="210"/>
        <v>0</v>
      </c>
      <c r="U223" s="182"/>
      <c r="V223" s="182"/>
      <c r="W223" s="182"/>
      <c r="X223" s="182"/>
      <c r="Y223" s="182"/>
      <c r="Z223" s="182"/>
      <c r="AA223" s="182"/>
      <c r="AB223" s="182"/>
      <c r="AC223" s="182"/>
      <c r="AD223" s="182"/>
      <c r="AE223" s="182"/>
      <c r="AF223" s="153">
        <f t="shared" si="203"/>
        <v>0</v>
      </c>
      <c r="AG223" s="153">
        <f t="shared" si="204"/>
        <v>0</v>
      </c>
    </row>
    <row r="224" spans="1:33" hidden="1" x14ac:dyDescent="0.25">
      <c r="A224" s="144" t="s">
        <v>465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>
        <f t="shared" ref="N224:N246" si="223">SUM(B224:M224)</f>
        <v>0</v>
      </c>
      <c r="O224" s="153"/>
      <c r="P224" s="153">
        <f t="shared" ref="P224:P245" si="224">Q224/12*$P$3</f>
        <v>37500</v>
      </c>
      <c r="Q224" s="153">
        <f>R224</f>
        <v>50000</v>
      </c>
      <c r="R224" s="153">
        <v>50000</v>
      </c>
      <c r="S224" s="184">
        <f t="shared" si="210"/>
        <v>0</v>
      </c>
      <c r="T224" s="182">
        <v>0</v>
      </c>
      <c r="U224" s="182">
        <v>0</v>
      </c>
      <c r="V224" s="182">
        <v>0</v>
      </c>
      <c r="W224" s="182">
        <v>0</v>
      </c>
      <c r="X224" s="182">
        <v>0</v>
      </c>
      <c r="Y224" s="182">
        <v>0</v>
      </c>
      <c r="Z224" s="182"/>
      <c r="AA224" s="182"/>
      <c r="AB224" s="182">
        <v>12500</v>
      </c>
      <c r="AC224" s="182">
        <v>12500</v>
      </c>
      <c r="AD224" s="182">
        <v>12500</v>
      </c>
      <c r="AE224" s="182">
        <v>12500</v>
      </c>
      <c r="AF224" s="153"/>
      <c r="AG224" s="153"/>
    </row>
    <row r="225" spans="1:33" x14ac:dyDescent="0.25">
      <c r="A225" s="144" t="s">
        <v>161</v>
      </c>
      <c r="B225" s="153">
        <v>34200</v>
      </c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>
        <f t="shared" si="223"/>
        <v>34200</v>
      </c>
      <c r="O225" s="153"/>
      <c r="P225" s="153">
        <f t="shared" si="224"/>
        <v>307800</v>
      </c>
      <c r="Q225" s="153">
        <f t="shared" ref="Q225:Q245" si="225">R225</f>
        <v>410400</v>
      </c>
      <c r="R225" s="153">
        <v>410400</v>
      </c>
      <c r="S225" s="184">
        <f t="shared" si="210"/>
        <v>0</v>
      </c>
      <c r="T225" s="182">
        <v>34200</v>
      </c>
      <c r="U225" s="182">
        <v>34200</v>
      </c>
      <c r="V225" s="182">
        <v>34200</v>
      </c>
      <c r="W225" s="182">
        <v>34200</v>
      </c>
      <c r="X225" s="182">
        <v>34200</v>
      </c>
      <c r="Y225" s="182">
        <v>34200</v>
      </c>
      <c r="Z225" s="182">
        <v>34200</v>
      </c>
      <c r="AA225" s="182">
        <v>34200</v>
      </c>
      <c r="AB225" s="182">
        <v>34200</v>
      </c>
      <c r="AC225" s="182">
        <v>34200</v>
      </c>
      <c r="AD225" s="182">
        <v>34200</v>
      </c>
      <c r="AE225" s="182">
        <v>34200</v>
      </c>
      <c r="AF225" s="153">
        <f t="shared" ref="AF225:AF286" si="226">(N225-M225)/11</f>
        <v>3109.090909090909</v>
      </c>
      <c r="AG225" s="153">
        <f t="shared" ref="AG225:AG286" si="227">M225-AF225</f>
        <v>-3109.090909090909</v>
      </c>
    </row>
    <row r="226" spans="1:33" x14ac:dyDescent="0.25">
      <c r="A226" s="144" t="s">
        <v>162</v>
      </c>
      <c r="B226" s="153">
        <v>6570.86</v>
      </c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>
        <f t="shared" si="223"/>
        <v>6570.86</v>
      </c>
      <c r="O226" s="153"/>
      <c r="P226" s="153">
        <f t="shared" si="224"/>
        <v>7999.5375000000022</v>
      </c>
      <c r="Q226" s="153">
        <f t="shared" si="225"/>
        <v>10666.050000000003</v>
      </c>
      <c r="R226" s="153">
        <v>10666.050000000003</v>
      </c>
      <c r="S226" s="184">
        <f t="shared" si="210"/>
        <v>0</v>
      </c>
      <c r="T226" s="182">
        <v>8503.81</v>
      </c>
      <c r="U226" s="182">
        <v>5315.92</v>
      </c>
      <c r="V226" s="182">
        <v>5721.77</v>
      </c>
      <c r="W226" s="182">
        <v>1979.68</v>
      </c>
      <c r="X226" s="182">
        <v>-5668.03</v>
      </c>
      <c r="Y226" s="182">
        <v>-5550.91</v>
      </c>
      <c r="Z226" s="182">
        <v>-5623.92</v>
      </c>
      <c r="AA226" s="182">
        <v>-2125.3000000000002</v>
      </c>
      <c r="AB226" s="182">
        <v>-1659.04</v>
      </c>
      <c r="AC226" s="182">
        <v>837.92</v>
      </c>
      <c r="AD226" s="182">
        <v>3418.02</v>
      </c>
      <c r="AE226" s="182">
        <v>5516.13</v>
      </c>
      <c r="AF226" s="153">
        <f t="shared" si="226"/>
        <v>597.35090909090911</v>
      </c>
      <c r="AG226" s="153">
        <f t="shared" si="227"/>
        <v>-597.35090909090911</v>
      </c>
    </row>
    <row r="227" spans="1:33" x14ac:dyDescent="0.25">
      <c r="A227" s="144" t="s">
        <v>163</v>
      </c>
      <c r="B227" s="153">
        <v>1694.68</v>
      </c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>
        <f t="shared" si="223"/>
        <v>1694.68</v>
      </c>
      <c r="O227" s="153"/>
      <c r="P227" s="153">
        <f t="shared" si="224"/>
        <v>7942.8449999999993</v>
      </c>
      <c r="Q227" s="153">
        <f t="shared" si="225"/>
        <v>10590.46</v>
      </c>
      <c r="R227" s="153">
        <v>10590.46</v>
      </c>
      <c r="S227" s="184">
        <f t="shared" si="210"/>
        <v>0</v>
      </c>
      <c r="T227" s="182">
        <v>812.13</v>
      </c>
      <c r="U227" s="182">
        <v>2889.41</v>
      </c>
      <c r="V227" s="182">
        <v>2880.16</v>
      </c>
      <c r="W227" s="182">
        <v>1338.1</v>
      </c>
      <c r="X227" s="182">
        <v>587.38</v>
      </c>
      <c r="Y227" s="182">
        <v>168.44</v>
      </c>
      <c r="Z227" s="182">
        <v>38.119999999999997</v>
      </c>
      <c r="AA227" s="182">
        <v>39.21</v>
      </c>
      <c r="AB227" s="182">
        <v>58.76</v>
      </c>
      <c r="AC227" s="182">
        <v>136.21</v>
      </c>
      <c r="AD227" s="182">
        <v>622.59</v>
      </c>
      <c r="AE227" s="182">
        <v>1019.95</v>
      </c>
      <c r="AF227" s="153">
        <f t="shared" si="226"/>
        <v>154.06181818181818</v>
      </c>
      <c r="AG227" s="153">
        <f t="shared" si="227"/>
        <v>-154.06181818181818</v>
      </c>
    </row>
    <row r="228" spans="1:33" x14ac:dyDescent="0.25">
      <c r="A228" s="144" t="s">
        <v>164</v>
      </c>
      <c r="B228" s="153">
        <v>310.85000000000002</v>
      </c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>
        <f t="shared" si="223"/>
        <v>310.85000000000002</v>
      </c>
      <c r="O228" s="153"/>
      <c r="P228" s="153">
        <f t="shared" si="224"/>
        <v>808.84500000000003</v>
      </c>
      <c r="Q228" s="153">
        <f t="shared" si="225"/>
        <v>1078.46</v>
      </c>
      <c r="R228" s="153">
        <v>1078.46</v>
      </c>
      <c r="S228" s="184">
        <f t="shared" si="210"/>
        <v>0</v>
      </c>
      <c r="T228" s="182">
        <v>0</v>
      </c>
      <c r="U228" s="182">
        <v>0</v>
      </c>
      <c r="V228" s="182">
        <v>0</v>
      </c>
      <c r="W228" s="182">
        <v>0</v>
      </c>
      <c r="X228" s="182">
        <v>579.03</v>
      </c>
      <c r="Y228" s="182">
        <v>0</v>
      </c>
      <c r="Z228" s="182">
        <v>0</v>
      </c>
      <c r="AA228" s="182">
        <v>0</v>
      </c>
      <c r="AB228" s="182">
        <v>0</v>
      </c>
      <c r="AC228" s="182">
        <v>499.43</v>
      </c>
      <c r="AD228" s="182">
        <v>0</v>
      </c>
      <c r="AE228" s="182">
        <v>0</v>
      </c>
      <c r="AF228" s="153">
        <f t="shared" si="226"/>
        <v>28.259090909090911</v>
      </c>
      <c r="AG228" s="153">
        <f t="shared" si="227"/>
        <v>-28.259090909090911</v>
      </c>
    </row>
    <row r="229" spans="1:33" x14ac:dyDescent="0.25">
      <c r="A229" s="144" t="s">
        <v>463</v>
      </c>
      <c r="B229" s="153">
        <v>222.53</v>
      </c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>
        <f t="shared" si="223"/>
        <v>222.53</v>
      </c>
      <c r="O229" s="153"/>
      <c r="P229" s="153">
        <f t="shared" si="224"/>
        <v>401.51249999999993</v>
      </c>
      <c r="Q229" s="153">
        <f t="shared" si="225"/>
        <v>535.34999999999991</v>
      </c>
      <c r="R229" s="153">
        <v>535.34999999999991</v>
      </c>
      <c r="S229" s="184">
        <f t="shared" si="210"/>
        <v>0</v>
      </c>
      <c r="U229" s="182"/>
      <c r="V229" s="182"/>
      <c r="W229" s="182"/>
      <c r="X229" s="182"/>
      <c r="Y229" s="182"/>
      <c r="Z229" s="182"/>
      <c r="AA229" s="182"/>
      <c r="AB229" s="182">
        <v>178.45</v>
      </c>
      <c r="AC229" s="182">
        <v>0</v>
      </c>
      <c r="AD229" s="182">
        <v>178.45</v>
      </c>
      <c r="AE229" s="182">
        <v>178.45</v>
      </c>
      <c r="AF229" s="153"/>
      <c r="AG229" s="153"/>
    </row>
    <row r="230" spans="1:33" x14ac:dyDescent="0.25">
      <c r="A230" s="144" t="s">
        <v>438</v>
      </c>
      <c r="B230" s="153">
        <v>2500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>
        <f t="shared" si="223"/>
        <v>2500</v>
      </c>
      <c r="O230" s="153"/>
      <c r="P230" s="153">
        <f t="shared" si="224"/>
        <v>20242.5</v>
      </c>
      <c r="Q230" s="153">
        <f t="shared" si="225"/>
        <v>26990</v>
      </c>
      <c r="R230" s="153">
        <v>26990</v>
      </c>
      <c r="S230" s="184">
        <f t="shared" si="210"/>
        <v>0</v>
      </c>
      <c r="T230" s="182">
        <v>6595</v>
      </c>
      <c r="U230" s="182">
        <v>2825</v>
      </c>
      <c r="V230" s="182">
        <v>4805</v>
      </c>
      <c r="W230" s="182">
        <v>0</v>
      </c>
      <c r="X230" s="182">
        <v>0</v>
      </c>
      <c r="Y230" s="182">
        <v>0</v>
      </c>
      <c r="Z230" s="182">
        <v>5490</v>
      </c>
      <c r="AA230" s="182">
        <v>0</v>
      </c>
      <c r="AB230" s="182">
        <v>0</v>
      </c>
      <c r="AC230" s="182">
        <v>5285</v>
      </c>
      <c r="AD230" s="182">
        <v>1710</v>
      </c>
      <c r="AE230" s="182">
        <v>280</v>
      </c>
      <c r="AF230" s="153">
        <f t="shared" si="226"/>
        <v>227.27272727272728</v>
      </c>
      <c r="AG230" s="153">
        <f t="shared" si="227"/>
        <v>-227.27272727272728</v>
      </c>
    </row>
    <row r="231" spans="1:33" x14ac:dyDescent="0.25">
      <c r="A231" s="144" t="s">
        <v>165</v>
      </c>
      <c r="B231" s="153">
        <v>6557.71</v>
      </c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>
        <f t="shared" si="223"/>
        <v>6557.71</v>
      </c>
      <c r="O231" s="153"/>
      <c r="P231" s="153">
        <f t="shared" si="224"/>
        <v>96610.882499999992</v>
      </c>
      <c r="Q231" s="153">
        <f t="shared" si="225"/>
        <v>128814.51</v>
      </c>
      <c r="R231" s="153">
        <v>128814.51</v>
      </c>
      <c r="S231" s="184">
        <f t="shared" si="210"/>
        <v>0</v>
      </c>
      <c r="T231" s="182">
        <v>11843.29</v>
      </c>
      <c r="U231" s="182">
        <v>5450.87</v>
      </c>
      <c r="V231" s="182">
        <v>12040.98</v>
      </c>
      <c r="W231" s="182">
        <v>8053.61</v>
      </c>
      <c r="X231" s="182">
        <v>16912.45</v>
      </c>
      <c r="Y231" s="182">
        <v>6944.38</v>
      </c>
      <c r="Z231" s="182">
        <v>13400.41</v>
      </c>
      <c r="AA231" s="182">
        <v>5581.37</v>
      </c>
      <c r="AB231" s="182">
        <v>8406.82</v>
      </c>
      <c r="AC231" s="182">
        <v>18742.099999999999</v>
      </c>
      <c r="AD231" s="182">
        <v>3669.36</v>
      </c>
      <c r="AE231" s="182">
        <v>17768.87</v>
      </c>
      <c r="AF231" s="153">
        <f t="shared" si="226"/>
        <v>596.15545454545452</v>
      </c>
      <c r="AG231" s="153">
        <f t="shared" si="227"/>
        <v>-596.15545454545452</v>
      </c>
    </row>
    <row r="232" spans="1:33" x14ac:dyDescent="0.25">
      <c r="A232" s="144" t="s">
        <v>166</v>
      </c>
      <c r="B232" s="153">
        <v>9268.0499999999993</v>
      </c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>
        <f t="shared" si="223"/>
        <v>9268.0499999999993</v>
      </c>
      <c r="O232" s="153"/>
      <c r="P232" s="153">
        <f t="shared" si="224"/>
        <v>82287</v>
      </c>
      <c r="Q232" s="153">
        <f>9143*12</f>
        <v>109716</v>
      </c>
      <c r="R232" s="153">
        <v>107137.28000000001</v>
      </c>
      <c r="S232" s="184">
        <f t="shared" si="210"/>
        <v>0</v>
      </c>
      <c r="T232" s="182">
        <v>8676.52</v>
      </c>
      <c r="U232" s="182">
        <v>8676.52</v>
      </c>
      <c r="V232" s="182">
        <v>8676.51</v>
      </c>
      <c r="W232" s="182">
        <v>8676.52</v>
      </c>
      <c r="X232" s="182">
        <v>8676.52</v>
      </c>
      <c r="Y232" s="182">
        <v>8676.51</v>
      </c>
      <c r="Z232" s="182">
        <v>9179.7000000000007</v>
      </c>
      <c r="AA232" s="182">
        <v>9179.7000000000007</v>
      </c>
      <c r="AB232" s="182">
        <v>9179.7000000000007</v>
      </c>
      <c r="AC232" s="182">
        <v>9179.69</v>
      </c>
      <c r="AD232" s="182">
        <v>9179.69</v>
      </c>
      <c r="AE232" s="182">
        <v>9179.7000000000007</v>
      </c>
      <c r="AF232" s="153">
        <f t="shared" si="226"/>
        <v>842.55</v>
      </c>
      <c r="AG232" s="153">
        <f t="shared" si="227"/>
        <v>-842.55</v>
      </c>
    </row>
    <row r="233" spans="1:33" x14ac:dyDescent="0.25">
      <c r="A233" s="144" t="s">
        <v>167</v>
      </c>
      <c r="B233" s="153">
        <v>2429.77</v>
      </c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>
        <f t="shared" si="223"/>
        <v>2429.77</v>
      </c>
      <c r="O233" s="153"/>
      <c r="P233" s="153">
        <f t="shared" si="224"/>
        <v>13754.699999999999</v>
      </c>
      <c r="Q233" s="153">
        <f>1528.3*12</f>
        <v>18339.599999999999</v>
      </c>
      <c r="R233" s="153">
        <v>38009.360000000001</v>
      </c>
      <c r="S233" s="184">
        <f t="shared" si="210"/>
        <v>0</v>
      </c>
      <c r="T233" s="182">
        <v>3100</v>
      </c>
      <c r="U233" s="182">
        <v>3100</v>
      </c>
      <c r="V233" s="182">
        <v>3100</v>
      </c>
      <c r="W233" s="182">
        <v>3100</v>
      </c>
      <c r="X233" s="182">
        <v>3100</v>
      </c>
      <c r="Y233" s="182">
        <v>4500</v>
      </c>
      <c r="Z233" s="182">
        <v>4366.8900000000003</v>
      </c>
      <c r="AA233" s="182">
        <v>4633.1099999999997</v>
      </c>
      <c r="AB233" s="182">
        <v>4500</v>
      </c>
      <c r="AC233" s="182">
        <v>4500</v>
      </c>
      <c r="AD233" s="182">
        <v>1183.93</v>
      </c>
      <c r="AE233" s="182">
        <v>-1174.57</v>
      </c>
      <c r="AF233" s="153">
        <f t="shared" si="226"/>
        <v>220.88818181818181</v>
      </c>
      <c r="AG233" s="153">
        <f t="shared" si="227"/>
        <v>-220.88818181818181</v>
      </c>
    </row>
    <row r="234" spans="1:33" x14ac:dyDescent="0.25">
      <c r="A234" s="144" t="s">
        <v>168</v>
      </c>
      <c r="B234" s="153">
        <v>5339.08</v>
      </c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>
        <f t="shared" si="223"/>
        <v>5339.08</v>
      </c>
      <c r="O234" s="153"/>
      <c r="P234" s="153">
        <f t="shared" si="224"/>
        <v>41030.579999999987</v>
      </c>
      <c r="Q234" s="153">
        <f t="shared" si="225"/>
        <v>54707.439999999988</v>
      </c>
      <c r="R234" s="153">
        <v>54707.439999999988</v>
      </c>
      <c r="S234" s="184">
        <f t="shared" si="210"/>
        <v>0</v>
      </c>
      <c r="T234" s="182">
        <v>5157.18</v>
      </c>
      <c r="U234" s="182">
        <v>5157.18</v>
      </c>
      <c r="V234" s="182">
        <v>5023.41</v>
      </c>
      <c r="W234" s="182">
        <v>5123.42</v>
      </c>
      <c r="X234" s="182">
        <v>5023.42</v>
      </c>
      <c r="Y234" s="182">
        <v>5023.42</v>
      </c>
      <c r="Z234" s="182">
        <v>5023.42</v>
      </c>
      <c r="AA234" s="182">
        <v>5023.42</v>
      </c>
      <c r="AB234" s="182">
        <v>465.59</v>
      </c>
      <c r="AC234" s="182">
        <v>4521.08</v>
      </c>
      <c r="AD234" s="182">
        <v>3964.2</v>
      </c>
      <c r="AE234" s="182">
        <v>5201.7</v>
      </c>
      <c r="AF234" s="153">
        <f t="shared" si="226"/>
        <v>485.37090909090909</v>
      </c>
      <c r="AG234" s="153">
        <f t="shared" si="227"/>
        <v>-485.37090909090909</v>
      </c>
    </row>
    <row r="235" spans="1:33" x14ac:dyDescent="0.25">
      <c r="A235" s="144" t="s">
        <v>169</v>
      </c>
      <c r="B235" s="153">
        <v>2180.36</v>
      </c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>
        <f t="shared" si="223"/>
        <v>2180.36</v>
      </c>
      <c r="O235" s="153"/>
      <c r="P235" s="153">
        <f t="shared" si="224"/>
        <v>8488.7849999999999</v>
      </c>
      <c r="Q235" s="153">
        <f t="shared" si="225"/>
        <v>11318.38</v>
      </c>
      <c r="R235" s="153">
        <v>11318.38</v>
      </c>
      <c r="S235" s="184">
        <f t="shared" si="210"/>
        <v>0</v>
      </c>
      <c r="T235" s="182">
        <v>781.02</v>
      </c>
      <c r="U235" s="182">
        <v>3798.75</v>
      </c>
      <c r="V235" s="182">
        <v>1347.95</v>
      </c>
      <c r="W235" s="182">
        <v>606.57000000000005</v>
      </c>
      <c r="X235" s="182">
        <v>716.17</v>
      </c>
      <c r="Y235" s="182">
        <v>506.25</v>
      </c>
      <c r="Z235" s="182">
        <v>0</v>
      </c>
      <c r="AA235" s="182">
        <v>118.99</v>
      </c>
      <c r="AB235" s="182">
        <v>1217.7</v>
      </c>
      <c r="AC235" s="182">
        <v>680.5</v>
      </c>
      <c r="AD235" s="182">
        <v>894.23</v>
      </c>
      <c r="AE235" s="182">
        <v>650.25</v>
      </c>
      <c r="AF235" s="153">
        <f t="shared" si="226"/>
        <v>198.21454545454546</v>
      </c>
      <c r="AG235" s="153">
        <f t="shared" si="227"/>
        <v>-198.21454545454546</v>
      </c>
    </row>
    <row r="236" spans="1:33" x14ac:dyDescent="0.25">
      <c r="A236" s="144" t="s">
        <v>170</v>
      </c>
      <c r="B236" s="153">
        <v>1602.29</v>
      </c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>
        <f t="shared" si="223"/>
        <v>1602.29</v>
      </c>
      <c r="O236" s="153"/>
      <c r="P236" s="153">
        <f t="shared" si="224"/>
        <v>9151.739999999998</v>
      </c>
      <c r="Q236" s="153">
        <f t="shared" si="225"/>
        <v>12202.319999999998</v>
      </c>
      <c r="R236" s="153">
        <v>12202.319999999998</v>
      </c>
      <c r="S236" s="184">
        <f t="shared" si="210"/>
        <v>0</v>
      </c>
      <c r="T236" s="182">
        <v>740.6</v>
      </c>
      <c r="U236" s="182">
        <v>321.60000000000002</v>
      </c>
      <c r="V236" s="182">
        <v>321.60000000000002</v>
      </c>
      <c r="W236" s="182">
        <v>419.18</v>
      </c>
      <c r="X236" s="182">
        <v>439.52</v>
      </c>
      <c r="Y236" s="182">
        <v>321.60000000000002</v>
      </c>
      <c r="Z236" s="182">
        <v>1372.85</v>
      </c>
      <c r="AA236" s="182">
        <v>2251.7800000000002</v>
      </c>
      <c r="AB236" s="182">
        <v>817.68</v>
      </c>
      <c r="AC236" s="182">
        <v>1547.72</v>
      </c>
      <c r="AD236" s="182">
        <v>2119.89</v>
      </c>
      <c r="AE236" s="182">
        <v>1528.3</v>
      </c>
      <c r="AF236" s="153">
        <f t="shared" si="226"/>
        <v>145.66272727272727</v>
      </c>
      <c r="AG236" s="153">
        <f t="shared" si="227"/>
        <v>-145.66272727272727</v>
      </c>
    </row>
    <row r="237" spans="1:33" x14ac:dyDescent="0.25">
      <c r="A237" s="144" t="s">
        <v>191</v>
      </c>
      <c r="B237" s="153">
        <v>10260.030000000001</v>
      </c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>
        <f t="shared" si="223"/>
        <v>10260.030000000001</v>
      </c>
      <c r="O237" s="153"/>
      <c r="P237" s="153">
        <f t="shared" si="224"/>
        <v>76500</v>
      </c>
      <c r="Q237" s="153">
        <v>102000</v>
      </c>
      <c r="R237" s="153">
        <v>130920.88999999997</v>
      </c>
      <c r="S237" s="184">
        <f t="shared" si="210"/>
        <v>0</v>
      </c>
      <c r="T237" s="182">
        <v>20798</v>
      </c>
      <c r="U237" s="182">
        <v>19135.740000000002</v>
      </c>
      <c r="V237" s="182">
        <v>17216.87</v>
      </c>
      <c r="W237" s="182">
        <v>10016.870000000001</v>
      </c>
      <c r="X237" s="182">
        <v>10016.870000000001</v>
      </c>
      <c r="Y237" s="182">
        <v>10168.870000000001</v>
      </c>
      <c r="Z237" s="182">
        <v>10016.870000000001</v>
      </c>
      <c r="AA237" s="182">
        <v>10267.049999999999</v>
      </c>
      <c r="AB237" s="182">
        <v>-7654.31</v>
      </c>
      <c r="AC237" s="182">
        <v>8842.4599999999991</v>
      </c>
      <c r="AD237" s="182">
        <v>10051.200000000001</v>
      </c>
      <c r="AE237" s="182">
        <v>12044.4</v>
      </c>
      <c r="AF237" s="153"/>
      <c r="AG237" s="153"/>
    </row>
    <row r="238" spans="1:33" x14ac:dyDescent="0.25">
      <c r="A238" s="144" t="s">
        <v>171</v>
      </c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>
        <f t="shared" si="223"/>
        <v>0</v>
      </c>
      <c r="O238" s="153"/>
      <c r="P238" s="153">
        <f t="shared" si="224"/>
        <v>2999.97</v>
      </c>
      <c r="Q238" s="153">
        <f t="shared" si="225"/>
        <v>3999.9599999999996</v>
      </c>
      <c r="R238" s="153">
        <v>3999.9599999999996</v>
      </c>
      <c r="S238" s="184">
        <f t="shared" si="210"/>
        <v>0</v>
      </c>
      <c r="T238" s="182">
        <v>333.33</v>
      </c>
      <c r="U238" s="182">
        <v>333.33</v>
      </c>
      <c r="V238" s="182">
        <v>333.33</v>
      </c>
      <c r="W238" s="182">
        <v>333.33</v>
      </c>
      <c r="X238" s="182">
        <v>333.33</v>
      </c>
      <c r="Y238" s="182">
        <v>333.33</v>
      </c>
      <c r="Z238" s="182">
        <v>333.33</v>
      </c>
      <c r="AA238" s="182">
        <v>333.33</v>
      </c>
      <c r="AB238" s="182">
        <v>333.33</v>
      </c>
      <c r="AC238" s="182">
        <v>333.33</v>
      </c>
      <c r="AD238" s="182">
        <v>333.33</v>
      </c>
      <c r="AE238" s="182">
        <v>333.33</v>
      </c>
      <c r="AF238" s="153">
        <f t="shared" si="226"/>
        <v>0</v>
      </c>
      <c r="AG238" s="153">
        <f t="shared" si="227"/>
        <v>0</v>
      </c>
    </row>
    <row r="239" spans="1:33" x14ac:dyDescent="0.25">
      <c r="A239" s="144" t="s">
        <v>172</v>
      </c>
      <c r="B239" s="153">
        <v>45489.31</v>
      </c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>
        <f t="shared" si="223"/>
        <v>45489.31</v>
      </c>
      <c r="O239" s="153"/>
      <c r="P239" s="153">
        <f t="shared" si="224"/>
        <v>465750</v>
      </c>
      <c r="Q239" s="153">
        <v>621000</v>
      </c>
      <c r="R239" s="153">
        <v>794856.37</v>
      </c>
      <c r="S239" s="184">
        <f t="shared" si="210"/>
        <v>0</v>
      </c>
      <c r="T239" s="182">
        <v>115897.3</v>
      </c>
      <c r="U239" s="182">
        <v>117313.31</v>
      </c>
      <c r="V239" s="182">
        <v>117313.31</v>
      </c>
      <c r="W239" s="182">
        <v>69868.929999999993</v>
      </c>
      <c r="X239" s="182">
        <v>62865.39</v>
      </c>
      <c r="Y239" s="182">
        <v>89768.53</v>
      </c>
      <c r="Z239" s="182">
        <v>67753.13</v>
      </c>
      <c r="AA239" s="182">
        <v>67298.850000000006</v>
      </c>
      <c r="AB239" s="182">
        <v>65440.22</v>
      </c>
      <c r="AC239" s="182">
        <v>61204.160000000003</v>
      </c>
      <c r="AD239" s="182">
        <v>60136.21</v>
      </c>
      <c r="AE239" s="182">
        <v>-100002.97</v>
      </c>
      <c r="AF239" s="153">
        <f t="shared" si="226"/>
        <v>4135.3918181818181</v>
      </c>
      <c r="AG239" s="153">
        <f t="shared" si="227"/>
        <v>-4135.3918181818181</v>
      </c>
    </row>
    <row r="240" spans="1:33" x14ac:dyDescent="0.25">
      <c r="A240" s="144" t="s">
        <v>196</v>
      </c>
      <c r="B240" s="153">
        <v>850.77</v>
      </c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>
        <f t="shared" si="223"/>
        <v>850.77</v>
      </c>
      <c r="O240" s="153"/>
      <c r="P240" s="153">
        <f t="shared" si="224"/>
        <v>23638.334999999999</v>
      </c>
      <c r="Q240" s="153">
        <f t="shared" si="225"/>
        <v>31517.78</v>
      </c>
      <c r="R240" s="153">
        <v>31517.78</v>
      </c>
      <c r="S240" s="184">
        <f t="shared" si="210"/>
        <v>0</v>
      </c>
      <c r="T240" s="182">
        <v>0</v>
      </c>
      <c r="U240" s="182">
        <v>680.88</v>
      </c>
      <c r="V240" s="182">
        <v>4256.26</v>
      </c>
      <c r="W240" s="182">
        <v>998.65</v>
      </c>
      <c r="X240" s="182">
        <v>3059.3</v>
      </c>
      <c r="Y240" s="182">
        <v>2520.4299999999998</v>
      </c>
      <c r="Z240" s="182">
        <v>3606.37</v>
      </c>
      <c r="AA240" s="182">
        <v>7404.71</v>
      </c>
      <c r="AB240" s="182">
        <v>4019.71</v>
      </c>
      <c r="AC240" s="182">
        <v>1588.42</v>
      </c>
      <c r="AD240" s="182">
        <v>1811.56</v>
      </c>
      <c r="AE240" s="182">
        <v>1571.49</v>
      </c>
      <c r="AF240" s="153"/>
      <c r="AG240" s="153"/>
    </row>
    <row r="241" spans="1:33" x14ac:dyDescent="0.25">
      <c r="A241" s="144" t="s">
        <v>427</v>
      </c>
      <c r="B241" s="153">
        <v>2324.39</v>
      </c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>
        <f t="shared" si="223"/>
        <v>2324.39</v>
      </c>
      <c r="O241" s="153"/>
      <c r="P241" s="153">
        <f t="shared" si="224"/>
        <v>28476</v>
      </c>
      <c r="Q241" s="153">
        <f>3164*12</f>
        <v>37968</v>
      </c>
      <c r="R241" s="153">
        <v>22152.17</v>
      </c>
      <c r="S241" s="184">
        <f t="shared" si="210"/>
        <v>0</v>
      </c>
      <c r="U241" s="182"/>
      <c r="V241" s="182"/>
      <c r="W241" s="182"/>
      <c r="X241" s="182"/>
      <c r="Y241" s="182">
        <v>3196.84</v>
      </c>
      <c r="Z241" s="182">
        <v>4200.3</v>
      </c>
      <c r="AA241" s="182">
        <v>2284</v>
      </c>
      <c r="AB241" s="182">
        <v>3424.43</v>
      </c>
      <c r="AC241" s="182">
        <v>2283.96</v>
      </c>
      <c r="AD241" s="182">
        <v>3109.03</v>
      </c>
      <c r="AE241" s="182">
        <v>3653.61</v>
      </c>
      <c r="AF241" s="153"/>
      <c r="AG241" s="153"/>
    </row>
    <row r="242" spans="1:33" x14ac:dyDescent="0.25">
      <c r="A242" s="144" t="s">
        <v>173</v>
      </c>
      <c r="B242" s="153">
        <v>282.05</v>
      </c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>
        <f t="shared" si="223"/>
        <v>282.05</v>
      </c>
      <c r="O242" s="153"/>
      <c r="P242" s="153">
        <f t="shared" si="224"/>
        <v>20271.052499999994</v>
      </c>
      <c r="Q242" s="153">
        <f t="shared" si="225"/>
        <v>27028.069999999996</v>
      </c>
      <c r="R242" s="153">
        <v>27028.069999999996</v>
      </c>
      <c r="S242" s="184">
        <f t="shared" si="210"/>
        <v>0</v>
      </c>
      <c r="T242" s="182">
        <v>0</v>
      </c>
      <c r="U242" s="182">
        <v>0</v>
      </c>
      <c r="V242" s="182">
        <v>0</v>
      </c>
      <c r="W242" s="182">
        <v>1820.4</v>
      </c>
      <c r="X242" s="182">
        <v>0</v>
      </c>
      <c r="Y242" s="182">
        <v>5256.73</v>
      </c>
      <c r="Z242" s="182">
        <v>3721.9</v>
      </c>
      <c r="AA242" s="182">
        <v>1441.3</v>
      </c>
      <c r="AB242" s="182">
        <v>1188.0899999999999</v>
      </c>
      <c r="AC242" s="182">
        <v>3498.74</v>
      </c>
      <c r="AD242" s="182">
        <v>1048.8599999999999</v>
      </c>
      <c r="AE242" s="182">
        <v>9052.0499999999993</v>
      </c>
      <c r="AF242" s="153">
        <f t="shared" si="226"/>
        <v>25.640909090909091</v>
      </c>
      <c r="AG242" s="153">
        <f t="shared" si="227"/>
        <v>-25.640909090909091</v>
      </c>
    </row>
    <row r="243" spans="1:33" x14ac:dyDescent="0.25">
      <c r="A243" s="144" t="s">
        <v>174</v>
      </c>
      <c r="B243" s="153">
        <v>390</v>
      </c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>
        <f t="shared" si="223"/>
        <v>390</v>
      </c>
      <c r="O243" s="153"/>
      <c r="P243" s="153">
        <f t="shared" si="224"/>
        <v>2632.5</v>
      </c>
      <c r="Q243" s="153">
        <f t="shared" si="225"/>
        <v>3510</v>
      </c>
      <c r="R243" s="153">
        <v>3510</v>
      </c>
      <c r="S243" s="184">
        <f t="shared" si="210"/>
        <v>0</v>
      </c>
      <c r="T243" s="182">
        <v>0</v>
      </c>
      <c r="U243" s="182">
        <v>0</v>
      </c>
      <c r="V243" s="182">
        <v>0</v>
      </c>
      <c r="W243" s="182">
        <v>390</v>
      </c>
      <c r="X243" s="182">
        <v>390</v>
      </c>
      <c r="Y243" s="182">
        <v>390</v>
      </c>
      <c r="Z243" s="182">
        <v>390</v>
      </c>
      <c r="AA243" s="182">
        <v>390</v>
      </c>
      <c r="AB243" s="182">
        <v>390</v>
      </c>
      <c r="AC243" s="182">
        <v>390</v>
      </c>
      <c r="AD243" s="182">
        <v>390</v>
      </c>
      <c r="AE243" s="182">
        <v>390</v>
      </c>
      <c r="AF243" s="153">
        <f t="shared" si="226"/>
        <v>35.454545454545453</v>
      </c>
      <c r="AG243" s="153">
        <f t="shared" si="227"/>
        <v>-35.454545454545453</v>
      </c>
    </row>
    <row r="244" spans="1:33" x14ac:dyDescent="0.25">
      <c r="A244" s="144" t="s">
        <v>386</v>
      </c>
      <c r="B244" s="153">
        <v>60754.55</v>
      </c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>
        <f t="shared" si="223"/>
        <v>60754.55</v>
      </c>
      <c r="O244" s="153"/>
      <c r="P244" s="153">
        <f t="shared" si="224"/>
        <v>531000</v>
      </c>
      <c r="Q244" s="153">
        <v>708000</v>
      </c>
      <c r="R244" s="153">
        <v>691685.51</v>
      </c>
      <c r="S244" s="184">
        <f t="shared" si="210"/>
        <v>0</v>
      </c>
      <c r="T244" s="182">
        <v>0</v>
      </c>
      <c r="U244" s="182">
        <v>0</v>
      </c>
      <c r="V244" s="182">
        <v>0</v>
      </c>
      <c r="W244" s="182">
        <v>51803</v>
      </c>
      <c r="X244" s="182">
        <v>58244.6</v>
      </c>
      <c r="Y244" s="182">
        <v>55745.919999999998</v>
      </c>
      <c r="Z244" s="182">
        <v>74963</v>
      </c>
      <c r="AA244" s="182">
        <v>57878.13</v>
      </c>
      <c r="AB244" s="182">
        <v>58108.23</v>
      </c>
      <c r="AC244" s="182">
        <v>58744.17</v>
      </c>
      <c r="AD244" s="182">
        <v>58313.18</v>
      </c>
      <c r="AE244" s="182">
        <v>217885.28</v>
      </c>
      <c r="AF244" s="153"/>
      <c r="AG244" s="153"/>
    </row>
    <row r="245" spans="1:33" x14ac:dyDescent="0.25">
      <c r="A245" s="144" t="s">
        <v>464</v>
      </c>
      <c r="B245" s="153">
        <v>7500</v>
      </c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>
        <f t="shared" si="223"/>
        <v>7500</v>
      </c>
      <c r="O245" s="153"/>
      <c r="P245" s="153">
        <f t="shared" si="224"/>
        <v>67500</v>
      </c>
      <c r="Q245" s="153">
        <f t="shared" si="225"/>
        <v>90000</v>
      </c>
      <c r="R245" s="153">
        <v>90000</v>
      </c>
      <c r="S245" s="184">
        <f t="shared" si="210"/>
        <v>0</v>
      </c>
      <c r="U245" s="182"/>
      <c r="V245" s="182"/>
      <c r="W245" s="182"/>
      <c r="X245" s="182"/>
      <c r="Y245" s="182"/>
      <c r="Z245" s="182"/>
      <c r="AA245" s="182"/>
      <c r="AB245" s="182">
        <v>67500</v>
      </c>
      <c r="AC245" s="182">
        <v>7500</v>
      </c>
      <c r="AD245" s="182">
        <v>7500</v>
      </c>
      <c r="AE245" s="182">
        <v>7500</v>
      </c>
      <c r="AF245" s="153"/>
      <c r="AG245" s="153"/>
    </row>
    <row r="246" spans="1:33" x14ac:dyDescent="0.25">
      <c r="A246" s="144" t="s">
        <v>594</v>
      </c>
      <c r="B246" s="153">
        <v>400</v>
      </c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>
        <f t="shared" si="223"/>
        <v>400</v>
      </c>
      <c r="O246" s="153"/>
      <c r="P246" s="153"/>
      <c r="Q246" s="153"/>
      <c r="R246" s="153"/>
      <c r="S246" s="184"/>
      <c r="U246" s="182"/>
      <c r="V246" s="182"/>
      <c r="W246" s="182"/>
      <c r="X246" s="182"/>
      <c r="Y246" s="182"/>
      <c r="Z246" s="182"/>
      <c r="AA246" s="182"/>
      <c r="AB246" s="182"/>
      <c r="AC246" s="182"/>
      <c r="AD246" s="182"/>
      <c r="AE246" s="182"/>
      <c r="AF246" s="153"/>
      <c r="AG246" s="153"/>
    </row>
    <row r="247" spans="1:33" ht="15.75" thickBot="1" x14ac:dyDescent="0.3">
      <c r="A247" s="152" t="s">
        <v>175</v>
      </c>
      <c r="B247" s="171">
        <f>SUM(B224:B246)</f>
        <v>201127.27999999997</v>
      </c>
      <c r="C247" s="171">
        <f t="shared" ref="B247:H247" si="228">SUM(C224:C246)</f>
        <v>0</v>
      </c>
      <c r="D247" s="171">
        <f t="shared" si="228"/>
        <v>0</v>
      </c>
      <c r="E247" s="171">
        <f t="shared" si="228"/>
        <v>0</v>
      </c>
      <c r="F247" s="171">
        <f t="shared" si="228"/>
        <v>0</v>
      </c>
      <c r="G247" s="171">
        <f t="shared" si="228"/>
        <v>0</v>
      </c>
      <c r="H247" s="171">
        <f t="shared" si="228"/>
        <v>0</v>
      </c>
      <c r="I247" s="171">
        <f t="shared" ref="I247:N247" si="229">SUM(I224:I246)</f>
        <v>0</v>
      </c>
      <c r="J247" s="171">
        <f t="shared" si="229"/>
        <v>0</v>
      </c>
      <c r="K247" s="171">
        <f t="shared" si="229"/>
        <v>0</v>
      </c>
      <c r="L247" s="171">
        <f t="shared" si="229"/>
        <v>0</v>
      </c>
      <c r="M247" s="171">
        <f t="shared" si="229"/>
        <v>0</v>
      </c>
      <c r="N247" s="171">
        <f t="shared" si="229"/>
        <v>201127.27999999997</v>
      </c>
      <c r="O247" s="171"/>
      <c r="P247" s="171">
        <f>SUM(P224:P245)</f>
        <v>1852786.7849999999</v>
      </c>
      <c r="Q247" s="171">
        <f>SUM(Q224:Q245)</f>
        <v>2470382.38</v>
      </c>
      <c r="R247" s="171">
        <v>2658120.36</v>
      </c>
      <c r="S247" s="184">
        <f t="shared" si="210"/>
        <v>0</v>
      </c>
      <c r="T247" s="196">
        <f t="shared" ref="T247:X247" si="230">SUM(T225:T244)</f>
        <v>217438.18</v>
      </c>
      <c r="U247" s="196">
        <f t="shared" si="230"/>
        <v>209198.51</v>
      </c>
      <c r="V247" s="196">
        <f t="shared" si="230"/>
        <v>217237.15000000002</v>
      </c>
      <c r="W247" s="196">
        <f t="shared" si="230"/>
        <v>198728.25999999998</v>
      </c>
      <c r="X247" s="196">
        <f t="shared" si="230"/>
        <v>199475.94999999998</v>
      </c>
      <c r="Y247" s="196">
        <f>SUM(Y225:Y244)</f>
        <v>222170.33999999997</v>
      </c>
      <c r="Z247" s="196">
        <f>SUM(Z225:Z244)</f>
        <v>232432.36999999997</v>
      </c>
      <c r="AA247" s="196">
        <f>SUM(AA225:AA245)</f>
        <v>206199.65</v>
      </c>
      <c r="AB247" s="196">
        <f>SUM(AB224:AB245)</f>
        <v>262615.36</v>
      </c>
      <c r="AC247" s="196">
        <f>SUM(AC224:AC245)</f>
        <v>237014.89</v>
      </c>
      <c r="AD247" s="196">
        <f>SUM(AD224:AD245)</f>
        <v>216333.72999999995</v>
      </c>
      <c r="AE247" s="196">
        <f>SUM(AE224:AE245)</f>
        <v>239275.96999999997</v>
      </c>
      <c r="AF247" s="171">
        <f t="shared" si="226"/>
        <v>18284.29818181818</v>
      </c>
      <c r="AG247" s="171">
        <f t="shared" si="227"/>
        <v>-18284.29818181818</v>
      </c>
    </row>
    <row r="248" spans="1:33" ht="15.75" thickTop="1" x14ac:dyDescent="0.25"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84">
        <f t="shared" si="210"/>
        <v>0</v>
      </c>
      <c r="U248" s="182"/>
      <c r="V248" s="182"/>
      <c r="W248" s="182"/>
      <c r="X248" s="182"/>
      <c r="Y248" s="182"/>
      <c r="Z248" s="182"/>
      <c r="AA248" s="182"/>
      <c r="AB248" s="182"/>
      <c r="AC248" s="182"/>
      <c r="AD248" s="182"/>
      <c r="AE248" s="182"/>
      <c r="AF248" s="153">
        <f t="shared" si="226"/>
        <v>0</v>
      </c>
      <c r="AG248" s="153">
        <f t="shared" si="227"/>
        <v>0</v>
      </c>
    </row>
    <row r="249" spans="1:33" x14ac:dyDescent="0.25">
      <c r="A249" s="144" t="s">
        <v>176</v>
      </c>
      <c r="B249" s="153">
        <v>125</v>
      </c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>
        <f t="shared" ref="N249:N281" si="231">SUM(B249:M249)</f>
        <v>125</v>
      </c>
      <c r="O249" s="153"/>
      <c r="P249" s="153">
        <f>Q249/12*$P$3</f>
        <v>3375</v>
      </c>
      <c r="Q249" s="153">
        <f>R249</f>
        <v>4500</v>
      </c>
      <c r="R249" s="153">
        <v>4500</v>
      </c>
      <c r="S249" s="184">
        <f t="shared" si="210"/>
        <v>0</v>
      </c>
      <c r="T249" s="182">
        <v>0</v>
      </c>
      <c r="U249" s="182">
        <v>0</v>
      </c>
      <c r="V249" s="182">
        <v>0</v>
      </c>
      <c r="W249" s="182"/>
      <c r="X249" s="182">
        <v>0</v>
      </c>
      <c r="Y249" s="182">
        <v>2500</v>
      </c>
      <c r="Z249" s="182">
        <v>2000</v>
      </c>
      <c r="AA249" s="182">
        <v>0</v>
      </c>
      <c r="AB249" s="182">
        <v>0</v>
      </c>
      <c r="AC249" s="182">
        <v>0</v>
      </c>
      <c r="AD249" s="182">
        <v>0</v>
      </c>
      <c r="AE249" s="182">
        <v>0</v>
      </c>
      <c r="AF249" s="153">
        <f t="shared" si="226"/>
        <v>11.363636363636363</v>
      </c>
      <c r="AG249" s="153">
        <f t="shared" si="227"/>
        <v>-11.363636363636363</v>
      </c>
    </row>
    <row r="250" spans="1:33" x14ac:dyDescent="0.25">
      <c r="A250" s="144" t="s">
        <v>177</v>
      </c>
      <c r="B250" s="153">
        <v>6000</v>
      </c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>
        <f t="shared" si="231"/>
        <v>6000</v>
      </c>
      <c r="O250" s="153"/>
      <c r="P250" s="153">
        <f t="shared" ref="P250:P279" si="232">Q250/12*$P$3</f>
        <v>28319.227500000001</v>
      </c>
      <c r="Q250" s="153">
        <f t="shared" ref="Q250:Q279" si="233">R250</f>
        <v>37758.97</v>
      </c>
      <c r="R250" s="153">
        <v>37758.97</v>
      </c>
      <c r="S250" s="184">
        <f t="shared" si="210"/>
        <v>0</v>
      </c>
      <c r="T250" s="182">
        <v>5835.67</v>
      </c>
      <c r="U250" s="182">
        <v>5000</v>
      </c>
      <c r="V250" s="182">
        <v>4813.05</v>
      </c>
      <c r="W250" s="182">
        <v>5000</v>
      </c>
      <c r="X250" s="182">
        <v>5000</v>
      </c>
      <c r="Y250" s="182">
        <v>5000</v>
      </c>
      <c r="Z250" s="182">
        <v>5000</v>
      </c>
      <c r="AA250" s="182">
        <v>5000</v>
      </c>
      <c r="AB250" s="182">
        <v>-10977.05</v>
      </c>
      <c r="AC250" s="182">
        <v>3250</v>
      </c>
      <c r="AD250" s="182">
        <v>3250</v>
      </c>
      <c r="AE250" s="182">
        <v>1587.3</v>
      </c>
      <c r="AF250" s="153">
        <f t="shared" si="226"/>
        <v>545.4545454545455</v>
      </c>
      <c r="AG250" s="153">
        <f t="shared" si="227"/>
        <v>-545.4545454545455</v>
      </c>
    </row>
    <row r="251" spans="1:33" x14ac:dyDescent="0.25">
      <c r="A251" s="144" t="s">
        <v>178</v>
      </c>
      <c r="B251" s="153">
        <v>1825.07</v>
      </c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>
        <f t="shared" si="231"/>
        <v>1825.07</v>
      </c>
      <c r="O251" s="153"/>
      <c r="P251" s="153">
        <f t="shared" si="232"/>
        <v>8026.5225000000009</v>
      </c>
      <c r="Q251" s="153">
        <f t="shared" si="233"/>
        <v>10702.03</v>
      </c>
      <c r="R251" s="153">
        <v>10702.03</v>
      </c>
      <c r="S251" s="184">
        <f t="shared" si="210"/>
        <v>0</v>
      </c>
      <c r="T251" s="182">
        <v>815.83</v>
      </c>
      <c r="U251" s="182">
        <v>1293.81</v>
      </c>
      <c r="V251" s="182">
        <v>863.73</v>
      </c>
      <c r="W251" s="182">
        <v>836.51</v>
      </c>
      <c r="X251" s="182">
        <v>838.95</v>
      </c>
      <c r="Y251" s="182">
        <v>838.95</v>
      </c>
      <c r="Z251" s="182">
        <v>822.29</v>
      </c>
      <c r="AA251" s="182">
        <v>935.47</v>
      </c>
      <c r="AB251" s="182">
        <v>805.06</v>
      </c>
      <c r="AC251" s="182">
        <v>800.32</v>
      </c>
      <c r="AD251" s="182">
        <v>843.26</v>
      </c>
      <c r="AE251" s="182">
        <v>1007.85</v>
      </c>
      <c r="AF251" s="153">
        <f t="shared" si="226"/>
        <v>165.91545454545454</v>
      </c>
      <c r="AG251" s="153">
        <f t="shared" si="227"/>
        <v>-165.91545454545454</v>
      </c>
    </row>
    <row r="252" spans="1:33" x14ac:dyDescent="0.25">
      <c r="A252" s="144" t="s">
        <v>179</v>
      </c>
      <c r="B252" s="153">
        <v>6615.91</v>
      </c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>
        <f t="shared" si="231"/>
        <v>6615.91</v>
      </c>
      <c r="O252" s="153"/>
      <c r="P252" s="153">
        <f t="shared" si="232"/>
        <v>46261.931250000001</v>
      </c>
      <c r="Q252" s="153">
        <f>123365.15/2</f>
        <v>61682.574999999997</v>
      </c>
      <c r="R252" s="153">
        <v>123365.15</v>
      </c>
      <c r="S252" s="184">
        <f t="shared" si="210"/>
        <v>0</v>
      </c>
      <c r="T252" s="182">
        <v>11891.59</v>
      </c>
      <c r="U252" s="182">
        <v>11089.07</v>
      </c>
      <c r="V252" s="182">
        <v>11189.22</v>
      </c>
      <c r="W252" s="182">
        <v>11179.32</v>
      </c>
      <c r="X252" s="182">
        <v>10355.59</v>
      </c>
      <c r="Y252" s="182">
        <v>2547</v>
      </c>
      <c r="Z252" s="182">
        <v>10193.629999999999</v>
      </c>
      <c r="AA252" s="182">
        <v>11578.59</v>
      </c>
      <c r="AB252" s="182">
        <v>11065.45</v>
      </c>
      <c r="AC252" s="182">
        <v>11588.03</v>
      </c>
      <c r="AD252" s="182">
        <v>10659.28</v>
      </c>
      <c r="AE252" s="182">
        <v>10028.379999999999</v>
      </c>
      <c r="AF252" s="153">
        <f t="shared" si="226"/>
        <v>601.44636363636357</v>
      </c>
      <c r="AG252" s="153">
        <f t="shared" si="227"/>
        <v>-601.44636363636357</v>
      </c>
    </row>
    <row r="253" spans="1:33" x14ac:dyDescent="0.25">
      <c r="A253" s="144" t="s">
        <v>180</v>
      </c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>
        <f t="shared" si="231"/>
        <v>0</v>
      </c>
      <c r="O253" s="153"/>
      <c r="P253" s="153">
        <f t="shared" si="232"/>
        <v>407.76</v>
      </c>
      <c r="Q253" s="153">
        <f t="shared" si="233"/>
        <v>543.67999999999995</v>
      </c>
      <c r="R253" s="153">
        <v>543.67999999999995</v>
      </c>
      <c r="S253" s="184">
        <f t="shared" si="210"/>
        <v>0</v>
      </c>
      <c r="T253" s="182">
        <v>0</v>
      </c>
      <c r="U253" s="182">
        <v>0</v>
      </c>
      <c r="V253" s="182">
        <v>0</v>
      </c>
      <c r="W253" s="182">
        <v>0</v>
      </c>
      <c r="X253" s="182">
        <v>0</v>
      </c>
      <c r="Y253" s="182">
        <v>0</v>
      </c>
      <c r="Z253" s="182">
        <v>0</v>
      </c>
      <c r="AA253" s="182">
        <v>0</v>
      </c>
      <c r="AB253" s="182">
        <v>543.67999999999995</v>
      </c>
      <c r="AC253" s="182">
        <v>0</v>
      </c>
      <c r="AD253" s="182">
        <v>0</v>
      </c>
      <c r="AE253" s="182">
        <v>0</v>
      </c>
      <c r="AF253" s="153">
        <f t="shared" si="226"/>
        <v>0</v>
      </c>
      <c r="AG253" s="153">
        <f t="shared" si="227"/>
        <v>0</v>
      </c>
    </row>
    <row r="254" spans="1:33" x14ac:dyDescent="0.25">
      <c r="A254" s="144" t="s">
        <v>181</v>
      </c>
      <c r="B254" s="153">
        <v>573.22</v>
      </c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>
        <f t="shared" si="231"/>
        <v>573.22</v>
      </c>
      <c r="O254" s="153"/>
      <c r="P254" s="153">
        <f t="shared" si="232"/>
        <v>3592.6575000000003</v>
      </c>
      <c r="Q254" s="153">
        <f t="shared" si="233"/>
        <v>4790.21</v>
      </c>
      <c r="R254" s="153">
        <v>4790.21</v>
      </c>
      <c r="S254" s="184">
        <f t="shared" si="210"/>
        <v>0</v>
      </c>
      <c r="T254" s="182">
        <v>2200</v>
      </c>
      <c r="U254" s="182">
        <v>545.54</v>
      </c>
      <c r="V254" s="182">
        <v>774.24</v>
      </c>
      <c r="W254" s="182">
        <v>36.65</v>
      </c>
      <c r="X254" s="182">
        <v>22.4</v>
      </c>
      <c r="Y254" s="182">
        <v>149.9</v>
      </c>
      <c r="Z254" s="182">
        <v>27.1</v>
      </c>
      <c r="AA254" s="182">
        <v>53.2</v>
      </c>
      <c r="AB254" s="182">
        <v>11.78</v>
      </c>
      <c r="AC254" s="182">
        <v>48.35</v>
      </c>
      <c r="AD254" s="182">
        <v>-4997.2299999999996</v>
      </c>
      <c r="AE254" s="182">
        <v>5918.28</v>
      </c>
      <c r="AF254" s="153">
        <f t="shared" si="226"/>
        <v>52.110909090909097</v>
      </c>
      <c r="AG254" s="153">
        <f t="shared" si="227"/>
        <v>-52.110909090909097</v>
      </c>
    </row>
    <row r="255" spans="1:33" hidden="1" x14ac:dyDescent="0.25">
      <c r="A255" s="144" t="s">
        <v>182</v>
      </c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>
        <f t="shared" si="231"/>
        <v>0</v>
      </c>
      <c r="O255" s="153"/>
      <c r="P255" s="153">
        <f t="shared" si="232"/>
        <v>0</v>
      </c>
      <c r="Q255" s="153">
        <f t="shared" si="233"/>
        <v>0</v>
      </c>
      <c r="R255" s="153">
        <v>0</v>
      </c>
      <c r="S255" s="184">
        <f t="shared" si="210"/>
        <v>0</v>
      </c>
      <c r="T255" s="182">
        <v>0</v>
      </c>
      <c r="U255" s="182">
        <v>0</v>
      </c>
      <c r="V255" s="182">
        <v>0</v>
      </c>
      <c r="W255" s="182">
        <v>0</v>
      </c>
      <c r="X255" s="182">
        <v>0</v>
      </c>
      <c r="Y255" s="182">
        <v>0</v>
      </c>
      <c r="Z255" s="182">
        <v>0</v>
      </c>
      <c r="AA255" s="182">
        <v>0</v>
      </c>
      <c r="AB255" s="182">
        <v>0</v>
      </c>
      <c r="AC255" s="182">
        <v>0</v>
      </c>
      <c r="AD255" s="182">
        <v>0</v>
      </c>
      <c r="AE255" s="182">
        <v>0</v>
      </c>
      <c r="AF255" s="153">
        <f t="shared" si="226"/>
        <v>0</v>
      </c>
      <c r="AG255" s="153">
        <f t="shared" si="227"/>
        <v>0</v>
      </c>
    </row>
    <row r="256" spans="1:33" hidden="1" x14ac:dyDescent="0.25">
      <c r="A256" s="144" t="s">
        <v>183</v>
      </c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>
        <f t="shared" si="231"/>
        <v>0</v>
      </c>
      <c r="O256" s="153"/>
      <c r="P256" s="153">
        <f t="shared" si="232"/>
        <v>0</v>
      </c>
      <c r="Q256" s="153">
        <f t="shared" si="233"/>
        <v>0</v>
      </c>
      <c r="R256" s="153">
        <v>0</v>
      </c>
      <c r="S256" s="184">
        <f t="shared" si="210"/>
        <v>0</v>
      </c>
      <c r="T256" s="182">
        <v>0</v>
      </c>
      <c r="U256" s="182">
        <v>0</v>
      </c>
      <c r="V256" s="182">
        <v>0</v>
      </c>
      <c r="W256" s="182">
        <v>0</v>
      </c>
      <c r="X256" s="182">
        <v>0</v>
      </c>
      <c r="Y256" s="182">
        <v>0</v>
      </c>
      <c r="Z256" s="182">
        <v>0</v>
      </c>
      <c r="AA256" s="182">
        <v>0</v>
      </c>
      <c r="AB256" s="182">
        <v>0</v>
      </c>
      <c r="AC256" s="182">
        <v>0</v>
      </c>
      <c r="AD256" s="182">
        <v>0</v>
      </c>
      <c r="AE256" s="182">
        <v>0</v>
      </c>
      <c r="AF256" s="153">
        <f t="shared" si="226"/>
        <v>0</v>
      </c>
      <c r="AG256" s="153">
        <f t="shared" si="227"/>
        <v>0</v>
      </c>
    </row>
    <row r="257" spans="1:33" hidden="1" x14ac:dyDescent="0.25">
      <c r="A257" s="144" t="s">
        <v>184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>
        <f t="shared" si="231"/>
        <v>0</v>
      </c>
      <c r="O257" s="153"/>
      <c r="P257" s="153">
        <f t="shared" si="232"/>
        <v>0</v>
      </c>
      <c r="Q257" s="153">
        <f t="shared" si="233"/>
        <v>0</v>
      </c>
      <c r="R257" s="153">
        <v>0</v>
      </c>
      <c r="S257" s="184">
        <f t="shared" si="210"/>
        <v>0</v>
      </c>
      <c r="T257" s="182">
        <v>0</v>
      </c>
      <c r="U257" s="182">
        <v>0</v>
      </c>
      <c r="V257" s="182">
        <v>0</v>
      </c>
      <c r="W257" s="182">
        <v>0</v>
      </c>
      <c r="X257" s="182">
        <v>0</v>
      </c>
      <c r="Y257" s="182">
        <v>0</v>
      </c>
      <c r="Z257" s="182">
        <v>0</v>
      </c>
      <c r="AA257" s="182">
        <v>0</v>
      </c>
      <c r="AB257" s="182">
        <v>0</v>
      </c>
      <c r="AC257" s="182">
        <v>0</v>
      </c>
      <c r="AD257" s="182">
        <v>0</v>
      </c>
      <c r="AE257" s="182">
        <v>0</v>
      </c>
      <c r="AF257" s="153">
        <f t="shared" si="226"/>
        <v>0</v>
      </c>
      <c r="AG257" s="153">
        <f t="shared" si="227"/>
        <v>0</v>
      </c>
    </row>
    <row r="258" spans="1:33" x14ac:dyDescent="0.25">
      <c r="A258" s="144" t="s">
        <v>185</v>
      </c>
      <c r="B258" s="153">
        <v>2967.81</v>
      </c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>
        <f t="shared" si="231"/>
        <v>2967.81</v>
      </c>
      <c r="O258" s="153"/>
      <c r="P258" s="153">
        <f t="shared" si="232"/>
        <v>18483.015000000003</v>
      </c>
      <c r="Q258" s="153">
        <f t="shared" si="233"/>
        <v>24644.020000000004</v>
      </c>
      <c r="R258" s="153">
        <v>24644.020000000004</v>
      </c>
      <c r="S258" s="184">
        <f t="shared" si="210"/>
        <v>0</v>
      </c>
      <c r="T258" s="182">
        <v>0</v>
      </c>
      <c r="U258" s="182">
        <v>0</v>
      </c>
      <c r="V258" s="182">
        <v>0</v>
      </c>
      <c r="W258" s="182">
        <v>3888.88</v>
      </c>
      <c r="X258" s="182">
        <v>3888.88</v>
      </c>
      <c r="Y258" s="182">
        <v>13152.25</v>
      </c>
      <c r="Z258" s="182">
        <v>10269.51</v>
      </c>
      <c r="AA258" s="182">
        <v>3908.87</v>
      </c>
      <c r="AB258" s="182">
        <v>-19383.14</v>
      </c>
      <c r="AC258" s="182">
        <v>0</v>
      </c>
      <c r="AD258" s="182">
        <v>-9046.33</v>
      </c>
      <c r="AE258" s="182">
        <v>17965.099999999999</v>
      </c>
      <c r="AF258" s="153">
        <f t="shared" si="226"/>
        <v>269.8009090909091</v>
      </c>
      <c r="AG258" s="153">
        <f t="shared" si="227"/>
        <v>-269.8009090909091</v>
      </c>
    </row>
    <row r="259" spans="1:33" x14ac:dyDescent="0.25">
      <c r="A259" s="144" t="s">
        <v>186</v>
      </c>
      <c r="B259" s="153">
        <v>396.78</v>
      </c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>
        <f t="shared" si="231"/>
        <v>396.78</v>
      </c>
      <c r="O259" s="153"/>
      <c r="P259" s="153">
        <f t="shared" si="232"/>
        <v>5009.2275</v>
      </c>
      <c r="Q259" s="153">
        <f t="shared" si="233"/>
        <v>6678.97</v>
      </c>
      <c r="R259" s="153">
        <v>6678.97</v>
      </c>
      <c r="S259" s="184">
        <f t="shared" si="210"/>
        <v>0</v>
      </c>
      <c r="T259" s="182">
        <v>0</v>
      </c>
      <c r="U259" s="182">
        <v>0</v>
      </c>
      <c r="V259" s="182">
        <v>0</v>
      </c>
      <c r="W259" s="182">
        <v>0</v>
      </c>
      <c r="X259" s="182">
        <v>0</v>
      </c>
      <c r="Y259" s="182">
        <v>234.03</v>
      </c>
      <c r="Z259" s="182">
        <v>0</v>
      </c>
      <c r="AA259" s="182">
        <v>56.7</v>
      </c>
      <c r="AB259" s="182">
        <v>106.9</v>
      </c>
      <c r="AC259" s="182">
        <v>0</v>
      </c>
      <c r="AD259" s="182">
        <v>452.7</v>
      </c>
      <c r="AE259" s="182">
        <v>5828.64</v>
      </c>
      <c r="AF259" s="153">
        <f t="shared" si="226"/>
        <v>36.07090909090909</v>
      </c>
      <c r="AG259" s="153">
        <f t="shared" si="227"/>
        <v>-36.07090909090909</v>
      </c>
    </row>
    <row r="260" spans="1:33" x14ac:dyDescent="0.25">
      <c r="A260" s="144" t="s">
        <v>187</v>
      </c>
      <c r="B260" s="153">
        <v>1648.64</v>
      </c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>
        <f t="shared" si="231"/>
        <v>1648.64</v>
      </c>
      <c r="O260" s="153"/>
      <c r="P260" s="153">
        <f t="shared" si="232"/>
        <v>13050</v>
      </c>
      <c r="Q260" s="153">
        <v>17400</v>
      </c>
      <c r="R260" s="153">
        <v>17043.18</v>
      </c>
      <c r="S260" s="184">
        <f t="shared" si="210"/>
        <v>0</v>
      </c>
      <c r="T260" s="182">
        <v>-1079.68</v>
      </c>
      <c r="U260" s="182">
        <v>2431.7199999999998</v>
      </c>
      <c r="V260" s="182">
        <v>1397.5</v>
      </c>
      <c r="W260" s="182">
        <f>1455.94+540.08</f>
        <v>1996.02</v>
      </c>
      <c r="X260" s="182">
        <v>4141.2299999999996</v>
      </c>
      <c r="Y260" s="182">
        <v>1897.43</v>
      </c>
      <c r="Z260" s="182">
        <v>1351.56</v>
      </c>
      <c r="AA260" s="182">
        <v>1842.88</v>
      </c>
      <c r="AB260" s="182">
        <v>-947.97</v>
      </c>
      <c r="AC260" s="182">
        <v>1431.58</v>
      </c>
      <c r="AD260" s="182">
        <v>1149.33</v>
      </c>
      <c r="AE260" s="182">
        <v>1431.58</v>
      </c>
      <c r="AF260" s="153">
        <f t="shared" si="226"/>
        <v>149.87636363636364</v>
      </c>
      <c r="AG260" s="153">
        <f t="shared" si="227"/>
        <v>-149.87636363636364</v>
      </c>
    </row>
    <row r="261" spans="1:33" x14ac:dyDescent="0.25">
      <c r="A261" s="144" t="s">
        <v>574</v>
      </c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>
        <f t="shared" si="231"/>
        <v>0</v>
      </c>
      <c r="O261" s="153"/>
      <c r="P261" s="153"/>
      <c r="Q261" s="153"/>
      <c r="R261" s="153"/>
      <c r="S261" s="184"/>
      <c r="U261" s="182"/>
      <c r="V261" s="182"/>
      <c r="W261" s="182"/>
      <c r="X261" s="182"/>
      <c r="Y261" s="182"/>
      <c r="Z261" s="182"/>
      <c r="AA261" s="182"/>
      <c r="AB261" s="182"/>
      <c r="AC261" s="182"/>
      <c r="AD261" s="182"/>
      <c r="AE261" s="182"/>
      <c r="AF261" s="153"/>
      <c r="AG261" s="153"/>
    </row>
    <row r="262" spans="1:33" x14ac:dyDescent="0.25">
      <c r="A262" s="144" t="s">
        <v>188</v>
      </c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>
        <f t="shared" si="231"/>
        <v>0</v>
      </c>
      <c r="O262" s="153"/>
      <c r="P262" s="153">
        <f t="shared" si="232"/>
        <v>1170.4575</v>
      </c>
      <c r="Q262" s="153">
        <f t="shared" si="233"/>
        <v>1560.6100000000001</v>
      </c>
      <c r="R262" s="153">
        <v>1560.6100000000001</v>
      </c>
      <c r="S262" s="184">
        <f t="shared" si="210"/>
        <v>0</v>
      </c>
      <c r="T262" s="182">
        <v>369.62</v>
      </c>
      <c r="U262" s="182">
        <v>337.5</v>
      </c>
      <c r="V262" s="182">
        <v>0</v>
      </c>
      <c r="W262" s="182">
        <v>269.62</v>
      </c>
      <c r="X262" s="182">
        <v>0</v>
      </c>
      <c r="Y262" s="182">
        <v>0</v>
      </c>
      <c r="Z262" s="182">
        <v>291.94</v>
      </c>
      <c r="AA262" s="182">
        <v>0</v>
      </c>
      <c r="AB262" s="182">
        <v>0</v>
      </c>
      <c r="AC262" s="182">
        <v>291.93</v>
      </c>
      <c r="AD262" s="182">
        <v>0</v>
      </c>
      <c r="AE262" s="182">
        <v>0</v>
      </c>
      <c r="AF262" s="153">
        <f t="shared" si="226"/>
        <v>0</v>
      </c>
      <c r="AG262" s="153">
        <f t="shared" si="227"/>
        <v>0</v>
      </c>
    </row>
    <row r="263" spans="1:33" x14ac:dyDescent="0.25">
      <c r="A263" s="144" t="s">
        <v>189</v>
      </c>
      <c r="B263" s="153">
        <v>1195</v>
      </c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>
        <f t="shared" si="231"/>
        <v>1195</v>
      </c>
      <c r="O263" s="153"/>
      <c r="P263" s="153">
        <f t="shared" si="232"/>
        <v>24634.35</v>
      </c>
      <c r="Q263" s="153">
        <f t="shared" si="233"/>
        <v>32845.799999999996</v>
      </c>
      <c r="R263" s="153">
        <v>32845.799999999996</v>
      </c>
      <c r="S263" s="184">
        <f t="shared" si="210"/>
        <v>0</v>
      </c>
      <c r="T263" s="182">
        <v>5036.3900000000003</v>
      </c>
      <c r="U263" s="182">
        <v>4091.87</v>
      </c>
      <c r="V263" s="182">
        <v>4231.8500000000004</v>
      </c>
      <c r="W263" s="182">
        <v>1960.99</v>
      </c>
      <c r="X263" s="182">
        <v>3137.77</v>
      </c>
      <c r="Y263" s="182">
        <v>2373.7600000000002</v>
      </c>
      <c r="Z263" s="182">
        <v>2720.77</v>
      </c>
      <c r="AA263" s="182">
        <v>2233.6799999999998</v>
      </c>
      <c r="AB263" s="182">
        <v>1749.68</v>
      </c>
      <c r="AC263" s="182">
        <v>1749.68</v>
      </c>
      <c r="AD263" s="182">
        <v>1809.68</v>
      </c>
      <c r="AE263" s="182">
        <v>1749.68</v>
      </c>
      <c r="AF263" s="153">
        <f t="shared" si="226"/>
        <v>108.63636363636364</v>
      </c>
      <c r="AG263" s="153">
        <f t="shared" si="227"/>
        <v>-108.63636363636364</v>
      </c>
    </row>
    <row r="264" spans="1:33" x14ac:dyDescent="0.25">
      <c r="A264" s="144" t="s">
        <v>190</v>
      </c>
      <c r="B264" s="153">
        <v>671.94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>
        <f t="shared" si="231"/>
        <v>671.94</v>
      </c>
      <c r="O264" s="153"/>
      <c r="P264" s="153">
        <f t="shared" si="232"/>
        <v>19390.365000000002</v>
      </c>
      <c r="Q264" s="153">
        <f t="shared" si="233"/>
        <v>25853.820000000003</v>
      </c>
      <c r="R264" s="153">
        <v>25853.820000000003</v>
      </c>
      <c r="S264" s="184">
        <f t="shared" si="210"/>
        <v>0</v>
      </c>
      <c r="T264" s="182">
        <v>2582.41</v>
      </c>
      <c r="U264" s="182">
        <v>2701.31</v>
      </c>
      <c r="V264" s="182">
        <v>3298.35</v>
      </c>
      <c r="W264" s="182">
        <v>2350.81</v>
      </c>
      <c r="X264" s="182">
        <v>2499.0500000000002</v>
      </c>
      <c r="Y264" s="182">
        <v>3334.89</v>
      </c>
      <c r="Z264" s="182">
        <v>2438.75</v>
      </c>
      <c r="AA264" s="182">
        <v>2256.88</v>
      </c>
      <c r="AB264" s="182">
        <v>-2442.33</v>
      </c>
      <c r="AC264" s="182">
        <v>2761.82</v>
      </c>
      <c r="AD264" s="182">
        <v>1312.38</v>
      </c>
      <c r="AE264" s="182">
        <v>2759.5</v>
      </c>
      <c r="AF264" s="153">
        <f t="shared" si="226"/>
        <v>61.085454545454553</v>
      </c>
      <c r="AG264" s="153">
        <f t="shared" si="227"/>
        <v>-61.085454545454553</v>
      </c>
    </row>
    <row r="265" spans="1:33" hidden="1" x14ac:dyDescent="0.25">
      <c r="A265" s="144" t="s">
        <v>191</v>
      </c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>
        <f t="shared" si="232"/>
        <v>0</v>
      </c>
      <c r="Q265" s="153">
        <f t="shared" si="233"/>
        <v>0</v>
      </c>
      <c r="R265" s="153"/>
      <c r="S265" s="184">
        <f t="shared" si="210"/>
        <v>0</v>
      </c>
      <c r="U265" s="182"/>
      <c r="V265" s="182"/>
      <c r="W265" s="182"/>
      <c r="X265" s="182"/>
      <c r="Y265" s="182"/>
      <c r="Z265" s="182"/>
      <c r="AA265" s="182"/>
      <c r="AB265" s="182"/>
      <c r="AC265" s="182"/>
      <c r="AD265" s="182"/>
      <c r="AE265" s="182"/>
      <c r="AF265" s="153">
        <f>(N265-M265)/11</f>
        <v>0</v>
      </c>
      <c r="AG265" s="153">
        <f>M265-AF265</f>
        <v>0</v>
      </c>
    </row>
    <row r="266" spans="1:33" x14ac:dyDescent="0.25">
      <c r="A266" s="144" t="s">
        <v>192</v>
      </c>
      <c r="B266" s="153">
        <v>2439.17</v>
      </c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>
        <f t="shared" si="231"/>
        <v>2439.17</v>
      </c>
      <c r="O266" s="153"/>
      <c r="P266" s="153">
        <f t="shared" si="232"/>
        <v>11484.21</v>
      </c>
      <c r="Q266" s="153">
        <f t="shared" si="233"/>
        <v>15312.279999999999</v>
      </c>
      <c r="R266" s="153">
        <v>15312.279999999999</v>
      </c>
      <c r="S266" s="184">
        <f t="shared" si="210"/>
        <v>0</v>
      </c>
      <c r="T266" s="182">
        <v>3253.33</v>
      </c>
      <c r="U266" s="182">
        <v>2533.33</v>
      </c>
      <c r="V266" s="182">
        <v>2533.33</v>
      </c>
      <c r="W266" s="182">
        <v>2533.33</v>
      </c>
      <c r="X266" s="182">
        <v>2533.33</v>
      </c>
      <c r="Y266" s="182">
        <v>2533.33</v>
      </c>
      <c r="Z266" s="182">
        <v>2533.33</v>
      </c>
      <c r="AA266" s="182">
        <v>2533.33</v>
      </c>
      <c r="AB266" s="182">
        <v>-10791.02</v>
      </c>
      <c r="AC266" s="182">
        <v>2533.33</v>
      </c>
      <c r="AD266" s="182">
        <v>2583.33</v>
      </c>
      <c r="AE266" s="182">
        <v>0</v>
      </c>
      <c r="AF266" s="153">
        <f t="shared" si="226"/>
        <v>221.74272727272728</v>
      </c>
      <c r="AG266" s="153">
        <f t="shared" si="227"/>
        <v>-221.74272727272728</v>
      </c>
    </row>
    <row r="267" spans="1:33" x14ac:dyDescent="0.25">
      <c r="A267" s="144" t="s">
        <v>193</v>
      </c>
      <c r="B267" s="153">
        <v>2087.75</v>
      </c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>
        <f t="shared" si="231"/>
        <v>2087.75</v>
      </c>
      <c r="O267" s="153"/>
      <c r="P267" s="153">
        <f t="shared" si="232"/>
        <v>14871.262499999999</v>
      </c>
      <c r="Q267" s="153">
        <f t="shared" si="233"/>
        <v>19828.349999999999</v>
      </c>
      <c r="R267" s="153">
        <v>19828.349999999999</v>
      </c>
      <c r="S267" s="184">
        <f t="shared" si="210"/>
        <v>0</v>
      </c>
      <c r="T267" s="182">
        <v>1266.67</v>
      </c>
      <c r="U267" s="182">
        <v>1266.67</v>
      </c>
      <c r="V267" s="182">
        <v>6536.01</v>
      </c>
      <c r="W267" s="182">
        <v>3238.1</v>
      </c>
      <c r="X267" s="182">
        <v>3238.1</v>
      </c>
      <c r="Y267" s="182">
        <v>-3590.69</v>
      </c>
      <c r="Z267" s="182">
        <v>1535.07</v>
      </c>
      <c r="AA267" s="182">
        <v>1266.67</v>
      </c>
      <c r="AB267" s="182">
        <v>2678.42</v>
      </c>
      <c r="AC267" s="182">
        <v>1991.67</v>
      </c>
      <c r="AD267" s="182">
        <v>2440.2399999999998</v>
      </c>
      <c r="AE267" s="182">
        <v>-2038.58</v>
      </c>
      <c r="AF267" s="153">
        <f t="shared" si="226"/>
        <v>189.79545454545453</v>
      </c>
      <c r="AG267" s="153">
        <f t="shared" si="227"/>
        <v>-189.79545454545453</v>
      </c>
    </row>
    <row r="268" spans="1:33" x14ac:dyDescent="0.25">
      <c r="A268" s="144" t="s">
        <v>194</v>
      </c>
      <c r="B268" s="153">
        <v>735.52</v>
      </c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>
        <f t="shared" si="231"/>
        <v>735.52</v>
      </c>
      <c r="O268" s="153"/>
      <c r="P268" s="153">
        <f t="shared" si="232"/>
        <v>4215.9674999999997</v>
      </c>
      <c r="Q268" s="153">
        <f>R268</f>
        <v>5621.29</v>
      </c>
      <c r="R268" s="153">
        <v>5621.29</v>
      </c>
      <c r="S268" s="184">
        <f t="shared" si="210"/>
        <v>0</v>
      </c>
      <c r="T268" s="182">
        <v>428.57</v>
      </c>
      <c r="U268" s="182">
        <v>428.57</v>
      </c>
      <c r="V268" s="182">
        <v>428.57</v>
      </c>
      <c r="W268" s="182">
        <v>428.57</v>
      </c>
      <c r="X268" s="182">
        <v>1580.99</v>
      </c>
      <c r="Y268" s="182">
        <v>-895.84</v>
      </c>
      <c r="Z268" s="182">
        <v>374.03</v>
      </c>
      <c r="AA268" s="182">
        <v>750</v>
      </c>
      <c r="AB268" s="182">
        <v>1068.75</v>
      </c>
      <c r="AC268" s="182">
        <v>673.75</v>
      </c>
      <c r="AD268" s="182">
        <v>342</v>
      </c>
      <c r="AE268" s="182">
        <v>13.33</v>
      </c>
      <c r="AF268" s="153">
        <f t="shared" si="226"/>
        <v>66.86545454545454</v>
      </c>
      <c r="AG268" s="153">
        <f t="shared" si="227"/>
        <v>-66.86545454545454</v>
      </c>
    </row>
    <row r="269" spans="1:33" x14ac:dyDescent="0.25">
      <c r="A269" s="144" t="s">
        <v>195</v>
      </c>
      <c r="B269" s="153">
        <v>622.42999999999995</v>
      </c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>
        <f t="shared" si="231"/>
        <v>622.42999999999995</v>
      </c>
      <c r="O269" s="153"/>
      <c r="P269" s="153">
        <f t="shared" si="232"/>
        <v>17399.370000000003</v>
      </c>
      <c r="Q269" s="153">
        <f t="shared" si="233"/>
        <v>23199.160000000003</v>
      </c>
      <c r="R269" s="153">
        <v>23199.160000000003</v>
      </c>
      <c r="S269" s="184">
        <f t="shared" si="210"/>
        <v>0</v>
      </c>
      <c r="T269" s="182">
        <v>2451.4299999999998</v>
      </c>
      <c r="U269" s="182">
        <v>2673.97</v>
      </c>
      <c r="V269" s="182">
        <v>2254.42</v>
      </c>
      <c r="W269" s="182">
        <v>0</v>
      </c>
      <c r="X269" s="182">
        <v>865.5</v>
      </c>
      <c r="Y269" s="182">
        <v>3530.1</v>
      </c>
      <c r="Z269" s="182">
        <v>2405.85</v>
      </c>
      <c r="AA269" s="182">
        <v>2695.65</v>
      </c>
      <c r="AB269" s="182">
        <v>1073.3599999999999</v>
      </c>
      <c r="AC269" s="182">
        <v>1240.24</v>
      </c>
      <c r="AD269" s="182">
        <v>1636.36</v>
      </c>
      <c r="AE269" s="182">
        <v>2372.2800000000002</v>
      </c>
      <c r="AF269" s="153">
        <f t="shared" si="226"/>
        <v>56.584545454545449</v>
      </c>
      <c r="AG269" s="153">
        <f t="shared" si="227"/>
        <v>-56.584545454545449</v>
      </c>
    </row>
    <row r="270" spans="1:33" hidden="1" x14ac:dyDescent="0.25">
      <c r="A270" s="144" t="s">
        <v>196</v>
      </c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>
        <f t="shared" si="231"/>
        <v>0</v>
      </c>
      <c r="O270" s="153"/>
      <c r="P270" s="153">
        <f t="shared" si="232"/>
        <v>0</v>
      </c>
      <c r="Q270" s="153">
        <f t="shared" si="233"/>
        <v>0</v>
      </c>
      <c r="R270" s="153">
        <v>0</v>
      </c>
      <c r="S270" s="184">
        <f t="shared" si="210"/>
        <v>0</v>
      </c>
      <c r="U270" s="182"/>
      <c r="V270" s="182"/>
      <c r="W270" s="182"/>
      <c r="X270" s="182"/>
      <c r="Y270" s="182"/>
      <c r="Z270" s="182"/>
      <c r="AA270" s="182"/>
      <c r="AB270" s="182"/>
      <c r="AC270" s="182"/>
      <c r="AD270" s="182"/>
      <c r="AE270" s="182"/>
      <c r="AF270" s="153">
        <f t="shared" si="226"/>
        <v>0</v>
      </c>
      <c r="AG270" s="153">
        <f t="shared" si="227"/>
        <v>0</v>
      </c>
    </row>
    <row r="271" spans="1:33" hidden="1" x14ac:dyDescent="0.25">
      <c r="A271" s="144" t="s">
        <v>427</v>
      </c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>
        <f t="shared" si="231"/>
        <v>0</v>
      </c>
      <c r="O271" s="153"/>
      <c r="P271" s="153">
        <f t="shared" si="232"/>
        <v>0</v>
      </c>
      <c r="Q271" s="153">
        <f t="shared" si="233"/>
        <v>0</v>
      </c>
      <c r="R271" s="153">
        <v>0</v>
      </c>
      <c r="S271" s="184">
        <f t="shared" si="210"/>
        <v>0</v>
      </c>
      <c r="U271" s="182"/>
      <c r="V271" s="182"/>
      <c r="W271" s="182"/>
      <c r="X271" s="182"/>
      <c r="Y271" s="182"/>
      <c r="Z271" s="182"/>
      <c r="AA271" s="182"/>
      <c r="AB271" s="182"/>
      <c r="AC271" s="182"/>
      <c r="AD271" s="182"/>
      <c r="AE271" s="182"/>
      <c r="AF271" s="153"/>
      <c r="AG271" s="153"/>
    </row>
    <row r="272" spans="1:33" x14ac:dyDescent="0.25">
      <c r="A272" s="144" t="s">
        <v>387</v>
      </c>
      <c r="B272" s="153">
        <v>7289.15</v>
      </c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153">
        <f t="shared" si="231"/>
        <v>7289.15</v>
      </c>
      <c r="O272" s="153"/>
      <c r="P272" s="153">
        <f t="shared" si="232"/>
        <v>60000</v>
      </c>
      <c r="Q272" s="153">
        <v>80000</v>
      </c>
      <c r="R272" s="153">
        <v>83381.570000000007</v>
      </c>
      <c r="S272" s="184">
        <f t="shared" ref="S272:S302" si="234">R272-SUM(T272:AE272)</f>
        <v>0</v>
      </c>
      <c r="T272" s="182">
        <v>3782</v>
      </c>
      <c r="U272" s="182">
        <v>3307.08</v>
      </c>
      <c r="V272" s="182">
        <v>1484.08</v>
      </c>
      <c r="W272" s="182">
        <v>3120.16</v>
      </c>
      <c r="X272" s="182">
        <v>1484.08</v>
      </c>
      <c r="Y272" s="182">
        <v>10055.51</v>
      </c>
      <c r="Z272" s="182">
        <v>11706.59</v>
      </c>
      <c r="AA272" s="182">
        <v>10222.51</v>
      </c>
      <c r="AB272" s="182">
        <v>-2159.27</v>
      </c>
      <c r="AC272" s="182">
        <v>9218.25</v>
      </c>
      <c r="AD272" s="182">
        <v>7869.73</v>
      </c>
      <c r="AE272" s="182">
        <v>23290.85</v>
      </c>
      <c r="AF272" s="153"/>
      <c r="AG272" s="153"/>
    </row>
    <row r="273" spans="1:33" x14ac:dyDescent="0.25">
      <c r="A273" s="144" t="s">
        <v>422</v>
      </c>
      <c r="B273" s="153">
        <v>19583.330000000002</v>
      </c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  <c r="M273" s="153"/>
      <c r="N273" s="153">
        <f t="shared" si="231"/>
        <v>19583.330000000002</v>
      </c>
      <c r="O273" s="153"/>
      <c r="P273" s="153">
        <f t="shared" si="232"/>
        <v>180000</v>
      </c>
      <c r="Q273" s="153">
        <f>(160000+45000+8500)+26500</f>
        <v>240000</v>
      </c>
      <c r="R273" s="153">
        <v>349999.99000000005</v>
      </c>
      <c r="S273" s="184">
        <f t="shared" si="234"/>
        <v>0</v>
      </c>
      <c r="T273" s="182">
        <v>44000</v>
      </c>
      <c r="U273" s="182">
        <v>25000</v>
      </c>
      <c r="V273" s="182">
        <v>25000</v>
      </c>
      <c r="W273" s="182">
        <v>25000</v>
      </c>
      <c r="X273" s="182">
        <v>25000</v>
      </c>
      <c r="Y273" s="182">
        <v>29428.57</v>
      </c>
      <c r="Z273" s="182">
        <v>29428.57</v>
      </c>
      <c r="AA273" s="182">
        <v>29428.57</v>
      </c>
      <c r="AB273" s="182">
        <v>29428.57</v>
      </c>
      <c r="AC273" s="182">
        <v>29428.57</v>
      </c>
      <c r="AD273" s="182">
        <v>29428.57</v>
      </c>
      <c r="AE273" s="182">
        <v>29428.57</v>
      </c>
      <c r="AF273" s="153"/>
      <c r="AG273" s="153"/>
    </row>
    <row r="274" spans="1:33" x14ac:dyDescent="0.25">
      <c r="A274" s="144" t="s">
        <v>388</v>
      </c>
      <c r="B274" s="153">
        <v>7500</v>
      </c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>
        <f t="shared" si="231"/>
        <v>7500</v>
      </c>
      <c r="O274" s="153"/>
      <c r="P274" s="153">
        <f t="shared" si="232"/>
        <v>67875</v>
      </c>
      <c r="Q274" s="153">
        <f t="shared" si="233"/>
        <v>90500</v>
      </c>
      <c r="R274" s="153">
        <v>90500</v>
      </c>
      <c r="S274" s="184">
        <f t="shared" si="234"/>
        <v>0</v>
      </c>
      <c r="T274" s="182">
        <v>7500</v>
      </c>
      <c r="U274" s="182">
        <v>7500</v>
      </c>
      <c r="V274" s="182">
        <v>8000</v>
      </c>
      <c r="W274" s="182">
        <v>7500</v>
      </c>
      <c r="X274" s="182">
        <v>7500</v>
      </c>
      <c r="Y274" s="182">
        <v>7500</v>
      </c>
      <c r="Z274" s="182">
        <v>7500</v>
      </c>
      <c r="AA274" s="182">
        <v>7500</v>
      </c>
      <c r="AB274" s="182">
        <v>7500</v>
      </c>
      <c r="AC274" s="182">
        <v>7500</v>
      </c>
      <c r="AD274" s="182">
        <v>7500</v>
      </c>
      <c r="AE274" s="182">
        <v>7500</v>
      </c>
      <c r="AF274" s="153"/>
      <c r="AG274" s="153"/>
    </row>
    <row r="275" spans="1:33" x14ac:dyDescent="0.25">
      <c r="A275" s="144" t="s">
        <v>423</v>
      </c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  <c r="M275" s="153"/>
      <c r="N275" s="153">
        <f t="shared" si="231"/>
        <v>0</v>
      </c>
      <c r="O275" s="153"/>
      <c r="P275" s="153">
        <f t="shared" si="232"/>
        <v>0</v>
      </c>
      <c r="Q275" s="153">
        <v>0</v>
      </c>
      <c r="R275" s="153">
        <v>33743.360000000001</v>
      </c>
      <c r="S275" s="184">
        <f t="shared" si="234"/>
        <v>0</v>
      </c>
      <c r="T275" s="182">
        <v>0</v>
      </c>
      <c r="U275" s="182">
        <v>1215</v>
      </c>
      <c r="V275" s="182">
        <v>0</v>
      </c>
      <c r="W275" s="182">
        <v>8257.5</v>
      </c>
      <c r="X275" s="182">
        <v>3982.5</v>
      </c>
      <c r="Y275" s="182">
        <v>6097.5</v>
      </c>
      <c r="Z275" s="182">
        <v>9922.5</v>
      </c>
      <c r="AA275" s="182">
        <v>4455</v>
      </c>
      <c r="AB275" s="182">
        <v>-8350.8799999999992</v>
      </c>
      <c r="AC275" s="182">
        <v>4630.2700000000004</v>
      </c>
      <c r="AD275" s="182">
        <v>424.12</v>
      </c>
      <c r="AE275" s="182">
        <v>3109.85</v>
      </c>
      <c r="AF275" s="153"/>
      <c r="AG275" s="153"/>
    </row>
    <row r="276" spans="1:33" x14ac:dyDescent="0.25">
      <c r="A276" s="144" t="s">
        <v>424</v>
      </c>
      <c r="B276" s="153">
        <v>110</v>
      </c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  <c r="N276" s="153">
        <f t="shared" si="231"/>
        <v>110</v>
      </c>
      <c r="O276" s="153"/>
      <c r="P276" s="153">
        <f t="shared" si="232"/>
        <v>2374.875</v>
      </c>
      <c r="Q276" s="153">
        <f t="shared" si="233"/>
        <v>3166.5</v>
      </c>
      <c r="R276" s="153">
        <v>3166.5</v>
      </c>
      <c r="S276" s="184">
        <f t="shared" si="234"/>
        <v>0</v>
      </c>
      <c r="T276" s="182">
        <v>109</v>
      </c>
      <c r="U276" s="182">
        <v>0</v>
      </c>
      <c r="V276" s="182">
        <v>0</v>
      </c>
      <c r="W276" s="182">
        <v>0</v>
      </c>
      <c r="X276" s="182">
        <v>0</v>
      </c>
      <c r="Y276" s="182">
        <v>0</v>
      </c>
      <c r="Z276" s="182">
        <v>161</v>
      </c>
      <c r="AA276" s="182">
        <v>300</v>
      </c>
      <c r="AB276" s="182">
        <v>1093</v>
      </c>
      <c r="AC276" s="182">
        <v>90</v>
      </c>
      <c r="AD276" s="182">
        <v>910</v>
      </c>
      <c r="AE276" s="182">
        <v>503.5</v>
      </c>
      <c r="AF276" s="153"/>
      <c r="AG276" s="153"/>
    </row>
    <row r="277" spans="1:33" hidden="1" x14ac:dyDescent="0.25">
      <c r="A277" s="144" t="s">
        <v>425</v>
      </c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>
        <f t="shared" si="231"/>
        <v>0</v>
      </c>
      <c r="O277" s="153"/>
      <c r="P277" s="153">
        <f t="shared" si="232"/>
        <v>290.03250000000003</v>
      </c>
      <c r="Q277" s="153">
        <f t="shared" si="233"/>
        <v>386.71</v>
      </c>
      <c r="R277" s="153">
        <v>386.71</v>
      </c>
      <c r="S277" s="184">
        <f t="shared" si="234"/>
        <v>0</v>
      </c>
      <c r="T277" s="182">
        <v>0</v>
      </c>
      <c r="U277" s="182">
        <v>0</v>
      </c>
      <c r="V277" s="182">
        <v>0</v>
      </c>
      <c r="W277" s="182">
        <v>0</v>
      </c>
      <c r="X277" s="182">
        <v>300</v>
      </c>
      <c r="Y277" s="182">
        <v>0</v>
      </c>
      <c r="Z277" s="182">
        <v>0</v>
      </c>
      <c r="AA277" s="182">
        <v>86.71</v>
      </c>
      <c r="AB277" s="182">
        <v>0</v>
      </c>
      <c r="AC277" s="182">
        <v>0</v>
      </c>
      <c r="AD277" s="182">
        <v>0</v>
      </c>
      <c r="AE277" s="182">
        <v>0</v>
      </c>
      <c r="AF277" s="153"/>
      <c r="AG277" s="153"/>
    </row>
    <row r="278" spans="1:33" x14ac:dyDescent="0.25">
      <c r="A278" s="144" t="s">
        <v>426</v>
      </c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>
        <f t="shared" si="231"/>
        <v>0</v>
      </c>
      <c r="O278" s="153"/>
      <c r="P278" s="153">
        <f t="shared" si="232"/>
        <v>430.14</v>
      </c>
      <c r="Q278" s="153">
        <f t="shared" si="233"/>
        <v>573.52</v>
      </c>
      <c r="R278" s="153">
        <v>573.52</v>
      </c>
      <c r="S278" s="184">
        <f t="shared" si="234"/>
        <v>0</v>
      </c>
      <c r="T278" s="182">
        <v>0</v>
      </c>
      <c r="U278" s="182">
        <v>0</v>
      </c>
      <c r="V278" s="182">
        <v>0</v>
      </c>
      <c r="W278" s="182">
        <v>0</v>
      </c>
      <c r="X278" s="182">
        <v>0</v>
      </c>
      <c r="Y278" s="182">
        <v>573.52</v>
      </c>
      <c r="Z278" s="182">
        <v>0</v>
      </c>
      <c r="AA278" s="182">
        <v>0</v>
      </c>
      <c r="AB278" s="182">
        <v>0</v>
      </c>
      <c r="AC278" s="182">
        <v>0</v>
      </c>
      <c r="AD278" s="182">
        <v>0</v>
      </c>
      <c r="AE278" s="182">
        <v>0</v>
      </c>
      <c r="AF278" s="153"/>
      <c r="AG278" s="153"/>
    </row>
    <row r="279" spans="1:33" x14ac:dyDescent="0.25">
      <c r="A279" s="144" t="s">
        <v>447</v>
      </c>
      <c r="B279" s="153">
        <v>2218.64</v>
      </c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>
        <f t="shared" si="231"/>
        <v>2218.64</v>
      </c>
      <c r="O279" s="153"/>
      <c r="P279" s="153">
        <f t="shared" si="232"/>
        <v>22984.755000000001</v>
      </c>
      <c r="Q279" s="153">
        <f t="shared" si="233"/>
        <v>30646.34</v>
      </c>
      <c r="R279" s="153">
        <v>30646.34</v>
      </c>
      <c r="S279" s="184">
        <f t="shared" si="234"/>
        <v>0</v>
      </c>
      <c r="U279" s="182"/>
      <c r="V279" s="182"/>
      <c r="W279" s="182"/>
      <c r="X279" s="182"/>
      <c r="Y279" s="182">
        <v>0</v>
      </c>
      <c r="Z279" s="182">
        <v>0</v>
      </c>
      <c r="AA279" s="182">
        <v>6518.25</v>
      </c>
      <c r="AB279" s="182">
        <v>1181.6199999999999</v>
      </c>
      <c r="AC279" s="182">
        <v>11590.85</v>
      </c>
      <c r="AD279" s="182">
        <v>7906.3</v>
      </c>
      <c r="AE279" s="182">
        <v>3449.32</v>
      </c>
      <c r="AF279" s="153"/>
      <c r="AG279" s="153"/>
    </row>
    <row r="280" spans="1:33" x14ac:dyDescent="0.25">
      <c r="A280" s="144" t="s">
        <v>589</v>
      </c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>
        <f t="shared" si="231"/>
        <v>0</v>
      </c>
      <c r="O280" s="153"/>
      <c r="P280" s="153"/>
      <c r="Q280" s="153"/>
      <c r="R280" s="153"/>
      <c r="S280" s="184"/>
      <c r="U280" s="182"/>
      <c r="V280" s="182"/>
      <c r="W280" s="182"/>
      <c r="X280" s="182"/>
      <c r="Y280" s="182"/>
      <c r="Z280" s="182"/>
      <c r="AA280" s="182"/>
      <c r="AB280" s="182"/>
      <c r="AC280" s="182"/>
      <c r="AD280" s="182"/>
      <c r="AE280" s="182"/>
      <c r="AF280" s="153"/>
      <c r="AG280" s="153"/>
    </row>
    <row r="281" spans="1:33" x14ac:dyDescent="0.25">
      <c r="A281" s="144" t="s">
        <v>592</v>
      </c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  <c r="M281" s="153"/>
      <c r="N281" s="153">
        <f t="shared" si="231"/>
        <v>0</v>
      </c>
      <c r="O281" s="153"/>
      <c r="P281" s="153"/>
      <c r="Q281" s="153"/>
      <c r="R281" s="153"/>
      <c r="S281" s="184"/>
      <c r="U281" s="182"/>
      <c r="V281" s="182"/>
      <c r="W281" s="182"/>
      <c r="X281" s="182"/>
      <c r="Y281" s="182"/>
      <c r="Z281" s="182"/>
      <c r="AA281" s="182"/>
      <c r="AB281" s="182"/>
      <c r="AC281" s="182"/>
      <c r="AD281" s="182"/>
      <c r="AE281" s="182"/>
      <c r="AF281" s="153"/>
      <c r="AG281" s="153"/>
    </row>
    <row r="282" spans="1:33" ht="15.75" thickBot="1" x14ac:dyDescent="0.3">
      <c r="A282" s="152" t="s">
        <v>197</v>
      </c>
      <c r="B282" s="171">
        <f>SUM(B249:B281)</f>
        <v>64605.359999999993</v>
      </c>
      <c r="C282" s="171">
        <f t="shared" ref="C282:P282" si="235">SUM(C249:C281)</f>
        <v>0</v>
      </c>
      <c r="D282" s="171">
        <f t="shared" si="235"/>
        <v>0</v>
      </c>
      <c r="E282" s="171">
        <f t="shared" si="235"/>
        <v>0</v>
      </c>
      <c r="F282" s="171">
        <f t="shared" si="235"/>
        <v>0</v>
      </c>
      <c r="G282" s="171">
        <f t="shared" si="235"/>
        <v>0</v>
      </c>
      <c r="H282" s="171">
        <f t="shared" si="235"/>
        <v>0</v>
      </c>
      <c r="I282" s="171">
        <f t="shared" si="235"/>
        <v>0</v>
      </c>
      <c r="J282" s="171">
        <f t="shared" si="235"/>
        <v>0</v>
      </c>
      <c r="K282" s="171">
        <f>SUM(K249:K281)</f>
        <v>0</v>
      </c>
      <c r="L282" s="171">
        <f t="shared" si="235"/>
        <v>0</v>
      </c>
      <c r="M282" s="171">
        <f t="shared" si="235"/>
        <v>0</v>
      </c>
      <c r="N282" s="171">
        <f>SUM(N249:N281)</f>
        <v>64605.359999999993</v>
      </c>
      <c r="O282" s="153"/>
      <c r="P282" s="171">
        <f t="shared" si="235"/>
        <v>553646.12624999997</v>
      </c>
      <c r="Q282" s="171">
        <f t="shared" ref="Q282" si="236">SUM(Q249:Q279)</f>
        <v>738194.83499999985</v>
      </c>
      <c r="R282" s="171">
        <v>946645.50999999989</v>
      </c>
      <c r="S282" s="184">
        <f t="shared" si="234"/>
        <v>0</v>
      </c>
      <c r="T282" s="196">
        <f t="shared" ref="T282:Y282" si="237">SUM(T249:T278)</f>
        <v>90442.829999999987</v>
      </c>
      <c r="U282" s="196">
        <f t="shared" si="237"/>
        <v>71415.44</v>
      </c>
      <c r="V282" s="196">
        <f t="shared" si="237"/>
        <v>72804.350000000006</v>
      </c>
      <c r="W282" s="196">
        <f t="shared" si="237"/>
        <v>77596.460000000006</v>
      </c>
      <c r="X282" s="196">
        <f t="shared" si="237"/>
        <v>76368.37</v>
      </c>
      <c r="Y282" s="196">
        <f t="shared" si="237"/>
        <v>87260.21</v>
      </c>
      <c r="Z282" s="196">
        <f t="shared" ref="Z282" si="238">SUM(Z249:Z277)</f>
        <v>100682.48999999999</v>
      </c>
      <c r="AA282" s="196">
        <f t="shared" ref="AA282:AE282" si="239">SUM(AA249:AA279)</f>
        <v>93622.96</v>
      </c>
      <c r="AB282" s="196">
        <f t="shared" si="239"/>
        <v>3254.6100000000069</v>
      </c>
      <c r="AC282" s="196">
        <f t="shared" si="239"/>
        <v>90818.64</v>
      </c>
      <c r="AD282" s="196">
        <f t="shared" si="239"/>
        <v>66473.72</v>
      </c>
      <c r="AE282" s="196">
        <f t="shared" si="239"/>
        <v>115905.43000000002</v>
      </c>
      <c r="AF282" s="171">
        <f t="shared" si="226"/>
        <v>5873.2145454545453</v>
      </c>
      <c r="AG282" s="171">
        <f t="shared" si="227"/>
        <v>-5873.2145454545453</v>
      </c>
    </row>
    <row r="283" spans="1:33" ht="15.75" thickTop="1" x14ac:dyDescent="0.25">
      <c r="C283" s="153"/>
      <c r="D283" s="153"/>
      <c r="E283" s="153"/>
      <c r="F283" s="153"/>
      <c r="G283" s="153"/>
      <c r="H283" s="153"/>
      <c r="I283" s="153"/>
      <c r="J283" s="153"/>
      <c r="K283" s="153">
        <f>K282-56247.02</f>
        <v>-56247.02</v>
      </c>
      <c r="L283" s="153"/>
      <c r="M283" s="153"/>
      <c r="N283" s="153"/>
      <c r="O283" s="153"/>
      <c r="P283" s="153"/>
      <c r="Q283" s="153"/>
      <c r="R283" s="153"/>
      <c r="S283" s="184">
        <f t="shared" si="234"/>
        <v>0</v>
      </c>
      <c r="U283" s="182"/>
      <c r="V283" s="182"/>
      <c r="W283" s="182"/>
      <c r="X283" s="182"/>
      <c r="Y283" s="182"/>
      <c r="Z283" s="182"/>
      <c r="AA283" s="182"/>
      <c r="AB283" s="182"/>
      <c r="AC283" s="182"/>
      <c r="AD283" s="182"/>
      <c r="AE283" s="182"/>
      <c r="AF283" s="153">
        <f t="shared" si="226"/>
        <v>0</v>
      </c>
      <c r="AG283" s="153">
        <f t="shared" si="227"/>
        <v>0</v>
      </c>
    </row>
    <row r="284" spans="1:33" x14ac:dyDescent="0.25">
      <c r="A284" s="152" t="s">
        <v>322</v>
      </c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84">
        <f t="shared" si="234"/>
        <v>0</v>
      </c>
      <c r="U284" s="182"/>
      <c r="V284" s="182"/>
      <c r="W284" s="182"/>
      <c r="X284" s="182"/>
      <c r="Y284" s="182"/>
      <c r="Z284" s="182"/>
      <c r="AA284" s="182"/>
      <c r="AB284" s="182"/>
      <c r="AC284" s="182"/>
      <c r="AD284" s="182"/>
      <c r="AE284" s="182"/>
      <c r="AF284" s="153">
        <f t="shared" si="226"/>
        <v>0</v>
      </c>
      <c r="AG284" s="153">
        <f t="shared" si="227"/>
        <v>0</v>
      </c>
    </row>
    <row r="285" spans="1:33" x14ac:dyDescent="0.25">
      <c r="A285" s="144" t="s">
        <v>198</v>
      </c>
      <c r="B285" s="153">
        <v>12500</v>
      </c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  <c r="M285" s="153"/>
      <c r="N285" s="153">
        <f t="shared" ref="N285:N297" si="240">SUM(B285:M285)</f>
        <v>12500</v>
      </c>
      <c r="O285" s="153"/>
      <c r="P285" s="153">
        <f>Q285/12*$P$3</f>
        <v>112500</v>
      </c>
      <c r="Q285" s="153">
        <f>R285</f>
        <v>150000</v>
      </c>
      <c r="R285" s="153">
        <v>150000</v>
      </c>
      <c r="S285" s="184">
        <f t="shared" si="234"/>
        <v>0</v>
      </c>
      <c r="T285" s="182">
        <v>12500</v>
      </c>
      <c r="U285" s="182">
        <v>12500</v>
      </c>
      <c r="V285" s="182">
        <v>12500</v>
      </c>
      <c r="W285" s="182">
        <v>12500</v>
      </c>
      <c r="X285" s="182">
        <v>12500</v>
      </c>
      <c r="Y285" s="182">
        <v>12500</v>
      </c>
      <c r="Z285" s="182">
        <v>12500</v>
      </c>
      <c r="AA285" s="182">
        <v>12500</v>
      </c>
      <c r="AB285" s="182">
        <v>12500</v>
      </c>
      <c r="AC285" s="182">
        <v>12500</v>
      </c>
      <c r="AD285" s="182">
        <v>12500</v>
      </c>
      <c r="AE285" s="182">
        <v>12500</v>
      </c>
      <c r="AF285" s="153">
        <f t="shared" si="226"/>
        <v>1136.3636363636363</v>
      </c>
      <c r="AG285" s="153">
        <f t="shared" si="227"/>
        <v>-1136.3636363636363</v>
      </c>
    </row>
    <row r="286" spans="1:33" hidden="1" x14ac:dyDescent="0.25">
      <c r="A286" s="144" t="s">
        <v>199</v>
      </c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>
        <f t="shared" si="240"/>
        <v>0</v>
      </c>
      <c r="O286" s="153"/>
      <c r="P286" s="153">
        <f t="shared" ref="P286:P297" si="241">Q286/12*$P$3</f>
        <v>0</v>
      </c>
      <c r="Q286" s="153">
        <f t="shared" ref="Q286:Q297" si="242">R286</f>
        <v>0</v>
      </c>
      <c r="R286" s="153">
        <v>0</v>
      </c>
      <c r="S286" s="184">
        <f t="shared" si="234"/>
        <v>0</v>
      </c>
      <c r="T286" s="182">
        <v>34022.5</v>
      </c>
      <c r="U286" s="182">
        <v>34265</v>
      </c>
      <c r="V286" s="182">
        <v>34451.25</v>
      </c>
      <c r="W286" s="182">
        <v>34845</v>
      </c>
      <c r="X286" s="182">
        <v>34565</v>
      </c>
      <c r="Y286" s="182">
        <v>34906.25</v>
      </c>
      <c r="Z286" s="182">
        <v>36258.75</v>
      </c>
      <c r="AA286" s="182">
        <v>35423.75</v>
      </c>
      <c r="AB286" s="182">
        <v>-278737.5</v>
      </c>
      <c r="AC286" s="182">
        <v>0</v>
      </c>
      <c r="AD286" s="182">
        <v>0</v>
      </c>
      <c r="AE286" s="182">
        <v>0</v>
      </c>
      <c r="AF286" s="153">
        <f t="shared" si="226"/>
        <v>0</v>
      </c>
      <c r="AG286" s="153">
        <f t="shared" si="227"/>
        <v>0</v>
      </c>
    </row>
    <row r="287" spans="1:33" x14ac:dyDescent="0.25">
      <c r="A287" s="144" t="s">
        <v>389</v>
      </c>
      <c r="B287" s="153">
        <v>2821.87</v>
      </c>
      <c r="C287" s="153"/>
      <c r="D287" s="153"/>
      <c r="E287" s="153"/>
      <c r="F287" s="153"/>
      <c r="G287" s="153"/>
      <c r="H287" s="153"/>
      <c r="I287" s="153"/>
      <c r="J287" s="153"/>
      <c r="K287" s="153"/>
      <c r="L287" s="153"/>
      <c r="M287" s="153"/>
      <c r="N287" s="153">
        <f t="shared" si="240"/>
        <v>2821.87</v>
      </c>
      <c r="O287" s="153"/>
      <c r="P287" s="153">
        <f t="shared" si="241"/>
        <v>43648.845000000001</v>
      </c>
      <c r="Q287" s="153">
        <f t="shared" si="242"/>
        <v>58198.46</v>
      </c>
      <c r="R287" s="153">
        <v>58198.46</v>
      </c>
      <c r="S287" s="184">
        <f t="shared" si="234"/>
        <v>0</v>
      </c>
      <c r="T287" s="182">
        <v>0</v>
      </c>
      <c r="U287" s="182">
        <v>0</v>
      </c>
      <c r="V287" s="182">
        <v>0</v>
      </c>
      <c r="W287" s="182">
        <v>0</v>
      </c>
      <c r="X287" s="182">
        <v>31752.38</v>
      </c>
      <c r="Y287" s="182">
        <v>5625.56</v>
      </c>
      <c r="Z287" s="182">
        <v>4645.78</v>
      </c>
      <c r="AA287" s="182">
        <v>3846.94</v>
      </c>
      <c r="AB287" s="182">
        <v>3326.21</v>
      </c>
      <c r="AC287" s="182">
        <v>3245.67</v>
      </c>
      <c r="AD287" s="182">
        <v>3067.11</v>
      </c>
      <c r="AE287" s="182">
        <v>2688.81</v>
      </c>
      <c r="AF287" s="153"/>
      <c r="AG287" s="153"/>
    </row>
    <row r="288" spans="1:33" x14ac:dyDescent="0.25">
      <c r="A288" s="144" t="s">
        <v>200</v>
      </c>
      <c r="B288" s="153">
        <v>9456</v>
      </c>
      <c r="C288" s="153"/>
      <c r="D288" s="153"/>
      <c r="E288" s="153"/>
      <c r="F288" s="153"/>
      <c r="G288" s="153"/>
      <c r="H288" s="153"/>
      <c r="I288" s="153"/>
      <c r="J288" s="153"/>
      <c r="K288" s="153"/>
      <c r="L288" s="153"/>
      <c r="M288" s="153"/>
      <c r="N288" s="153">
        <f t="shared" si="240"/>
        <v>9456</v>
      </c>
      <c r="O288" s="153"/>
      <c r="P288" s="153">
        <f t="shared" si="241"/>
        <v>143988.78749999998</v>
      </c>
      <c r="Q288" s="153">
        <f t="shared" si="242"/>
        <v>191985.05</v>
      </c>
      <c r="R288" s="153">
        <v>191985.05</v>
      </c>
      <c r="S288" s="184">
        <f t="shared" si="234"/>
        <v>0</v>
      </c>
      <c r="T288" s="182">
        <v>6585.5</v>
      </c>
      <c r="U288" s="182">
        <v>10400.5</v>
      </c>
      <c r="V288" s="182">
        <v>6846.5</v>
      </c>
      <c r="W288" s="182">
        <v>18155</v>
      </c>
      <c r="X288" s="182">
        <v>23942.5</v>
      </c>
      <c r="Y288" s="182">
        <v>23535</v>
      </c>
      <c r="Z288" s="182">
        <v>27107.66</v>
      </c>
      <c r="AA288" s="182">
        <v>22399.58</v>
      </c>
      <c r="AB288" s="182">
        <v>15252.15</v>
      </c>
      <c r="AC288" s="182">
        <v>19396.66</v>
      </c>
      <c r="AD288" s="182">
        <v>8388.56</v>
      </c>
      <c r="AE288" s="182">
        <v>9975.44</v>
      </c>
      <c r="AF288" s="153"/>
      <c r="AG288" s="153"/>
    </row>
    <row r="289" spans="1:33" x14ac:dyDescent="0.25">
      <c r="A289" s="144" t="s">
        <v>201</v>
      </c>
      <c r="B289" s="153">
        <v>15776.3</v>
      </c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  <c r="M289" s="153"/>
      <c r="N289" s="153">
        <f t="shared" si="240"/>
        <v>15776.3</v>
      </c>
      <c r="O289" s="153"/>
      <c r="P289" s="153">
        <f t="shared" si="241"/>
        <v>216176.70749999999</v>
      </c>
      <c r="Q289" s="153">
        <f t="shared" si="242"/>
        <v>288235.61</v>
      </c>
      <c r="R289" s="153">
        <v>288235.61</v>
      </c>
      <c r="S289" s="184">
        <f t="shared" si="234"/>
        <v>0</v>
      </c>
      <c r="T289" s="182">
        <v>41021.9</v>
      </c>
      <c r="U289" s="182">
        <v>14206.22</v>
      </c>
      <c r="V289" s="182">
        <v>13266.54</v>
      </c>
      <c r="W289" s="182">
        <v>32043.16</v>
      </c>
      <c r="X289" s="182">
        <v>18002.150000000001</v>
      </c>
      <c r="Y289" s="182">
        <v>18622.22</v>
      </c>
      <c r="Z289" s="182">
        <v>12562.67</v>
      </c>
      <c r="AA289" s="182">
        <v>3538.9</v>
      </c>
      <c r="AB289" s="182">
        <v>30143.42</v>
      </c>
      <c r="AC289" s="182">
        <v>22129.23</v>
      </c>
      <c r="AD289" s="182">
        <v>34960.17</v>
      </c>
      <c r="AE289" s="182">
        <v>47739.03</v>
      </c>
      <c r="AF289" s="153">
        <f t="shared" ref="AF289:AF302" si="243">(N289-M289)/11</f>
        <v>1434.2090909090909</v>
      </c>
      <c r="AG289" s="153">
        <f t="shared" ref="AG289:AG302" si="244">M289-AF289</f>
        <v>-1434.2090909090909</v>
      </c>
    </row>
    <row r="290" spans="1:33" x14ac:dyDescent="0.25">
      <c r="A290" s="144" t="s">
        <v>202</v>
      </c>
      <c r="B290" s="153">
        <v>-39467.980000000003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>
        <f t="shared" si="240"/>
        <v>-39467.980000000003</v>
      </c>
      <c r="O290" s="153"/>
      <c r="P290" s="153">
        <f t="shared" si="241"/>
        <v>-137722.67249999999</v>
      </c>
      <c r="Q290" s="153">
        <f t="shared" si="242"/>
        <v>-183630.22999999998</v>
      </c>
      <c r="R290" s="153">
        <v>-183630.22999999998</v>
      </c>
      <c r="S290" s="184">
        <f t="shared" si="234"/>
        <v>0</v>
      </c>
      <c r="T290" s="182">
        <v>-12832.51</v>
      </c>
      <c r="U290" s="182">
        <v>-10798.17</v>
      </c>
      <c r="V290" s="182">
        <v>-12464.55</v>
      </c>
      <c r="W290" s="182">
        <v>-15499.01</v>
      </c>
      <c r="X290" s="182">
        <v>-24863.5</v>
      </c>
      <c r="Y290" s="182">
        <v>-16320.72</v>
      </c>
      <c r="Z290" s="182">
        <v>-14231.08</v>
      </c>
      <c r="AA290" s="182">
        <v>-15651.5</v>
      </c>
      <c r="AB290" s="182">
        <v>-15109.51</v>
      </c>
      <c r="AC290" s="182">
        <v>-16423.150000000001</v>
      </c>
      <c r="AD290" s="182">
        <v>-14395.92</v>
      </c>
      <c r="AE290" s="182">
        <v>-15040.61</v>
      </c>
      <c r="AF290" s="153">
        <f t="shared" si="243"/>
        <v>-3587.9981818181823</v>
      </c>
      <c r="AG290" s="153">
        <f t="shared" si="244"/>
        <v>3587.9981818181823</v>
      </c>
    </row>
    <row r="291" spans="1:33" x14ac:dyDescent="0.25">
      <c r="A291" s="144" t="s">
        <v>596</v>
      </c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  <c r="M291" s="153"/>
      <c r="N291" s="153">
        <f t="shared" si="240"/>
        <v>0</v>
      </c>
      <c r="O291" s="153"/>
      <c r="P291" s="153"/>
      <c r="Q291" s="153"/>
      <c r="R291" s="153"/>
      <c r="S291" s="184"/>
      <c r="U291" s="182"/>
      <c r="V291" s="182"/>
      <c r="W291" s="182"/>
      <c r="X291" s="182"/>
      <c r="Y291" s="182"/>
      <c r="Z291" s="182"/>
      <c r="AA291" s="182"/>
      <c r="AB291" s="182"/>
      <c r="AC291" s="182"/>
      <c r="AD291" s="182"/>
      <c r="AE291" s="182"/>
      <c r="AF291" s="153"/>
      <c r="AG291" s="153"/>
    </row>
    <row r="292" spans="1:33" x14ac:dyDescent="0.25">
      <c r="A292" s="144" t="s">
        <v>390</v>
      </c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153">
        <f t="shared" si="240"/>
        <v>0</v>
      </c>
      <c r="O292" s="153"/>
      <c r="P292" s="153">
        <f t="shared" si="241"/>
        <v>710.44499999999994</v>
      </c>
      <c r="Q292" s="153">
        <f t="shared" si="242"/>
        <v>947.26</v>
      </c>
      <c r="R292" s="153">
        <v>947.26</v>
      </c>
      <c r="S292" s="184">
        <f t="shared" si="234"/>
        <v>0</v>
      </c>
      <c r="T292" s="182">
        <v>0</v>
      </c>
      <c r="U292" s="182">
        <v>0</v>
      </c>
      <c r="V292" s="182">
        <v>0.1</v>
      </c>
      <c r="W292" s="182">
        <v>0</v>
      </c>
      <c r="X292" s="182">
        <v>0</v>
      </c>
      <c r="Y292" s="182">
        <v>49.5</v>
      </c>
      <c r="Z292" s="182">
        <v>0</v>
      </c>
      <c r="AA292" s="182">
        <v>0</v>
      </c>
      <c r="AB292" s="182">
        <v>0</v>
      </c>
      <c r="AC292" s="182">
        <v>0</v>
      </c>
      <c r="AD292" s="182">
        <v>0</v>
      </c>
      <c r="AE292" s="182">
        <v>897.66</v>
      </c>
      <c r="AF292" s="153">
        <f t="shared" si="243"/>
        <v>0</v>
      </c>
      <c r="AG292" s="153">
        <f t="shared" si="244"/>
        <v>0</v>
      </c>
    </row>
    <row r="293" spans="1:33" x14ac:dyDescent="0.25">
      <c r="A293" s="144" t="s">
        <v>391</v>
      </c>
      <c r="B293" s="153">
        <v>20720.71</v>
      </c>
      <c r="C293" s="153"/>
      <c r="D293" s="153"/>
      <c r="E293" s="153"/>
      <c r="F293" s="153"/>
      <c r="G293" s="153"/>
      <c r="H293" s="153"/>
      <c r="I293" s="153"/>
      <c r="J293" s="153"/>
      <c r="K293" s="153"/>
      <c r="L293" s="153"/>
      <c r="M293" s="153"/>
      <c r="N293" s="153">
        <f t="shared" si="240"/>
        <v>20720.71</v>
      </c>
      <c r="O293" s="153"/>
      <c r="P293" s="153">
        <f t="shared" si="241"/>
        <v>52375.18499999999</v>
      </c>
      <c r="Q293" s="153">
        <f t="shared" si="242"/>
        <v>69833.579999999987</v>
      </c>
      <c r="R293" s="153">
        <v>69833.579999999987</v>
      </c>
      <c r="S293" s="184">
        <f t="shared" si="234"/>
        <v>0</v>
      </c>
      <c r="T293" s="182">
        <v>0</v>
      </c>
      <c r="U293" s="182">
        <v>0</v>
      </c>
      <c r="V293" s="182">
        <v>0</v>
      </c>
      <c r="W293" s="182">
        <v>0</v>
      </c>
      <c r="X293" s="182">
        <v>2087.77</v>
      </c>
      <c r="Y293" s="182">
        <v>2250.1799999999998</v>
      </c>
      <c r="Z293" s="182">
        <v>1925.15</v>
      </c>
      <c r="AA293" s="182">
        <v>9930.23</v>
      </c>
      <c r="AB293" s="182">
        <v>9676.48</v>
      </c>
      <c r="AC293" s="182">
        <v>11787.56</v>
      </c>
      <c r="AD293" s="182">
        <v>14682.25</v>
      </c>
      <c r="AE293" s="182">
        <v>17493.96</v>
      </c>
      <c r="AF293" s="153"/>
      <c r="AG293" s="153"/>
    </row>
    <row r="294" spans="1:33" x14ac:dyDescent="0.25">
      <c r="A294" s="144" t="s">
        <v>429</v>
      </c>
      <c r="B294" s="153">
        <v>819.34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>
        <f t="shared" si="240"/>
        <v>819.34</v>
      </c>
      <c r="O294" s="153"/>
      <c r="P294" s="153">
        <f t="shared" si="241"/>
        <v>5425.5</v>
      </c>
      <c r="Q294" s="153">
        <f t="shared" si="242"/>
        <v>7234</v>
      </c>
      <c r="R294" s="153">
        <v>7234</v>
      </c>
      <c r="S294" s="184">
        <f t="shared" si="234"/>
        <v>0</v>
      </c>
      <c r="T294" s="182">
        <v>0</v>
      </c>
      <c r="U294" s="182">
        <v>0</v>
      </c>
      <c r="V294" s="182">
        <v>0</v>
      </c>
      <c r="W294" s="182">
        <v>0</v>
      </c>
      <c r="X294" s="182">
        <v>0</v>
      </c>
      <c r="Y294" s="182">
        <v>944.87</v>
      </c>
      <c r="Z294" s="182">
        <v>896.84</v>
      </c>
      <c r="AA294" s="182">
        <v>1815.02</v>
      </c>
      <c r="AB294" s="182">
        <v>1378.43</v>
      </c>
      <c r="AC294" s="182">
        <v>1346.44</v>
      </c>
      <c r="AD294" s="182">
        <v>214.73</v>
      </c>
      <c r="AE294" s="182">
        <v>637.66999999999996</v>
      </c>
      <c r="AF294" s="153"/>
      <c r="AG294" s="153"/>
    </row>
    <row r="295" spans="1:33" x14ac:dyDescent="0.25">
      <c r="A295" s="144" t="s">
        <v>428</v>
      </c>
      <c r="B295" s="153">
        <v>1033.1300000000001</v>
      </c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>
        <f t="shared" si="240"/>
        <v>1033.1300000000001</v>
      </c>
      <c r="O295" s="153"/>
      <c r="P295" s="153">
        <f t="shared" si="241"/>
        <v>22591.245000000003</v>
      </c>
      <c r="Q295" s="153">
        <f t="shared" si="242"/>
        <v>30121.660000000003</v>
      </c>
      <c r="R295" s="153">
        <v>30121.660000000003</v>
      </c>
      <c r="S295" s="184">
        <f t="shared" si="234"/>
        <v>0</v>
      </c>
      <c r="T295" s="182">
        <v>0</v>
      </c>
      <c r="U295" s="182">
        <v>0</v>
      </c>
      <c r="V295" s="182">
        <v>0</v>
      </c>
      <c r="W295" s="182">
        <v>0</v>
      </c>
      <c r="X295" s="182">
        <v>7848.21</v>
      </c>
      <c r="Y295" s="182">
        <v>7891.39</v>
      </c>
      <c r="Z295" s="182">
        <v>2345.38</v>
      </c>
      <c r="AA295" s="182">
        <v>2213.81</v>
      </c>
      <c r="AB295" s="182">
        <v>1785.24</v>
      </c>
      <c r="AC295" s="182">
        <v>2122.1999999999998</v>
      </c>
      <c r="AD295" s="182">
        <v>2685.54</v>
      </c>
      <c r="AE295" s="182">
        <v>3229.89</v>
      </c>
      <c r="AF295" s="153"/>
      <c r="AG295" s="153"/>
    </row>
    <row r="296" spans="1:33" x14ac:dyDescent="0.25">
      <c r="A296" s="144" t="s">
        <v>392</v>
      </c>
      <c r="B296" s="153">
        <v>17978.47</v>
      </c>
      <c r="C296" s="153"/>
      <c r="D296" s="153"/>
      <c r="E296" s="153"/>
      <c r="F296" s="153"/>
      <c r="G296" s="153"/>
      <c r="H296" s="153"/>
      <c r="I296" s="153"/>
      <c r="J296" s="153"/>
      <c r="K296" s="153"/>
      <c r="L296" s="153"/>
      <c r="M296" s="153"/>
      <c r="N296" s="153">
        <f t="shared" si="240"/>
        <v>17978.47</v>
      </c>
      <c r="O296" s="153"/>
      <c r="P296" s="153">
        <f t="shared" si="241"/>
        <v>45668.745000000003</v>
      </c>
      <c r="Q296" s="153">
        <f t="shared" si="242"/>
        <v>60891.66</v>
      </c>
      <c r="R296" s="153">
        <v>60891.66</v>
      </c>
      <c r="S296" s="184">
        <f t="shared" si="234"/>
        <v>0</v>
      </c>
      <c r="T296" s="182">
        <v>0</v>
      </c>
      <c r="U296" s="182">
        <v>0</v>
      </c>
      <c r="V296" s="182">
        <v>0</v>
      </c>
      <c r="W296" s="182">
        <v>0</v>
      </c>
      <c r="X296" s="182">
        <v>0</v>
      </c>
      <c r="Y296" s="182">
        <v>2495.6</v>
      </c>
      <c r="Z296" s="182">
        <v>7458.78</v>
      </c>
      <c r="AA296" s="182">
        <v>7350.25</v>
      </c>
      <c r="AB296" s="182">
        <v>8126.37</v>
      </c>
      <c r="AC296" s="182">
        <v>10558.14</v>
      </c>
      <c r="AD296" s="182">
        <v>12910.5</v>
      </c>
      <c r="AE296" s="182">
        <v>11992.02</v>
      </c>
      <c r="AF296" s="153"/>
      <c r="AG296" s="153"/>
    </row>
    <row r="297" spans="1:33" x14ac:dyDescent="0.25">
      <c r="A297" s="144" t="s">
        <v>440</v>
      </c>
      <c r="C297" s="153"/>
      <c r="D297" s="153"/>
      <c r="E297" s="153"/>
      <c r="F297" s="153"/>
      <c r="G297" s="153"/>
      <c r="H297" s="153"/>
      <c r="I297" s="153"/>
      <c r="J297" s="153"/>
      <c r="K297" s="153"/>
      <c r="L297" s="153"/>
      <c r="M297" s="153"/>
      <c r="N297" s="153">
        <f t="shared" si="240"/>
        <v>0</v>
      </c>
      <c r="O297" s="153"/>
      <c r="P297" s="153">
        <f t="shared" si="241"/>
        <v>12741.21</v>
      </c>
      <c r="Q297" s="153">
        <f t="shared" si="242"/>
        <v>16988.28</v>
      </c>
      <c r="R297" s="153">
        <v>16988.28</v>
      </c>
      <c r="S297" s="184">
        <f t="shared" si="234"/>
        <v>0</v>
      </c>
      <c r="T297" s="182">
        <v>0</v>
      </c>
      <c r="U297" s="182">
        <v>0</v>
      </c>
      <c r="V297" s="182">
        <v>0</v>
      </c>
      <c r="W297" s="182">
        <v>0</v>
      </c>
      <c r="X297" s="182">
        <v>0</v>
      </c>
      <c r="Y297" s="182">
        <v>0</v>
      </c>
      <c r="Z297" s="182">
        <v>3098.28</v>
      </c>
      <c r="AA297" s="182">
        <v>0</v>
      </c>
      <c r="AB297" s="182">
        <v>0</v>
      </c>
      <c r="AC297" s="182">
        <v>0</v>
      </c>
      <c r="AD297" s="182">
        <v>0</v>
      </c>
      <c r="AE297" s="182">
        <v>13890</v>
      </c>
      <c r="AF297" s="153"/>
      <c r="AG297" s="153"/>
    </row>
    <row r="298" spans="1:33" ht="15.75" thickBot="1" x14ac:dyDescent="0.3">
      <c r="A298" s="152" t="s">
        <v>203</v>
      </c>
      <c r="B298" s="173">
        <f>SUM(B285:B297)</f>
        <v>41637.839999999997</v>
      </c>
      <c r="C298" s="173">
        <f t="shared" ref="C298:G298" si="245">SUM(C285:C297)</f>
        <v>0</v>
      </c>
      <c r="D298" s="173">
        <f t="shared" si="245"/>
        <v>0</v>
      </c>
      <c r="E298" s="173">
        <f t="shared" si="245"/>
        <v>0</v>
      </c>
      <c r="F298" s="173">
        <f t="shared" si="245"/>
        <v>0</v>
      </c>
      <c r="G298" s="173">
        <f t="shared" si="245"/>
        <v>0</v>
      </c>
      <c r="H298" s="173">
        <f t="shared" ref="H298" si="246">SUM(H285:H297)</f>
        <v>0</v>
      </c>
      <c r="I298" s="173">
        <f t="shared" ref="I298:Q298" si="247">SUM(I285:I297)</f>
        <v>0</v>
      </c>
      <c r="J298" s="173">
        <f t="shared" si="247"/>
        <v>0</v>
      </c>
      <c r="K298" s="173">
        <f t="shared" si="247"/>
        <v>0</v>
      </c>
      <c r="L298" s="173">
        <f t="shared" si="247"/>
        <v>0</v>
      </c>
      <c r="M298" s="173">
        <f t="shared" si="247"/>
        <v>0</v>
      </c>
      <c r="N298" s="173">
        <f t="shared" si="247"/>
        <v>41637.839999999997</v>
      </c>
      <c r="O298" s="173"/>
      <c r="P298" s="173">
        <f>SUM(P285:P297)</f>
        <v>518103.9975</v>
      </c>
      <c r="Q298" s="173">
        <f t="shared" si="247"/>
        <v>690805.33000000007</v>
      </c>
      <c r="R298" s="173">
        <v>690805.33000000007</v>
      </c>
      <c r="S298" s="184">
        <f t="shared" si="234"/>
        <v>0</v>
      </c>
      <c r="T298" s="199">
        <f t="shared" ref="T298:Y298" si="248">SUM(T285:T297)</f>
        <v>81297.39</v>
      </c>
      <c r="U298" s="199">
        <f t="shared" si="248"/>
        <v>60573.55</v>
      </c>
      <c r="V298" s="199">
        <f t="shared" si="248"/>
        <v>54599.840000000004</v>
      </c>
      <c r="W298" s="199">
        <f t="shared" si="248"/>
        <v>82044.150000000009</v>
      </c>
      <c r="X298" s="199">
        <f t="shared" si="248"/>
        <v>105834.51000000001</v>
      </c>
      <c r="Y298" s="199">
        <f t="shared" si="248"/>
        <v>92499.849999999991</v>
      </c>
      <c r="Z298" s="199">
        <f t="shared" ref="Z298:AE298" si="249">SUM(Z285:Z297)</f>
        <v>94568.209999999992</v>
      </c>
      <c r="AA298" s="199">
        <f t="shared" si="249"/>
        <v>83366.98</v>
      </c>
      <c r="AB298" s="199">
        <f t="shared" si="249"/>
        <v>-211658.71</v>
      </c>
      <c r="AC298" s="199">
        <f t="shared" si="249"/>
        <v>66662.75</v>
      </c>
      <c r="AD298" s="199">
        <f t="shared" si="249"/>
        <v>75012.94</v>
      </c>
      <c r="AE298" s="199">
        <f t="shared" si="249"/>
        <v>106003.87000000001</v>
      </c>
      <c r="AF298" s="173">
        <f t="shared" si="243"/>
        <v>3785.2581818181816</v>
      </c>
      <c r="AG298" s="173">
        <f t="shared" si="244"/>
        <v>-3785.2581818181816</v>
      </c>
    </row>
    <row r="299" spans="1:33" ht="15.75" thickTop="1" x14ac:dyDescent="0.25">
      <c r="S299" s="184">
        <f t="shared" si="234"/>
        <v>0</v>
      </c>
      <c r="AF299" s="144">
        <f t="shared" si="243"/>
        <v>0</v>
      </c>
      <c r="AG299" s="144">
        <f t="shared" si="244"/>
        <v>0</v>
      </c>
    </row>
    <row r="300" spans="1:33" s="152" customFormat="1" ht="15.75" thickBot="1" x14ac:dyDescent="0.3">
      <c r="A300" s="152" t="s">
        <v>204</v>
      </c>
      <c r="B300" s="171">
        <f t="shared" ref="B300:G300" si="250">B206-B222-B247-B282+B298</f>
        <v>586808.41999994987</v>
      </c>
      <c r="C300" s="171">
        <f t="shared" si="250"/>
        <v>0</v>
      </c>
      <c r="D300" s="171">
        <f t="shared" si="250"/>
        <v>0</v>
      </c>
      <c r="E300" s="171">
        <f>E206-E222-E247-E282+E298</f>
        <v>0</v>
      </c>
      <c r="F300" s="171">
        <f t="shared" si="250"/>
        <v>0</v>
      </c>
      <c r="G300" s="171">
        <f t="shared" si="250"/>
        <v>0</v>
      </c>
      <c r="H300" s="171">
        <f t="shared" ref="H300" si="251">H206-H222-H247-H282+H298</f>
        <v>0</v>
      </c>
      <c r="I300" s="171">
        <f t="shared" ref="I300:Q300" si="252">I206-I222-I247-I282+I298</f>
        <v>0</v>
      </c>
      <c r="J300" s="171">
        <f t="shared" si="252"/>
        <v>0</v>
      </c>
      <c r="K300" s="171">
        <f t="shared" si="252"/>
        <v>0</v>
      </c>
      <c r="L300" s="171">
        <f t="shared" si="252"/>
        <v>0</v>
      </c>
      <c r="M300" s="171">
        <f>M206-M222-M247-M282+M298</f>
        <v>0</v>
      </c>
      <c r="N300" s="171">
        <f>N206-N222-N247-N282+N298</f>
        <v>586808.41999994987</v>
      </c>
      <c r="O300" s="171"/>
      <c r="P300" s="171">
        <f t="shared" si="252"/>
        <v>-329599.51875167812</v>
      </c>
      <c r="Q300" s="171">
        <f t="shared" si="252"/>
        <v>-439466.02499683434</v>
      </c>
      <c r="R300" s="171">
        <v>-570607.76000017207</v>
      </c>
      <c r="S300" s="184">
        <f t="shared" si="234"/>
        <v>0</v>
      </c>
      <c r="T300" s="196">
        <f t="shared" ref="T300:AD300" si="253">T206-T222-T247-T282+T298</f>
        <v>65733.430000085864</v>
      </c>
      <c r="U300" s="196">
        <f t="shared" si="253"/>
        <v>62568.989999875965</v>
      </c>
      <c r="V300" s="196">
        <f t="shared" si="253"/>
        <v>190852.60999999283</v>
      </c>
      <c r="W300" s="196">
        <f t="shared" si="253"/>
        <v>-70572.119999890288</v>
      </c>
      <c r="X300" s="196">
        <f t="shared" si="253"/>
        <v>-203743.00000022177</v>
      </c>
      <c r="Y300" s="196">
        <f t="shared" si="253"/>
        <v>-88358.510000069145</v>
      </c>
      <c r="Z300" s="196">
        <f t="shared" si="253"/>
        <v>-303625.04000008584</v>
      </c>
      <c r="AA300" s="196">
        <f t="shared" si="253"/>
        <v>-208857.15000011685</v>
      </c>
      <c r="AB300" s="196">
        <f t="shared" si="253"/>
        <v>624726.2899999572</v>
      </c>
      <c r="AC300" s="196">
        <f t="shared" si="253"/>
        <v>-30452.230000001189</v>
      </c>
      <c r="AD300" s="196">
        <f t="shared" si="253"/>
        <v>-220404.46999992366</v>
      </c>
      <c r="AE300" s="196">
        <f>AE206-AE222-AE247-AE282+AE298</f>
        <v>-388476.55999977468</v>
      </c>
      <c r="AF300" s="171">
        <f t="shared" si="243"/>
        <v>53346.219999995439</v>
      </c>
      <c r="AG300" s="171">
        <f t="shared" si="244"/>
        <v>-53346.219999995439</v>
      </c>
    </row>
    <row r="301" spans="1:33" ht="15.75" thickTop="1" x14ac:dyDescent="0.25">
      <c r="S301" s="184">
        <f t="shared" si="234"/>
        <v>0</v>
      </c>
      <c r="AF301" s="144">
        <f t="shared" si="243"/>
        <v>0</v>
      </c>
      <c r="AG301" s="144">
        <f t="shared" si="244"/>
        <v>0</v>
      </c>
    </row>
    <row r="302" spans="1:33" x14ac:dyDescent="0.25">
      <c r="B302" s="174">
        <f>+B80-B300</f>
        <v>0</v>
      </c>
      <c r="C302" s="174">
        <f t="shared" ref="B302:G302" si="254">+C80-C300</f>
        <v>0</v>
      </c>
      <c r="D302" s="174">
        <f t="shared" si="254"/>
        <v>0</v>
      </c>
      <c r="E302" s="174">
        <f t="shared" si="254"/>
        <v>0</v>
      </c>
      <c r="F302" s="174">
        <f t="shared" si="254"/>
        <v>0</v>
      </c>
      <c r="G302" s="174">
        <f t="shared" si="254"/>
        <v>0</v>
      </c>
      <c r="H302" s="174">
        <f t="shared" ref="H302" si="255">+H80-H300</f>
        <v>0</v>
      </c>
      <c r="I302" s="174">
        <f t="shared" ref="I302:L302" si="256">+I80-I300</f>
        <v>0</v>
      </c>
      <c r="J302" s="174">
        <f t="shared" si="256"/>
        <v>0</v>
      </c>
      <c r="K302" s="174">
        <f t="shared" si="256"/>
        <v>0</v>
      </c>
      <c r="L302" s="174">
        <f t="shared" si="256"/>
        <v>0</v>
      </c>
      <c r="M302" s="174">
        <f>+M80-M300</f>
        <v>0</v>
      </c>
      <c r="N302" s="174">
        <f>+N80-N300</f>
        <v>0</v>
      </c>
      <c r="O302" s="174"/>
      <c r="P302" s="174">
        <f>R302/12*$P$3</f>
        <v>1.0156072676181793E-6</v>
      </c>
      <c r="Q302" s="174">
        <f>+Q80-Q300</f>
        <v>-131141.73500198359</v>
      </c>
      <c r="R302" s="174">
        <v>1.3541430234909058E-6</v>
      </c>
      <c r="S302" s="184">
        <f t="shared" si="234"/>
        <v>9.8299642559140921E-7</v>
      </c>
      <c r="T302" s="200">
        <f t="shared" ref="T302:AE302" si="257">+T80-T300</f>
        <v>3.3396645449101925E-8</v>
      </c>
      <c r="U302" s="200">
        <f t="shared" si="257"/>
        <v>-8.5754436440765858E-8</v>
      </c>
      <c r="V302" s="200">
        <f t="shared" si="257"/>
        <v>-6.1991158872842789E-8</v>
      </c>
      <c r="W302" s="200">
        <f t="shared" si="257"/>
        <v>-1.5126715879887342E-7</v>
      </c>
      <c r="X302" s="200">
        <f t="shared" si="257"/>
        <v>2.2526364773511887E-7</v>
      </c>
      <c r="Y302" s="200">
        <f t="shared" si="257"/>
        <v>1.1976226232945919E-8</v>
      </c>
      <c r="Z302" s="200">
        <f t="shared" si="257"/>
        <v>1.0972144082188606E-7</v>
      </c>
      <c r="AA302" s="200">
        <f t="shared" si="257"/>
        <v>1.6932608559727669E-7</v>
      </c>
      <c r="AB302" s="200">
        <f t="shared" si="257"/>
        <v>1.073349267244339E-7</v>
      </c>
      <c r="AC302" s="200">
        <f t="shared" si="257"/>
        <v>1.2507371138781309E-7</v>
      </c>
      <c r="AD302" s="200">
        <f t="shared" si="257"/>
        <v>4.8894435167312622E-8</v>
      </c>
      <c r="AE302" s="200">
        <f t="shared" si="257"/>
        <v>-1.6082776710391045E-7</v>
      </c>
      <c r="AF302" s="174">
        <f t="shared" si="243"/>
        <v>0</v>
      </c>
      <c r="AG302" s="174">
        <f t="shared" si="244"/>
        <v>0</v>
      </c>
    </row>
    <row r="304" spans="1:33" x14ac:dyDescent="0.25">
      <c r="L304" s="174"/>
      <c r="AD304" s="200"/>
    </row>
    <row r="305" spans="16:16" x14ac:dyDescent="0.25">
      <c r="P305" s="174"/>
    </row>
  </sheetData>
  <mergeCells count="2">
    <mergeCell ref="P1:P2"/>
    <mergeCell ref="Q1:Q2"/>
  </mergeCells>
  <pageMargins left="0.25" right="0.25" top="0.75" bottom="0.75" header="0.3" footer="0.3"/>
  <pageSetup scale="65" fitToHeight="0" orientation="portrait" r:id="rId1"/>
  <headerFooter scaleWithDoc="0" alignWithMargins="0">
    <oddFooter>&amp;CPage &amp;P of &amp;N</oddFooter>
  </headerFooter>
  <rowBreaks count="7" manualBreakCount="7">
    <brk id="53" max="13" man="1"/>
    <brk id="106" max="13" man="1"/>
    <brk id="134" max="13" man="1"/>
    <brk id="171" max="13" man="1"/>
    <brk id="206" max="13" man="1"/>
    <brk id="248" max="13" man="1"/>
    <brk id="282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view="pageBreakPreview" zoomScale="60" zoomScaleNormal="60" workbookViewId="0">
      <pane ySplit="6" topLeftCell="A46" activePane="bottomLeft" state="frozen"/>
      <selection activeCell="A297" sqref="A297"/>
      <selection pane="bottomLeft" activeCell="C86" sqref="C86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2" bestFit="1" customWidth="1"/>
  </cols>
  <sheetData>
    <row r="1" spans="1:12" ht="36" x14ac:dyDescent="0.55000000000000004">
      <c r="A1" s="223" t="s">
        <v>539</v>
      </c>
      <c r="B1" s="223"/>
      <c r="C1" s="223"/>
      <c r="D1" s="223"/>
      <c r="E1" s="223"/>
      <c r="F1" s="223"/>
      <c r="G1" s="223"/>
      <c r="H1" s="223"/>
      <c r="I1" s="223"/>
    </row>
    <row r="2" spans="1:12" ht="36" x14ac:dyDescent="0.55000000000000004">
      <c r="A2" s="223" t="s">
        <v>540</v>
      </c>
      <c r="B2" s="223"/>
      <c r="C2" s="223"/>
      <c r="D2" s="223"/>
      <c r="E2" s="223"/>
      <c r="F2" s="223"/>
      <c r="G2" s="223"/>
      <c r="H2" s="223"/>
      <c r="I2" s="223"/>
    </row>
    <row r="3" spans="1:12" ht="36" x14ac:dyDescent="0.55000000000000004">
      <c r="A3" s="223" t="s">
        <v>263</v>
      </c>
      <c r="B3" s="223"/>
      <c r="C3" s="223"/>
      <c r="D3" s="223"/>
      <c r="E3" s="223"/>
      <c r="F3" s="223"/>
      <c r="G3" s="223"/>
      <c r="H3" s="223"/>
      <c r="I3" s="223"/>
    </row>
    <row r="4" spans="1:12" ht="36" x14ac:dyDescent="0.55000000000000004">
      <c r="A4" s="224">
        <f>'Comp Summary YTD 2020-2019 '!A12:I12</f>
        <v>43861</v>
      </c>
      <c r="B4" s="225"/>
      <c r="C4" s="225"/>
      <c r="D4" s="225"/>
      <c r="E4" s="225"/>
      <c r="F4" s="225"/>
      <c r="G4" s="225"/>
      <c r="H4" s="225"/>
      <c r="I4" s="225"/>
    </row>
    <row r="6" spans="1:12" s="27" customFormat="1" ht="30" customHeight="1" x14ac:dyDescent="0.5">
      <c r="A6" s="11"/>
      <c r="B6" s="16" t="s">
        <v>210</v>
      </c>
      <c r="C6" s="16" t="s">
        <v>212</v>
      </c>
      <c r="D6" s="16" t="s">
        <v>211</v>
      </c>
      <c r="E6" s="16" t="s">
        <v>213</v>
      </c>
      <c r="F6" s="16" t="s">
        <v>214</v>
      </c>
      <c r="G6" s="16" t="s">
        <v>401</v>
      </c>
      <c r="H6" s="16" t="s">
        <v>411</v>
      </c>
      <c r="I6" s="16" t="s">
        <v>205</v>
      </c>
      <c r="L6" s="29"/>
    </row>
    <row r="7" spans="1:12" s="27" customFormat="1" ht="42.75" customHeight="1" x14ac:dyDescent="0.5">
      <c r="A7" s="17" t="s">
        <v>60</v>
      </c>
      <c r="B7" s="11"/>
      <c r="C7" s="11"/>
      <c r="D7" s="11"/>
      <c r="E7" s="11"/>
      <c r="F7" s="11"/>
      <c r="G7" s="11"/>
      <c r="H7" s="11"/>
      <c r="I7" s="11"/>
      <c r="L7" s="29"/>
    </row>
    <row r="8" spans="1:12" s="27" customFormat="1" ht="42.75" customHeight="1" x14ac:dyDescent="0.5">
      <c r="A8" s="11" t="s">
        <v>215</v>
      </c>
      <c r="B8" s="18">
        <f>'Comp YTD 2020-2019 '!B12</f>
        <v>144937480.56</v>
      </c>
      <c r="C8" s="18">
        <f>'Comp YTD 2020-2019 '!C12</f>
        <v>4143470.25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f t="shared" ref="I8:I15" si="0">SUM(B8:H8)</f>
        <v>149080950.81</v>
      </c>
      <c r="L8" s="29"/>
    </row>
    <row r="9" spans="1:12" s="27" customFormat="1" ht="42.75" customHeight="1" x14ac:dyDescent="0.5">
      <c r="A9" s="11" t="s">
        <v>216</v>
      </c>
      <c r="B9" s="18">
        <f>'Comp YTD 2020-2019 '!B13</f>
        <v>328312787.06999999</v>
      </c>
      <c r="C9" s="18">
        <f>'Comp YTD 2020-2019 '!C13</f>
        <v>297059.51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f t="shared" si="0"/>
        <v>328609846.57999998</v>
      </c>
      <c r="L9" s="29"/>
    </row>
    <row r="10" spans="1:12" s="27" customFormat="1" ht="42.75" customHeight="1" x14ac:dyDescent="0.5">
      <c r="A10" s="11" t="s">
        <v>217</v>
      </c>
      <c r="B10" s="18">
        <f>'Comp YTD 2020-2019 '!B14</f>
        <v>1932533</v>
      </c>
      <c r="C10" s="18">
        <f>'Comp YTD 2020-2019 '!C14</f>
        <v>3247.78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f t="shared" si="0"/>
        <v>1935780.78</v>
      </c>
      <c r="L10" s="29"/>
    </row>
    <row r="11" spans="1:12" s="27" customFormat="1" ht="42.75" customHeight="1" x14ac:dyDescent="0.5">
      <c r="A11" s="11" t="s">
        <v>414</v>
      </c>
      <c r="B11" s="18">
        <f>'Comp YTD 2020-2019 '!B15</f>
        <v>19212707.800000001</v>
      </c>
      <c r="C11" s="18">
        <f>'Comp YTD 2020-2019 '!C15</f>
        <v>15186.7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f t="shared" si="0"/>
        <v>19227894.5</v>
      </c>
      <c r="L11" s="29"/>
    </row>
    <row r="12" spans="1:12" s="27" customFormat="1" ht="42.75" customHeight="1" x14ac:dyDescent="0.5">
      <c r="A12" s="11" t="s">
        <v>218</v>
      </c>
      <c r="B12" s="18">
        <f>'Comp YTD 2020-2019 '!B16</f>
        <v>5615755.9000000004</v>
      </c>
      <c r="C12" s="18">
        <f>0</f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f t="shared" si="0"/>
        <v>5615755.9000000004</v>
      </c>
      <c r="L12" s="29"/>
    </row>
    <row r="13" spans="1:12" s="27" customFormat="1" ht="42.75" customHeight="1" x14ac:dyDescent="0.5">
      <c r="A13" s="11" t="s">
        <v>219</v>
      </c>
      <c r="B13" s="18">
        <f>'Comp YTD 2020-2019 '!B17</f>
        <v>1616056.41</v>
      </c>
      <c r="C13" s="18">
        <f>'Comp YTD 2020-2019 '!C17</f>
        <v>9.99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f t="shared" si="0"/>
        <v>1616066.4</v>
      </c>
      <c r="L13" s="29"/>
    </row>
    <row r="14" spans="1:12" s="27" customFormat="1" ht="42.75" customHeight="1" x14ac:dyDescent="0.5">
      <c r="A14" s="11" t="s">
        <v>220</v>
      </c>
      <c r="B14" s="18">
        <f>'Comp YTD 2020-2019 '!B18</f>
        <v>51711.68</v>
      </c>
      <c r="C14" s="18">
        <f>'Comp YTD 2020-2019 '!C18</f>
        <v>122157.57</v>
      </c>
      <c r="D14" s="18">
        <f>DEP!N17</f>
        <v>549853.75999999989</v>
      </c>
      <c r="E14" s="18">
        <v>0</v>
      </c>
      <c r="F14" s="18">
        <f>'BSC (Dome)'!N14</f>
        <v>139825.37</v>
      </c>
      <c r="G14" s="18">
        <v>0</v>
      </c>
      <c r="H14" s="18">
        <v>0</v>
      </c>
      <c r="I14" s="18">
        <f t="shared" si="0"/>
        <v>863548.37999999989</v>
      </c>
      <c r="L14" s="29"/>
    </row>
    <row r="15" spans="1:12" s="27" customFormat="1" ht="42.75" customHeight="1" x14ac:dyDescent="0.5">
      <c r="A15" s="17" t="s">
        <v>221</v>
      </c>
      <c r="B15" s="20">
        <f t="shared" ref="B15:H15" si="1">SUM(B8:B14)</f>
        <v>501679032.42000002</v>
      </c>
      <c r="C15" s="20">
        <f t="shared" si="1"/>
        <v>4581131.8000000007</v>
      </c>
      <c r="D15" s="20">
        <f t="shared" si="1"/>
        <v>549853.75999999989</v>
      </c>
      <c r="E15" s="20">
        <f t="shared" si="1"/>
        <v>0</v>
      </c>
      <c r="F15" s="20">
        <f t="shared" si="1"/>
        <v>139825.37</v>
      </c>
      <c r="G15" s="20">
        <f t="shared" si="1"/>
        <v>0</v>
      </c>
      <c r="H15" s="20">
        <f t="shared" si="1"/>
        <v>0</v>
      </c>
      <c r="I15" s="20">
        <f t="shared" si="0"/>
        <v>506949843.35000002</v>
      </c>
      <c r="L15" s="29"/>
    </row>
    <row r="16" spans="1:12" s="27" customFormat="1" ht="42.75" customHeight="1" x14ac:dyDescent="0.5">
      <c r="A16" s="11"/>
      <c r="B16" s="18"/>
      <c r="C16" s="18"/>
      <c r="D16" s="18"/>
      <c r="E16" s="18"/>
      <c r="F16" s="18"/>
      <c r="G16" s="18"/>
      <c r="H16" s="18"/>
      <c r="I16" s="18"/>
      <c r="L16" s="29"/>
    </row>
    <row r="17" spans="1:12" s="27" customFormat="1" ht="42.75" customHeight="1" x14ac:dyDescent="0.5">
      <c r="A17" s="17" t="s">
        <v>206</v>
      </c>
      <c r="B17" s="18"/>
      <c r="C17" s="18"/>
      <c r="D17" s="18"/>
      <c r="E17" s="18"/>
      <c r="F17" s="18"/>
      <c r="G17" s="18"/>
      <c r="H17" s="18"/>
      <c r="I17" s="18"/>
      <c r="L17" s="29"/>
    </row>
    <row r="18" spans="1:12" s="27" customFormat="1" ht="42.75" customHeight="1" x14ac:dyDescent="0.5">
      <c r="A18" s="11" t="s">
        <v>215</v>
      </c>
      <c r="B18" s="18">
        <f>'Comp YTD 2020-2019 '!B22</f>
        <v>144682949.43999988</v>
      </c>
      <c r="C18" s="18">
        <f>BPM!N20+BPM!N31</f>
        <v>4062322.88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f t="shared" ref="I18:I25" si="2">SUM(B18:H18)</f>
        <v>148745272.31999987</v>
      </c>
      <c r="L18" s="29"/>
    </row>
    <row r="19" spans="1:12" s="27" customFormat="1" ht="42.75" customHeight="1" x14ac:dyDescent="0.5">
      <c r="A19" s="11" t="s">
        <v>216</v>
      </c>
      <c r="B19" s="18">
        <f>'Comp YTD 2020-2019 '!B23</f>
        <v>328059162.46000016</v>
      </c>
      <c r="C19" s="18">
        <f>BPM!N21+BPM!N32</f>
        <v>277189.99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f t="shared" si="2"/>
        <v>328336352.45000017</v>
      </c>
      <c r="L19" s="29"/>
    </row>
    <row r="20" spans="1:12" s="27" customFormat="1" ht="42.75" customHeight="1" x14ac:dyDescent="0.5">
      <c r="A20" s="11" t="s">
        <v>217</v>
      </c>
      <c r="B20" s="18">
        <f>'Comp YTD 2020-2019 '!B24</f>
        <v>1904476.7099999995</v>
      </c>
      <c r="C20" s="18">
        <f>BPM!N22+BPM!N33</f>
        <v>2873.35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f t="shared" si="2"/>
        <v>1907350.0599999996</v>
      </c>
      <c r="L20" s="29"/>
    </row>
    <row r="21" spans="1:12" s="27" customFormat="1" ht="42.75" customHeight="1" x14ac:dyDescent="0.5">
      <c r="A21" s="11" t="s">
        <v>414</v>
      </c>
      <c r="B21" s="18">
        <f>'Comp YTD 2020-2019 '!B25</f>
        <v>18848541.990000002</v>
      </c>
      <c r="C21" s="18">
        <f>BPM!N23</f>
        <v>14460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f t="shared" si="2"/>
        <v>18863001.990000002</v>
      </c>
      <c r="L21" s="29"/>
    </row>
    <row r="22" spans="1:12" s="27" customFormat="1" ht="42.75" customHeight="1" x14ac:dyDescent="0.5">
      <c r="A22" s="11" t="s">
        <v>218</v>
      </c>
      <c r="B22" s="18">
        <f>'Comp YTD 2020-2019 '!B26</f>
        <v>5207996.2000000011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f t="shared" si="2"/>
        <v>5207996.2000000011</v>
      </c>
      <c r="L22" s="29"/>
    </row>
    <row r="23" spans="1:12" s="27" customFormat="1" ht="42.75" customHeight="1" x14ac:dyDescent="0.5">
      <c r="A23" s="11" t="s">
        <v>219</v>
      </c>
      <c r="B23" s="18">
        <f>'Comp YTD 2020-2019 '!B27</f>
        <v>1609910.15</v>
      </c>
      <c r="C23" s="18">
        <f>BPM!N25</f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f t="shared" si="2"/>
        <v>1609910.15</v>
      </c>
      <c r="L23" s="29"/>
    </row>
    <row r="24" spans="1:12" s="27" customFormat="1" ht="42.75" customHeight="1" x14ac:dyDescent="0.5">
      <c r="A24" s="11" t="s">
        <v>220</v>
      </c>
      <c r="B24" s="18">
        <f>'Comp YTD 2020-2019 '!B28</f>
        <v>223858.97999999998</v>
      </c>
      <c r="C24" s="18">
        <f>BPM!N24+BPM!N26+BPM!N27+BPM!N35+BPM!N36+BPM!N29+BPM!N30+BPM!N28</f>
        <v>164814.29</v>
      </c>
      <c r="D24" s="18">
        <f>DEP!N23</f>
        <v>29243.75</v>
      </c>
      <c r="E24" s="18">
        <v>0</v>
      </c>
      <c r="F24" s="18">
        <f>'BSC (Dome)'!N17</f>
        <v>550.32000000000005</v>
      </c>
      <c r="G24" s="18">
        <v>0</v>
      </c>
      <c r="H24" s="18">
        <v>0</v>
      </c>
      <c r="I24" s="18">
        <f t="shared" si="2"/>
        <v>418467.34</v>
      </c>
      <c r="L24" s="29"/>
    </row>
    <row r="25" spans="1:12" s="27" customFormat="1" ht="42.75" customHeight="1" x14ac:dyDescent="0.5">
      <c r="A25" s="17" t="s">
        <v>222</v>
      </c>
      <c r="B25" s="20">
        <f t="shared" ref="B25:H25" si="3">SUM(B18:B24)</f>
        <v>500536895.93000001</v>
      </c>
      <c r="C25" s="20">
        <f t="shared" si="3"/>
        <v>4521660.51</v>
      </c>
      <c r="D25" s="20">
        <f t="shared" si="3"/>
        <v>29243.75</v>
      </c>
      <c r="E25" s="20">
        <f t="shared" si="3"/>
        <v>0</v>
      </c>
      <c r="F25" s="20">
        <f t="shared" si="3"/>
        <v>550.32000000000005</v>
      </c>
      <c r="G25" s="20">
        <f t="shared" si="3"/>
        <v>0</v>
      </c>
      <c r="H25" s="20">
        <f t="shared" si="3"/>
        <v>0</v>
      </c>
      <c r="I25" s="20">
        <f t="shared" si="2"/>
        <v>505088350.50999999</v>
      </c>
      <c r="L25" s="29"/>
    </row>
    <row r="26" spans="1:12" s="27" customFormat="1" ht="42.75" customHeight="1" x14ac:dyDescent="0.5">
      <c r="A26" s="11"/>
      <c r="B26" s="18"/>
      <c r="C26" s="18"/>
      <c r="D26" s="18"/>
      <c r="E26" s="18"/>
      <c r="F26" s="18"/>
      <c r="G26" s="18"/>
      <c r="H26" s="18"/>
      <c r="I26" s="18"/>
      <c r="L26" s="29"/>
    </row>
    <row r="27" spans="1:12" s="27" customFormat="1" ht="42.75" customHeight="1" thickBot="1" x14ac:dyDescent="0.55000000000000004">
      <c r="A27" s="17" t="s">
        <v>209</v>
      </c>
      <c r="B27" s="23">
        <f t="shared" ref="B27:H27" si="4">B15-B25</f>
        <v>1142136.4900000095</v>
      </c>
      <c r="C27" s="23">
        <f t="shared" si="4"/>
        <v>59471.290000000969</v>
      </c>
      <c r="D27" s="23">
        <f t="shared" si="4"/>
        <v>520610.00999999989</v>
      </c>
      <c r="E27" s="23">
        <f t="shared" si="4"/>
        <v>0</v>
      </c>
      <c r="F27" s="23">
        <f t="shared" si="4"/>
        <v>139275.04999999999</v>
      </c>
      <c r="G27" s="23">
        <f t="shared" si="4"/>
        <v>0</v>
      </c>
      <c r="H27" s="23">
        <f t="shared" si="4"/>
        <v>0</v>
      </c>
      <c r="I27" s="23">
        <f>SUM(B27:H27)</f>
        <v>1861492.8400000103</v>
      </c>
      <c r="L27" s="29"/>
    </row>
    <row r="28" spans="1:12" s="27" customFormat="1" ht="42.75" customHeight="1" x14ac:dyDescent="0.5">
      <c r="A28" s="11"/>
      <c r="B28" s="18"/>
      <c r="C28" s="18"/>
      <c r="D28" s="18"/>
      <c r="E28" s="18"/>
      <c r="F28" s="18"/>
      <c r="G28" s="18"/>
      <c r="H28" s="18"/>
      <c r="I28" s="18"/>
      <c r="L28" s="29"/>
    </row>
    <row r="29" spans="1:12" s="27" customFormat="1" ht="42.75" customHeight="1" x14ac:dyDescent="0.5">
      <c r="A29" s="17" t="s">
        <v>207</v>
      </c>
      <c r="B29" s="18"/>
      <c r="C29" s="18"/>
      <c r="D29" s="18"/>
      <c r="E29" s="18"/>
      <c r="F29" s="18"/>
      <c r="G29" s="18"/>
      <c r="H29" s="18"/>
      <c r="I29" s="18"/>
      <c r="L29" s="29"/>
    </row>
    <row r="30" spans="1:12" s="27" customFormat="1" ht="42.75" customHeight="1" x14ac:dyDescent="0.5">
      <c r="A30" s="11"/>
      <c r="B30" s="18"/>
      <c r="C30" s="18"/>
      <c r="D30" s="18"/>
      <c r="E30" s="18"/>
      <c r="F30" s="18"/>
      <c r="G30" s="18"/>
      <c r="H30" s="18"/>
      <c r="I30" s="18"/>
      <c r="L30" s="29"/>
    </row>
    <row r="31" spans="1:12" s="27" customFormat="1" ht="42.75" customHeight="1" x14ac:dyDescent="0.5">
      <c r="A31" s="17" t="s">
        <v>223</v>
      </c>
      <c r="B31" s="18"/>
      <c r="C31" s="18"/>
      <c r="D31" s="18"/>
      <c r="E31" s="18"/>
      <c r="F31" s="18"/>
      <c r="G31" s="18"/>
      <c r="H31" s="18"/>
      <c r="I31" s="18"/>
      <c r="L31" s="29"/>
    </row>
    <row r="32" spans="1:12" s="27" customFormat="1" ht="42.75" customHeight="1" x14ac:dyDescent="0.5">
      <c r="A32" s="11" t="s">
        <v>224</v>
      </c>
      <c r="B32" s="18">
        <f>'Comp YTD 2020-2019 '!B37</f>
        <v>242616.64</v>
      </c>
      <c r="C32" s="18">
        <f>BPM!N44</f>
        <v>58937.49</v>
      </c>
      <c r="D32" s="18">
        <f>DEP!N29</f>
        <v>76501.41</v>
      </c>
      <c r="E32" s="18">
        <v>0</v>
      </c>
      <c r="F32" s="18">
        <f>'BSC (Dome)'!N24+'BSC (Dome)'!N32</f>
        <v>44741.8</v>
      </c>
      <c r="G32" s="18">
        <v>0</v>
      </c>
      <c r="H32" s="18">
        <v>0</v>
      </c>
      <c r="I32" s="18">
        <f t="shared" ref="I32:I42" si="5">SUM(B32:H32)</f>
        <v>422797.34</v>
      </c>
      <c r="L32" s="29"/>
    </row>
    <row r="33" spans="1:12" s="27" customFormat="1" ht="42.75" customHeight="1" x14ac:dyDescent="0.5">
      <c r="A33" s="11" t="s">
        <v>531</v>
      </c>
      <c r="B33" s="18">
        <f>'Comp YTD 2020-2019 '!B38</f>
        <v>17957.400000000001</v>
      </c>
      <c r="C33" s="18">
        <f>BPM!N45</f>
        <v>4803.0200000000004</v>
      </c>
      <c r="D33" s="18">
        <f>DEP!N30</f>
        <v>5762.5</v>
      </c>
      <c r="E33" s="18">
        <v>0</v>
      </c>
      <c r="F33" s="18">
        <f>'Comp YTD 2020-2019 '!F38</f>
        <v>0</v>
      </c>
      <c r="G33" s="18">
        <v>0</v>
      </c>
      <c r="H33" s="18">
        <v>0</v>
      </c>
      <c r="I33" s="18">
        <f t="shared" si="5"/>
        <v>28522.920000000002</v>
      </c>
      <c r="L33" s="29"/>
    </row>
    <row r="34" spans="1:12" s="27" customFormat="1" ht="42.75" customHeight="1" x14ac:dyDescent="0.5">
      <c r="A34" s="11" t="s">
        <v>225</v>
      </c>
      <c r="B34" s="18">
        <f>'Comp YTD 2020-2019 '!B39</f>
        <v>1544.13</v>
      </c>
      <c r="C34" s="18">
        <f>'Comp YTD 2020-2019 '!C39</f>
        <v>368.91</v>
      </c>
      <c r="D34" s="18">
        <f>'Comp YTD 2020-2019 '!D39</f>
        <v>391.96</v>
      </c>
      <c r="E34" s="18">
        <v>0</v>
      </c>
      <c r="F34" s="18">
        <v>0</v>
      </c>
      <c r="G34" s="18">
        <v>0</v>
      </c>
      <c r="H34" s="18">
        <v>0</v>
      </c>
      <c r="I34" s="18">
        <f t="shared" si="5"/>
        <v>2305</v>
      </c>
      <c r="L34" s="29"/>
    </row>
    <row r="35" spans="1:12" s="27" customFormat="1" ht="42.75" customHeight="1" x14ac:dyDescent="0.5">
      <c r="A35" s="11" t="s">
        <v>226</v>
      </c>
      <c r="B35" s="18">
        <f>'Comp YTD 2020-2019 '!B40</f>
        <v>25587.14</v>
      </c>
      <c r="C35" s="18">
        <f>BPM!N47</f>
        <v>6430.34</v>
      </c>
      <c r="D35" s="18">
        <f>DEP!N32</f>
        <v>8780.4699999999993</v>
      </c>
      <c r="E35" s="18">
        <v>0</v>
      </c>
      <c r="F35" s="18">
        <f>'BSC (Dome)'!N26</f>
        <v>3798.44</v>
      </c>
      <c r="G35" s="18">
        <v>0</v>
      </c>
      <c r="H35" s="18">
        <v>0</v>
      </c>
      <c r="I35" s="18">
        <f t="shared" si="5"/>
        <v>44596.39</v>
      </c>
      <c r="L35" s="29"/>
    </row>
    <row r="36" spans="1:12" s="27" customFormat="1" ht="42.75" customHeight="1" x14ac:dyDescent="0.5">
      <c r="A36" s="11" t="s">
        <v>227</v>
      </c>
      <c r="B36" s="18">
        <f>'Comp YTD 2020-2019 '!B41</f>
        <v>28222.57</v>
      </c>
      <c r="C36" s="18">
        <f>BPM!N48</f>
        <v>7145.82</v>
      </c>
      <c r="D36" s="18">
        <f>DEP!N33</f>
        <v>11183.14</v>
      </c>
      <c r="E36" s="18">
        <v>0</v>
      </c>
      <c r="F36" s="18">
        <f>'BSC (Dome)'!N27</f>
        <v>5213.25</v>
      </c>
      <c r="G36" s="18">
        <v>0</v>
      </c>
      <c r="H36" s="18">
        <v>0</v>
      </c>
      <c r="I36" s="18">
        <f t="shared" si="5"/>
        <v>51764.78</v>
      </c>
      <c r="L36" s="29"/>
    </row>
    <row r="37" spans="1:12" s="27" customFormat="1" ht="42.75" customHeight="1" x14ac:dyDescent="0.5">
      <c r="A37" s="11" t="s">
        <v>228</v>
      </c>
      <c r="B37" s="18">
        <f>'Comp YTD 2020-2019 '!B42</f>
        <v>4102.88</v>
      </c>
      <c r="C37" s="18">
        <f>BPM!N49</f>
        <v>1085.8800000000001</v>
      </c>
      <c r="D37" s="18">
        <f>DEP!N34</f>
        <v>1371.92</v>
      </c>
      <c r="E37" s="18">
        <v>0</v>
      </c>
      <c r="F37" s="18">
        <f>'BSC (Dome)'!N28</f>
        <v>341.94</v>
      </c>
      <c r="G37" s="18">
        <v>0</v>
      </c>
      <c r="H37" s="18">
        <v>0</v>
      </c>
      <c r="I37" s="18">
        <f t="shared" si="5"/>
        <v>6902.62</v>
      </c>
      <c r="L37" s="29"/>
    </row>
    <row r="38" spans="1:12" s="27" customFormat="1" ht="42.75" customHeight="1" x14ac:dyDescent="0.5">
      <c r="A38" s="11" t="s">
        <v>229</v>
      </c>
      <c r="B38" s="18">
        <f>'Comp YTD 2020-2019 '!B43</f>
        <v>4264.72</v>
      </c>
      <c r="C38" s="18">
        <f>BPM!N50</f>
        <v>2417.75</v>
      </c>
      <c r="D38" s="18">
        <f>DEP!N35</f>
        <v>3114.88</v>
      </c>
      <c r="E38" s="18">
        <v>0</v>
      </c>
      <c r="F38" s="18">
        <f>'BSC (Dome)'!N30</f>
        <v>500</v>
      </c>
      <c r="G38" s="18">
        <v>0</v>
      </c>
      <c r="H38" s="18">
        <v>0</v>
      </c>
      <c r="I38" s="18">
        <f t="shared" si="5"/>
        <v>10297.35</v>
      </c>
      <c r="L38" s="29"/>
    </row>
    <row r="39" spans="1:12" s="27" customFormat="1" ht="42.75" customHeight="1" x14ac:dyDescent="0.5">
      <c r="A39" s="11" t="s">
        <v>305</v>
      </c>
      <c r="B39" s="18">
        <f>'Comp YTD 2020-2019 '!B44</f>
        <v>6937.79</v>
      </c>
      <c r="C39" s="18">
        <f>'Comp YTD 2020-2019 '!C44</f>
        <v>0</v>
      </c>
      <c r="D39" s="18">
        <f>DEP!N36</f>
        <v>234.2</v>
      </c>
      <c r="E39" s="18">
        <v>0</v>
      </c>
      <c r="F39" s="18">
        <f>'BSC (Dome)'!N29+'BSC (Dome)'!N31</f>
        <v>174.32</v>
      </c>
      <c r="G39" s="18">
        <v>0</v>
      </c>
      <c r="H39" s="18">
        <v>0</v>
      </c>
      <c r="I39" s="18">
        <f t="shared" si="5"/>
        <v>7346.3099999999995</v>
      </c>
      <c r="L39" s="29"/>
    </row>
    <row r="40" spans="1:12" s="27" customFormat="1" ht="42.75" customHeight="1" x14ac:dyDescent="0.5">
      <c r="A40" s="11" t="s">
        <v>230</v>
      </c>
      <c r="B40" s="18">
        <f>'Comp YTD 2020-2019 '!B45</f>
        <v>0</v>
      </c>
      <c r="C40" s="18">
        <v>0</v>
      </c>
      <c r="D40" s="18">
        <f>'Comp YTD 2020-2019 '!D45</f>
        <v>0</v>
      </c>
      <c r="E40" s="18">
        <v>0</v>
      </c>
      <c r="F40" s="18">
        <v>0</v>
      </c>
      <c r="G40" s="18">
        <v>0</v>
      </c>
      <c r="H40" s="18">
        <v>0</v>
      </c>
      <c r="I40" s="18">
        <f t="shared" si="5"/>
        <v>0</v>
      </c>
      <c r="L40" s="29"/>
    </row>
    <row r="41" spans="1:12" s="27" customFormat="1" ht="42.75" customHeight="1" x14ac:dyDescent="0.5">
      <c r="A41" s="11" t="s">
        <v>244</v>
      </c>
      <c r="B41" s="18">
        <f>'Comp YTD 2020-2019 '!B46</f>
        <v>6000</v>
      </c>
      <c r="C41" s="18">
        <f>BPM!N52</f>
        <v>870.95</v>
      </c>
      <c r="D41" s="18">
        <f>DEP!N37</f>
        <v>2203.0500000000002</v>
      </c>
      <c r="E41" s="18">
        <v>0</v>
      </c>
      <c r="F41" s="18">
        <v>0</v>
      </c>
      <c r="G41" s="18">
        <v>0</v>
      </c>
      <c r="H41" s="18">
        <v>0</v>
      </c>
      <c r="I41" s="18">
        <f t="shared" si="5"/>
        <v>9074</v>
      </c>
      <c r="L41" s="29"/>
    </row>
    <row r="42" spans="1:12" s="27" customFormat="1" ht="42.75" customHeight="1" x14ac:dyDescent="0.5">
      <c r="A42" s="17" t="s">
        <v>231</v>
      </c>
      <c r="B42" s="20">
        <f>SUM(B32:B41)</f>
        <v>337233.26999999996</v>
      </c>
      <c r="C42" s="20">
        <f t="shared" ref="C42:H42" si="6">SUM(C32:C41)</f>
        <v>82060.159999999989</v>
      </c>
      <c r="D42" s="20">
        <f t="shared" si="6"/>
        <v>109543.53000000001</v>
      </c>
      <c r="E42" s="20">
        <f t="shared" si="6"/>
        <v>0</v>
      </c>
      <c r="F42" s="20">
        <f t="shared" si="6"/>
        <v>54769.750000000007</v>
      </c>
      <c r="G42" s="20">
        <f t="shared" si="6"/>
        <v>0</v>
      </c>
      <c r="H42" s="20">
        <f t="shared" si="6"/>
        <v>0</v>
      </c>
      <c r="I42" s="20">
        <f t="shared" si="5"/>
        <v>583606.71</v>
      </c>
      <c r="L42" s="29"/>
    </row>
    <row r="43" spans="1:12" s="27" customFormat="1" ht="42.75" customHeight="1" x14ac:dyDescent="0.5">
      <c r="A43" s="11"/>
      <c r="B43" s="18"/>
      <c r="C43" s="18"/>
      <c r="D43" s="18"/>
      <c r="E43" s="18"/>
      <c r="F43" s="18"/>
      <c r="G43" s="18"/>
      <c r="H43" s="18"/>
      <c r="I43" s="18"/>
      <c r="L43" s="29"/>
    </row>
    <row r="44" spans="1:12" s="27" customFormat="1" ht="42.75" customHeight="1" x14ac:dyDescent="0.5">
      <c r="A44" s="17" t="s">
        <v>477</v>
      </c>
      <c r="B44" s="18"/>
      <c r="C44" s="18"/>
      <c r="D44" s="18"/>
      <c r="E44" s="18"/>
      <c r="F44" s="18"/>
      <c r="G44" s="18"/>
      <c r="H44" s="18"/>
      <c r="I44" s="18"/>
      <c r="L44" s="29"/>
    </row>
    <row r="45" spans="1:12" s="27" customFormat="1" ht="42.75" customHeight="1" x14ac:dyDescent="0.5">
      <c r="A45" s="11" t="s">
        <v>232</v>
      </c>
      <c r="B45" s="18">
        <f>'Comp YTD 2020-2019 '!B50</f>
        <v>41700</v>
      </c>
      <c r="C45" s="18">
        <f>BPM!N57</f>
        <v>5000</v>
      </c>
      <c r="D45" s="18">
        <f>DEP!N42</f>
        <v>37500</v>
      </c>
      <c r="E45" s="18">
        <v>0</v>
      </c>
      <c r="F45" s="18">
        <f>'BSC (Dome)'!N36</f>
        <v>1000</v>
      </c>
      <c r="G45" s="18">
        <v>0</v>
      </c>
      <c r="H45" s="18">
        <v>0</v>
      </c>
      <c r="I45" s="18">
        <f t="shared" ref="I45:I67" si="7">SUM(B45:H45)</f>
        <v>85200</v>
      </c>
      <c r="L45" s="29"/>
    </row>
    <row r="46" spans="1:12" s="27" customFormat="1" ht="42.75" customHeight="1" x14ac:dyDescent="0.5">
      <c r="A46" s="11" t="s">
        <v>233</v>
      </c>
      <c r="B46" s="18">
        <f>'Comp YTD 2020-2019 '!B51</f>
        <v>6970.86</v>
      </c>
      <c r="C46" s="18">
        <v>0</v>
      </c>
      <c r="D46" s="18">
        <f>DEP!N43</f>
        <v>-313.72000000000003</v>
      </c>
      <c r="E46" s="18">
        <v>0</v>
      </c>
      <c r="F46" s="18">
        <f>'BSC (Dome)'!N38</f>
        <v>883.5</v>
      </c>
      <c r="G46" s="18">
        <v>0</v>
      </c>
      <c r="H46" s="18">
        <v>0</v>
      </c>
      <c r="I46" s="18">
        <f t="shared" si="7"/>
        <v>7540.6399999999994</v>
      </c>
      <c r="L46" s="29"/>
    </row>
    <row r="47" spans="1:12" s="27" customFormat="1" ht="42.75" customHeight="1" x14ac:dyDescent="0.5">
      <c r="A47" s="11" t="s">
        <v>234</v>
      </c>
      <c r="B47" s="18">
        <f>'Comp YTD 2020-2019 '!B52</f>
        <v>1694.68</v>
      </c>
      <c r="C47" s="18">
        <v>0</v>
      </c>
      <c r="D47" s="18">
        <f>'Comp YTD 2020-2019 '!D52</f>
        <v>1874.76</v>
      </c>
      <c r="E47" s="18">
        <v>0</v>
      </c>
      <c r="F47" s="18">
        <f>'BSC (Dome)'!N37</f>
        <v>12511.96</v>
      </c>
      <c r="G47" s="18">
        <v>0</v>
      </c>
      <c r="H47" s="18">
        <v>0</v>
      </c>
      <c r="I47" s="18">
        <f t="shared" si="7"/>
        <v>16081.4</v>
      </c>
      <c r="L47" s="29"/>
    </row>
    <row r="48" spans="1:12" s="27" customFormat="1" ht="42.75" customHeight="1" x14ac:dyDescent="0.5">
      <c r="A48" s="11" t="s">
        <v>333</v>
      </c>
      <c r="B48" s="18">
        <f>'Comp YTD 2020-2019 '!B53</f>
        <v>310.85000000000002</v>
      </c>
      <c r="C48" s="18">
        <v>0</v>
      </c>
      <c r="D48" s="18">
        <f>'Comp YTD 2020-2019 '!D53</f>
        <v>107.64</v>
      </c>
      <c r="E48" s="18">
        <v>0</v>
      </c>
      <c r="F48" s="18">
        <f>'BSC (Dome)'!N39</f>
        <v>0</v>
      </c>
      <c r="G48" s="18">
        <v>0</v>
      </c>
      <c r="H48" s="18">
        <v>0</v>
      </c>
      <c r="I48" s="18">
        <f t="shared" si="7"/>
        <v>418.49</v>
      </c>
      <c r="L48" s="29"/>
    </row>
    <row r="49" spans="1:12" s="27" customFormat="1" ht="42.75" customHeight="1" x14ac:dyDescent="0.5">
      <c r="A49" s="11" t="s">
        <v>288</v>
      </c>
      <c r="B49" s="18">
        <f>'Comp YTD 2020-2019 '!B54</f>
        <v>222.53</v>
      </c>
      <c r="C49" s="18">
        <v>0</v>
      </c>
      <c r="D49" s="18">
        <f>DEP!N45</f>
        <v>434</v>
      </c>
      <c r="E49" s="18">
        <v>0</v>
      </c>
      <c r="F49" s="18">
        <f>'BSC (Dome)'!N40</f>
        <v>954.58</v>
      </c>
      <c r="G49" s="18">
        <v>0</v>
      </c>
      <c r="H49" s="18">
        <v>0</v>
      </c>
      <c r="I49" s="18">
        <f t="shared" si="7"/>
        <v>1611.1100000000001</v>
      </c>
      <c r="L49" s="29"/>
    </row>
    <row r="50" spans="1:12" s="27" customFormat="1" ht="42.75" customHeight="1" x14ac:dyDescent="0.5">
      <c r="A50" s="11" t="s">
        <v>437</v>
      </c>
      <c r="B50" s="18">
        <f>'Comp YTD 2020-2019 '!B55</f>
        <v>2500</v>
      </c>
      <c r="C50" s="18">
        <v>0</v>
      </c>
      <c r="D50" s="18">
        <f>DEP!N46</f>
        <v>2100</v>
      </c>
      <c r="E50" s="18">
        <v>0</v>
      </c>
      <c r="F50" s="18">
        <f>'BSC (Dome)'!N41</f>
        <v>0</v>
      </c>
      <c r="G50" s="18">
        <v>0</v>
      </c>
      <c r="H50" s="18">
        <v>0</v>
      </c>
      <c r="I50" s="18">
        <f t="shared" si="7"/>
        <v>4600</v>
      </c>
      <c r="L50" s="29"/>
    </row>
    <row r="51" spans="1:12" s="27" customFormat="1" ht="42.75" customHeight="1" x14ac:dyDescent="0.5">
      <c r="A51" s="11" t="s">
        <v>370</v>
      </c>
      <c r="B51" s="18">
        <f>'Comp YTD 2020-2019 '!B56</f>
        <v>6839.76</v>
      </c>
      <c r="C51" s="18">
        <f>BPM!N58</f>
        <v>0</v>
      </c>
      <c r="D51" s="18">
        <f>DEP!N47</f>
        <v>2407.6799999999998</v>
      </c>
      <c r="E51" s="18">
        <v>0</v>
      </c>
      <c r="F51" s="18">
        <f>'BSC (Dome)'!N42</f>
        <v>597.65</v>
      </c>
      <c r="G51" s="18">
        <v>0</v>
      </c>
      <c r="H51" s="18">
        <v>0</v>
      </c>
      <c r="I51" s="18">
        <f t="shared" si="7"/>
        <v>9845.09</v>
      </c>
      <c r="L51" s="29"/>
    </row>
    <row r="52" spans="1:12" s="27" customFormat="1" ht="42.75" customHeight="1" x14ac:dyDescent="0.5">
      <c r="A52" s="11" t="s">
        <v>368</v>
      </c>
      <c r="B52" s="18">
        <f>'Comp YTD 2020-2019 '!B57</f>
        <v>0</v>
      </c>
      <c r="C52" s="18">
        <v>0</v>
      </c>
      <c r="D52" s="18">
        <v>0</v>
      </c>
      <c r="E52" s="18">
        <v>0</v>
      </c>
      <c r="F52" s="18">
        <f>'BSC (Dome)'!N43+'BSC (Dome)'!N49</f>
        <v>1728.62</v>
      </c>
      <c r="G52" s="18">
        <v>0</v>
      </c>
      <c r="H52" s="18">
        <v>0</v>
      </c>
      <c r="I52" s="18">
        <f t="shared" si="7"/>
        <v>1728.62</v>
      </c>
      <c r="L52" s="29"/>
    </row>
    <row r="53" spans="1:12" s="27" customFormat="1" ht="42.75" customHeight="1" x14ac:dyDescent="0.5">
      <c r="A53" s="11" t="s">
        <v>237</v>
      </c>
      <c r="B53" s="18">
        <f>'Comp YTD 2020-2019 '!B58</f>
        <v>9268.0499999999993</v>
      </c>
      <c r="C53" s="18">
        <v>0</v>
      </c>
      <c r="D53" s="18">
        <f>DEP!N48</f>
        <v>6012.93</v>
      </c>
      <c r="E53" s="18">
        <v>0</v>
      </c>
      <c r="F53" s="18">
        <f>'BSC (Dome)'!N45</f>
        <v>231.72</v>
      </c>
      <c r="G53" s="18">
        <v>0</v>
      </c>
      <c r="H53" s="18">
        <v>0</v>
      </c>
      <c r="I53" s="18">
        <f t="shared" si="7"/>
        <v>15512.699999999999</v>
      </c>
      <c r="L53" s="29"/>
    </row>
    <row r="54" spans="1:12" s="27" customFormat="1" ht="42.75" customHeight="1" x14ac:dyDescent="0.5">
      <c r="A54" s="11" t="s">
        <v>238</v>
      </c>
      <c r="B54" s="18">
        <f>'Comp YTD 2020-2019 '!B59</f>
        <v>2429.77</v>
      </c>
      <c r="C54" s="18">
        <v>0</v>
      </c>
      <c r="D54" s="18">
        <f>DEP!N50</f>
        <v>410.94</v>
      </c>
      <c r="E54" s="18">
        <v>0</v>
      </c>
      <c r="F54" s="18">
        <v>0</v>
      </c>
      <c r="G54" s="18">
        <v>0</v>
      </c>
      <c r="H54" s="18">
        <v>0</v>
      </c>
      <c r="I54" s="18">
        <f t="shared" si="7"/>
        <v>2840.71</v>
      </c>
      <c r="L54" s="29"/>
    </row>
    <row r="55" spans="1:12" s="27" customFormat="1" ht="42.75" customHeight="1" x14ac:dyDescent="0.5">
      <c r="A55" s="11" t="s">
        <v>236</v>
      </c>
      <c r="B55" s="18">
        <f>'Comp YTD 2020-2019 '!B60</f>
        <v>5339.08</v>
      </c>
      <c r="C55" s="18">
        <f>BPM!N59</f>
        <v>440</v>
      </c>
      <c r="D55" s="18">
        <f>DEP!N51</f>
        <v>22656.26</v>
      </c>
      <c r="E55" s="18">
        <v>0</v>
      </c>
      <c r="F55" s="18">
        <f>'BSC (Dome)'!N47</f>
        <v>2648.59</v>
      </c>
      <c r="G55" s="18">
        <v>0</v>
      </c>
      <c r="H55" s="18">
        <v>0</v>
      </c>
      <c r="I55" s="18">
        <f t="shared" si="7"/>
        <v>31083.929999999997</v>
      </c>
      <c r="L55" s="29"/>
    </row>
    <row r="56" spans="1:12" s="27" customFormat="1" ht="42.75" customHeight="1" x14ac:dyDescent="0.5">
      <c r="A56" s="11" t="s">
        <v>350</v>
      </c>
      <c r="B56" s="18">
        <f>'Comp YTD 2020-2019 '!B67</f>
        <v>110</v>
      </c>
      <c r="C56" s="18">
        <f>BPM!N75</f>
        <v>0</v>
      </c>
      <c r="D56" s="18">
        <f>DEP!N76</f>
        <v>0</v>
      </c>
      <c r="E56" s="18">
        <f>Lending!N11</f>
        <v>110</v>
      </c>
      <c r="F56" s="18">
        <f>'BSC (Dome)'!N48</f>
        <v>110</v>
      </c>
      <c r="G56" s="18">
        <f>'Oliari Co.'!N12+'Oliari Co.'!N10</f>
        <v>0</v>
      </c>
      <c r="H56" s="18">
        <f>'722 Bedford St'!N10</f>
        <v>0</v>
      </c>
      <c r="I56" s="18">
        <f t="shared" si="7"/>
        <v>330</v>
      </c>
      <c r="L56" s="29"/>
    </row>
    <row r="57" spans="1:12" s="27" customFormat="1" ht="42.75" customHeight="1" x14ac:dyDescent="0.5">
      <c r="A57" s="11" t="s">
        <v>353</v>
      </c>
      <c r="B57" s="18">
        <f>'Comp YTD 2020-2019 '!B61</f>
        <v>0</v>
      </c>
      <c r="C57" s="18">
        <v>0</v>
      </c>
      <c r="D57" s="18">
        <v>0</v>
      </c>
      <c r="E57" s="18">
        <v>0</v>
      </c>
      <c r="F57" s="18">
        <f>'BSC (Dome)'!N44</f>
        <v>4672.5</v>
      </c>
      <c r="G57" s="18">
        <v>0</v>
      </c>
      <c r="H57" s="18">
        <v>0</v>
      </c>
      <c r="I57" s="18">
        <f t="shared" si="7"/>
        <v>4672.5</v>
      </c>
      <c r="L57" s="29"/>
    </row>
    <row r="58" spans="1:12" s="27" customFormat="1" ht="42.75" customHeight="1" x14ac:dyDescent="0.5">
      <c r="A58" s="11" t="s">
        <v>239</v>
      </c>
      <c r="B58" s="18">
        <f>'Comp YTD 2020-2019 '!B62</f>
        <v>4399</v>
      </c>
      <c r="C58" s="18">
        <v>0</v>
      </c>
      <c r="D58" s="18">
        <f>DEP!N52</f>
        <v>0</v>
      </c>
      <c r="E58" s="18">
        <v>0</v>
      </c>
      <c r="F58" s="18">
        <f>'BSC (Dome)'!N50</f>
        <v>0</v>
      </c>
      <c r="G58" s="18">
        <v>0</v>
      </c>
      <c r="H58" s="18">
        <v>0</v>
      </c>
      <c r="I58" s="18">
        <f t="shared" si="7"/>
        <v>4399</v>
      </c>
      <c r="L58" s="29"/>
    </row>
    <row r="59" spans="1:12" s="27" customFormat="1" ht="42.75" customHeight="1" x14ac:dyDescent="0.5">
      <c r="A59" s="11" t="s">
        <v>240</v>
      </c>
      <c r="B59" s="18">
        <f>'Comp YTD 2020-2019 '!B63</f>
        <v>1602.29</v>
      </c>
      <c r="C59" s="18">
        <v>0</v>
      </c>
      <c r="D59" s="18">
        <f>DEP!N55</f>
        <v>400.57</v>
      </c>
      <c r="E59" s="18">
        <v>0</v>
      </c>
      <c r="F59" s="18">
        <f>0</f>
        <v>0</v>
      </c>
      <c r="G59" s="18">
        <f>0</f>
        <v>0</v>
      </c>
      <c r="H59" s="18">
        <f>0</f>
        <v>0</v>
      </c>
      <c r="I59" s="18">
        <f t="shared" si="7"/>
        <v>2002.86</v>
      </c>
      <c r="L59" s="29"/>
    </row>
    <row r="60" spans="1:12" s="27" customFormat="1" ht="42.75" customHeight="1" x14ac:dyDescent="0.5">
      <c r="A60" s="11" t="s">
        <v>241</v>
      </c>
      <c r="B60" s="18">
        <f>'Comp YTD 2020-2019 '!B64</f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f t="shared" si="7"/>
        <v>0</v>
      </c>
      <c r="L60" s="29"/>
    </row>
    <row r="61" spans="1:12" s="27" customFormat="1" ht="42.75" customHeight="1" x14ac:dyDescent="0.5">
      <c r="A61" s="11" t="s">
        <v>242</v>
      </c>
      <c r="B61" s="18">
        <f>'Comp YTD 2020-2019 '!B65</f>
        <v>106243.86</v>
      </c>
      <c r="C61" s="18">
        <f>BPM!N60</f>
        <v>418.29</v>
      </c>
      <c r="D61" s="18">
        <f>DEP!N56</f>
        <v>13371.27</v>
      </c>
      <c r="E61" s="18">
        <v>0</v>
      </c>
      <c r="F61" s="18">
        <f>'BSC (Dome)'!N53</f>
        <v>8414.0300000000007</v>
      </c>
      <c r="G61" s="18">
        <f>'Oliari Co.'!N13</f>
        <v>9253.2800000000007</v>
      </c>
      <c r="H61" s="18">
        <f>'722 Bedford St'!N11</f>
        <v>14546.42</v>
      </c>
      <c r="I61" s="18">
        <f t="shared" si="7"/>
        <v>152247.15000000002</v>
      </c>
      <c r="L61" s="29"/>
    </row>
    <row r="62" spans="1:12" s="27" customFormat="1" ht="42.75" customHeight="1" x14ac:dyDescent="0.5">
      <c r="A62" s="11" t="s">
        <v>252</v>
      </c>
      <c r="B62" s="18">
        <f>'Comp YTD 2020-2019 '!B66</f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7"/>
        <v>0</v>
      </c>
      <c r="L62" s="29"/>
    </row>
    <row r="63" spans="1:12" s="27" customFormat="1" ht="42.75" customHeight="1" x14ac:dyDescent="0.5">
      <c r="A63" s="11" t="s">
        <v>245</v>
      </c>
      <c r="B63" s="18">
        <f>'Comp YTD 2020-2019 '!B68</f>
        <v>1648.64</v>
      </c>
      <c r="C63" s="18">
        <f>BPM!N76</f>
        <v>159</v>
      </c>
      <c r="D63" s="18">
        <f>DEP!N58</f>
        <v>1362.18</v>
      </c>
      <c r="E63" s="18">
        <v>0</v>
      </c>
      <c r="F63" s="18">
        <f>'BSC (Dome)'!N54</f>
        <v>0</v>
      </c>
      <c r="G63" s="18">
        <v>0</v>
      </c>
      <c r="H63" s="18">
        <v>0</v>
      </c>
      <c r="I63" s="18">
        <f t="shared" si="7"/>
        <v>3169.82</v>
      </c>
      <c r="L63" s="29"/>
    </row>
    <row r="64" spans="1:12" s="27" customFormat="1" ht="42.75" customHeight="1" x14ac:dyDescent="0.5">
      <c r="A64" s="11" t="s">
        <v>246</v>
      </c>
      <c r="B64" s="18">
        <f>'Comp YTD 2020-2019 '!B69</f>
        <v>10650.03</v>
      </c>
      <c r="C64" s="18">
        <f>BPM!N70</f>
        <v>1560</v>
      </c>
      <c r="D64" s="18">
        <f>DEP!N54</f>
        <v>7052.04</v>
      </c>
      <c r="E64" s="18">
        <v>0</v>
      </c>
      <c r="F64" s="18">
        <f>0</f>
        <v>0</v>
      </c>
      <c r="G64" s="18">
        <v>0</v>
      </c>
      <c r="H64" s="18">
        <v>0</v>
      </c>
      <c r="I64" s="18">
        <f t="shared" si="7"/>
        <v>19262.07</v>
      </c>
      <c r="L64" s="29"/>
    </row>
    <row r="65" spans="1:12" s="27" customFormat="1" ht="42.75" customHeight="1" x14ac:dyDescent="0.5">
      <c r="A65" s="11" t="s">
        <v>362</v>
      </c>
      <c r="B65" s="18">
        <f>'Comp YTD 2020-2019 '!B70</f>
        <v>850.77</v>
      </c>
      <c r="C65" s="18">
        <v>0</v>
      </c>
      <c r="D65" s="18">
        <f>DEP!N59</f>
        <v>0</v>
      </c>
      <c r="E65" s="18">
        <v>0</v>
      </c>
      <c r="F65" s="18">
        <f>'BSC (Dome)'!N55</f>
        <v>0</v>
      </c>
      <c r="G65" s="18">
        <v>0</v>
      </c>
      <c r="H65" s="18">
        <v>0</v>
      </c>
      <c r="I65" s="18">
        <f>SUM(B65:H65)</f>
        <v>850.77</v>
      </c>
      <c r="L65" s="29"/>
    </row>
    <row r="66" spans="1:12" s="27" customFormat="1" ht="42.75" customHeight="1" x14ac:dyDescent="0.5">
      <c r="A66" s="11" t="s">
        <v>363</v>
      </c>
      <c r="B66" s="18">
        <f>'Comp YTD 2020-2019 '!B71</f>
        <v>2324.39</v>
      </c>
      <c r="C66" s="18">
        <f>BPM!N69</f>
        <v>346.52</v>
      </c>
      <c r="D66" s="18">
        <f>DEP!N60</f>
        <v>328.78</v>
      </c>
      <c r="E66" s="18">
        <v>0</v>
      </c>
      <c r="F66" s="18">
        <f>'BSC (Dome)'!N56</f>
        <v>823.61</v>
      </c>
      <c r="G66" s="18">
        <v>0</v>
      </c>
      <c r="H66" s="18">
        <v>0</v>
      </c>
      <c r="I66" s="18">
        <f t="shared" si="7"/>
        <v>3823.2999999999997</v>
      </c>
      <c r="L66" s="29"/>
    </row>
    <row r="67" spans="1:12" s="27" customFormat="1" ht="42.75" customHeight="1" x14ac:dyDescent="0.5">
      <c r="A67" s="17" t="s">
        <v>247</v>
      </c>
      <c r="B67" s="20">
        <f t="shared" ref="B67:H67" si="8">SUM(B45:B66)</f>
        <v>205104.56</v>
      </c>
      <c r="C67" s="20">
        <f t="shared" si="8"/>
        <v>7923.8099999999995</v>
      </c>
      <c r="D67" s="20">
        <f t="shared" si="8"/>
        <v>95705.33</v>
      </c>
      <c r="E67" s="20">
        <f t="shared" si="8"/>
        <v>110</v>
      </c>
      <c r="F67" s="20">
        <f t="shared" si="8"/>
        <v>34576.76</v>
      </c>
      <c r="G67" s="20">
        <f t="shared" si="8"/>
        <v>9253.2800000000007</v>
      </c>
      <c r="H67" s="20">
        <f t="shared" si="8"/>
        <v>14546.42</v>
      </c>
      <c r="I67" s="20">
        <f t="shared" si="7"/>
        <v>367220.16000000003</v>
      </c>
      <c r="L67" s="29"/>
    </row>
    <row r="68" spans="1:12" s="27" customFormat="1" ht="42.75" customHeight="1" x14ac:dyDescent="0.5">
      <c r="A68" s="11"/>
      <c r="B68" s="18"/>
      <c r="C68" s="18"/>
      <c r="D68" s="18"/>
      <c r="E68" s="18"/>
      <c r="F68" s="18"/>
      <c r="G68" s="18"/>
      <c r="H68" s="18"/>
      <c r="I68" s="18">
        <f>SUM(B68:F68)</f>
        <v>0</v>
      </c>
      <c r="L68" s="29"/>
    </row>
    <row r="69" spans="1:12" s="27" customFormat="1" ht="42.75" customHeight="1" x14ac:dyDescent="0.5">
      <c r="A69" s="17" t="s">
        <v>248</v>
      </c>
      <c r="B69" s="18"/>
      <c r="C69" s="18"/>
      <c r="D69" s="18"/>
      <c r="E69" s="18"/>
      <c r="F69" s="18"/>
      <c r="G69" s="18"/>
      <c r="H69" s="18"/>
      <c r="I69" s="18">
        <f>SUM(B69:F69)</f>
        <v>0</v>
      </c>
      <c r="L69" s="29"/>
    </row>
    <row r="70" spans="1:12" s="27" customFormat="1" ht="42.75" customHeight="1" x14ac:dyDescent="0.5">
      <c r="A70" s="11" t="s">
        <v>249</v>
      </c>
      <c r="B70" s="18">
        <f>'Comp YTD 2020-2019 '!B81</f>
        <v>1825.07</v>
      </c>
      <c r="C70" s="18">
        <v>0</v>
      </c>
      <c r="D70" s="18">
        <f>DEP!N64</f>
        <v>208.24</v>
      </c>
      <c r="E70" s="18">
        <v>0</v>
      </c>
      <c r="F70" s="18">
        <f>'BSC (Dome)'!N60</f>
        <v>509.71</v>
      </c>
      <c r="G70" s="18">
        <v>0</v>
      </c>
      <c r="H70" s="18">
        <v>0</v>
      </c>
      <c r="I70" s="18">
        <f t="shared" ref="I70:I90" si="9">SUM(B70:H70)</f>
        <v>2543.02</v>
      </c>
      <c r="L70" s="29"/>
    </row>
    <row r="71" spans="1:12" s="27" customFormat="1" ht="42.75" customHeight="1" x14ac:dyDescent="0.5">
      <c r="A71" s="11" t="s">
        <v>385</v>
      </c>
      <c r="B71" s="18">
        <f>'Comp YTD 2020-2019 '!B82</f>
        <v>125</v>
      </c>
      <c r="C71" s="18">
        <f>'Comp YTD 2020-2019 '!C82</f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f t="shared" si="9"/>
        <v>125</v>
      </c>
      <c r="L71" s="29"/>
    </row>
    <row r="72" spans="1:12" s="27" customFormat="1" ht="42.75" customHeight="1" x14ac:dyDescent="0.5">
      <c r="A72" s="11" t="s">
        <v>533</v>
      </c>
      <c r="B72" s="18">
        <v>0</v>
      </c>
      <c r="C72" s="18">
        <v>0</v>
      </c>
      <c r="D72" s="18">
        <v>0</v>
      </c>
      <c r="E72" s="18">
        <f>Lending!N9</f>
        <v>0</v>
      </c>
      <c r="F72" s="18">
        <v>0</v>
      </c>
      <c r="G72" s="18">
        <v>0</v>
      </c>
      <c r="H72" s="18">
        <v>0</v>
      </c>
      <c r="I72" s="18">
        <f t="shared" si="9"/>
        <v>0</v>
      </c>
      <c r="L72" s="29"/>
    </row>
    <row r="73" spans="1:12" s="27" customFormat="1" ht="42.75" customHeight="1" x14ac:dyDescent="0.5">
      <c r="A73" s="11" t="s">
        <v>250</v>
      </c>
      <c r="B73" s="18">
        <f>'Comp YTD 2020-2019 '!B84</f>
        <v>6615.91</v>
      </c>
      <c r="C73" s="18">
        <f>BPM!N65</f>
        <v>110.69</v>
      </c>
      <c r="D73" s="18">
        <f>DEP!N65</f>
        <v>213.42</v>
      </c>
      <c r="E73" s="18">
        <f>Lending!N10</f>
        <v>1.99</v>
      </c>
      <c r="F73" s="18">
        <f>'BSC (Dome)'!N61</f>
        <v>0</v>
      </c>
      <c r="G73" s="18">
        <f>-'Oliari Co.'!N26</f>
        <v>0</v>
      </c>
      <c r="H73" s="18">
        <f>'722 Bedford St'!N16</f>
        <v>0</v>
      </c>
      <c r="I73" s="18">
        <f t="shared" si="9"/>
        <v>6942.0099999999993</v>
      </c>
      <c r="L73" s="29"/>
    </row>
    <row r="74" spans="1:12" s="27" customFormat="1" ht="42.75" customHeight="1" x14ac:dyDescent="0.5">
      <c r="A74" s="11" t="s">
        <v>357</v>
      </c>
      <c r="B74" s="18">
        <f>'Comp YTD 2020-2019 '!B85</f>
        <v>0</v>
      </c>
      <c r="C74" s="18">
        <v>0</v>
      </c>
      <c r="D74" s="18">
        <v>0</v>
      </c>
      <c r="E74" s="18">
        <v>0</v>
      </c>
      <c r="F74" s="18">
        <f>'BSC (Dome)'!N62</f>
        <v>995.74</v>
      </c>
      <c r="G74" s="18">
        <v>0</v>
      </c>
      <c r="H74" s="18">
        <v>0</v>
      </c>
      <c r="I74" s="18">
        <f t="shared" si="9"/>
        <v>995.74</v>
      </c>
      <c r="L74" s="29"/>
    </row>
    <row r="75" spans="1:12" s="27" customFormat="1" ht="42.75" customHeight="1" x14ac:dyDescent="0.5">
      <c r="A75" s="11" t="s">
        <v>251</v>
      </c>
      <c r="B75" s="18">
        <f>'Comp YTD 2020-2019 '!B86</f>
        <v>573.22</v>
      </c>
      <c r="C75" s="18">
        <v>0</v>
      </c>
      <c r="D75" s="18">
        <f>DEP!N75</f>
        <v>0</v>
      </c>
      <c r="E75" s="18">
        <v>0</v>
      </c>
      <c r="F75" s="18">
        <f>'BSC (Dome)'!N66</f>
        <v>89.68</v>
      </c>
      <c r="G75" s="18">
        <f>'Comp YTD 2020-2019 '!G86</f>
        <v>860.93</v>
      </c>
      <c r="H75" s="18">
        <v>0</v>
      </c>
      <c r="I75" s="18">
        <f t="shared" si="9"/>
        <v>1523.83</v>
      </c>
      <c r="L75" s="29"/>
    </row>
    <row r="76" spans="1:12" s="27" customFormat="1" ht="42.75" customHeight="1" x14ac:dyDescent="0.5">
      <c r="A76" s="11" t="s">
        <v>354</v>
      </c>
      <c r="B76" s="18">
        <f>'Comp YTD 2020-2019 '!B87</f>
        <v>19583.330000000002</v>
      </c>
      <c r="C76" s="18">
        <f>BPM!N72</f>
        <v>385</v>
      </c>
      <c r="D76" s="18">
        <f>DEP!N69</f>
        <v>3250</v>
      </c>
      <c r="E76" s="18">
        <v>0</v>
      </c>
      <c r="F76" s="18">
        <f>'BSC (Dome)'!N67</f>
        <v>250</v>
      </c>
      <c r="G76" s="18">
        <f>'Oliari Co.'!N17</f>
        <v>250</v>
      </c>
      <c r="H76" s="18">
        <f>'722 Bedford St'!N15</f>
        <v>333.33</v>
      </c>
      <c r="I76" s="18">
        <f t="shared" si="9"/>
        <v>24051.660000000003</v>
      </c>
      <c r="L76" s="29"/>
    </row>
    <row r="77" spans="1:12" s="27" customFormat="1" ht="42.75" customHeight="1" x14ac:dyDescent="0.5">
      <c r="A77" s="11" t="s">
        <v>355</v>
      </c>
      <c r="B77" s="18">
        <f>'Comp YTD 2020-2019 '!B88</f>
        <v>7500</v>
      </c>
      <c r="C77" s="18">
        <f>BPM!N73</f>
        <v>3750</v>
      </c>
      <c r="D77" s="18">
        <f>DEP!N70</f>
        <v>2250</v>
      </c>
      <c r="E77" s="18">
        <f>Lending!N12</f>
        <v>0</v>
      </c>
      <c r="F77" s="18">
        <f>'BSC (Dome)'!N68</f>
        <v>1500</v>
      </c>
      <c r="G77" s="18">
        <v>0</v>
      </c>
      <c r="H77" s="18">
        <v>0</v>
      </c>
      <c r="I77" s="18">
        <f t="shared" si="9"/>
        <v>15000</v>
      </c>
      <c r="L77" s="29"/>
    </row>
    <row r="78" spans="1:12" s="27" customFormat="1" ht="42.75" customHeight="1" x14ac:dyDescent="0.5">
      <c r="A78" s="11" t="s">
        <v>356</v>
      </c>
      <c r="B78" s="18">
        <f>'Comp YTD 2020-2019 '!B89</f>
        <v>7289.15</v>
      </c>
      <c r="C78" s="18">
        <f>BPM!N71</f>
        <v>110</v>
      </c>
      <c r="D78" s="18">
        <f>DEP!N68</f>
        <v>333.33</v>
      </c>
      <c r="E78" s="18">
        <f>Lending!N13</f>
        <v>250</v>
      </c>
      <c r="F78" s="18">
        <v>0</v>
      </c>
      <c r="G78" s="18">
        <v>0</v>
      </c>
      <c r="H78" s="18">
        <v>0</v>
      </c>
      <c r="I78" s="18">
        <f t="shared" si="9"/>
        <v>7982.48</v>
      </c>
      <c r="L78" s="29"/>
    </row>
    <row r="79" spans="1:12" s="27" customFormat="1" ht="42.75" customHeight="1" x14ac:dyDescent="0.5">
      <c r="A79" s="11" t="s">
        <v>394</v>
      </c>
      <c r="B79" s="18">
        <f>'Comp YTD 2020-2019 '!B90</f>
        <v>0</v>
      </c>
      <c r="C79" s="18">
        <f>BPM!N74</f>
        <v>0</v>
      </c>
      <c r="D79" s="18">
        <f>DEP!N72</f>
        <v>0</v>
      </c>
      <c r="E79" s="18">
        <v>0</v>
      </c>
      <c r="F79" s="18">
        <v>0</v>
      </c>
      <c r="G79" s="18">
        <v>0</v>
      </c>
      <c r="H79" s="18">
        <v>0</v>
      </c>
      <c r="I79" s="18">
        <f t="shared" si="9"/>
        <v>0</v>
      </c>
      <c r="L79" s="29"/>
    </row>
    <row r="80" spans="1:12" s="27" customFormat="1" ht="42.75" customHeight="1" x14ac:dyDescent="0.5">
      <c r="A80" s="11" t="s">
        <v>383</v>
      </c>
      <c r="B80" s="18">
        <f>'Comp YTD 2020-2019 '!B91</f>
        <v>0</v>
      </c>
      <c r="C80" s="18">
        <v>0</v>
      </c>
      <c r="D80" s="18">
        <f>DEP!N71</f>
        <v>791.67</v>
      </c>
      <c r="E80" s="18">
        <v>0</v>
      </c>
      <c r="F80" s="18">
        <v>0</v>
      </c>
      <c r="G80" s="18">
        <v>0</v>
      </c>
      <c r="H80" s="18">
        <v>0</v>
      </c>
      <c r="I80" s="18">
        <f t="shared" si="9"/>
        <v>791.67</v>
      </c>
      <c r="L80" s="29"/>
    </row>
    <row r="81" spans="1:12" s="27" customFormat="1" ht="42.75" customHeight="1" x14ac:dyDescent="0.5">
      <c r="A81" s="11" t="s">
        <v>253</v>
      </c>
      <c r="B81" s="18">
        <f>'Comp YTD 2020-2019 '!B92</f>
        <v>2967.81</v>
      </c>
      <c r="C81" s="18">
        <f>BPM!N66</f>
        <v>0</v>
      </c>
      <c r="D81" s="18">
        <f>DEP!N67</f>
        <v>0</v>
      </c>
      <c r="E81" s="18">
        <v>0</v>
      </c>
      <c r="F81" s="18">
        <f>'BSC (Dome)'!N64</f>
        <v>1277.1500000000001</v>
      </c>
      <c r="G81" s="18">
        <v>0</v>
      </c>
      <c r="H81" s="18">
        <v>0</v>
      </c>
      <c r="I81" s="18">
        <f t="shared" si="9"/>
        <v>4244.96</v>
      </c>
      <c r="L81" s="29"/>
    </row>
    <row r="82" spans="1:12" s="27" customFormat="1" ht="42.75" customHeight="1" x14ac:dyDescent="0.5">
      <c r="A82" s="11" t="s">
        <v>254</v>
      </c>
      <c r="B82" s="18">
        <f>'Comp YTD 2020-2019 '!B93</f>
        <v>1195</v>
      </c>
      <c r="C82" s="18">
        <f>BPM!N68</f>
        <v>0</v>
      </c>
      <c r="D82" s="18">
        <f>DEP!N77</f>
        <v>225</v>
      </c>
      <c r="E82" s="18">
        <v>0</v>
      </c>
      <c r="F82" s="18">
        <f>'BSC (Dome)'!N70</f>
        <v>0</v>
      </c>
      <c r="G82" s="18">
        <v>0</v>
      </c>
      <c r="H82" s="18">
        <v>0</v>
      </c>
      <c r="I82" s="18">
        <f t="shared" si="9"/>
        <v>1420</v>
      </c>
      <c r="L82" s="29"/>
    </row>
    <row r="83" spans="1:12" s="27" customFormat="1" ht="42.75" customHeight="1" x14ac:dyDescent="0.5">
      <c r="A83" s="11" t="s">
        <v>255</v>
      </c>
      <c r="B83" s="18">
        <f>'Comp YTD 2020-2019 '!B94</f>
        <v>671.94</v>
      </c>
      <c r="C83" s="18">
        <f>0</f>
        <v>0</v>
      </c>
      <c r="D83" s="18">
        <f>DEP!N74</f>
        <v>0</v>
      </c>
      <c r="E83" s="18">
        <v>0</v>
      </c>
      <c r="F83" s="18">
        <v>0</v>
      </c>
      <c r="G83" s="18">
        <v>0</v>
      </c>
      <c r="H83" s="18">
        <v>0</v>
      </c>
      <c r="I83" s="18">
        <f t="shared" si="9"/>
        <v>671.94</v>
      </c>
      <c r="L83" s="29"/>
    </row>
    <row r="84" spans="1:12" s="27" customFormat="1" ht="42.75" customHeight="1" x14ac:dyDescent="0.5">
      <c r="A84" s="11" t="s">
        <v>292</v>
      </c>
      <c r="B84" s="18">
        <f>'Comp YTD 2020-2019 '!B95</f>
        <v>0</v>
      </c>
      <c r="C84" s="18">
        <f>0</f>
        <v>0</v>
      </c>
      <c r="D84" s="18">
        <f>DEP!N66</f>
        <v>0</v>
      </c>
      <c r="E84" s="18">
        <v>0</v>
      </c>
      <c r="F84" s="18">
        <f>'BSC (Dome)'!N63</f>
        <v>0</v>
      </c>
      <c r="G84" s="18">
        <v>0</v>
      </c>
      <c r="H84" s="18">
        <v>0</v>
      </c>
      <c r="I84" s="18">
        <f t="shared" si="9"/>
        <v>0</v>
      </c>
      <c r="L84" s="29"/>
    </row>
    <row r="85" spans="1:12" s="27" customFormat="1" ht="42.75" customHeight="1" x14ac:dyDescent="0.5">
      <c r="A85" s="11" t="s">
        <v>371</v>
      </c>
      <c r="B85" s="18">
        <f>'Comp YTD 2020-2019 '!B96</f>
        <v>396.78</v>
      </c>
      <c r="C85" s="18">
        <f>BPM!N67</f>
        <v>28.69</v>
      </c>
      <c r="D85" s="18">
        <v>0</v>
      </c>
      <c r="E85" s="18">
        <v>0</v>
      </c>
      <c r="F85" s="18">
        <f>'BSC (Dome)'!N65</f>
        <v>0</v>
      </c>
      <c r="G85" s="18">
        <v>0</v>
      </c>
      <c r="H85" s="18">
        <v>0</v>
      </c>
      <c r="I85" s="18">
        <f t="shared" si="9"/>
        <v>425.46999999999997</v>
      </c>
      <c r="L85" s="29"/>
    </row>
    <row r="86" spans="1:12" s="27" customFormat="1" ht="42.75" customHeight="1" x14ac:dyDescent="0.5">
      <c r="A86" s="11" t="s">
        <v>256</v>
      </c>
      <c r="B86" s="18">
        <f>'Comp YTD 2020-2019 '!B97</f>
        <v>2439.17</v>
      </c>
      <c r="C86" s="18">
        <f>BPM!N78</f>
        <v>0</v>
      </c>
      <c r="D86" s="18">
        <f>DEP!N73</f>
        <v>0</v>
      </c>
      <c r="E86" s="18">
        <v>0</v>
      </c>
      <c r="F86" s="18">
        <v>0</v>
      </c>
      <c r="G86" s="18">
        <v>0</v>
      </c>
      <c r="H86" s="18">
        <v>0</v>
      </c>
      <c r="I86" s="18">
        <f t="shared" si="9"/>
        <v>2439.17</v>
      </c>
      <c r="L86" s="29"/>
    </row>
    <row r="87" spans="1:12" s="27" customFormat="1" ht="42.75" customHeight="1" x14ac:dyDescent="0.5">
      <c r="A87" s="11" t="s">
        <v>257</v>
      </c>
      <c r="B87" s="18">
        <f>'Comp YTD 2020-2019 '!B98</f>
        <v>2087.75</v>
      </c>
      <c r="C87" s="18">
        <v>0</v>
      </c>
      <c r="D87" s="18">
        <f>DEP!N53</f>
        <v>35</v>
      </c>
      <c r="E87" s="18">
        <v>0</v>
      </c>
      <c r="F87" s="18">
        <v>0</v>
      </c>
      <c r="G87" s="18">
        <v>0</v>
      </c>
      <c r="H87" s="18">
        <v>0</v>
      </c>
      <c r="I87" s="18">
        <f t="shared" si="9"/>
        <v>2122.75</v>
      </c>
      <c r="L87" s="29"/>
    </row>
    <row r="88" spans="1:12" s="27" customFormat="1" ht="42.75" customHeight="1" x14ac:dyDescent="0.5">
      <c r="A88" s="11" t="s">
        <v>258</v>
      </c>
      <c r="B88" s="18">
        <f>'Comp YTD 2020-2019 '!B99</f>
        <v>735.52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f t="shared" si="9"/>
        <v>735.52</v>
      </c>
      <c r="L88" s="29"/>
    </row>
    <row r="89" spans="1:12" s="27" customFormat="1" ht="42.75" customHeight="1" x14ac:dyDescent="0.5">
      <c r="A89" s="11" t="s">
        <v>259</v>
      </c>
      <c r="B89" s="18">
        <f>'Comp YTD 2020-2019 '!B100</f>
        <v>622.42999999999995</v>
      </c>
      <c r="C89" s="18">
        <f>BPM!N77</f>
        <v>0</v>
      </c>
      <c r="D89" s="18">
        <f>'Comp YTD 2020-2019 '!D100</f>
        <v>0</v>
      </c>
      <c r="E89" s="18">
        <v>0</v>
      </c>
      <c r="F89" s="18">
        <v>0</v>
      </c>
      <c r="G89" s="18">
        <v>0</v>
      </c>
      <c r="H89" s="18">
        <v>0</v>
      </c>
      <c r="I89" s="18">
        <f t="shared" si="9"/>
        <v>622.42999999999995</v>
      </c>
      <c r="L89" s="29"/>
    </row>
    <row r="90" spans="1:12" s="27" customFormat="1" ht="42.75" customHeight="1" x14ac:dyDescent="0.5">
      <c r="A90" s="17" t="s">
        <v>261</v>
      </c>
      <c r="B90" s="20">
        <f>SUM(B70:B89)</f>
        <v>54628.079999999994</v>
      </c>
      <c r="C90" s="20">
        <f t="shared" ref="C90:H90" si="10">SUM(C70:C89)</f>
        <v>4384.3799999999992</v>
      </c>
      <c r="D90" s="20">
        <f t="shared" si="10"/>
        <v>7306.66</v>
      </c>
      <c r="E90" s="20">
        <f t="shared" si="10"/>
        <v>251.99</v>
      </c>
      <c r="F90" s="20">
        <f t="shared" si="10"/>
        <v>4622.2800000000007</v>
      </c>
      <c r="G90" s="20">
        <f t="shared" si="10"/>
        <v>1110.9299999999998</v>
      </c>
      <c r="H90" s="20">
        <f t="shared" si="10"/>
        <v>333.33</v>
      </c>
      <c r="I90" s="20">
        <f t="shared" si="9"/>
        <v>72637.649999999994</v>
      </c>
      <c r="L90" s="29"/>
    </row>
    <row r="91" spans="1:12" s="27" customFormat="1" ht="42.75" customHeight="1" x14ac:dyDescent="0.5">
      <c r="A91" s="11"/>
      <c r="B91" s="18"/>
      <c r="C91" s="18"/>
      <c r="D91" s="18"/>
      <c r="E91" s="18"/>
      <c r="F91" s="18"/>
      <c r="G91" s="18"/>
      <c r="H91" s="18"/>
      <c r="I91" s="18">
        <f>SUM(B91:F91)</f>
        <v>0</v>
      </c>
      <c r="L91" s="29"/>
    </row>
    <row r="92" spans="1:12" s="27" customFormat="1" ht="42.75" customHeight="1" thickBot="1" x14ac:dyDescent="0.55000000000000004">
      <c r="A92" s="17" t="s">
        <v>262</v>
      </c>
      <c r="B92" s="23">
        <f t="shared" ref="B92:H92" si="11">B42+B67+B90</f>
        <v>596965.90999999992</v>
      </c>
      <c r="C92" s="23">
        <f t="shared" si="11"/>
        <v>94368.349999999991</v>
      </c>
      <c r="D92" s="23">
        <f t="shared" si="11"/>
        <v>212555.52000000002</v>
      </c>
      <c r="E92" s="23">
        <f t="shared" si="11"/>
        <v>361.99</v>
      </c>
      <c r="F92" s="23">
        <f t="shared" si="11"/>
        <v>93968.790000000008</v>
      </c>
      <c r="G92" s="23">
        <f t="shared" si="11"/>
        <v>10364.210000000001</v>
      </c>
      <c r="H92" s="23">
        <f t="shared" si="11"/>
        <v>14879.75</v>
      </c>
      <c r="I92" s="23">
        <f>SUM(B92:H92)</f>
        <v>1023464.5199999999</v>
      </c>
      <c r="L92" s="29"/>
    </row>
    <row r="93" spans="1:12" s="27" customFormat="1" ht="42.75" customHeight="1" x14ac:dyDescent="0.5">
      <c r="A93" s="11"/>
      <c r="B93" s="18"/>
      <c r="C93" s="18"/>
      <c r="D93" s="18"/>
      <c r="E93" s="18"/>
      <c r="F93" s="18"/>
      <c r="G93" s="18"/>
      <c r="H93" s="18"/>
      <c r="I93" s="18"/>
      <c r="L93" s="29"/>
    </row>
    <row r="94" spans="1:12" s="27" customFormat="1" ht="42.75" customHeight="1" x14ac:dyDescent="0.5">
      <c r="A94" s="17" t="s">
        <v>454</v>
      </c>
      <c r="B94" s="18"/>
      <c r="C94" s="18"/>
      <c r="D94" s="18"/>
      <c r="E94" s="18"/>
      <c r="F94" s="18"/>
      <c r="G94" s="18"/>
      <c r="H94" s="18"/>
      <c r="I94" s="18"/>
      <c r="L94" s="29"/>
    </row>
    <row r="95" spans="1:12" s="27" customFormat="1" ht="42.75" customHeight="1" x14ac:dyDescent="0.5">
      <c r="A95" s="11" t="s">
        <v>265</v>
      </c>
      <c r="B95" s="18">
        <f>'Comp YTD 2020-2019 '!B106</f>
        <v>12500</v>
      </c>
      <c r="C95" s="18">
        <v>0</v>
      </c>
      <c r="D95" s="18">
        <f>DEP!N83</f>
        <v>12500</v>
      </c>
      <c r="E95" s="18">
        <v>0</v>
      </c>
      <c r="F95" s="18">
        <f>'BSC (Dome)'!N76+'BSC (Dome)'!N77</f>
        <v>5000</v>
      </c>
      <c r="G95" s="18">
        <f>'Oliari Co.'!N23+'Oliari Co.'!N24+'Oliari Co.'!N25</f>
        <v>22700</v>
      </c>
      <c r="H95" s="18">
        <f>'722 Bedford St'!N22+'722 Bedford St'!N23</f>
        <v>32500</v>
      </c>
      <c r="I95" s="18">
        <f t="shared" ref="I95:I109" si="12">SUM(B95:H95)</f>
        <v>85200</v>
      </c>
      <c r="L95" s="29"/>
    </row>
    <row r="96" spans="1:12" s="27" customFormat="1" ht="42.75" customHeight="1" x14ac:dyDescent="0.5">
      <c r="A96" s="11" t="s">
        <v>266</v>
      </c>
      <c r="B96" s="18">
        <f>'Comp YTD 2020-2019 '!B107</f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f t="shared" si="12"/>
        <v>0</v>
      </c>
      <c r="L96" s="29"/>
    </row>
    <row r="97" spans="1:12" s="27" customFormat="1" ht="42.75" customHeight="1" x14ac:dyDescent="0.5">
      <c r="A97" s="11" t="s">
        <v>324</v>
      </c>
      <c r="B97" s="18">
        <f>'Comp YTD 2020-2019 '!B108</f>
        <v>0</v>
      </c>
      <c r="C97" s="18">
        <f>-BPM!N82</f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f t="shared" si="12"/>
        <v>0</v>
      </c>
      <c r="L97" s="29"/>
    </row>
    <row r="98" spans="1:12" s="27" customFormat="1" ht="42.75" customHeight="1" x14ac:dyDescent="0.5">
      <c r="A98" s="11" t="s">
        <v>380</v>
      </c>
      <c r="B98" s="18">
        <f>'Comp YTD 2020-2019 '!B109</f>
        <v>2821.87</v>
      </c>
      <c r="C98" s="18">
        <f>BPM!N83</f>
        <v>-2821.87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f t="shared" si="12"/>
        <v>0</v>
      </c>
      <c r="L98" s="29"/>
    </row>
    <row r="99" spans="1:12" s="27" customFormat="1" ht="42.75" customHeight="1" x14ac:dyDescent="0.5">
      <c r="A99" s="11" t="s">
        <v>267</v>
      </c>
      <c r="B99" s="18">
        <f>'Comp YTD 2020-2019 '!B110</f>
        <v>9456</v>
      </c>
      <c r="C99" s="18">
        <v>0</v>
      </c>
      <c r="D99" s="18">
        <f>'Comp YTD 2020-2019 '!D110</f>
        <v>1036.44</v>
      </c>
      <c r="E99" s="18">
        <v>0</v>
      </c>
      <c r="F99" s="18">
        <v>0</v>
      </c>
      <c r="G99" s="18">
        <v>0</v>
      </c>
      <c r="H99" s="18">
        <f>'Comp YTD 2020-2019 '!H110</f>
        <v>0</v>
      </c>
      <c r="I99" s="18">
        <f t="shared" si="12"/>
        <v>10492.44</v>
      </c>
      <c r="L99" s="29"/>
    </row>
    <row r="100" spans="1:12" s="27" customFormat="1" ht="42.75" customHeight="1" x14ac:dyDescent="0.5">
      <c r="A100" s="11" t="s">
        <v>268</v>
      </c>
      <c r="B100" s="18">
        <f>'Comp YTD 2020-2019 '!B111</f>
        <v>15776.3</v>
      </c>
      <c r="C100" s="18">
        <f>BPM!N84</f>
        <v>723.33</v>
      </c>
      <c r="D100" s="18">
        <f>DEP!N85</f>
        <v>14725</v>
      </c>
      <c r="E100" s="18">
        <f>Lending!N17</f>
        <v>5844.62</v>
      </c>
      <c r="F100" s="18">
        <f>'Comp YTD 2020-2019 '!F111</f>
        <v>645.83000000000004</v>
      </c>
      <c r="G100" s="18">
        <f>'Oliari Co.'!N28</f>
        <v>4544.66</v>
      </c>
      <c r="H100" s="18">
        <f>'Comp YTD 2020-2019 '!H111</f>
        <v>1937.5</v>
      </c>
      <c r="I100" s="18">
        <f t="shared" si="12"/>
        <v>44197.240000000005</v>
      </c>
      <c r="L100" s="29"/>
    </row>
    <row r="101" spans="1:12" s="27" customFormat="1" ht="42.75" customHeight="1" x14ac:dyDescent="0.5">
      <c r="A101" s="11" t="s">
        <v>269</v>
      </c>
      <c r="B101" s="18">
        <f>'Comp YTD 2020-2019 '!B112</f>
        <v>-39467.980000000003</v>
      </c>
      <c r="C101" s="18">
        <v>0</v>
      </c>
      <c r="D101" s="18">
        <v>0</v>
      </c>
      <c r="E101" s="18">
        <f>Lending!N18</f>
        <v>-1516.72</v>
      </c>
      <c r="F101" s="18">
        <f>'BSC (Dome)'!N80+'BSC (Dome)'!N81</f>
        <v>-9311.7000000000007</v>
      </c>
      <c r="G101" s="18">
        <f>'Oliari Co.'!N29</f>
        <v>0</v>
      </c>
      <c r="H101" s="18">
        <f>'722 Bedford St'!N27</f>
        <v>0</v>
      </c>
      <c r="I101" s="18">
        <f t="shared" si="12"/>
        <v>-50296.400000000009</v>
      </c>
      <c r="L101" s="29"/>
    </row>
    <row r="102" spans="1:12" s="27" customFormat="1" ht="42.75" customHeight="1" x14ac:dyDescent="0.5">
      <c r="A102" s="11" t="s">
        <v>597</v>
      </c>
      <c r="B102" s="18">
        <f>'Comp YTD 2020-2019 '!B113</f>
        <v>0</v>
      </c>
      <c r="C102" s="18">
        <f>'Comp YTD 2020-2019 '!C113</f>
        <v>0</v>
      </c>
      <c r="D102" s="18">
        <f>'Comp YTD 2020-2019 '!D113</f>
        <v>0</v>
      </c>
      <c r="E102" s="18">
        <f>'Comp YTD 2020-2019 '!E113</f>
        <v>0</v>
      </c>
      <c r="F102" s="18">
        <f>'Comp YTD 2020-2019 '!F113</f>
        <v>0</v>
      </c>
      <c r="G102" s="18">
        <f>'Comp YTD 2020-2019 '!G113</f>
        <v>0</v>
      </c>
      <c r="H102" s="18">
        <f>'Comp YTD 2020-2019 '!H113</f>
        <v>0</v>
      </c>
      <c r="I102" s="18">
        <f t="shared" si="12"/>
        <v>0</v>
      </c>
      <c r="L102" s="29"/>
    </row>
    <row r="103" spans="1:12" s="27" customFormat="1" ht="42.75" customHeight="1" x14ac:dyDescent="0.5">
      <c r="A103" s="11" t="s">
        <v>270</v>
      </c>
      <c r="B103" s="18">
        <f>'Comp YTD 2020-2019 '!B114</f>
        <v>0</v>
      </c>
      <c r="C103" s="18">
        <v>0</v>
      </c>
      <c r="D103" s="18">
        <v>0</v>
      </c>
      <c r="E103" s="18"/>
      <c r="F103" s="18">
        <f>'BSC (Dome)'!N79</f>
        <v>0</v>
      </c>
      <c r="G103" s="18">
        <f>'Oliari Co.'!N27</f>
        <v>0</v>
      </c>
      <c r="H103" s="18">
        <f>'Comp YTD 2020-2019 '!H114</f>
        <v>0</v>
      </c>
      <c r="I103" s="18">
        <f t="shared" si="12"/>
        <v>0</v>
      </c>
      <c r="L103" s="29"/>
    </row>
    <row r="104" spans="1:12" s="27" customFormat="1" ht="42.75" customHeight="1" x14ac:dyDescent="0.5">
      <c r="A104" s="11" t="s">
        <v>582</v>
      </c>
      <c r="B104" s="18">
        <v>0</v>
      </c>
      <c r="C104" s="18">
        <v>0</v>
      </c>
      <c r="D104" s="18">
        <v>0</v>
      </c>
      <c r="E104" s="18">
        <f>'Comp YTD 2020-2019 '!E115</f>
        <v>0</v>
      </c>
      <c r="F104" s="18">
        <v>0</v>
      </c>
      <c r="G104" s="18">
        <v>0</v>
      </c>
      <c r="H104" s="18">
        <v>0</v>
      </c>
      <c r="I104" s="18">
        <f t="shared" si="12"/>
        <v>0</v>
      </c>
      <c r="L104" s="29"/>
    </row>
    <row r="105" spans="1:12" s="27" customFormat="1" ht="42.75" customHeight="1" x14ac:dyDescent="0.5">
      <c r="A105" s="11" t="s">
        <v>395</v>
      </c>
      <c r="B105" s="18">
        <f>'Comp YTD 2020-2019 '!B116</f>
        <v>20720.71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f t="shared" si="12"/>
        <v>20720.71</v>
      </c>
      <c r="L105" s="29"/>
    </row>
    <row r="106" spans="1:12" s="27" customFormat="1" ht="42.75" customHeight="1" x14ac:dyDescent="0.5">
      <c r="A106" s="11" t="s">
        <v>430</v>
      </c>
      <c r="B106" s="18">
        <f>'Comp YTD 2020-2019 '!B117</f>
        <v>819.34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f t="shared" si="12"/>
        <v>819.34</v>
      </c>
      <c r="L106" s="29"/>
    </row>
    <row r="107" spans="1:12" s="27" customFormat="1" ht="42.75" customHeight="1" x14ac:dyDescent="0.5">
      <c r="A107" s="11" t="s">
        <v>431</v>
      </c>
      <c r="B107" s="18">
        <f>'Comp YTD 2020-2019 '!B118</f>
        <v>1033.1300000000001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f t="shared" si="12"/>
        <v>1033.1300000000001</v>
      </c>
      <c r="L107" s="29"/>
    </row>
    <row r="108" spans="1:12" s="27" customFormat="1" ht="42.75" customHeight="1" x14ac:dyDescent="0.5">
      <c r="A108" s="11" t="s">
        <v>396</v>
      </c>
      <c r="B108" s="18">
        <f>'Comp YTD 2020-2019 '!B119</f>
        <v>17978.47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f t="shared" si="12"/>
        <v>17978.47</v>
      </c>
      <c r="L108" s="29"/>
    </row>
    <row r="109" spans="1:12" s="27" customFormat="1" ht="42.75" customHeight="1" x14ac:dyDescent="0.5">
      <c r="A109" s="11" t="s">
        <v>441</v>
      </c>
      <c r="B109" s="18">
        <f>'Comp YTD 2020-2019 '!B121</f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f t="shared" si="12"/>
        <v>0</v>
      </c>
      <c r="L109" s="29"/>
    </row>
    <row r="110" spans="1:12" s="27" customFormat="1" ht="42.75" customHeight="1" x14ac:dyDescent="0.5">
      <c r="A110" s="17" t="s">
        <v>455</v>
      </c>
      <c r="B110" s="20">
        <f t="shared" ref="B110:I110" si="13">SUM(B95:B109)</f>
        <v>41637.839999999997</v>
      </c>
      <c r="C110" s="20">
        <f t="shared" si="13"/>
        <v>-2098.54</v>
      </c>
      <c r="D110" s="20">
        <f t="shared" si="13"/>
        <v>28261.440000000002</v>
      </c>
      <c r="E110" s="20">
        <f t="shared" si="13"/>
        <v>4327.8999999999996</v>
      </c>
      <c r="F110" s="20">
        <f t="shared" si="13"/>
        <v>-3665.8700000000008</v>
      </c>
      <c r="G110" s="20">
        <f t="shared" si="13"/>
        <v>27244.66</v>
      </c>
      <c r="H110" s="20">
        <f t="shared" si="13"/>
        <v>34437.5</v>
      </c>
      <c r="I110" s="20">
        <f t="shared" si="13"/>
        <v>130144.93</v>
      </c>
      <c r="L110" s="29"/>
    </row>
    <row r="111" spans="1:12" s="27" customFormat="1" ht="42.75" customHeight="1" x14ac:dyDescent="0.5">
      <c r="A111" s="17"/>
      <c r="B111" s="18"/>
      <c r="C111" s="18"/>
      <c r="D111" s="18"/>
      <c r="E111" s="18"/>
      <c r="F111" s="18"/>
      <c r="G111" s="18"/>
      <c r="H111" s="18"/>
      <c r="I111" s="18">
        <f>SUM(B111:F111)</f>
        <v>0</v>
      </c>
      <c r="L111" s="29"/>
    </row>
    <row r="112" spans="1:12" s="27" customFormat="1" ht="42.75" customHeight="1" thickBot="1" x14ac:dyDescent="0.55000000000000004">
      <c r="A112" s="17" t="s">
        <v>264</v>
      </c>
      <c r="B112" s="26">
        <f t="shared" ref="B112:H112" si="14">B27-B92+B110</f>
        <v>586808.42000000959</v>
      </c>
      <c r="C112" s="26">
        <f t="shared" si="14"/>
        <v>-36995.599999999024</v>
      </c>
      <c r="D112" s="26">
        <f t="shared" si="14"/>
        <v>336315.92999999988</v>
      </c>
      <c r="E112" s="26">
        <f t="shared" si="14"/>
        <v>3965.91</v>
      </c>
      <c r="F112" s="26">
        <f t="shared" si="14"/>
        <v>41640.389999999978</v>
      </c>
      <c r="G112" s="26">
        <f t="shared" si="14"/>
        <v>16880.449999999997</v>
      </c>
      <c r="H112" s="26">
        <f t="shared" si="14"/>
        <v>19557.75</v>
      </c>
      <c r="I112" s="26">
        <f>SUM(B112:H112)</f>
        <v>968173.25000001048</v>
      </c>
      <c r="L112" s="29"/>
    </row>
    <row r="113" spans="1:9" ht="15.75" thickTop="1" x14ac:dyDescent="0.25">
      <c r="B113" s="9"/>
      <c r="C113" s="9"/>
      <c r="D113" s="9"/>
      <c r="E113" s="9"/>
      <c r="F113" s="9"/>
      <c r="G113" s="9"/>
      <c r="H113" s="9"/>
      <c r="I113" s="9"/>
    </row>
    <row r="115" spans="1:9" ht="31.5" x14ac:dyDescent="0.5">
      <c r="A115" t="s">
        <v>327</v>
      </c>
      <c r="B115" s="18">
        <f>CNT!N300</f>
        <v>586808.41999994987</v>
      </c>
      <c r="C115" s="18">
        <f>BPM!N89</f>
        <v>-36995.599999997139</v>
      </c>
      <c r="D115" s="18">
        <f>DEP!N88</f>
        <v>336315.92999999988</v>
      </c>
      <c r="E115" s="18">
        <f>Lending!N22</f>
        <v>3965.91</v>
      </c>
      <c r="F115" s="18">
        <f>'BSC (Dome)'!N84</f>
        <v>41640.389999999978</v>
      </c>
      <c r="G115" s="18">
        <f>'Oliari Co.'!N32</f>
        <v>16880.449999999997</v>
      </c>
      <c r="H115" s="18">
        <f>'722 Bedford St'!N30</f>
        <v>19557.75</v>
      </c>
      <c r="I115" s="2">
        <f>SUM(B115:H115)</f>
        <v>968173.2499999525</v>
      </c>
    </row>
    <row r="116" spans="1:9" x14ac:dyDescent="0.25">
      <c r="B116" s="2">
        <f t="shared" ref="B116:H116" si="15">B112-B115</f>
        <v>5.972106009721756E-8</v>
      </c>
      <c r="C116" s="2">
        <f t="shared" si="15"/>
        <v>-1.8844730220735073E-9</v>
      </c>
      <c r="D116" s="2">
        <f t="shared" si="15"/>
        <v>0</v>
      </c>
      <c r="E116" s="2">
        <f t="shared" si="15"/>
        <v>0</v>
      </c>
      <c r="F116" s="2">
        <f t="shared" si="15"/>
        <v>0</v>
      </c>
      <c r="G116" s="2">
        <f t="shared" si="15"/>
        <v>0</v>
      </c>
      <c r="H116" s="2">
        <f t="shared" si="15"/>
        <v>0</v>
      </c>
      <c r="I116" s="2">
        <f>I112-I115</f>
        <v>5.7974830269813538E-8</v>
      </c>
    </row>
    <row r="117" spans="1:9" x14ac:dyDescent="0.25">
      <c r="B117" s="2"/>
      <c r="C117" s="2"/>
      <c r="D117" s="2"/>
      <c r="E117" s="2"/>
      <c r="I117" s="9"/>
    </row>
    <row r="118" spans="1:9" x14ac:dyDescent="0.25">
      <c r="B118" s="2"/>
      <c r="C118" s="2"/>
      <c r="D118" s="2"/>
      <c r="E118" s="2"/>
    </row>
    <row r="119" spans="1:9" x14ac:dyDescent="0.25">
      <c r="B119" s="2"/>
      <c r="C119" s="2"/>
      <c r="D119" s="2"/>
      <c r="E119" s="2"/>
    </row>
    <row r="120" spans="1:9" x14ac:dyDescent="0.25">
      <c r="B120" s="2"/>
      <c r="C120" s="2"/>
      <c r="D120" s="2"/>
      <c r="E120" s="2"/>
    </row>
    <row r="121" spans="1:9" x14ac:dyDescent="0.25">
      <c r="B121" s="2"/>
      <c r="C121" s="2"/>
      <c r="D121" s="2"/>
      <c r="E121" s="2"/>
    </row>
    <row r="122" spans="1:9" x14ac:dyDescent="0.25">
      <c r="B122" s="2"/>
      <c r="C122" s="2"/>
      <c r="D122" s="2"/>
      <c r="E122" s="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19" activePane="bottomLeft" state="frozen"/>
      <selection activeCell="A297" sqref="A297"/>
      <selection pane="bottomLeft" activeCell="A18" sqref="A18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2" bestFit="1" customWidth="1"/>
    <col min="28" max="28" width="4.28515625" style="2" customWidth="1"/>
    <col min="29" max="29" width="21.140625" style="3" bestFit="1" customWidth="1"/>
    <col min="30" max="30" width="4.28515625" style="2" customWidth="1"/>
    <col min="31" max="31" width="23" style="3" bestFit="1" customWidth="1"/>
  </cols>
  <sheetData>
    <row r="1" spans="1:31" ht="24.95" customHeight="1" x14ac:dyDescent="0.25">
      <c r="A1" s="232" t="s">
        <v>404</v>
      </c>
      <c r="B1" s="232"/>
      <c r="C1" s="232"/>
      <c r="D1" s="232"/>
      <c r="E1" s="232"/>
      <c r="F1" s="232"/>
      <c r="G1" s="232"/>
      <c r="H1" s="232"/>
      <c r="I1" s="232"/>
    </row>
    <row r="2" spans="1:31" ht="24.95" customHeight="1" x14ac:dyDescent="0.25">
      <c r="A2" s="232"/>
      <c r="B2" s="232"/>
      <c r="C2" s="232"/>
      <c r="D2" s="232"/>
      <c r="E2" s="232"/>
      <c r="F2" s="232"/>
      <c r="G2" s="232"/>
      <c r="H2" s="232"/>
      <c r="I2" s="232"/>
    </row>
    <row r="3" spans="1:31" ht="24.95" customHeight="1" x14ac:dyDescent="0.25">
      <c r="A3" s="232"/>
      <c r="B3" s="232"/>
      <c r="C3" s="232"/>
      <c r="D3" s="232"/>
      <c r="E3" s="232"/>
      <c r="F3" s="232"/>
      <c r="G3" s="232"/>
      <c r="H3" s="232"/>
      <c r="I3" s="232"/>
    </row>
    <row r="4" spans="1:31" ht="24.95" customHeight="1" x14ac:dyDescent="0.25">
      <c r="A4" s="232"/>
      <c r="B4" s="232"/>
      <c r="C4" s="232"/>
      <c r="D4" s="232"/>
      <c r="E4" s="232"/>
      <c r="F4" s="232"/>
      <c r="G4" s="232"/>
      <c r="H4" s="232"/>
      <c r="I4" s="232"/>
    </row>
    <row r="5" spans="1:31" x14ac:dyDescent="0.25">
      <c r="A5" s="232"/>
      <c r="B5" s="232"/>
      <c r="C5" s="232"/>
      <c r="D5" s="232"/>
      <c r="E5" s="232"/>
      <c r="F5" s="232"/>
      <c r="G5" s="232"/>
      <c r="H5" s="232"/>
      <c r="I5" s="232"/>
    </row>
    <row r="6" spans="1:31" ht="40.5" customHeight="1" x14ac:dyDescent="0.7">
      <c r="A6" s="233" t="s">
        <v>341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</row>
    <row r="7" spans="1:31" ht="40.5" customHeight="1" x14ac:dyDescent="0.7">
      <c r="A7" s="233" t="s">
        <v>599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</row>
    <row r="8" spans="1:31" ht="14.25" customHeight="1" thickBot="1" x14ac:dyDescent="0.3"/>
    <row r="9" spans="1:31" s="8" customFormat="1" ht="55.5" customHeight="1" x14ac:dyDescent="0.7">
      <c r="A9" s="234">
        <v>2020</v>
      </c>
      <c r="B9" s="235"/>
      <c r="C9" s="235"/>
      <c r="D9" s="235"/>
      <c r="E9" s="235"/>
      <c r="F9" s="235"/>
      <c r="G9" s="235"/>
      <c r="H9" s="235"/>
      <c r="I9" s="236"/>
      <c r="K9" s="234">
        <v>2019</v>
      </c>
      <c r="L9" s="235"/>
      <c r="M9" s="235"/>
      <c r="N9" s="235"/>
      <c r="O9" s="235"/>
      <c r="P9" s="235"/>
      <c r="Q9" s="235"/>
      <c r="R9" s="235"/>
      <c r="S9" s="236"/>
      <c r="T9" s="67"/>
      <c r="U9" s="237" t="s">
        <v>614</v>
      </c>
      <c r="V9" s="238"/>
      <c r="W9" s="238"/>
      <c r="X9" s="238"/>
      <c r="Y9" s="238"/>
      <c r="Z9" s="238"/>
      <c r="AA9" s="238"/>
      <c r="AB9" s="238"/>
      <c r="AC9" s="238"/>
      <c r="AD9" s="238"/>
      <c r="AE9" s="239"/>
    </row>
    <row r="10" spans="1:31" s="8" customFormat="1" ht="30" customHeight="1" x14ac:dyDescent="0.5">
      <c r="A10" s="226" t="s">
        <v>398</v>
      </c>
      <c r="B10" s="227"/>
      <c r="C10" s="227"/>
      <c r="D10" s="227"/>
      <c r="E10" s="227"/>
      <c r="F10" s="227"/>
      <c r="G10" s="227"/>
      <c r="H10" s="227"/>
      <c r="I10" s="228"/>
      <c r="K10" s="226" t="s">
        <v>398</v>
      </c>
      <c r="L10" s="227"/>
      <c r="M10" s="227"/>
      <c r="N10" s="227"/>
      <c r="O10" s="227"/>
      <c r="P10" s="227"/>
      <c r="Q10" s="227"/>
      <c r="R10" s="227"/>
      <c r="S10" s="228"/>
      <c r="T10" s="1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2"/>
    </row>
    <row r="11" spans="1:31" s="8" customFormat="1" ht="30" customHeight="1" x14ac:dyDescent="0.5">
      <c r="A11" s="226" t="s">
        <v>340</v>
      </c>
      <c r="B11" s="227"/>
      <c r="C11" s="227"/>
      <c r="D11" s="227"/>
      <c r="E11" s="227"/>
      <c r="F11" s="227"/>
      <c r="G11" s="227"/>
      <c r="H11" s="227"/>
      <c r="I11" s="228"/>
      <c r="K11" s="226" t="s">
        <v>340</v>
      </c>
      <c r="L11" s="227"/>
      <c r="M11" s="227"/>
      <c r="N11" s="227"/>
      <c r="O11" s="227"/>
      <c r="P11" s="227"/>
      <c r="Q11" s="227"/>
      <c r="R11" s="227"/>
      <c r="S11" s="228"/>
      <c r="T11" s="10"/>
      <c r="U11" s="240"/>
      <c r="V11" s="241"/>
      <c r="W11" s="241"/>
      <c r="X11" s="241"/>
      <c r="Y11" s="241"/>
      <c r="Z11" s="241"/>
      <c r="AA11" s="241"/>
      <c r="AB11" s="241"/>
      <c r="AC11" s="241"/>
      <c r="AD11" s="241"/>
      <c r="AE11" s="242"/>
    </row>
    <row r="12" spans="1:31" s="8" customFormat="1" ht="30" customHeight="1" thickBot="1" x14ac:dyDescent="0.55000000000000004">
      <c r="A12" s="229">
        <f>'Comp YTD 2020-2019 '!A4:J4</f>
        <v>43861</v>
      </c>
      <c r="B12" s="230"/>
      <c r="C12" s="230"/>
      <c r="D12" s="230"/>
      <c r="E12" s="230"/>
      <c r="F12" s="230"/>
      <c r="G12" s="230"/>
      <c r="H12" s="230"/>
      <c r="I12" s="231"/>
      <c r="K12" s="229">
        <f>A12-365</f>
        <v>43496</v>
      </c>
      <c r="L12" s="230"/>
      <c r="M12" s="230"/>
      <c r="N12" s="230"/>
      <c r="O12" s="230"/>
      <c r="P12" s="230"/>
      <c r="Q12" s="230"/>
      <c r="R12" s="230"/>
      <c r="S12" s="231"/>
      <c r="T12" s="10"/>
      <c r="U12" s="243"/>
      <c r="V12" s="244"/>
      <c r="W12" s="244"/>
      <c r="X12" s="244"/>
      <c r="Y12" s="244"/>
      <c r="Z12" s="244"/>
      <c r="AA12" s="244"/>
      <c r="AB12" s="244"/>
      <c r="AC12" s="244"/>
      <c r="AD12" s="244"/>
      <c r="AE12" s="245"/>
    </row>
    <row r="13" spans="1:31" s="11" customFormat="1" ht="24.75" customHeight="1" x14ac:dyDescent="0.5">
      <c r="A13" s="10"/>
      <c r="B13" s="10"/>
      <c r="C13" s="10"/>
      <c r="D13" s="10"/>
      <c r="E13" s="10"/>
      <c r="F13" s="10"/>
      <c r="G13" s="10"/>
      <c r="H13" s="10"/>
      <c r="I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W13" s="12"/>
      <c r="Y13" s="12"/>
      <c r="AA13" s="12"/>
      <c r="AB13" s="12"/>
      <c r="AC13" s="12"/>
      <c r="AD13" s="12"/>
      <c r="AE13" s="12"/>
    </row>
    <row r="14" spans="1:31" s="11" customFormat="1" ht="24.75" customHeight="1" x14ac:dyDescent="0.5">
      <c r="J14" s="1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0"/>
      <c r="W14" s="14"/>
      <c r="X14" s="10"/>
      <c r="Y14" s="14"/>
      <c r="Z14" s="10"/>
      <c r="AA14" s="14"/>
      <c r="AB14" s="14"/>
      <c r="AC14" s="15"/>
      <c r="AD14" s="14"/>
      <c r="AE14" s="15"/>
    </row>
    <row r="15" spans="1:31" s="11" customFormat="1" ht="24.75" customHeight="1" x14ac:dyDescent="0.5">
      <c r="J15" s="1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0"/>
      <c r="W15" s="14"/>
      <c r="X15" s="10"/>
      <c r="Y15" s="14"/>
      <c r="Z15" s="10"/>
      <c r="AA15" s="14"/>
      <c r="AB15" s="14"/>
      <c r="AC15" s="10" t="s">
        <v>536</v>
      </c>
      <c r="AD15" s="14"/>
      <c r="AE15" s="15"/>
    </row>
    <row r="16" spans="1:31" s="11" customFormat="1" ht="24.75" customHeight="1" x14ac:dyDescent="0.5">
      <c r="J16" s="10"/>
      <c r="V16" s="10"/>
      <c r="W16" s="10"/>
      <c r="X16" s="10"/>
      <c r="Y16" s="10"/>
      <c r="Z16" s="10"/>
      <c r="AA16" s="10">
        <v>2019</v>
      </c>
      <c r="AB16" s="10"/>
      <c r="AC16" s="15" t="s">
        <v>337</v>
      </c>
      <c r="AD16" s="10"/>
      <c r="AE16" s="10" t="s">
        <v>336</v>
      </c>
    </row>
    <row r="17" spans="1:31" s="11" customFormat="1" ht="24.75" customHeight="1" x14ac:dyDescent="0.5">
      <c r="I17" s="10" t="s">
        <v>205</v>
      </c>
      <c r="J17" s="10"/>
      <c r="S17" s="10" t="s">
        <v>205</v>
      </c>
      <c r="T17" s="10"/>
      <c r="V17" s="10"/>
      <c r="W17" s="10">
        <v>2020</v>
      </c>
      <c r="X17" s="10"/>
      <c r="Y17" s="10">
        <v>2019</v>
      </c>
      <c r="Z17" s="10"/>
      <c r="AA17" s="10" t="s">
        <v>613</v>
      </c>
      <c r="AB17" s="10"/>
      <c r="AC17" s="10" t="s">
        <v>613</v>
      </c>
      <c r="AD17" s="10"/>
      <c r="AE17" s="10" t="s">
        <v>338</v>
      </c>
    </row>
    <row r="18" spans="1:31" s="11" customFormat="1" ht="24.75" customHeight="1" x14ac:dyDescent="0.5">
      <c r="B18" s="16" t="s">
        <v>210</v>
      </c>
      <c r="C18" s="16" t="s">
        <v>212</v>
      </c>
      <c r="D18" s="16" t="s">
        <v>211</v>
      </c>
      <c r="E18" s="16" t="s">
        <v>213</v>
      </c>
      <c r="F18" s="16" t="s">
        <v>214</v>
      </c>
      <c r="G18" s="16" t="s">
        <v>399</v>
      </c>
      <c r="H18" s="16" t="s">
        <v>411</v>
      </c>
      <c r="I18" s="16">
        <v>2020</v>
      </c>
      <c r="J18" s="10"/>
      <c r="L18" s="16" t="s">
        <v>210</v>
      </c>
      <c r="M18" s="16" t="s">
        <v>212</v>
      </c>
      <c r="N18" s="16" t="s">
        <v>211</v>
      </c>
      <c r="O18" s="16" t="s">
        <v>213</v>
      </c>
      <c r="P18" s="16" t="s">
        <v>214</v>
      </c>
      <c r="Q18" s="16" t="s">
        <v>399</v>
      </c>
      <c r="R18" s="16" t="s">
        <v>411</v>
      </c>
      <c r="S18" s="16">
        <v>2019</v>
      </c>
      <c r="T18" s="10"/>
      <c r="V18" s="10"/>
      <c r="W18" s="16"/>
      <c r="X18" s="10"/>
      <c r="Y18" s="16"/>
      <c r="Z18" s="10"/>
      <c r="AA18" s="16" t="s">
        <v>334</v>
      </c>
      <c r="AB18" s="10"/>
      <c r="AC18" s="16" t="s">
        <v>335</v>
      </c>
      <c r="AD18" s="16"/>
      <c r="AE18" s="16" t="s">
        <v>335</v>
      </c>
    </row>
    <row r="19" spans="1:31" s="11" customFormat="1" ht="30" customHeight="1" x14ac:dyDescent="0.5">
      <c r="A19" s="17" t="s">
        <v>60</v>
      </c>
      <c r="K19" s="17" t="s">
        <v>60</v>
      </c>
      <c r="U19" s="17" t="s">
        <v>60</v>
      </c>
      <c r="AC19" s="15"/>
      <c r="AE19" s="15"/>
    </row>
    <row r="20" spans="1:31" s="11" customFormat="1" ht="30" customHeight="1" x14ac:dyDescent="0.5">
      <c r="A20" s="11" t="s">
        <v>402</v>
      </c>
      <c r="B20" s="18">
        <f>'Comp YTD 2020-2019 '!B19</f>
        <v>501679032.42000002</v>
      </c>
      <c r="C20" s="18">
        <f>'Comp YTD 2020-2019 '!C19</f>
        <v>4581131.8000000007</v>
      </c>
      <c r="D20" s="18">
        <f>'Comp YTD 2020-2019 '!D19</f>
        <v>549853.75999999989</v>
      </c>
      <c r="E20" s="18">
        <f>'Comp YTD 2020-2019 '!E19</f>
        <v>0</v>
      </c>
      <c r="F20" s="18">
        <f>'Comp YTD 2020-2019 '!F19</f>
        <v>139825.37</v>
      </c>
      <c r="G20" s="18">
        <f>'Comp YTD 2020-2019 '!G19</f>
        <v>0</v>
      </c>
      <c r="H20" s="18">
        <f>'Comp YTD 2020-2019 '!H19</f>
        <v>0</v>
      </c>
      <c r="I20" s="18">
        <f>SUM(B20:H20)</f>
        <v>506949843.35000002</v>
      </c>
      <c r="J20" s="19"/>
      <c r="K20" s="11" t="s">
        <v>402</v>
      </c>
      <c r="L20" s="18">
        <f>'Comp YTD 2020-2019 '!B201</f>
        <v>420541303.49999994</v>
      </c>
      <c r="M20" s="18">
        <f>'Comp YTD 2020-2019 '!C201</f>
        <v>5717036.290000001</v>
      </c>
      <c r="N20" s="18">
        <f>'Comp YTD 2020-2019 '!D201</f>
        <v>267372.19</v>
      </c>
      <c r="O20" s="18">
        <f>'Comp YTD 2020-2019 '!E201</f>
        <v>0</v>
      </c>
      <c r="P20" s="18">
        <f>'Comp YTD 2020-2019 '!F201</f>
        <v>145906.62000000002</v>
      </c>
      <c r="Q20" s="18">
        <f>'Comp YTD 2020-2019 '!G201</f>
        <v>0</v>
      </c>
      <c r="R20" s="18">
        <f>'Comp YTD 2020-2019 '!H201</f>
        <v>0</v>
      </c>
      <c r="S20" s="18">
        <f t="shared" ref="S20:S27" si="0">SUM(L20:R20)</f>
        <v>426671618.59999996</v>
      </c>
      <c r="T20" s="18"/>
      <c r="U20" s="11" t="s">
        <v>402</v>
      </c>
      <c r="V20" s="19"/>
      <c r="W20" s="18">
        <f>I20</f>
        <v>506949843.35000002</v>
      </c>
      <c r="X20" s="19"/>
      <c r="Y20" s="18">
        <f t="shared" ref="Y20:Y27" si="1">S20</f>
        <v>426671618.59999996</v>
      </c>
      <c r="Z20" s="19"/>
      <c r="AA20" s="18">
        <f>I20-S20</f>
        <v>80278224.75000006</v>
      </c>
      <c r="AB20" s="18"/>
      <c r="AC20" s="19">
        <f>I20/S20</f>
        <v>1.1881499055723694</v>
      </c>
      <c r="AD20" s="18"/>
      <c r="AE20" s="19">
        <f>AC20-1</f>
        <v>0.18814990557236944</v>
      </c>
    </row>
    <row r="21" spans="1:31" s="11" customFormat="1" ht="30" customHeight="1" x14ac:dyDescent="0.5">
      <c r="A21" s="17" t="s">
        <v>221</v>
      </c>
      <c r="B21" s="20">
        <f t="shared" ref="B21:H21" si="2">SUM(B20:B20)</f>
        <v>501679032.42000002</v>
      </c>
      <c r="C21" s="20">
        <f t="shared" si="2"/>
        <v>4581131.8000000007</v>
      </c>
      <c r="D21" s="20">
        <f t="shared" si="2"/>
        <v>549853.75999999989</v>
      </c>
      <c r="E21" s="20">
        <f t="shared" si="2"/>
        <v>0</v>
      </c>
      <c r="F21" s="20">
        <f t="shared" si="2"/>
        <v>139825.37</v>
      </c>
      <c r="G21" s="20">
        <f t="shared" si="2"/>
        <v>0</v>
      </c>
      <c r="H21" s="20">
        <f t="shared" si="2"/>
        <v>0</v>
      </c>
      <c r="I21" s="20">
        <f>SUM(B21:H21)</f>
        <v>506949843.35000002</v>
      </c>
      <c r="J21" s="19"/>
      <c r="K21" s="17" t="s">
        <v>221</v>
      </c>
      <c r="L21" s="20">
        <f>SUM(L20:L20)</f>
        <v>420541303.49999994</v>
      </c>
      <c r="M21" s="20">
        <f t="shared" ref="M21:R21" si="3">SUM(M20:M20)</f>
        <v>5717036.290000001</v>
      </c>
      <c r="N21" s="20">
        <f t="shared" si="3"/>
        <v>267372.19</v>
      </c>
      <c r="O21" s="20">
        <f t="shared" si="3"/>
        <v>0</v>
      </c>
      <c r="P21" s="20">
        <f t="shared" si="3"/>
        <v>145906.62000000002</v>
      </c>
      <c r="Q21" s="20">
        <f>SUM(Q20:Q20)</f>
        <v>0</v>
      </c>
      <c r="R21" s="20">
        <f t="shared" si="3"/>
        <v>0</v>
      </c>
      <c r="S21" s="20">
        <f t="shared" si="0"/>
        <v>426671618.59999996</v>
      </c>
      <c r="T21" s="18"/>
      <c r="U21" s="17" t="s">
        <v>221</v>
      </c>
      <c r="V21" s="19"/>
      <c r="W21" s="20">
        <f>I21</f>
        <v>506949843.35000002</v>
      </c>
      <c r="X21" s="19"/>
      <c r="Y21" s="20">
        <f t="shared" si="1"/>
        <v>426671618.59999996</v>
      </c>
      <c r="Z21" s="19"/>
      <c r="AA21" s="20">
        <f>I21-S21</f>
        <v>80278224.75000006</v>
      </c>
      <c r="AB21" s="18"/>
      <c r="AC21" s="21">
        <f>I21/S21</f>
        <v>1.1881499055723694</v>
      </c>
      <c r="AD21" s="20"/>
      <c r="AE21" s="21">
        <f t="shared" ref="AE21:AE27" si="4">AC21-1</f>
        <v>0.18814990557236944</v>
      </c>
    </row>
    <row r="22" spans="1:31" s="11" customFormat="1" ht="30" customHeight="1" x14ac:dyDescent="0.5">
      <c r="B22" s="18"/>
      <c r="C22" s="18"/>
      <c r="D22" s="18"/>
      <c r="E22" s="18"/>
      <c r="F22" s="18"/>
      <c r="G22" s="18"/>
      <c r="H22" s="18"/>
      <c r="I22" s="18">
        <f>SUM(B22:H22)</f>
        <v>0</v>
      </c>
      <c r="L22" s="18"/>
      <c r="M22" s="18"/>
      <c r="N22" s="18"/>
      <c r="O22" s="18"/>
      <c r="P22" s="18"/>
      <c r="Q22" s="18"/>
      <c r="R22" s="18"/>
      <c r="S22" s="18">
        <f t="shared" si="0"/>
        <v>0</v>
      </c>
      <c r="T22" s="18"/>
      <c r="W22" s="18"/>
      <c r="Y22" s="18">
        <f t="shared" si="1"/>
        <v>0</v>
      </c>
      <c r="AA22" s="18"/>
      <c r="AB22" s="18"/>
      <c r="AC22" s="22"/>
      <c r="AD22" s="18"/>
      <c r="AE22" s="22"/>
    </row>
    <row r="23" spans="1:31" s="11" customFormat="1" ht="30" customHeight="1" x14ac:dyDescent="0.5">
      <c r="A23" s="17" t="s">
        <v>206</v>
      </c>
      <c r="B23" s="18"/>
      <c r="C23" s="18"/>
      <c r="D23" s="18"/>
      <c r="E23" s="18"/>
      <c r="F23" s="18"/>
      <c r="G23" s="18"/>
      <c r="H23" s="18"/>
      <c r="I23" s="18">
        <f>SUM(B23:H23)</f>
        <v>0</v>
      </c>
      <c r="K23" s="17" t="s">
        <v>206</v>
      </c>
      <c r="L23" s="18"/>
      <c r="M23" s="18"/>
      <c r="N23" s="18"/>
      <c r="O23" s="18"/>
      <c r="P23" s="18"/>
      <c r="Q23" s="18"/>
      <c r="R23" s="18"/>
      <c r="S23" s="18">
        <f t="shared" si="0"/>
        <v>0</v>
      </c>
      <c r="T23" s="18"/>
      <c r="U23" s="17" t="s">
        <v>206</v>
      </c>
      <c r="W23" s="18"/>
      <c r="Y23" s="18">
        <f t="shared" si="1"/>
        <v>0</v>
      </c>
      <c r="AA23" s="18"/>
      <c r="AB23" s="18"/>
      <c r="AC23" s="22"/>
      <c r="AD23" s="18"/>
      <c r="AE23" s="22"/>
    </row>
    <row r="24" spans="1:31" s="11" customFormat="1" ht="30" customHeight="1" x14ac:dyDescent="0.5">
      <c r="A24" s="11" t="s">
        <v>403</v>
      </c>
      <c r="B24" s="18">
        <f>'Comp YTD 2020-2019 '!B30</f>
        <v>500536895.93000001</v>
      </c>
      <c r="C24" s="18">
        <f>'Comp YTD 2020-2019 '!C30</f>
        <v>4521660.51</v>
      </c>
      <c r="D24" s="18">
        <f>'Comp YTD 2020-2019 '!D30</f>
        <v>29243.75</v>
      </c>
      <c r="E24" s="18">
        <f>'Comp YTD 2020-2019 '!E30</f>
        <v>0</v>
      </c>
      <c r="F24" s="18">
        <f>'Comp YTD 2020-2019 '!F30</f>
        <v>550.32000000000005</v>
      </c>
      <c r="G24" s="18">
        <f>'Comp YTD 2020-2019 '!G30</f>
        <v>0</v>
      </c>
      <c r="H24" s="18">
        <f>'Comp YTD 2020-2019 '!H30</f>
        <v>0</v>
      </c>
      <c r="I24" s="18">
        <f>'Comp YTD 2020-2019 '!I30</f>
        <v>505088350.50999999</v>
      </c>
      <c r="J24" s="19"/>
      <c r="K24" s="11" t="s">
        <v>403</v>
      </c>
      <c r="L24" s="18">
        <f>'Comp YTD 2020-2019 '!B212</f>
        <v>419852947.01000011</v>
      </c>
      <c r="M24" s="18">
        <f>'Comp YTD 2020-2019 '!C212</f>
        <v>5621861.6799999997</v>
      </c>
      <c r="N24" s="18">
        <f>'Comp YTD 2020-2019 '!D212</f>
        <v>88443.989999999991</v>
      </c>
      <c r="O24" s="18">
        <f>'Comp YTD 2020-2019 '!E212</f>
        <v>0</v>
      </c>
      <c r="P24" s="18">
        <f>'Comp YTD 2020-2019 '!F212</f>
        <v>438.75</v>
      </c>
      <c r="Q24" s="18">
        <f>'Comp YTD 2020-2019 '!G212</f>
        <v>0</v>
      </c>
      <c r="R24" s="18">
        <f>'Comp YTD 2020-2019 '!H212</f>
        <v>0</v>
      </c>
      <c r="S24" s="18">
        <f t="shared" si="0"/>
        <v>425563691.43000013</v>
      </c>
      <c r="T24" s="18"/>
      <c r="U24" s="11" t="s">
        <v>403</v>
      </c>
      <c r="V24" s="19"/>
      <c r="W24" s="18">
        <f>I24</f>
        <v>505088350.50999999</v>
      </c>
      <c r="X24" s="19"/>
      <c r="Y24" s="18">
        <f t="shared" si="1"/>
        <v>425563691.43000013</v>
      </c>
      <c r="Z24" s="19"/>
      <c r="AA24" s="18">
        <f>I24-S24</f>
        <v>79524659.079999864</v>
      </c>
      <c r="AB24" s="18"/>
      <c r="AC24" s="19">
        <f>I24/S24</f>
        <v>1.1868689944219093</v>
      </c>
      <c r="AD24" s="18"/>
      <c r="AE24" s="19">
        <f t="shared" si="4"/>
        <v>0.1868689944219093</v>
      </c>
    </row>
    <row r="25" spans="1:31" s="11" customFormat="1" ht="30" customHeight="1" x14ac:dyDescent="0.5">
      <c r="A25" s="17" t="s">
        <v>222</v>
      </c>
      <c r="B25" s="20">
        <f t="shared" ref="B25:H25" si="5">SUM(B24:B24)</f>
        <v>500536895.93000001</v>
      </c>
      <c r="C25" s="20">
        <f>SUM(C24:C24)</f>
        <v>4521660.51</v>
      </c>
      <c r="D25" s="20">
        <f t="shared" si="5"/>
        <v>29243.75</v>
      </c>
      <c r="E25" s="20">
        <f t="shared" si="5"/>
        <v>0</v>
      </c>
      <c r="F25" s="20">
        <f t="shared" si="5"/>
        <v>550.32000000000005</v>
      </c>
      <c r="G25" s="20">
        <f t="shared" si="5"/>
        <v>0</v>
      </c>
      <c r="H25" s="20">
        <f t="shared" si="5"/>
        <v>0</v>
      </c>
      <c r="I25" s="20">
        <f t="shared" ref="I25:I31" si="6">SUM(B25:H25)</f>
        <v>505088350.50999999</v>
      </c>
      <c r="J25" s="19"/>
      <c r="K25" s="17" t="s">
        <v>222</v>
      </c>
      <c r="L25" s="20">
        <f t="shared" ref="L25:R25" si="7">SUM(L24:L24)</f>
        <v>419852947.01000011</v>
      </c>
      <c r="M25" s="20">
        <f t="shared" si="7"/>
        <v>5621861.6799999997</v>
      </c>
      <c r="N25" s="20">
        <f t="shared" si="7"/>
        <v>88443.989999999991</v>
      </c>
      <c r="O25" s="20">
        <f t="shared" si="7"/>
        <v>0</v>
      </c>
      <c r="P25" s="20">
        <f t="shared" si="7"/>
        <v>438.75</v>
      </c>
      <c r="Q25" s="20">
        <f t="shared" si="7"/>
        <v>0</v>
      </c>
      <c r="R25" s="20">
        <f t="shared" si="7"/>
        <v>0</v>
      </c>
      <c r="S25" s="20">
        <f t="shared" si="0"/>
        <v>425563691.43000013</v>
      </c>
      <c r="T25" s="18"/>
      <c r="U25" s="17" t="s">
        <v>222</v>
      </c>
      <c r="V25" s="19"/>
      <c r="W25" s="20">
        <f>I25</f>
        <v>505088350.50999999</v>
      </c>
      <c r="X25" s="19"/>
      <c r="Y25" s="20">
        <f t="shared" si="1"/>
        <v>425563691.43000013</v>
      </c>
      <c r="Z25" s="19"/>
      <c r="AA25" s="20">
        <f>SUM(AA24:AA24)</f>
        <v>79524659.079999864</v>
      </c>
      <c r="AB25" s="18"/>
      <c r="AC25" s="21">
        <f>I25/S25</f>
        <v>1.1868689944219093</v>
      </c>
      <c r="AD25" s="20"/>
      <c r="AE25" s="21">
        <f t="shared" si="4"/>
        <v>0.1868689944219093</v>
      </c>
    </row>
    <row r="26" spans="1:31" s="11" customFormat="1" ht="30" customHeight="1" x14ac:dyDescent="0.5">
      <c r="B26" s="18"/>
      <c r="C26" s="18"/>
      <c r="D26" s="18"/>
      <c r="E26" s="18"/>
      <c r="F26" s="18"/>
      <c r="G26" s="18"/>
      <c r="H26" s="18"/>
      <c r="I26" s="18">
        <f t="shared" si="6"/>
        <v>0</v>
      </c>
      <c r="L26" s="18"/>
      <c r="M26" s="18"/>
      <c r="N26" s="18"/>
      <c r="O26" s="18"/>
      <c r="P26" s="18"/>
      <c r="Q26" s="18"/>
      <c r="R26" s="18"/>
      <c r="S26" s="18">
        <f t="shared" si="0"/>
        <v>0</v>
      </c>
      <c r="T26" s="18"/>
      <c r="W26" s="18">
        <f>I26</f>
        <v>0</v>
      </c>
      <c r="Y26" s="18">
        <f t="shared" si="1"/>
        <v>0</v>
      </c>
      <c r="AA26" s="18"/>
      <c r="AB26" s="18"/>
      <c r="AC26" s="19"/>
      <c r="AD26" s="18"/>
      <c r="AE26" s="19"/>
    </row>
    <row r="27" spans="1:31" s="11" customFormat="1" ht="30" customHeight="1" thickBot="1" x14ac:dyDescent="0.55000000000000004">
      <c r="A27" s="17" t="s">
        <v>209</v>
      </c>
      <c r="B27" s="23">
        <f t="shared" ref="B27:H27" si="8">B21-B25</f>
        <v>1142136.4900000095</v>
      </c>
      <c r="C27" s="23">
        <f t="shared" si="8"/>
        <v>59471.290000000969</v>
      </c>
      <c r="D27" s="23">
        <f t="shared" si="8"/>
        <v>520610.00999999989</v>
      </c>
      <c r="E27" s="23">
        <f t="shared" si="8"/>
        <v>0</v>
      </c>
      <c r="F27" s="23">
        <f t="shared" si="8"/>
        <v>139275.04999999999</v>
      </c>
      <c r="G27" s="23">
        <f>G21-G25</f>
        <v>0</v>
      </c>
      <c r="H27" s="23">
        <f t="shared" si="8"/>
        <v>0</v>
      </c>
      <c r="I27" s="23">
        <f t="shared" si="6"/>
        <v>1861492.8400000103</v>
      </c>
      <c r="K27" s="17" t="s">
        <v>209</v>
      </c>
      <c r="L27" s="23">
        <f t="shared" ref="L27:R27" si="9">L21-L25</f>
        <v>688356.48999983072</v>
      </c>
      <c r="M27" s="23">
        <f t="shared" si="9"/>
        <v>95174.610000001267</v>
      </c>
      <c r="N27" s="23">
        <f t="shared" si="9"/>
        <v>178928.2</v>
      </c>
      <c r="O27" s="23">
        <f t="shared" si="9"/>
        <v>0</v>
      </c>
      <c r="P27" s="23">
        <f t="shared" si="9"/>
        <v>145467.87000000002</v>
      </c>
      <c r="Q27" s="23">
        <f>Q21-Q25</f>
        <v>0</v>
      </c>
      <c r="R27" s="23">
        <f t="shared" si="9"/>
        <v>0</v>
      </c>
      <c r="S27" s="23">
        <f t="shared" si="0"/>
        <v>1107927.1699998321</v>
      </c>
      <c r="T27" s="18"/>
      <c r="U27" s="17" t="s">
        <v>209</v>
      </c>
      <c r="W27" s="23">
        <f>I27</f>
        <v>1861492.8400000103</v>
      </c>
      <c r="Y27" s="23">
        <f t="shared" si="1"/>
        <v>1107927.1699998321</v>
      </c>
      <c r="AA27" s="23">
        <f>I27-S27</f>
        <v>753565.67000017827</v>
      </c>
      <c r="AB27" s="18"/>
      <c r="AC27" s="24">
        <f>I27/S27</f>
        <v>1.6801581280837192</v>
      </c>
      <c r="AD27" s="23"/>
      <c r="AE27" s="24">
        <f t="shared" si="4"/>
        <v>0.68015812808371923</v>
      </c>
    </row>
    <row r="28" spans="1:31" s="11" customFormat="1" ht="30" customHeight="1" x14ac:dyDescent="0.5">
      <c r="B28" s="18"/>
      <c r="C28" s="18"/>
      <c r="D28" s="18"/>
      <c r="E28" s="18"/>
      <c r="F28" s="18"/>
      <c r="G28" s="18"/>
      <c r="H28" s="18"/>
      <c r="I28" s="18">
        <f t="shared" si="6"/>
        <v>0</v>
      </c>
      <c r="L28" s="18"/>
      <c r="M28" s="18"/>
      <c r="N28" s="18"/>
      <c r="O28" s="18"/>
      <c r="P28" s="18"/>
      <c r="Q28" s="18"/>
      <c r="R28" s="18"/>
      <c r="S28" s="18"/>
      <c r="T28" s="18"/>
      <c r="W28" s="18"/>
      <c r="Y28" s="18"/>
      <c r="AA28" s="18"/>
      <c r="AB28" s="18"/>
      <c r="AC28" s="22"/>
      <c r="AD28" s="18"/>
      <c r="AE28" s="22"/>
    </row>
    <row r="29" spans="1:31" s="11" customFormat="1" ht="30" customHeight="1" x14ac:dyDescent="0.5">
      <c r="A29" s="17" t="s">
        <v>207</v>
      </c>
      <c r="B29" s="18"/>
      <c r="C29" s="18"/>
      <c r="D29" s="18"/>
      <c r="E29" s="18"/>
      <c r="F29" s="18"/>
      <c r="G29" s="18"/>
      <c r="H29" s="18"/>
      <c r="I29" s="18">
        <f t="shared" si="6"/>
        <v>0</v>
      </c>
      <c r="K29" s="17" t="s">
        <v>207</v>
      </c>
      <c r="L29" s="18"/>
      <c r="M29" s="18"/>
      <c r="N29" s="18"/>
      <c r="O29" s="18"/>
      <c r="P29" s="18"/>
      <c r="Q29" s="18"/>
      <c r="R29" s="18"/>
      <c r="S29" s="18"/>
      <c r="T29" s="18"/>
      <c r="U29" s="17" t="s">
        <v>207</v>
      </c>
      <c r="W29" s="18"/>
      <c r="Y29" s="18"/>
      <c r="AA29" s="18"/>
      <c r="AB29" s="18"/>
      <c r="AC29" s="22"/>
      <c r="AD29" s="18"/>
      <c r="AE29" s="22"/>
    </row>
    <row r="30" spans="1:31" s="11" customFormat="1" ht="30" customHeight="1" x14ac:dyDescent="0.5">
      <c r="A30" s="17" t="s">
        <v>223</v>
      </c>
      <c r="B30" s="18">
        <f>'Comp YTD 2020-2019 '!B47</f>
        <v>337233.26999999996</v>
      </c>
      <c r="C30" s="18">
        <f>'Comp YTD 2020-2019 '!C47</f>
        <v>82060.159999999989</v>
      </c>
      <c r="D30" s="18">
        <f>'Comp YTD 2020-2019 '!D47</f>
        <v>109543.53000000001</v>
      </c>
      <c r="E30" s="18">
        <f>'Comp YTD 2020-2019 '!E47</f>
        <v>0</v>
      </c>
      <c r="F30" s="18">
        <f>'Comp YTD 2020-2019 '!F47</f>
        <v>54769.750000000007</v>
      </c>
      <c r="G30" s="18">
        <f>'Comp YTD 2020-2019 '!G47</f>
        <v>0</v>
      </c>
      <c r="H30" s="18">
        <f>'Comp YTD 2020-2019 '!H47</f>
        <v>0</v>
      </c>
      <c r="I30" s="18">
        <f t="shared" si="6"/>
        <v>583606.71</v>
      </c>
      <c r="K30" s="17" t="s">
        <v>223</v>
      </c>
      <c r="L30" s="18">
        <f>'Comp YTD 2020-2019 '!B229</f>
        <v>279292.75999999995</v>
      </c>
      <c r="M30" s="18">
        <f>'Comp YTD 2020-2019 '!C229</f>
        <v>68700.079999999987</v>
      </c>
      <c r="N30" s="18">
        <f>'Comp YTD 2020-2019 '!D229</f>
        <v>97613.52</v>
      </c>
      <c r="O30" s="18">
        <f>'Comp YTD 2020-2019 '!E229</f>
        <v>0</v>
      </c>
      <c r="P30" s="18">
        <f>'Comp YTD 2020-2019 '!F229</f>
        <v>47250.83</v>
      </c>
      <c r="Q30" s="18">
        <f>'Comp YTD 2020-2019 '!G229</f>
        <v>0</v>
      </c>
      <c r="R30" s="18">
        <f>'Comp YTD 2020-2019 '!H229</f>
        <v>0</v>
      </c>
      <c r="S30" s="18">
        <f>SUM(L30:R30)</f>
        <v>492857.19</v>
      </c>
      <c r="T30" s="18"/>
      <c r="U30" s="17" t="s">
        <v>223</v>
      </c>
      <c r="W30" s="18">
        <f>I30</f>
        <v>583606.71</v>
      </c>
      <c r="Y30" s="18">
        <f t="shared" ref="Y30:Y37" si="10">S30</f>
        <v>492857.19</v>
      </c>
      <c r="AA30" s="18">
        <f>I30-S30</f>
        <v>90749.51999999996</v>
      </c>
      <c r="AB30" s="18"/>
      <c r="AC30" s="22">
        <f>I30/S30</f>
        <v>1.1841294432571836</v>
      </c>
      <c r="AD30" s="18"/>
      <c r="AE30" s="22">
        <f>AC30-1</f>
        <v>0.18412944325718361</v>
      </c>
    </row>
    <row r="31" spans="1:31" s="11" customFormat="1" ht="30" customHeight="1" x14ac:dyDescent="0.5">
      <c r="A31" s="17" t="s">
        <v>477</v>
      </c>
      <c r="B31" s="18">
        <f>'Comp YTD 2020-2019 '!B72</f>
        <v>205104.56</v>
      </c>
      <c r="C31" s="18">
        <f>'Comp YTD 2020-2019 '!C72</f>
        <v>7923.8099999999995</v>
      </c>
      <c r="D31" s="18">
        <f>'Comp YTD 2020-2019 '!D72</f>
        <v>95705.33</v>
      </c>
      <c r="E31" s="18">
        <f>'Comp YTD 2020-2019 '!E72</f>
        <v>110</v>
      </c>
      <c r="F31" s="18">
        <f>'Comp YTD 2020-2019 '!F72</f>
        <v>34576.76</v>
      </c>
      <c r="G31" s="18">
        <f>'Comp YTD 2020-2019 '!G72</f>
        <v>9253.2800000000007</v>
      </c>
      <c r="H31" s="18">
        <f>'Comp YTD 2020-2019 '!H72</f>
        <v>14546.42</v>
      </c>
      <c r="I31" s="18">
        <f t="shared" si="6"/>
        <v>367220.16000000003</v>
      </c>
      <c r="K31" s="17" t="s">
        <v>477</v>
      </c>
      <c r="L31" s="18">
        <f>'Comp YTD 2020-2019 '!B259</f>
        <v>213833.94999999998</v>
      </c>
      <c r="M31" s="18">
        <f>'Comp YTD 2020-2019 '!C259</f>
        <v>8402.6999999999989</v>
      </c>
      <c r="N31" s="18">
        <f>'Comp YTD 2020-2019 '!D259</f>
        <v>105981.48</v>
      </c>
      <c r="O31" s="18">
        <f>'Comp YTD 2020-2019 '!E259</f>
        <v>109</v>
      </c>
      <c r="P31" s="18">
        <f>'Comp YTD 2020-2019 '!F259</f>
        <v>31764.66</v>
      </c>
      <c r="Q31" s="18">
        <f>'Comp YTD 2020-2019 '!G259</f>
        <v>9292.1</v>
      </c>
      <c r="R31" s="18">
        <f>'Comp YTD 2020-2019 '!H259</f>
        <v>15477.31</v>
      </c>
      <c r="S31" s="18">
        <f>SUM(L31:R31)</f>
        <v>384861.19999999995</v>
      </c>
      <c r="T31" s="18"/>
      <c r="U31" s="17" t="s">
        <v>477</v>
      </c>
      <c r="W31" s="18">
        <f>I31</f>
        <v>367220.16000000003</v>
      </c>
      <c r="Y31" s="18">
        <f t="shared" si="10"/>
        <v>384861.19999999995</v>
      </c>
      <c r="AA31" s="18">
        <f>I31-S31</f>
        <v>-17641.039999999921</v>
      </c>
      <c r="AB31" s="18"/>
      <c r="AC31" s="22">
        <f>I31/S31</f>
        <v>0.95416259160445394</v>
      </c>
      <c r="AD31" s="18"/>
      <c r="AE31" s="22">
        <f>AC31-1</f>
        <v>-4.5837408395546064E-2</v>
      </c>
    </row>
    <row r="32" spans="1:31" s="11" customFormat="1" ht="30" customHeight="1" x14ac:dyDescent="0.5">
      <c r="A32" s="17" t="s">
        <v>248</v>
      </c>
      <c r="B32" s="18">
        <f>'Comp YTD 2020-2019 '!B101</f>
        <v>54628.079999999994</v>
      </c>
      <c r="C32" s="18">
        <f>'Comp YTD 2020-2019 '!C101</f>
        <v>4384.3799999999992</v>
      </c>
      <c r="D32" s="18">
        <f>'Comp YTD 2020-2019 '!D101</f>
        <v>7306.66</v>
      </c>
      <c r="E32" s="18">
        <f>'Comp YTD 2020-2019 '!E101</f>
        <v>251.99</v>
      </c>
      <c r="F32" s="18">
        <f>'Comp YTD 2020-2019 '!F101</f>
        <v>4622.2800000000007</v>
      </c>
      <c r="G32" s="18">
        <f>'Comp YTD 2020-2019 '!G101</f>
        <v>1110.9299999999998</v>
      </c>
      <c r="H32" s="18">
        <f>'Comp YTD 2020-2019 '!H101</f>
        <v>333.33</v>
      </c>
      <c r="I32" s="18">
        <f>'Comp YTD 2020-2019 '!I101</f>
        <v>72637.649999999994</v>
      </c>
      <c r="K32" s="17" t="s">
        <v>248</v>
      </c>
      <c r="L32" s="18">
        <f>'Comp YTD 2020-2019 '!B282</f>
        <v>55165.169999999991</v>
      </c>
      <c r="M32" s="18">
        <f>'Comp YTD 2020-2019 '!C282</f>
        <v>6999.42</v>
      </c>
      <c r="N32" s="18">
        <f>'Comp YTD 2020-2019 '!D282</f>
        <v>10028.06</v>
      </c>
      <c r="O32" s="18">
        <f>'Comp YTD 2020-2019 '!E282</f>
        <v>245.98000000000002</v>
      </c>
      <c r="P32" s="18">
        <f>'Comp YTD 2020-2019 '!F282</f>
        <v>3666.06</v>
      </c>
      <c r="Q32" s="18">
        <f>'Comp YTD 2020-2019 '!G282</f>
        <v>150</v>
      </c>
      <c r="R32" s="18">
        <f>'Comp YTD 2020-2019 '!H282</f>
        <v>0</v>
      </c>
      <c r="S32" s="18">
        <f>SUM(L32:R32)</f>
        <v>76254.689999999988</v>
      </c>
      <c r="T32" s="18"/>
      <c r="U32" s="17" t="s">
        <v>248</v>
      </c>
      <c r="W32" s="18">
        <f>I32</f>
        <v>72637.649999999994</v>
      </c>
      <c r="Y32" s="18">
        <f t="shared" si="10"/>
        <v>76254.689999999988</v>
      </c>
      <c r="AA32" s="18">
        <f>I32-S32</f>
        <v>-3617.0399999999936</v>
      </c>
      <c r="AB32" s="18"/>
      <c r="AC32" s="22">
        <f>I32/S32</f>
        <v>0.95256632739573144</v>
      </c>
      <c r="AD32" s="18"/>
      <c r="AE32" s="22">
        <f>AC32-1</f>
        <v>-4.7433672604268562E-2</v>
      </c>
    </row>
    <row r="33" spans="1:32" s="11" customFormat="1" ht="30" customHeight="1" thickBot="1" x14ac:dyDescent="0.55000000000000004">
      <c r="A33" s="17" t="s">
        <v>262</v>
      </c>
      <c r="B33" s="23">
        <f>SUM(B30:B32)</f>
        <v>596965.90999999992</v>
      </c>
      <c r="C33" s="23">
        <f>SUM(C30:C32)</f>
        <v>94368.349999999991</v>
      </c>
      <c r="D33" s="23">
        <f t="shared" ref="D33:I33" si="11">SUM(D30:D32)</f>
        <v>212555.52000000002</v>
      </c>
      <c r="E33" s="23">
        <f t="shared" si="11"/>
        <v>361.99</v>
      </c>
      <c r="F33" s="23">
        <f t="shared" si="11"/>
        <v>93968.790000000008</v>
      </c>
      <c r="G33" s="23">
        <f>SUM(G30:G32)</f>
        <v>10364.210000000001</v>
      </c>
      <c r="H33" s="23">
        <f t="shared" si="11"/>
        <v>14879.75</v>
      </c>
      <c r="I33" s="23">
        <f t="shared" si="11"/>
        <v>1023464.52</v>
      </c>
      <c r="K33" s="17" t="s">
        <v>262</v>
      </c>
      <c r="L33" s="23">
        <f>SUM(L30:L32)</f>
        <v>548291.88</v>
      </c>
      <c r="M33" s="23">
        <f t="shared" ref="M33:R33" si="12">SUM(M30:M32)</f>
        <v>84102.199999999983</v>
      </c>
      <c r="N33" s="23">
        <f t="shared" si="12"/>
        <v>213623.06</v>
      </c>
      <c r="O33" s="23">
        <f t="shared" si="12"/>
        <v>354.98</v>
      </c>
      <c r="P33" s="23">
        <f t="shared" si="12"/>
        <v>82681.55</v>
      </c>
      <c r="Q33" s="23">
        <f>SUM(Q30:Q32)</f>
        <v>9442.1</v>
      </c>
      <c r="R33" s="23">
        <f t="shared" si="12"/>
        <v>15477.31</v>
      </c>
      <c r="S33" s="23">
        <f>SUM(S30:S32)</f>
        <v>953973.07999999984</v>
      </c>
      <c r="T33" s="18"/>
      <c r="U33" s="17" t="s">
        <v>262</v>
      </c>
      <c r="W33" s="23">
        <f>I33</f>
        <v>1023464.52</v>
      </c>
      <c r="Y33" s="23">
        <f t="shared" si="10"/>
        <v>953973.07999999984</v>
      </c>
      <c r="AA33" s="23">
        <f>I33-S33</f>
        <v>69491.440000000177</v>
      </c>
      <c r="AB33" s="18"/>
      <c r="AC33" s="25">
        <f>I33/S33</f>
        <v>1.0728442358142853</v>
      </c>
      <c r="AD33" s="23"/>
      <c r="AE33" s="25">
        <f>AC33-1</f>
        <v>7.2844235814285341E-2</v>
      </c>
    </row>
    <row r="34" spans="1:32" s="11" customFormat="1" ht="30" customHeight="1" x14ac:dyDescent="0.5">
      <c r="B34" s="18"/>
      <c r="C34" s="18"/>
      <c r="D34" s="18"/>
      <c r="E34" s="18"/>
      <c r="F34" s="18"/>
      <c r="G34" s="18"/>
      <c r="H34" s="18"/>
      <c r="I34" s="18"/>
      <c r="L34" s="18"/>
      <c r="M34" s="18"/>
      <c r="N34" s="18"/>
      <c r="O34" s="18"/>
      <c r="P34" s="18"/>
      <c r="Q34" s="18"/>
      <c r="R34" s="18"/>
      <c r="S34" s="18"/>
      <c r="T34" s="18"/>
      <c r="W34" s="14"/>
      <c r="Y34" s="14">
        <f t="shared" si="10"/>
        <v>0</v>
      </c>
      <c r="AA34" s="14"/>
      <c r="AB34" s="14"/>
      <c r="AC34" s="22"/>
      <c r="AD34" s="14"/>
      <c r="AE34" s="22"/>
    </row>
    <row r="35" spans="1:32" s="11" customFormat="1" ht="30" customHeight="1" x14ac:dyDescent="0.5">
      <c r="A35" s="17" t="s">
        <v>454</v>
      </c>
      <c r="B35" s="18">
        <f>'Comp YTD 2020-2019 '!B122</f>
        <v>41637.839999999997</v>
      </c>
      <c r="C35" s="18">
        <f>'Comp YTD 2020-2019 '!C122</f>
        <v>-2098.54</v>
      </c>
      <c r="D35" s="18">
        <f>'Comp YTD 2020-2019 '!D122</f>
        <v>28261.440000000002</v>
      </c>
      <c r="E35" s="18">
        <f>'Comp YTD 2020-2019 '!E122</f>
        <v>4327.8999999999996</v>
      </c>
      <c r="F35" s="18">
        <f>'Comp YTD 2020-2019 '!F122</f>
        <v>-3665.8700000000008</v>
      </c>
      <c r="G35" s="18">
        <f>'Comp YTD 2020-2019 '!G122</f>
        <v>27244.66</v>
      </c>
      <c r="H35" s="18">
        <f>'Comp YTD 2020-2019 '!H122</f>
        <v>34437.5</v>
      </c>
      <c r="I35" s="18">
        <f>SUM(B35:H35)</f>
        <v>130144.93</v>
      </c>
      <c r="K35" s="17" t="s">
        <v>454</v>
      </c>
      <c r="L35" s="18">
        <f>'Comp YTD 2020-2019 '!B307</f>
        <v>41335.019999999997</v>
      </c>
      <c r="M35" s="18">
        <f>'Comp YTD 2020-2019 '!C307</f>
        <v>-1614.71</v>
      </c>
      <c r="N35" s="18">
        <f>'Comp YTD 2020-2019 '!D307</f>
        <v>16377.78</v>
      </c>
      <c r="O35" s="18">
        <f>'Comp YTD 2020-2019 '!E307</f>
        <v>3745.29</v>
      </c>
      <c r="P35" s="18">
        <f>'Comp YTD 2020-2019 '!F307</f>
        <v>-3534.369999999999</v>
      </c>
      <c r="Q35" s="18">
        <f>'Comp YTD 2020-2019 '!G307</f>
        <v>25530.01</v>
      </c>
      <c r="R35" s="18">
        <f>'Comp YTD 2020-2019 '!H307</f>
        <v>14092.09</v>
      </c>
      <c r="S35" s="18">
        <f>SUM(L35:R35)</f>
        <v>95931.109999999986</v>
      </c>
      <c r="T35" s="18"/>
      <c r="U35" s="17" t="s">
        <v>454</v>
      </c>
      <c r="W35" s="14">
        <f>I35</f>
        <v>130144.93</v>
      </c>
      <c r="Y35" s="14">
        <f t="shared" si="10"/>
        <v>95931.109999999986</v>
      </c>
      <c r="AA35" s="14">
        <f>I35-S35</f>
        <v>34213.820000000007</v>
      </c>
      <c r="AB35" s="14"/>
      <c r="AC35" s="22">
        <f>I35/S35</f>
        <v>1.3566498917817171</v>
      </c>
      <c r="AD35" s="15"/>
      <c r="AE35" s="22">
        <f>AC35-1</f>
        <v>0.35664989178171713</v>
      </c>
      <c r="AF35" s="15"/>
    </row>
    <row r="36" spans="1:32" s="11" customFormat="1" ht="30" customHeight="1" x14ac:dyDescent="0.5">
      <c r="A36" s="17"/>
      <c r="B36" s="18"/>
      <c r="C36" s="18"/>
      <c r="D36" s="18"/>
      <c r="E36" s="18"/>
      <c r="F36" s="18"/>
      <c r="G36" s="18"/>
      <c r="H36" s="18"/>
      <c r="I36" s="18">
        <f>SUM(B36:H36)</f>
        <v>0</v>
      </c>
      <c r="J36" s="19"/>
      <c r="K36" s="17"/>
      <c r="L36" s="18"/>
      <c r="M36" s="18"/>
      <c r="N36" s="18"/>
      <c r="O36" s="18"/>
      <c r="P36" s="18"/>
      <c r="Q36" s="18"/>
      <c r="R36" s="18"/>
      <c r="S36" s="18">
        <f>SUM(L36:R36)</f>
        <v>0</v>
      </c>
      <c r="T36" s="18"/>
      <c r="U36" s="17"/>
      <c r="V36" s="19"/>
      <c r="W36" s="18"/>
      <c r="X36" s="19"/>
      <c r="Y36" s="18">
        <f t="shared" si="10"/>
        <v>0</v>
      </c>
      <c r="Z36" s="19"/>
      <c r="AA36" s="18"/>
      <c r="AB36" s="18"/>
      <c r="AC36" s="15"/>
      <c r="AD36" s="15"/>
      <c r="AE36" s="15"/>
      <c r="AF36" s="15"/>
    </row>
    <row r="37" spans="1:32" s="11" customFormat="1" ht="30" customHeight="1" thickBot="1" x14ac:dyDescent="0.55000000000000004">
      <c r="A37" s="17" t="s">
        <v>264</v>
      </c>
      <c r="B37" s="26">
        <f t="shared" ref="B37:I37" si="13">B27-B33+B35</f>
        <v>586808.42000000959</v>
      </c>
      <c r="C37" s="26">
        <f t="shared" si="13"/>
        <v>-36995.599999999024</v>
      </c>
      <c r="D37" s="26">
        <f t="shared" si="13"/>
        <v>336315.92999999988</v>
      </c>
      <c r="E37" s="26">
        <f t="shared" si="13"/>
        <v>3965.91</v>
      </c>
      <c r="F37" s="26">
        <f t="shared" si="13"/>
        <v>41640.389999999978</v>
      </c>
      <c r="G37" s="26">
        <f>G27-G33+G35</f>
        <v>16880.449999999997</v>
      </c>
      <c r="H37" s="26">
        <f t="shared" si="13"/>
        <v>19557.75</v>
      </c>
      <c r="I37" s="26">
        <f t="shared" si="13"/>
        <v>968173.25000001024</v>
      </c>
      <c r="K37" s="17" t="s">
        <v>264</v>
      </c>
      <c r="L37" s="26">
        <f t="shared" ref="L37:R37" si="14">L27-L33+L35</f>
        <v>181399.62999983071</v>
      </c>
      <c r="M37" s="26">
        <f t="shared" si="14"/>
        <v>9457.7000000012849</v>
      </c>
      <c r="N37" s="26">
        <f t="shared" si="14"/>
        <v>-18317.079999999987</v>
      </c>
      <c r="O37" s="26">
        <f t="shared" si="14"/>
        <v>3390.31</v>
      </c>
      <c r="P37" s="26">
        <f t="shared" si="14"/>
        <v>59251.950000000026</v>
      </c>
      <c r="Q37" s="26">
        <f>Q27-Q33+Q35</f>
        <v>16087.909999999998</v>
      </c>
      <c r="R37" s="26">
        <f t="shared" si="14"/>
        <v>-1385.2199999999993</v>
      </c>
      <c r="S37" s="26">
        <f>SUM(L37:R37)</f>
        <v>249885.19999983202</v>
      </c>
      <c r="T37" s="35"/>
      <c r="U37" s="17" t="s">
        <v>264</v>
      </c>
      <c r="W37" s="26">
        <f>W27-W33+W35</f>
        <v>968173.25000001024</v>
      </c>
      <c r="Y37" s="26">
        <f t="shared" si="10"/>
        <v>249885.19999983202</v>
      </c>
      <c r="AA37" s="26">
        <f>I37-S37</f>
        <v>718288.05000017816</v>
      </c>
      <c r="AB37" s="35"/>
      <c r="AC37" s="24">
        <f>I37/S37</f>
        <v>3.8744721576174221</v>
      </c>
      <c r="AD37" s="23"/>
      <c r="AE37" s="24">
        <f>AC37-1</f>
        <v>2.8744721576174221</v>
      </c>
      <c r="AF37" s="15"/>
    </row>
    <row r="38" spans="1:32" ht="30" customHeight="1" thickTop="1" x14ac:dyDescent="0.25">
      <c r="B38" s="9"/>
      <c r="C38" s="9"/>
      <c r="D38" s="9"/>
      <c r="E38" s="9"/>
      <c r="F38" s="9"/>
      <c r="G38" s="9"/>
      <c r="H38" s="9"/>
      <c r="I38" s="9"/>
      <c r="AD38" s="3"/>
      <c r="AF38" s="3"/>
    </row>
    <row r="39" spans="1:32" ht="30" customHeight="1" x14ac:dyDescent="0.25">
      <c r="L39" s="9"/>
      <c r="AD39" s="3"/>
      <c r="AF39" s="3"/>
    </row>
    <row r="40" spans="1:32" s="11" customFormat="1" ht="30" customHeight="1" x14ac:dyDescent="0.5">
      <c r="A40" s="11" t="s">
        <v>327</v>
      </c>
      <c r="B40" s="18">
        <f>B37-CNT!N300</f>
        <v>5.972106009721756E-8</v>
      </c>
      <c r="C40" s="18">
        <f>C37-BPM!N89</f>
        <v>-1.8844730220735073E-9</v>
      </c>
      <c r="D40" s="18">
        <f>D37-DEP!N88</f>
        <v>0</v>
      </c>
      <c r="E40" s="18">
        <f>E37-Lending!N22</f>
        <v>0</v>
      </c>
      <c r="F40" s="18">
        <f>F37-'BSC (Dome)'!N84</f>
        <v>0</v>
      </c>
      <c r="G40" s="18">
        <f>G37-'Oliari Co.'!N32</f>
        <v>0</v>
      </c>
      <c r="H40" s="18">
        <f>H37-'722 Bedford St'!N30</f>
        <v>0</v>
      </c>
      <c r="I40" s="18">
        <f>SUM(B40:H40)</f>
        <v>5.7836587075144053E-8</v>
      </c>
      <c r="J40" s="19"/>
      <c r="L40" s="18">
        <f>'Comp YTD 2020-2019 '!B309</f>
        <v>181399.62999983071</v>
      </c>
      <c r="M40" s="18">
        <f>'Comp YTD 2020-2019 '!C309</f>
        <v>9457.7000000012849</v>
      </c>
      <c r="N40" s="18">
        <f>'Comp YTD 2020-2019 '!D309</f>
        <v>-18317.079999999987</v>
      </c>
      <c r="O40" s="18">
        <f>'Comp YTD 2020-2019 '!E309</f>
        <v>3390.31</v>
      </c>
      <c r="P40" s="18">
        <f>'Comp YTD 2020-2019 '!F309</f>
        <v>59251.950000000026</v>
      </c>
      <c r="Q40" s="18">
        <f>'Comp YTD 2020-2019 '!G309</f>
        <v>16087.909999999998</v>
      </c>
      <c r="R40" s="18">
        <f>'Comp YTD 2020-2019 '!H309</f>
        <v>-1385.2199999999993</v>
      </c>
      <c r="S40" s="18">
        <f>'Comp YTD 2020-2019 '!I309</f>
        <v>249885.19999983202</v>
      </c>
      <c r="T40" s="18"/>
      <c r="V40" s="19"/>
      <c r="W40" s="18"/>
      <c r="X40" s="19"/>
      <c r="Y40" s="18"/>
      <c r="Z40" s="19"/>
      <c r="AA40" s="18"/>
      <c r="AB40" s="18"/>
      <c r="AC40" s="15"/>
      <c r="AD40" s="15"/>
      <c r="AE40" s="15"/>
      <c r="AF40" s="15"/>
    </row>
    <row r="41" spans="1:32" s="11" customFormat="1" ht="30" customHeight="1" x14ac:dyDescent="0.5">
      <c r="B41" s="18"/>
      <c r="C41" s="18"/>
      <c r="D41" s="18"/>
      <c r="E41" s="18"/>
      <c r="F41" s="18"/>
      <c r="G41" s="18"/>
      <c r="H41" s="18"/>
      <c r="I41" s="18"/>
      <c r="J41" s="19"/>
      <c r="L41" s="18">
        <f>L37-L40</f>
        <v>0</v>
      </c>
      <c r="M41" s="18">
        <f t="shared" ref="M41:R41" si="15">M37-M40</f>
        <v>0</v>
      </c>
      <c r="N41" s="18">
        <f t="shared" si="15"/>
        <v>0</v>
      </c>
      <c r="O41" s="18">
        <f t="shared" si="15"/>
        <v>0</v>
      </c>
      <c r="P41" s="18">
        <f t="shared" si="15"/>
        <v>0</v>
      </c>
      <c r="Q41" s="18">
        <f>Q37-Q40</f>
        <v>0</v>
      </c>
      <c r="R41" s="18">
        <f t="shared" si="15"/>
        <v>0</v>
      </c>
      <c r="S41" s="18">
        <f>S37-S40</f>
        <v>0</v>
      </c>
      <c r="T41" s="18"/>
      <c r="V41" s="19"/>
      <c r="W41" s="18">
        <f>I37-W37</f>
        <v>0</v>
      </c>
      <c r="X41" s="19"/>
      <c r="Y41" s="18">
        <f>Y37-S37</f>
        <v>0</v>
      </c>
      <c r="Z41" s="19"/>
      <c r="AA41" s="18">
        <f>AA21-AA25-AA33+AA35-AA37</f>
        <v>1.7229467630386353E-8</v>
      </c>
      <c r="AB41" s="18"/>
      <c r="AC41" s="15"/>
      <c r="AD41" s="15"/>
      <c r="AE41" s="15"/>
      <c r="AF41" s="15"/>
    </row>
    <row r="42" spans="1:32" s="11" customFormat="1" ht="30" customHeight="1" x14ac:dyDescent="0.5">
      <c r="B42" s="18"/>
      <c r="C42" s="18"/>
      <c r="D42" s="18"/>
      <c r="E42" s="18"/>
      <c r="F42" s="18"/>
      <c r="G42" s="18"/>
      <c r="H42" s="18"/>
      <c r="I42" s="18"/>
      <c r="J42" s="19"/>
      <c r="L42" s="18"/>
      <c r="M42" s="18"/>
      <c r="N42" s="18"/>
      <c r="O42" s="18"/>
      <c r="P42" s="18"/>
      <c r="Q42" s="18"/>
      <c r="R42" s="18"/>
      <c r="S42" s="18"/>
      <c r="T42" s="18"/>
      <c r="V42" s="19"/>
      <c r="W42" s="18"/>
      <c r="X42" s="19"/>
      <c r="Y42" s="18"/>
      <c r="Z42" s="19"/>
      <c r="AA42" s="18"/>
      <c r="AB42" s="18"/>
      <c r="AC42" s="15"/>
      <c r="AD42" s="15"/>
      <c r="AE42" s="15"/>
      <c r="AF42" s="15"/>
    </row>
    <row r="43" spans="1:32" s="11" customFormat="1" ht="30" customHeight="1" x14ac:dyDescent="0.5">
      <c r="B43" s="18"/>
      <c r="C43" s="18"/>
      <c r="D43" s="18"/>
      <c r="E43" s="18"/>
      <c r="F43" s="18"/>
      <c r="G43" s="18"/>
      <c r="H43" s="18"/>
      <c r="I43" s="18"/>
      <c r="J43" s="19"/>
      <c r="L43" s="18"/>
      <c r="M43" s="18"/>
      <c r="N43" s="18"/>
      <c r="O43" s="18"/>
      <c r="P43" s="18"/>
      <c r="Q43" s="18"/>
      <c r="R43" s="18"/>
      <c r="S43" s="18"/>
      <c r="T43" s="18"/>
      <c r="V43" s="19"/>
      <c r="W43" s="18"/>
      <c r="X43" s="19"/>
      <c r="Y43" s="18"/>
      <c r="Z43" s="19"/>
      <c r="AA43" s="18"/>
      <c r="AB43" s="18"/>
      <c r="AC43" s="15"/>
      <c r="AD43" s="15"/>
      <c r="AE43" s="15"/>
      <c r="AF43" s="15"/>
    </row>
    <row r="44" spans="1:32" x14ac:dyDescent="0.25">
      <c r="B44" s="2"/>
      <c r="C44" s="2"/>
      <c r="D44" s="2"/>
      <c r="E44" s="2"/>
    </row>
    <row r="45" spans="1:32" x14ac:dyDescent="0.25">
      <c r="B45" s="2"/>
      <c r="C45" s="2"/>
      <c r="D45" s="2"/>
      <c r="E45" s="2"/>
    </row>
    <row r="46" spans="1:32" x14ac:dyDescent="0.25">
      <c r="B46" s="2"/>
      <c r="C46" s="2"/>
      <c r="D46" s="2"/>
      <c r="E46" s="2"/>
    </row>
    <row r="47" spans="1:32" x14ac:dyDescent="0.25">
      <c r="B47" s="2"/>
      <c r="C47" s="2"/>
      <c r="D47" s="2"/>
      <c r="E47" s="2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43"/>
  <sheetViews>
    <sheetView tabSelected="1" view="pageBreakPreview" zoomScale="20" zoomScaleNormal="20" zoomScaleSheetLayoutView="20" workbookViewId="0">
      <pane ySplit="10" topLeftCell="A104" activePane="bottomLeft" state="frozen"/>
      <selection activeCell="A297" sqref="A297"/>
      <selection pane="bottomLeft" activeCell="D425" sqref="D425"/>
    </sheetView>
  </sheetViews>
  <sheetFormatPr defaultRowHeight="57.75" x14ac:dyDescent="0.85"/>
  <cols>
    <col min="1" max="1" width="179.85546875" style="39" customWidth="1"/>
    <col min="2" max="2" width="97.28515625" style="39" bestFit="1" customWidth="1"/>
    <col min="3" max="3" width="93" style="39" bestFit="1" customWidth="1"/>
    <col min="4" max="4" width="94.42578125" style="39" bestFit="1" customWidth="1"/>
    <col min="5" max="5" width="114.42578125" style="39" bestFit="1" customWidth="1"/>
    <col min="6" max="6" width="91.5703125" style="39" bestFit="1" customWidth="1"/>
    <col min="7" max="7" width="104.42578125" style="39" bestFit="1" customWidth="1"/>
    <col min="8" max="8" width="84.42578125" style="39" bestFit="1" customWidth="1"/>
    <col min="9" max="9" width="105.85546875" style="39" bestFit="1" customWidth="1"/>
    <col min="10" max="10" width="46.42578125" style="39" customWidth="1"/>
    <col min="11" max="11" width="45.85546875" style="39" bestFit="1" customWidth="1"/>
    <col min="12" max="12" width="26.85546875" style="39" customWidth="1"/>
    <col min="13" max="13" width="111.5703125" style="68" bestFit="1" customWidth="1"/>
    <col min="14" max="14" width="93" style="68" bestFit="1" customWidth="1"/>
    <col min="15" max="15" width="94.42578125" style="68" bestFit="1" customWidth="1"/>
    <col min="16" max="16" width="85.85546875" style="68" bestFit="1" customWidth="1"/>
    <col min="17" max="17" width="93" style="68" bestFit="1" customWidth="1"/>
    <col min="18" max="18" width="90.140625" style="68" bestFit="1" customWidth="1"/>
    <col min="19" max="19" width="87.28515625" style="68" bestFit="1" customWidth="1"/>
    <col min="20" max="20" width="114.42578125" style="39" bestFit="1" customWidth="1"/>
    <col min="21" max="21" width="50.140625" style="39" customWidth="1"/>
    <col min="22" max="22" width="155.42578125" style="39" bestFit="1" customWidth="1"/>
    <col min="23" max="23" width="11.42578125" style="39" customWidth="1"/>
    <col min="24" max="24" width="105.85546875" style="39" bestFit="1" customWidth="1"/>
    <col min="25" max="25" width="11.42578125" style="39" customWidth="1"/>
    <col min="26" max="26" width="114.42578125" style="39" bestFit="1" customWidth="1"/>
    <col min="27" max="27" width="11.42578125" style="39" customWidth="1"/>
    <col min="28" max="28" width="104.42578125" style="58" bestFit="1" customWidth="1"/>
    <col min="29" max="29" width="4.28515625" style="58" customWidth="1"/>
    <col min="30" max="30" width="58.7109375" style="60" bestFit="1" customWidth="1"/>
    <col min="31" max="31" width="4.28515625" style="58" customWidth="1"/>
    <col min="32" max="32" width="50.7109375" style="60" customWidth="1"/>
  </cols>
  <sheetData>
    <row r="1" spans="1:11" s="8" customFormat="1" ht="92.25" x14ac:dyDescent="1.35">
      <c r="A1" s="249">
        <v>2019</v>
      </c>
      <c r="B1" s="250"/>
      <c r="C1" s="250"/>
      <c r="D1" s="250"/>
      <c r="E1" s="250"/>
      <c r="F1" s="250"/>
      <c r="G1" s="250"/>
      <c r="H1" s="250"/>
      <c r="I1" s="250"/>
      <c r="J1" s="251"/>
      <c r="K1" s="39"/>
    </row>
    <row r="2" spans="1:11" s="8" customFormat="1" ht="92.25" x14ac:dyDescent="1.35">
      <c r="A2" s="252" t="s">
        <v>398</v>
      </c>
      <c r="B2" s="253"/>
      <c r="C2" s="253"/>
      <c r="D2" s="253"/>
      <c r="E2" s="253"/>
      <c r="F2" s="253"/>
      <c r="G2" s="253"/>
      <c r="H2" s="253"/>
      <c r="I2" s="253"/>
      <c r="J2" s="254"/>
      <c r="K2" s="39"/>
    </row>
    <row r="3" spans="1:11" s="8" customFormat="1" ht="92.25" x14ac:dyDescent="1.35">
      <c r="A3" s="252" t="s">
        <v>340</v>
      </c>
      <c r="B3" s="253"/>
      <c r="C3" s="253"/>
      <c r="D3" s="253"/>
      <c r="E3" s="253"/>
      <c r="F3" s="253"/>
      <c r="G3" s="253"/>
      <c r="H3" s="253"/>
      <c r="I3" s="253"/>
      <c r="J3" s="254"/>
      <c r="K3" s="39"/>
    </row>
    <row r="4" spans="1:11" s="8" customFormat="1" ht="92.25" x14ac:dyDescent="1.35">
      <c r="A4" s="246">
        <v>43861</v>
      </c>
      <c r="B4" s="247"/>
      <c r="C4" s="247"/>
      <c r="D4" s="247"/>
      <c r="E4" s="247"/>
      <c r="F4" s="247"/>
      <c r="G4" s="247"/>
      <c r="H4" s="247"/>
      <c r="I4" s="247"/>
      <c r="J4" s="248"/>
      <c r="K4" s="39"/>
    </row>
    <row r="5" spans="1:11" s="11" customFormat="1" ht="54.95" customHeight="1" x14ac:dyDescent="0.85">
      <c r="A5" s="40"/>
      <c r="B5" s="40"/>
      <c r="C5" s="40"/>
      <c r="D5" s="40"/>
      <c r="E5" s="40"/>
      <c r="F5" s="40"/>
      <c r="G5" s="40"/>
      <c r="H5" s="40"/>
      <c r="I5" s="40"/>
      <c r="J5" s="40"/>
      <c r="K5" s="39"/>
    </row>
    <row r="6" spans="1:11" s="11" customFormat="1" ht="54.95" customHeight="1" x14ac:dyDescent="0.85">
      <c r="A6" s="39"/>
      <c r="B6" s="39"/>
      <c r="C6" s="39"/>
      <c r="D6" s="39"/>
      <c r="E6" s="39"/>
      <c r="F6" s="39"/>
      <c r="G6" s="39"/>
      <c r="H6" s="39"/>
      <c r="I6" s="39"/>
      <c r="J6" s="40">
        <f>I10</f>
        <v>2020</v>
      </c>
      <c r="K6" s="40"/>
    </row>
    <row r="7" spans="1:11" s="11" customFormat="1" ht="54.95" customHeight="1" x14ac:dyDescent="0.85">
      <c r="A7" s="39"/>
      <c r="B7" s="39"/>
      <c r="C7" s="39"/>
      <c r="D7" s="39"/>
      <c r="E7" s="39"/>
      <c r="F7" s="39"/>
      <c r="G7" s="39"/>
      <c r="H7" s="39"/>
      <c r="I7" s="39"/>
      <c r="J7" s="40" t="s">
        <v>339</v>
      </c>
      <c r="K7" s="40"/>
    </row>
    <row r="8" spans="1:11" s="11" customFormat="1" ht="54.95" customHeight="1" x14ac:dyDescent="0.85">
      <c r="A8" s="39"/>
      <c r="B8" s="39"/>
      <c r="C8" s="39"/>
      <c r="D8" s="39"/>
      <c r="E8" s="39"/>
      <c r="F8" s="39"/>
      <c r="G8" s="39"/>
      <c r="H8" s="39"/>
      <c r="I8" s="39"/>
      <c r="J8" s="40" t="s">
        <v>337</v>
      </c>
      <c r="K8" s="40"/>
    </row>
    <row r="9" spans="1:11" s="11" customFormat="1" ht="54.95" customHeight="1" x14ac:dyDescent="0.85">
      <c r="A9" s="39"/>
      <c r="B9" s="39"/>
      <c r="C9" s="39"/>
      <c r="D9" s="39"/>
      <c r="E9" s="39"/>
      <c r="F9" s="39"/>
      <c r="G9" s="39"/>
      <c r="H9" s="39"/>
      <c r="I9" s="40" t="s">
        <v>205</v>
      </c>
      <c r="J9" s="40" t="s">
        <v>205</v>
      </c>
      <c r="K9" s="40"/>
    </row>
    <row r="10" spans="1:11" s="11" customFormat="1" ht="54.95" customHeight="1" x14ac:dyDescent="0.85">
      <c r="A10" s="39"/>
      <c r="B10" s="42" t="s">
        <v>210</v>
      </c>
      <c r="C10" s="42" t="s">
        <v>212</v>
      </c>
      <c r="D10" s="42" t="s">
        <v>211</v>
      </c>
      <c r="E10" s="42" t="s">
        <v>213</v>
      </c>
      <c r="F10" s="42" t="s">
        <v>214</v>
      </c>
      <c r="G10" s="42" t="s">
        <v>399</v>
      </c>
      <c r="H10" s="42" t="s">
        <v>411</v>
      </c>
      <c r="I10" s="42">
        <v>2020</v>
      </c>
      <c r="J10" s="40" t="s">
        <v>335</v>
      </c>
      <c r="K10" s="40"/>
    </row>
    <row r="11" spans="1:11" s="11" customFormat="1" ht="54.95" customHeight="1" x14ac:dyDescent="0.85">
      <c r="A11" s="43" t="s">
        <v>60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s="11" customFormat="1" ht="54.95" customHeight="1" x14ac:dyDescent="0.85">
      <c r="A12" s="39" t="s">
        <v>215</v>
      </c>
      <c r="B12" s="44">
        <f>CNT!N109+CNT!N121</f>
        <v>144937480.56</v>
      </c>
      <c r="C12" s="44">
        <f>BPM!N8+BPM!N15</f>
        <v>4143470.25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f t="shared" ref="I12:I47" si="0">SUM(B12:H12)</f>
        <v>149080950.81</v>
      </c>
      <c r="J12" s="45">
        <f>I12/$I$19</f>
        <v>0.29407436014744748</v>
      </c>
      <c r="K12" s="45"/>
    </row>
    <row r="13" spans="1:11" s="11" customFormat="1" ht="54.95" customHeight="1" x14ac:dyDescent="0.85">
      <c r="A13" s="39" t="s">
        <v>216</v>
      </c>
      <c r="B13" s="44">
        <f>CNT!N110+CNT!N122</f>
        <v>328312787.06999999</v>
      </c>
      <c r="C13" s="44">
        <f>BPM!N9+BPM!N16</f>
        <v>297059.51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f t="shared" si="0"/>
        <v>328609846.57999998</v>
      </c>
      <c r="J13" s="45">
        <f t="shared" ref="J13:J18" si="1">I13/$I$19</f>
        <v>0.64820978029798215</v>
      </c>
      <c r="K13" s="45"/>
    </row>
    <row r="14" spans="1:11" s="11" customFormat="1" ht="54.95" customHeight="1" x14ac:dyDescent="0.85">
      <c r="A14" s="39" t="s">
        <v>217</v>
      </c>
      <c r="B14" s="44">
        <f>CNT!N111+CNT!N123</f>
        <v>1932533</v>
      </c>
      <c r="C14" s="44">
        <f>BPM!N10</f>
        <v>3247.78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f t="shared" si="0"/>
        <v>1935780.78</v>
      </c>
      <c r="J14" s="45">
        <f t="shared" si="1"/>
        <v>3.8184858036607182E-3</v>
      </c>
      <c r="K14" s="45"/>
    </row>
    <row r="15" spans="1:11" s="11" customFormat="1" ht="54.95" customHeight="1" x14ac:dyDescent="0.85">
      <c r="A15" s="39" t="s">
        <v>414</v>
      </c>
      <c r="B15" s="44">
        <f>CNT!N112+CNT!N124</f>
        <v>19212707.800000001</v>
      </c>
      <c r="C15" s="44">
        <f>BPM!N11</f>
        <v>15186.7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f t="shared" si="0"/>
        <v>19227894.5</v>
      </c>
      <c r="J15" s="45">
        <f t="shared" si="1"/>
        <v>3.7928593434291669E-2</v>
      </c>
      <c r="K15" s="45"/>
    </row>
    <row r="16" spans="1:11" s="11" customFormat="1" ht="54.95" customHeight="1" x14ac:dyDescent="0.85">
      <c r="A16" s="39" t="s">
        <v>218</v>
      </c>
      <c r="B16" s="44">
        <f>CNT!N116+CNT!N127</f>
        <v>5615755.9000000004</v>
      </c>
      <c r="C16" s="44">
        <f>0</f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f t="shared" si="0"/>
        <v>5615755.9000000004</v>
      </c>
      <c r="J16" s="45">
        <f t="shared" si="1"/>
        <v>1.1077537499351513E-2</v>
      </c>
      <c r="K16" s="45"/>
    </row>
    <row r="17" spans="1:11" s="11" customFormat="1" ht="54.95" customHeight="1" x14ac:dyDescent="0.85">
      <c r="A17" s="39" t="s">
        <v>219</v>
      </c>
      <c r="B17" s="44">
        <f>CNT!N129+CNT!N131+CNT!N130+CNT!N128+CNT!N132</f>
        <v>1616056.41</v>
      </c>
      <c r="C17" s="44">
        <f>BPM!N12</f>
        <v>9.99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f t="shared" si="0"/>
        <v>1616066.4</v>
      </c>
      <c r="J17" s="45">
        <f t="shared" si="1"/>
        <v>3.1878230582354904E-3</v>
      </c>
      <c r="K17" s="45"/>
    </row>
    <row r="18" spans="1:11" s="11" customFormat="1" ht="54.95" customHeight="1" x14ac:dyDescent="0.85">
      <c r="A18" s="39" t="s">
        <v>220</v>
      </c>
      <c r="B18" s="44">
        <f>CNT!N114+CNT!N115+CNT!N117+CNT!N118+CNT!N119+CNT!N113+CNT!N126+CNT!N120</f>
        <v>51711.68</v>
      </c>
      <c r="C18" s="44">
        <f>BPM!N14+BPM!N13</f>
        <v>122157.57</v>
      </c>
      <c r="D18" s="44">
        <f>DEP!N17</f>
        <v>549853.75999999989</v>
      </c>
      <c r="E18" s="44">
        <v>0</v>
      </c>
      <c r="F18" s="44">
        <f>'BSC (Dome)'!N14</f>
        <v>139825.37</v>
      </c>
      <c r="G18" s="44">
        <v>0</v>
      </c>
      <c r="H18" s="44">
        <v>0</v>
      </c>
      <c r="I18" s="44">
        <f t="shared" si="0"/>
        <v>863548.37999999989</v>
      </c>
      <c r="J18" s="45">
        <f t="shared" si="1"/>
        <v>1.703419759030881E-3</v>
      </c>
      <c r="K18" s="45"/>
    </row>
    <row r="19" spans="1:11" s="11" customFormat="1" ht="54.95" customHeight="1" x14ac:dyDescent="0.85">
      <c r="A19" s="43" t="s">
        <v>221</v>
      </c>
      <c r="B19" s="46">
        <f>SUM(B12:B18)</f>
        <v>501679032.42000002</v>
      </c>
      <c r="C19" s="46">
        <f>SUM(C12:C18)</f>
        <v>4581131.8000000007</v>
      </c>
      <c r="D19" s="46">
        <f t="shared" ref="D19:H19" si="2">SUM(D12:D18)</f>
        <v>549853.75999999989</v>
      </c>
      <c r="E19" s="46">
        <f t="shared" si="2"/>
        <v>0</v>
      </c>
      <c r="F19" s="46">
        <f>SUM(F12:F18)</f>
        <v>139825.37</v>
      </c>
      <c r="G19" s="46">
        <f>SUM(G12:G18)</f>
        <v>0</v>
      </c>
      <c r="H19" s="46">
        <f t="shared" si="2"/>
        <v>0</v>
      </c>
      <c r="I19" s="46">
        <f t="shared" si="0"/>
        <v>506949843.35000002</v>
      </c>
      <c r="J19" s="47">
        <f>SUM(J12:J18)</f>
        <v>0.99999999999999989</v>
      </c>
      <c r="K19" s="45"/>
    </row>
    <row r="20" spans="1:11" s="11" customFormat="1" ht="54.95" customHeight="1" x14ac:dyDescent="0.85">
      <c r="A20" s="39"/>
      <c r="B20" s="44"/>
      <c r="C20" s="44"/>
      <c r="D20" s="44"/>
      <c r="E20" s="44"/>
      <c r="F20" s="44"/>
      <c r="G20" s="44"/>
      <c r="H20" s="44"/>
      <c r="I20" s="44">
        <f t="shared" si="0"/>
        <v>0</v>
      </c>
      <c r="J20" s="39"/>
      <c r="K20" s="39"/>
    </row>
    <row r="21" spans="1:11" s="11" customFormat="1" ht="54.95" customHeight="1" x14ac:dyDescent="0.85">
      <c r="A21" s="43" t="s">
        <v>206</v>
      </c>
      <c r="B21" s="44"/>
      <c r="C21" s="44"/>
      <c r="D21" s="44"/>
      <c r="E21" s="44"/>
      <c r="F21" s="44"/>
      <c r="G21" s="44"/>
      <c r="H21" s="44"/>
      <c r="I21" s="44">
        <f t="shared" si="0"/>
        <v>0</v>
      </c>
      <c r="J21" s="39"/>
      <c r="K21" s="39"/>
    </row>
    <row r="22" spans="1:11" s="11" customFormat="1" ht="54.95" customHeight="1" x14ac:dyDescent="0.85">
      <c r="A22" s="39" t="s">
        <v>215</v>
      </c>
      <c r="B22" s="44">
        <f>CNT!N137+CNT!N142+CNT!N154+CNT!N158+CNT!N159+CNT!N163+CNT!N167+CNT!N174</f>
        <v>144682949.43999988</v>
      </c>
      <c r="C22" s="44">
        <f>BPM!N20+BPM!N31</f>
        <v>4062322.88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f t="shared" si="0"/>
        <v>148745272.31999987</v>
      </c>
      <c r="J22" s="45">
        <f t="shared" ref="J22:J29" si="3">I22/$I$30</f>
        <v>0.29449357160941875</v>
      </c>
      <c r="K22" s="45"/>
    </row>
    <row r="23" spans="1:11" s="11" customFormat="1" ht="54.95" customHeight="1" x14ac:dyDescent="0.85">
      <c r="A23" s="39" t="s">
        <v>216</v>
      </c>
      <c r="B23" s="44">
        <f>CNT!N138+CNT!N143+CNT!N155+CNT!N160+CNT!N164+CNT!N168+CNT!N171+CNT!N175</f>
        <v>328059162.46000016</v>
      </c>
      <c r="C23" s="44">
        <f>BPM!N21+BPM!N32</f>
        <v>277189.99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f t="shared" si="0"/>
        <v>328336352.45000017</v>
      </c>
      <c r="J23" s="45">
        <f t="shared" si="3"/>
        <v>0.65005726645342532</v>
      </c>
      <c r="K23" s="45"/>
    </row>
    <row r="24" spans="1:11" s="11" customFormat="1" ht="54.95" customHeight="1" x14ac:dyDescent="0.85">
      <c r="A24" s="39" t="s">
        <v>217</v>
      </c>
      <c r="B24" s="44">
        <f>CNT!N139+CNT!N144+CNT!N156+CNT!N161+CNT!N165+CNT!N169+CNT!N173+CNT!N176</f>
        <v>1904476.7099999995</v>
      </c>
      <c r="C24" s="44">
        <f>BPM!N22+BPM!N33</f>
        <v>2873.35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f t="shared" si="0"/>
        <v>1907350.0599999996</v>
      </c>
      <c r="J24" s="45">
        <f t="shared" si="3"/>
        <v>3.7762701477357416E-3</v>
      </c>
      <c r="K24" s="45"/>
    </row>
    <row r="25" spans="1:11" s="11" customFormat="1" ht="54.95" customHeight="1" x14ac:dyDescent="0.85">
      <c r="A25" s="39" t="s">
        <v>414</v>
      </c>
      <c r="B25" s="44">
        <f>CNT!N140+CNT!N145+CNT!N157+CNT!N162+CNT!N166+CNT!N170+CNT!N177+CNT!N178</f>
        <v>18848541.990000002</v>
      </c>
      <c r="C25" s="44">
        <f>BPM!N23</f>
        <v>14460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f t="shared" si="0"/>
        <v>18863001.990000002</v>
      </c>
      <c r="J25" s="45">
        <f t="shared" si="3"/>
        <v>3.734594545875701E-2</v>
      </c>
      <c r="K25" s="45"/>
    </row>
    <row r="26" spans="1:11" s="11" customFormat="1" ht="54.95" customHeight="1" x14ac:dyDescent="0.85">
      <c r="A26" s="39" t="s">
        <v>218</v>
      </c>
      <c r="B26" s="44">
        <f>CNT!N141+CNT!N148+CNT!N172+CNT!N183</f>
        <v>5207996.2000000011</v>
      </c>
      <c r="C26" s="44">
        <f>0</f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f t="shared" si="0"/>
        <v>5207996.2000000011</v>
      </c>
      <c r="J26" s="45">
        <f t="shared" si="3"/>
        <v>1.0311059826941882E-2</v>
      </c>
      <c r="K26" s="45"/>
    </row>
    <row r="27" spans="1:11" s="11" customFormat="1" ht="54.95" customHeight="1" x14ac:dyDescent="0.85">
      <c r="A27" s="39" t="s">
        <v>219</v>
      </c>
      <c r="B27" s="44">
        <f>CNT!N194+CNT!N195+CNT!N196+CNT!N198+CNT!N200+CNT!N201+CNT!N202+CNT!N203+CNT!N204+CNT!N199+CNT!N197</f>
        <v>1609910.15</v>
      </c>
      <c r="C27" s="44">
        <f>BPM!N25+BPM!N34</f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f t="shared" si="0"/>
        <v>1609910.15</v>
      </c>
      <c r="J27" s="45">
        <f t="shared" si="3"/>
        <v>3.1873832535920387E-3</v>
      </c>
      <c r="K27" s="45"/>
    </row>
    <row r="28" spans="1:11" s="11" customFormat="1" ht="54.95" customHeight="1" x14ac:dyDescent="0.85">
      <c r="A28" s="39" t="s">
        <v>220</v>
      </c>
      <c r="B28" s="44">
        <f>CNT!N135+CNT!N146+CNT!N147+CNT!N149+CNT!N152+CNT!N153+CNT!N182+CNT!N180+CNT!N181+CNT!N184+CNT!N185+CNT!N186+CNT!N187+CNT!N188+CNT!N189+CNT!N190+CNT!N191+CNT!N192+CNT!N193+CNT!N179+CNT!B136</f>
        <v>223858.97999999998</v>
      </c>
      <c r="C28" s="44">
        <f>BPM!N26+BPM!N27+BPM!N28+BPM!N29+BPM!N30+BPM!N35+BPM!N36+BPM!N24</f>
        <v>164814.29</v>
      </c>
      <c r="D28" s="44">
        <f>DEP!N23</f>
        <v>29243.75</v>
      </c>
      <c r="E28" s="44">
        <v>0</v>
      </c>
      <c r="F28" s="44">
        <f>'BSC (Dome)'!N17</f>
        <v>550.32000000000005</v>
      </c>
      <c r="G28" s="44">
        <v>0</v>
      </c>
      <c r="H28" s="44">
        <v>0</v>
      </c>
      <c r="I28" s="44">
        <f t="shared" ref="I28" si="4">SUM(B28:H28)</f>
        <v>418467.34</v>
      </c>
      <c r="J28" s="45">
        <f t="shared" si="3"/>
        <v>8.285032501293355E-4</v>
      </c>
      <c r="K28" s="45"/>
    </row>
    <row r="29" spans="1:11" s="11" customFormat="1" ht="54.95" customHeight="1" x14ac:dyDescent="0.85">
      <c r="A29" s="39" t="s">
        <v>527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f t="shared" si="0"/>
        <v>0</v>
      </c>
      <c r="J29" s="45">
        <f t="shared" si="3"/>
        <v>0</v>
      </c>
      <c r="K29" s="45"/>
    </row>
    <row r="30" spans="1:11" s="11" customFormat="1" ht="54.95" customHeight="1" x14ac:dyDescent="0.85">
      <c r="A30" s="43" t="s">
        <v>222</v>
      </c>
      <c r="B30" s="46">
        <f>SUM(B22:B29)</f>
        <v>500536895.93000001</v>
      </c>
      <c r="C30" s="46">
        <f t="shared" ref="C30:H30" si="5">SUM(C22:C29)</f>
        <v>4521660.51</v>
      </c>
      <c r="D30" s="46">
        <f t="shared" si="5"/>
        <v>29243.75</v>
      </c>
      <c r="E30" s="46">
        <f t="shared" si="5"/>
        <v>0</v>
      </c>
      <c r="F30" s="46">
        <f>SUM(F22:F29)</f>
        <v>550.32000000000005</v>
      </c>
      <c r="G30" s="46">
        <f>SUM(G22:G29)</f>
        <v>0</v>
      </c>
      <c r="H30" s="46">
        <f t="shared" si="5"/>
        <v>0</v>
      </c>
      <c r="I30" s="46">
        <f t="shared" si="0"/>
        <v>505088350.50999999</v>
      </c>
      <c r="J30" s="47">
        <f>SUM(J22:J29)</f>
        <v>1</v>
      </c>
      <c r="K30" s="45"/>
    </row>
    <row r="31" spans="1:11" s="11" customFormat="1" ht="54.95" customHeight="1" x14ac:dyDescent="0.85">
      <c r="A31" s="39"/>
      <c r="B31" s="44"/>
      <c r="C31" s="44"/>
      <c r="D31" s="44"/>
      <c r="E31" s="44"/>
      <c r="F31" s="44"/>
      <c r="G31" s="44"/>
      <c r="H31" s="44"/>
      <c r="I31" s="44"/>
      <c r="J31" s="39"/>
      <c r="K31" s="39"/>
    </row>
    <row r="32" spans="1:11" s="11" customFormat="1" ht="54.95" customHeight="1" thickBot="1" x14ac:dyDescent="0.9">
      <c r="A32" s="43" t="s">
        <v>209</v>
      </c>
      <c r="B32" s="48">
        <f>B19-B30</f>
        <v>1142136.4900000095</v>
      </c>
      <c r="C32" s="48">
        <f t="shared" ref="C32:H32" si="6">C19-C30</f>
        <v>59471.290000000969</v>
      </c>
      <c r="D32" s="48">
        <f t="shared" si="6"/>
        <v>520610.00999999989</v>
      </c>
      <c r="E32" s="48">
        <f t="shared" si="6"/>
        <v>0</v>
      </c>
      <c r="F32" s="48">
        <f>F19-F30</f>
        <v>139275.04999999999</v>
      </c>
      <c r="G32" s="48">
        <f>G19-G30</f>
        <v>0</v>
      </c>
      <c r="H32" s="48">
        <f t="shared" si="6"/>
        <v>0</v>
      </c>
      <c r="I32" s="48">
        <f t="shared" si="0"/>
        <v>1861492.8400000103</v>
      </c>
      <c r="J32" s="39"/>
      <c r="K32" s="39"/>
    </row>
    <row r="33" spans="1:11" s="11" customFormat="1" ht="54.95" customHeight="1" x14ac:dyDescent="0.85">
      <c r="A33" s="39"/>
      <c r="B33" s="44"/>
      <c r="C33" s="44"/>
      <c r="D33" s="44"/>
      <c r="E33" s="44"/>
      <c r="F33" s="44"/>
      <c r="G33" s="44"/>
      <c r="H33" s="44"/>
      <c r="I33" s="44">
        <f t="shared" si="0"/>
        <v>0</v>
      </c>
      <c r="J33" s="39"/>
      <c r="K33" s="39"/>
    </row>
    <row r="34" spans="1:11" s="11" customFormat="1" ht="54.95" customHeight="1" x14ac:dyDescent="0.85">
      <c r="A34" s="43" t="s">
        <v>207</v>
      </c>
      <c r="B34" s="44"/>
      <c r="C34" s="44"/>
      <c r="D34" s="44"/>
      <c r="E34" s="44"/>
      <c r="F34" s="44"/>
      <c r="G34" s="44"/>
      <c r="H34" s="44"/>
      <c r="I34" s="44">
        <f t="shared" si="0"/>
        <v>0</v>
      </c>
      <c r="J34" s="39"/>
      <c r="K34" s="39"/>
    </row>
    <row r="35" spans="1:11" s="11" customFormat="1" ht="54.95" customHeight="1" x14ac:dyDescent="0.85">
      <c r="A35" s="39"/>
      <c r="B35" s="44"/>
      <c r="C35" s="44"/>
      <c r="D35" s="44"/>
      <c r="E35" s="44"/>
      <c r="F35" s="44"/>
      <c r="G35" s="44"/>
      <c r="H35" s="44"/>
      <c r="I35" s="44">
        <f t="shared" si="0"/>
        <v>0</v>
      </c>
      <c r="J35" s="39"/>
      <c r="K35" s="39"/>
    </row>
    <row r="36" spans="1:11" s="11" customFormat="1" ht="54.95" customHeight="1" x14ac:dyDescent="0.85">
      <c r="A36" s="43" t="s">
        <v>223</v>
      </c>
      <c r="B36" s="44"/>
      <c r="C36" s="44"/>
      <c r="D36" s="44"/>
      <c r="E36" s="44"/>
      <c r="F36" s="44"/>
      <c r="G36" s="44"/>
      <c r="H36" s="44"/>
      <c r="I36" s="44">
        <f t="shared" si="0"/>
        <v>0</v>
      </c>
      <c r="J36" s="39"/>
      <c r="K36" s="39"/>
    </row>
    <row r="37" spans="1:11" s="11" customFormat="1" ht="54.95" customHeight="1" x14ac:dyDescent="0.85">
      <c r="A37" s="39" t="s">
        <v>224</v>
      </c>
      <c r="B37" s="44">
        <f>CNT!N208+CNT!N218</f>
        <v>242616.64</v>
      </c>
      <c r="C37" s="44">
        <f>BPM!N44</f>
        <v>58937.49</v>
      </c>
      <c r="D37" s="44">
        <f>DEP!N29</f>
        <v>76501.41</v>
      </c>
      <c r="E37" s="44">
        <v>0</v>
      </c>
      <c r="F37" s="44">
        <f>'BSC (Dome)'!N24+'BSC (Dome)'!N32</f>
        <v>44741.8</v>
      </c>
      <c r="G37" s="44">
        <v>0</v>
      </c>
      <c r="H37" s="44">
        <v>0</v>
      </c>
      <c r="I37" s="44">
        <f t="shared" si="0"/>
        <v>422797.34</v>
      </c>
      <c r="J37" s="45">
        <f>I37/$I$47</f>
        <v>0.72445592683470017</v>
      </c>
      <c r="K37" s="45"/>
    </row>
    <row r="38" spans="1:11" s="11" customFormat="1" ht="54.95" customHeight="1" x14ac:dyDescent="0.85">
      <c r="A38" s="39" t="s">
        <v>531</v>
      </c>
      <c r="B38" s="44">
        <f>CNT!N209+CNT!N220</f>
        <v>17957.400000000001</v>
      </c>
      <c r="C38" s="44">
        <f>BPM!N45</f>
        <v>4803.0200000000004</v>
      </c>
      <c r="D38" s="44">
        <f>DEP!N30</f>
        <v>5762.5</v>
      </c>
      <c r="E38" s="44"/>
      <c r="F38" s="44">
        <f>'BSC (Dome)'!N25</f>
        <v>0</v>
      </c>
      <c r="G38" s="44"/>
      <c r="H38" s="44"/>
      <c r="I38" s="44">
        <f t="shared" si="0"/>
        <v>28522.920000000002</v>
      </c>
      <c r="J38" s="45">
        <f>I38/$I$47</f>
        <v>4.8873529915377432E-2</v>
      </c>
      <c r="K38" s="45"/>
    </row>
    <row r="39" spans="1:11" s="11" customFormat="1" ht="54.95" customHeight="1" x14ac:dyDescent="0.85">
      <c r="A39" s="39" t="s">
        <v>225</v>
      </c>
      <c r="B39" s="44">
        <f>CNT!N210</f>
        <v>1544.13</v>
      </c>
      <c r="C39" s="44">
        <f>BPM!N46</f>
        <v>368.91</v>
      </c>
      <c r="D39" s="44">
        <f>DEP!N31</f>
        <v>391.96</v>
      </c>
      <c r="E39" s="44">
        <v>0</v>
      </c>
      <c r="F39" s="44">
        <v>0</v>
      </c>
      <c r="G39" s="44">
        <v>0</v>
      </c>
      <c r="H39" s="44">
        <v>0</v>
      </c>
      <c r="I39" s="44">
        <f t="shared" si="0"/>
        <v>2305</v>
      </c>
      <c r="J39" s="45">
        <f t="shared" ref="J39:J46" si="7">I39/$I$47</f>
        <v>3.9495776188042805E-3</v>
      </c>
      <c r="K39" s="45"/>
    </row>
    <row r="40" spans="1:11" s="11" customFormat="1" ht="54.95" customHeight="1" x14ac:dyDescent="0.85">
      <c r="A40" s="39" t="s">
        <v>226</v>
      </c>
      <c r="B40" s="44">
        <f>CNT!N211</f>
        <v>25587.14</v>
      </c>
      <c r="C40" s="44">
        <f>BPM!N47</f>
        <v>6430.34</v>
      </c>
      <c r="D40" s="44">
        <f>DEP!N32</f>
        <v>8780.4699999999993</v>
      </c>
      <c r="E40" s="44">
        <v>0</v>
      </c>
      <c r="F40" s="44">
        <f>'BSC (Dome)'!N26</f>
        <v>3798.44</v>
      </c>
      <c r="G40" s="44">
        <v>0</v>
      </c>
      <c r="H40" s="44">
        <v>0</v>
      </c>
      <c r="I40" s="44">
        <f t="shared" si="0"/>
        <v>44596.39</v>
      </c>
      <c r="J40" s="45">
        <f t="shared" si="7"/>
        <v>7.6415142656601737E-2</v>
      </c>
      <c r="K40" s="45"/>
    </row>
    <row r="41" spans="1:11" s="11" customFormat="1" ht="54.95" customHeight="1" x14ac:dyDescent="0.85">
      <c r="A41" s="39" t="s">
        <v>227</v>
      </c>
      <c r="B41" s="44">
        <f>CNT!N212</f>
        <v>28222.57</v>
      </c>
      <c r="C41" s="44">
        <f>BPM!N48</f>
        <v>7145.82</v>
      </c>
      <c r="D41" s="44">
        <f>DEP!N33</f>
        <v>11183.14</v>
      </c>
      <c r="E41" s="44">
        <v>0</v>
      </c>
      <c r="F41" s="44">
        <f>'BSC (Dome)'!N27</f>
        <v>5213.25</v>
      </c>
      <c r="G41" s="44">
        <v>0</v>
      </c>
      <c r="H41" s="44">
        <v>0</v>
      </c>
      <c r="I41" s="44">
        <f t="shared" si="0"/>
        <v>51764.78</v>
      </c>
      <c r="J41" s="45">
        <f t="shared" si="7"/>
        <v>8.869805489385138E-2</v>
      </c>
      <c r="K41" s="45"/>
    </row>
    <row r="42" spans="1:11" s="11" customFormat="1" ht="54.95" customHeight="1" x14ac:dyDescent="0.85">
      <c r="A42" s="39" t="s">
        <v>228</v>
      </c>
      <c r="B42" s="44">
        <f>CNT!N213</f>
        <v>4102.88</v>
      </c>
      <c r="C42" s="44">
        <f>BPM!N49</f>
        <v>1085.8800000000001</v>
      </c>
      <c r="D42" s="44">
        <f>DEP!N34</f>
        <v>1371.92</v>
      </c>
      <c r="E42" s="44">
        <v>0</v>
      </c>
      <c r="F42" s="44">
        <f>'BSC (Dome)'!N28</f>
        <v>341.94</v>
      </c>
      <c r="G42" s="44">
        <v>0</v>
      </c>
      <c r="H42" s="44">
        <v>0</v>
      </c>
      <c r="I42" s="44">
        <f t="shared" si="0"/>
        <v>6902.62</v>
      </c>
      <c r="J42" s="45">
        <f t="shared" si="7"/>
        <v>1.182751994061206E-2</v>
      </c>
      <c r="K42" s="45"/>
    </row>
    <row r="43" spans="1:11" s="11" customFormat="1" ht="54.95" customHeight="1" x14ac:dyDescent="0.85">
      <c r="A43" s="39" t="s">
        <v>229</v>
      </c>
      <c r="B43" s="44">
        <f>CNT!N214</f>
        <v>4264.72</v>
      </c>
      <c r="C43" s="44">
        <f>BPM!N50</f>
        <v>2417.75</v>
      </c>
      <c r="D43" s="44">
        <f>DEP!N35</f>
        <v>3114.88</v>
      </c>
      <c r="E43" s="44">
        <v>0</v>
      </c>
      <c r="F43" s="44">
        <f>'BSC (Dome)'!N30</f>
        <v>500</v>
      </c>
      <c r="G43" s="44">
        <v>0</v>
      </c>
      <c r="H43" s="44">
        <v>0</v>
      </c>
      <c r="I43" s="44">
        <f t="shared" si="0"/>
        <v>10297.35</v>
      </c>
      <c r="J43" s="45">
        <f t="shared" si="7"/>
        <v>1.7644331059867357E-2</v>
      </c>
      <c r="K43" s="45"/>
    </row>
    <row r="44" spans="1:11" s="11" customFormat="1" ht="54.95" customHeight="1" x14ac:dyDescent="0.85">
      <c r="A44" s="39" t="s">
        <v>305</v>
      </c>
      <c r="B44" s="44">
        <f>CNT!N216+CNT!N215+CNT!N221</f>
        <v>6937.79</v>
      </c>
      <c r="C44" s="44">
        <f>BPM!N53+BPM!N51</f>
        <v>0</v>
      </c>
      <c r="D44" s="44">
        <f>DEP!N36</f>
        <v>234.2</v>
      </c>
      <c r="E44" s="44">
        <v>0</v>
      </c>
      <c r="F44" s="44">
        <f>'BSC (Dome)'!N29+'BSC (Dome)'!N31</f>
        <v>174.32</v>
      </c>
      <c r="G44" s="44">
        <v>0</v>
      </c>
      <c r="H44" s="44">
        <v>0</v>
      </c>
      <c r="I44" s="44">
        <f t="shared" si="0"/>
        <v>7346.3099999999995</v>
      </c>
      <c r="J44" s="45">
        <f t="shared" si="7"/>
        <v>1.2587775078871179E-2</v>
      </c>
      <c r="K44" s="45"/>
    </row>
    <row r="45" spans="1:11" s="11" customFormat="1" ht="54.95" customHeight="1" x14ac:dyDescent="0.85">
      <c r="A45" s="39" t="s">
        <v>230</v>
      </c>
      <c r="B45" s="44">
        <f>CNT!N217+CNT!N219</f>
        <v>0</v>
      </c>
      <c r="C45" s="44">
        <v>0</v>
      </c>
      <c r="D45" s="44">
        <f>DEP!N38</f>
        <v>0</v>
      </c>
      <c r="E45" s="44">
        <v>0</v>
      </c>
      <c r="F45" s="44">
        <v>0</v>
      </c>
      <c r="G45" s="44">
        <v>0</v>
      </c>
      <c r="H45" s="44">
        <v>0</v>
      </c>
      <c r="I45" s="44">
        <f t="shared" si="0"/>
        <v>0</v>
      </c>
      <c r="J45" s="45">
        <f t="shared" si="7"/>
        <v>0</v>
      </c>
      <c r="K45" s="45"/>
    </row>
    <row r="46" spans="1:11" s="11" customFormat="1" ht="54.95" customHeight="1" x14ac:dyDescent="0.85">
      <c r="A46" s="39" t="s">
        <v>244</v>
      </c>
      <c r="B46" s="44">
        <f>CNT!N250</f>
        <v>6000</v>
      </c>
      <c r="C46" s="44">
        <f>BPM!N52</f>
        <v>870.95</v>
      </c>
      <c r="D46" s="44">
        <f>DEP!N37</f>
        <v>2203.0500000000002</v>
      </c>
      <c r="E46" s="44">
        <v>0</v>
      </c>
      <c r="F46" s="44">
        <v>0</v>
      </c>
      <c r="G46" s="44">
        <v>0</v>
      </c>
      <c r="H46" s="44">
        <v>0</v>
      </c>
      <c r="I46" s="44">
        <f t="shared" si="0"/>
        <v>9074</v>
      </c>
      <c r="J46" s="45">
        <f t="shared" si="7"/>
        <v>1.554814200131455E-2</v>
      </c>
      <c r="K46" s="45"/>
    </row>
    <row r="47" spans="1:11" s="11" customFormat="1" ht="54.95" customHeight="1" x14ac:dyDescent="0.85">
      <c r="A47" s="43" t="s">
        <v>231</v>
      </c>
      <c r="B47" s="46">
        <f t="shared" ref="B47:H47" si="8">SUM(B37:B46)</f>
        <v>337233.26999999996</v>
      </c>
      <c r="C47" s="46">
        <f t="shared" si="8"/>
        <v>82060.159999999989</v>
      </c>
      <c r="D47" s="46">
        <f t="shared" si="8"/>
        <v>109543.53000000001</v>
      </c>
      <c r="E47" s="46">
        <f t="shared" si="8"/>
        <v>0</v>
      </c>
      <c r="F47" s="46">
        <f>SUM(F37:F46)</f>
        <v>54769.750000000007</v>
      </c>
      <c r="G47" s="46">
        <f t="shared" si="8"/>
        <v>0</v>
      </c>
      <c r="H47" s="46">
        <f t="shared" si="8"/>
        <v>0</v>
      </c>
      <c r="I47" s="46">
        <f t="shared" si="0"/>
        <v>583606.71</v>
      </c>
      <c r="J47" s="47">
        <f>SUM(J37:J46)</f>
        <v>1.0000000000000002</v>
      </c>
      <c r="K47" s="45"/>
    </row>
    <row r="48" spans="1:11" s="11" customFormat="1" ht="54.95" customHeight="1" x14ac:dyDescent="0.85">
      <c r="A48" s="39"/>
      <c r="B48" s="44"/>
      <c r="C48" s="44"/>
      <c r="D48" s="44"/>
      <c r="E48" s="44"/>
      <c r="F48" s="44"/>
      <c r="G48" s="44"/>
      <c r="H48" s="44"/>
      <c r="I48" s="44"/>
      <c r="J48" s="39"/>
      <c r="K48" s="39"/>
    </row>
    <row r="49" spans="1:11" s="11" customFormat="1" ht="54.95" customHeight="1" x14ac:dyDescent="0.85">
      <c r="A49" s="43" t="s">
        <v>477</v>
      </c>
      <c r="B49" s="44"/>
      <c r="C49" s="44"/>
      <c r="D49" s="44"/>
      <c r="E49" s="44"/>
      <c r="F49" s="44"/>
      <c r="G49" s="44"/>
      <c r="H49" s="44"/>
      <c r="I49" s="44"/>
      <c r="J49" s="39"/>
      <c r="K49" s="39"/>
    </row>
    <row r="50" spans="1:11" s="11" customFormat="1" ht="54.95" customHeight="1" x14ac:dyDescent="0.85">
      <c r="A50" s="39" t="s">
        <v>232</v>
      </c>
      <c r="B50" s="44">
        <f>CNT!N224+CNT!N225+CNT!N245</f>
        <v>41700</v>
      </c>
      <c r="C50" s="44">
        <f>BPM!N57</f>
        <v>5000</v>
      </c>
      <c r="D50" s="44">
        <f>DEP!N42</f>
        <v>37500</v>
      </c>
      <c r="E50" s="44">
        <v>0</v>
      </c>
      <c r="F50" s="44">
        <f>'BSC (Dome)'!N36</f>
        <v>1000</v>
      </c>
      <c r="G50" s="44">
        <v>0</v>
      </c>
      <c r="H50" s="44">
        <v>0</v>
      </c>
      <c r="I50" s="44">
        <f t="shared" ref="I50:I72" si="9">SUM(B50:H50)</f>
        <v>85200</v>
      </c>
      <c r="J50" s="45">
        <f t="shared" ref="J50:J71" si="10">I50/$I$72</f>
        <v>0.23201340579994298</v>
      </c>
      <c r="K50" s="45"/>
    </row>
    <row r="51" spans="1:11" s="11" customFormat="1" ht="54.95" customHeight="1" x14ac:dyDescent="0.85">
      <c r="A51" s="39" t="s">
        <v>233</v>
      </c>
      <c r="B51" s="44">
        <f>CNT!N226+CNT!N246</f>
        <v>6970.86</v>
      </c>
      <c r="C51" s="44">
        <v>0</v>
      </c>
      <c r="D51" s="44">
        <f>DEP!N43</f>
        <v>-313.72000000000003</v>
      </c>
      <c r="E51" s="44">
        <v>0</v>
      </c>
      <c r="F51" s="44">
        <f>'BSC (Dome)'!N38</f>
        <v>883.5</v>
      </c>
      <c r="G51" s="44">
        <v>0</v>
      </c>
      <c r="H51" s="44">
        <v>0</v>
      </c>
      <c r="I51" s="44">
        <f t="shared" si="9"/>
        <v>7540.6399999999994</v>
      </c>
      <c r="J51" s="45">
        <f t="shared" si="10"/>
        <v>2.0534384604592511E-2</v>
      </c>
      <c r="K51" s="45"/>
    </row>
    <row r="52" spans="1:11" s="11" customFormat="1" ht="54.95" customHeight="1" x14ac:dyDescent="0.85">
      <c r="A52" s="39" t="s">
        <v>234</v>
      </c>
      <c r="B52" s="44">
        <f>CNT!N227</f>
        <v>1694.68</v>
      </c>
      <c r="C52" s="44">
        <v>0</v>
      </c>
      <c r="D52" s="44">
        <f>DEP!N49</f>
        <v>1874.76</v>
      </c>
      <c r="E52" s="44">
        <v>0</v>
      </c>
      <c r="F52" s="44">
        <f>'BSC (Dome)'!N37</f>
        <v>12511.96</v>
      </c>
      <c r="G52" s="44">
        <v>0</v>
      </c>
      <c r="H52" s="44">
        <v>0</v>
      </c>
      <c r="I52" s="44">
        <f t="shared" si="9"/>
        <v>16081.4</v>
      </c>
      <c r="J52" s="45">
        <f t="shared" si="10"/>
        <v>4.3792258028535244E-2</v>
      </c>
      <c r="K52" s="45"/>
    </row>
    <row r="53" spans="1:11" s="11" customFormat="1" ht="54.95" customHeight="1" x14ac:dyDescent="0.85">
      <c r="A53" s="39" t="s">
        <v>333</v>
      </c>
      <c r="B53" s="44">
        <f>CNT!N228</f>
        <v>310.85000000000002</v>
      </c>
      <c r="C53" s="44">
        <v>0</v>
      </c>
      <c r="D53" s="44">
        <f>DEP!N44</f>
        <v>107.64</v>
      </c>
      <c r="E53" s="44">
        <v>0</v>
      </c>
      <c r="F53" s="44">
        <f>'BSC (Dome)'!N39</f>
        <v>0</v>
      </c>
      <c r="G53" s="44">
        <v>0</v>
      </c>
      <c r="H53" s="44">
        <v>0</v>
      </c>
      <c r="I53" s="44">
        <f t="shared" si="9"/>
        <v>418.49</v>
      </c>
      <c r="J53" s="45">
        <f t="shared" si="10"/>
        <v>1.1396160820800253E-3</v>
      </c>
      <c r="K53" s="45"/>
    </row>
    <row r="54" spans="1:11" s="11" customFormat="1" ht="54.95" customHeight="1" x14ac:dyDescent="0.85">
      <c r="A54" s="39" t="s">
        <v>288</v>
      </c>
      <c r="B54" s="44">
        <f>CNT!N229</f>
        <v>222.53</v>
      </c>
      <c r="C54" s="44">
        <v>0</v>
      </c>
      <c r="D54" s="44">
        <f>DEP!N45</f>
        <v>434</v>
      </c>
      <c r="E54" s="44">
        <v>0</v>
      </c>
      <c r="F54" s="44">
        <f>'BSC (Dome)'!N40</f>
        <v>954.58</v>
      </c>
      <c r="G54" s="44">
        <v>0</v>
      </c>
      <c r="H54" s="44">
        <v>0</v>
      </c>
      <c r="I54" s="44">
        <f t="shared" si="9"/>
        <v>1611.1100000000001</v>
      </c>
      <c r="J54" s="45">
        <f t="shared" si="10"/>
        <v>4.3873135941120446E-3</v>
      </c>
      <c r="K54" s="45"/>
    </row>
    <row r="55" spans="1:11" s="11" customFormat="1" ht="54.95" customHeight="1" x14ac:dyDescent="0.85">
      <c r="A55" s="39" t="s">
        <v>437</v>
      </c>
      <c r="B55" s="63">
        <f>CNT!N230</f>
        <v>2500</v>
      </c>
      <c r="C55" s="44">
        <v>0</v>
      </c>
      <c r="D55" s="44">
        <f>DEP!N46</f>
        <v>2100</v>
      </c>
      <c r="E55" s="44">
        <v>0</v>
      </c>
      <c r="F55" s="44">
        <v>0</v>
      </c>
      <c r="G55" s="44">
        <v>0</v>
      </c>
      <c r="H55" s="44">
        <v>0</v>
      </c>
      <c r="I55" s="44">
        <f t="shared" si="9"/>
        <v>4600</v>
      </c>
      <c r="J55" s="45">
        <f t="shared" si="10"/>
        <v>1.2526545383564998E-2</v>
      </c>
      <c r="K55" s="45"/>
    </row>
    <row r="56" spans="1:11" s="11" customFormat="1" ht="54.95" customHeight="1" x14ac:dyDescent="0.85">
      <c r="A56" s="39" t="s">
        <v>367</v>
      </c>
      <c r="B56" s="44">
        <f>CNT!N231+CNT!N242</f>
        <v>6839.76</v>
      </c>
      <c r="C56" s="44">
        <v>0</v>
      </c>
      <c r="D56" s="44">
        <f>DEP!N47</f>
        <v>2407.6799999999998</v>
      </c>
      <c r="E56" s="44">
        <v>0</v>
      </c>
      <c r="F56" s="44">
        <f>'BSC (Dome)'!N42</f>
        <v>597.65</v>
      </c>
      <c r="G56" s="44">
        <v>0</v>
      </c>
      <c r="H56" s="44">
        <v>0</v>
      </c>
      <c r="I56" s="44">
        <f t="shared" si="9"/>
        <v>9845.09</v>
      </c>
      <c r="J56" s="45">
        <f t="shared" si="10"/>
        <v>2.680977536745259E-2</v>
      </c>
      <c r="K56" s="45"/>
    </row>
    <row r="57" spans="1:11" s="11" customFormat="1" ht="54.95" customHeight="1" x14ac:dyDescent="0.85">
      <c r="A57" s="39" t="s">
        <v>368</v>
      </c>
      <c r="B57" s="44"/>
      <c r="C57" s="44">
        <f>BPM!N58</f>
        <v>0</v>
      </c>
      <c r="D57" s="44">
        <v>0</v>
      </c>
      <c r="E57" s="44">
        <v>0</v>
      </c>
      <c r="F57" s="44">
        <f>'BSC (Dome)'!N43+'BSC (Dome)'!N49</f>
        <v>1728.62</v>
      </c>
      <c r="G57" s="44">
        <v>0</v>
      </c>
      <c r="H57" s="44">
        <v>0</v>
      </c>
      <c r="I57" s="44">
        <f t="shared" si="9"/>
        <v>1728.62</v>
      </c>
      <c r="J57" s="45">
        <f t="shared" si="10"/>
        <v>4.7073123654213312E-3</v>
      </c>
      <c r="K57" s="45"/>
    </row>
    <row r="58" spans="1:11" s="11" customFormat="1" ht="54.95" customHeight="1" x14ac:dyDescent="0.85">
      <c r="A58" s="39" t="s">
        <v>237</v>
      </c>
      <c r="B58" s="44">
        <f>CNT!N232</f>
        <v>9268.0499999999993</v>
      </c>
      <c r="C58" s="44">
        <v>0</v>
      </c>
      <c r="D58" s="44">
        <f>DEP!N48</f>
        <v>6012.93</v>
      </c>
      <c r="E58" s="44">
        <v>0</v>
      </c>
      <c r="F58" s="44">
        <f>'BSC (Dome)'!N45</f>
        <v>231.72</v>
      </c>
      <c r="G58" s="44">
        <v>0</v>
      </c>
      <c r="H58" s="44">
        <v>0</v>
      </c>
      <c r="I58" s="44">
        <f t="shared" si="9"/>
        <v>15512.699999999999</v>
      </c>
      <c r="J58" s="45">
        <f t="shared" si="10"/>
        <v>4.2243595776441024E-2</v>
      </c>
      <c r="K58" s="45"/>
    </row>
    <row r="59" spans="1:11" s="11" customFormat="1" ht="54.95" customHeight="1" x14ac:dyDescent="0.85">
      <c r="A59" s="39" t="s">
        <v>238</v>
      </c>
      <c r="B59" s="44">
        <f>CNT!N233</f>
        <v>2429.77</v>
      </c>
      <c r="C59" s="44">
        <v>0</v>
      </c>
      <c r="D59" s="44">
        <f>DEP!N50</f>
        <v>410.94</v>
      </c>
      <c r="E59" s="44">
        <v>0</v>
      </c>
      <c r="F59" s="44">
        <v>0</v>
      </c>
      <c r="G59" s="44">
        <v>0</v>
      </c>
      <c r="H59" s="44">
        <v>0</v>
      </c>
      <c r="I59" s="44">
        <f t="shared" si="9"/>
        <v>2840.71</v>
      </c>
      <c r="J59" s="45">
        <f t="shared" si="10"/>
        <v>7.7357136383797657E-3</v>
      </c>
      <c r="K59" s="45"/>
    </row>
    <row r="60" spans="1:11" s="11" customFormat="1" ht="54.95" customHeight="1" x14ac:dyDescent="0.85">
      <c r="A60" s="39" t="s">
        <v>236</v>
      </c>
      <c r="B60" s="44">
        <f>CNT!N234</f>
        <v>5339.08</v>
      </c>
      <c r="C60" s="44">
        <f>BPM!N59</f>
        <v>440</v>
      </c>
      <c r="D60" s="44">
        <f>DEP!N51</f>
        <v>22656.26</v>
      </c>
      <c r="E60" s="44">
        <v>0</v>
      </c>
      <c r="F60" s="44">
        <f>'BSC (Dome)'!N47</f>
        <v>2648.59</v>
      </c>
      <c r="G60" s="44">
        <v>0</v>
      </c>
      <c r="H60" s="44">
        <v>0</v>
      </c>
      <c r="I60" s="44">
        <f t="shared" si="9"/>
        <v>31083.929999999997</v>
      </c>
      <c r="J60" s="45">
        <f t="shared" si="10"/>
        <v>8.4646578227077718E-2</v>
      </c>
      <c r="K60" s="45"/>
    </row>
    <row r="61" spans="1:11" s="11" customFormat="1" ht="54.95" customHeight="1" x14ac:dyDescent="0.85">
      <c r="A61" s="39" t="s">
        <v>353</v>
      </c>
      <c r="B61" s="44">
        <v>0</v>
      </c>
      <c r="C61" s="44">
        <v>0</v>
      </c>
      <c r="D61" s="44">
        <v>0</v>
      </c>
      <c r="E61" s="44">
        <v>0</v>
      </c>
      <c r="F61" s="44">
        <f>'BSC (Dome)'!N44</f>
        <v>4672.5</v>
      </c>
      <c r="G61" s="44">
        <v>0</v>
      </c>
      <c r="H61" s="44">
        <v>0</v>
      </c>
      <c r="I61" s="44">
        <f t="shared" si="9"/>
        <v>4672.5</v>
      </c>
      <c r="J61" s="45">
        <f t="shared" si="10"/>
        <v>1.2723974631458142E-2</v>
      </c>
      <c r="K61" s="45"/>
    </row>
    <row r="62" spans="1:11" s="11" customFormat="1" ht="54.95" customHeight="1" x14ac:dyDescent="0.85">
      <c r="A62" s="39" t="s">
        <v>239</v>
      </c>
      <c r="B62" s="44">
        <f>CNT!N279+CNT!N235+CNT!N261</f>
        <v>4399</v>
      </c>
      <c r="C62" s="44">
        <v>0</v>
      </c>
      <c r="D62" s="44">
        <f>DEP!N52</f>
        <v>0</v>
      </c>
      <c r="E62" s="44">
        <v>0</v>
      </c>
      <c r="F62" s="44">
        <f>'BSC (Dome)'!N50</f>
        <v>0</v>
      </c>
      <c r="G62" s="44">
        <v>0</v>
      </c>
      <c r="H62" s="44">
        <v>0</v>
      </c>
      <c r="I62" s="44">
        <f t="shared" si="9"/>
        <v>4399</v>
      </c>
      <c r="J62" s="45">
        <f t="shared" si="10"/>
        <v>1.1979189813544004E-2</v>
      </c>
      <c r="K62" s="45"/>
    </row>
    <row r="63" spans="1:11" s="11" customFormat="1" ht="54.95" customHeight="1" x14ac:dyDescent="0.85">
      <c r="A63" s="39" t="s">
        <v>240</v>
      </c>
      <c r="B63" s="44">
        <f>CNT!N236</f>
        <v>1602.29</v>
      </c>
      <c r="C63" s="44">
        <v>0</v>
      </c>
      <c r="D63" s="44">
        <f>DEP!N55</f>
        <v>400.57</v>
      </c>
      <c r="E63" s="44">
        <v>0</v>
      </c>
      <c r="F63" s="44">
        <v>0</v>
      </c>
      <c r="G63" s="44">
        <v>0</v>
      </c>
      <c r="H63" s="44">
        <v>0</v>
      </c>
      <c r="I63" s="44">
        <f t="shared" si="9"/>
        <v>2002.86</v>
      </c>
      <c r="J63" s="45">
        <f t="shared" si="10"/>
        <v>5.4541123232449973E-3</v>
      </c>
      <c r="K63" s="45"/>
    </row>
    <row r="64" spans="1:11" s="11" customFormat="1" ht="54.95" customHeight="1" x14ac:dyDescent="0.85">
      <c r="A64" s="39" t="s">
        <v>241</v>
      </c>
      <c r="B64" s="44">
        <f>CNT!N238</f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f t="shared" si="9"/>
        <v>0</v>
      </c>
      <c r="J64" s="45">
        <f t="shared" si="10"/>
        <v>0</v>
      </c>
      <c r="K64" s="45"/>
    </row>
    <row r="65" spans="1:11" s="11" customFormat="1" ht="54.95" customHeight="1" x14ac:dyDescent="0.85">
      <c r="A65" s="39" t="s">
        <v>242</v>
      </c>
      <c r="B65" s="44">
        <f>CNT!N239+CNT!N244</f>
        <v>106243.86</v>
      </c>
      <c r="C65" s="44">
        <f>BPM!N60</f>
        <v>418.29</v>
      </c>
      <c r="D65" s="44">
        <f>DEP!N56</f>
        <v>13371.27</v>
      </c>
      <c r="E65" s="44">
        <v>0</v>
      </c>
      <c r="F65" s="44">
        <f>'BSC (Dome)'!N53</f>
        <v>8414.0300000000007</v>
      </c>
      <c r="G65" s="44">
        <f>'Oliari Co.'!N13</f>
        <v>9253.2800000000007</v>
      </c>
      <c r="H65" s="44">
        <f>'722 Bedford St'!N11</f>
        <v>14546.42</v>
      </c>
      <c r="I65" s="44">
        <f t="shared" si="9"/>
        <v>152247.15000000002</v>
      </c>
      <c r="J65" s="45">
        <f t="shared" si="10"/>
        <v>0.41459365956378869</v>
      </c>
      <c r="K65" s="45"/>
    </row>
    <row r="66" spans="1:11" s="11" customFormat="1" ht="54.95" customHeight="1" x14ac:dyDescent="0.85">
      <c r="A66" s="39" t="s">
        <v>252</v>
      </c>
      <c r="B66" s="44">
        <f>CNT!N262</f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f t="shared" si="9"/>
        <v>0</v>
      </c>
      <c r="J66" s="45">
        <f t="shared" si="10"/>
        <v>0</v>
      </c>
      <c r="K66" s="45"/>
    </row>
    <row r="67" spans="1:11" s="11" customFormat="1" ht="54.95" customHeight="1" x14ac:dyDescent="0.85">
      <c r="A67" s="39" t="s">
        <v>350</v>
      </c>
      <c r="B67" s="44">
        <f>CNT!N276</f>
        <v>110</v>
      </c>
      <c r="C67" s="44">
        <f>BPM!N75</f>
        <v>0</v>
      </c>
      <c r="D67" s="44">
        <f>DEP!N76</f>
        <v>0</v>
      </c>
      <c r="E67" s="44">
        <f>Lending!N11</f>
        <v>110</v>
      </c>
      <c r="F67" s="44">
        <f>'BSC (Dome)'!N48</f>
        <v>110</v>
      </c>
      <c r="G67" s="44">
        <f>'Oliari Co.'!N12+'Oliari Co.'!N10</f>
        <v>0</v>
      </c>
      <c r="H67" s="44">
        <f>'722 Bedford St'!N10</f>
        <v>0</v>
      </c>
      <c r="I67" s="44">
        <f t="shared" si="9"/>
        <v>330</v>
      </c>
      <c r="J67" s="45">
        <f t="shared" si="10"/>
        <v>8.9864347316879329E-4</v>
      </c>
      <c r="K67" s="45"/>
    </row>
    <row r="68" spans="1:11" s="11" customFormat="1" ht="54.95" customHeight="1" x14ac:dyDescent="0.85">
      <c r="A68" s="39" t="s">
        <v>245</v>
      </c>
      <c r="B68" s="44">
        <f>CNT!N260</f>
        <v>1648.64</v>
      </c>
      <c r="C68" s="44">
        <f>BPM!N76</f>
        <v>159</v>
      </c>
      <c r="D68" s="44">
        <f>DEP!N58</f>
        <v>1362.18</v>
      </c>
      <c r="E68" s="44">
        <v>0</v>
      </c>
      <c r="F68" s="44">
        <v>0</v>
      </c>
      <c r="G68" s="44">
        <v>0</v>
      </c>
      <c r="H68" s="44">
        <v>0</v>
      </c>
      <c r="I68" s="44">
        <f t="shared" si="9"/>
        <v>3169.82</v>
      </c>
      <c r="J68" s="45">
        <f t="shared" si="10"/>
        <v>8.6319334973330442E-3</v>
      </c>
      <c r="K68" s="45"/>
    </row>
    <row r="69" spans="1:11" s="11" customFormat="1" ht="54.95" customHeight="1" x14ac:dyDescent="0.85">
      <c r="A69" s="39" t="s">
        <v>246</v>
      </c>
      <c r="B69" s="44">
        <f>CNT!N265+CNT!N243+CNT!N237</f>
        <v>10650.03</v>
      </c>
      <c r="C69" s="44">
        <f>BPM!N70</f>
        <v>1560</v>
      </c>
      <c r="D69" s="44">
        <f>DEP!N54</f>
        <v>7052.04</v>
      </c>
      <c r="E69" s="44">
        <v>0</v>
      </c>
      <c r="F69" s="44">
        <v>0</v>
      </c>
      <c r="G69" s="44">
        <v>0</v>
      </c>
      <c r="H69" s="44">
        <v>0</v>
      </c>
      <c r="I69" s="44">
        <f t="shared" si="9"/>
        <v>19262.07</v>
      </c>
      <c r="J69" s="45">
        <f t="shared" si="10"/>
        <v>5.2453737834001264E-2</v>
      </c>
      <c r="K69" s="45"/>
    </row>
    <row r="70" spans="1:11" s="11" customFormat="1" ht="54.95" customHeight="1" x14ac:dyDescent="0.85">
      <c r="A70" s="39" t="s">
        <v>362</v>
      </c>
      <c r="B70" s="44">
        <f>CNT!N240</f>
        <v>850.77</v>
      </c>
      <c r="C70" s="44">
        <v>0</v>
      </c>
      <c r="D70" s="44">
        <f>DEP!N59</f>
        <v>0</v>
      </c>
      <c r="E70" s="44">
        <v>0</v>
      </c>
      <c r="F70" s="44">
        <f>'BSC (Dome)'!N55</f>
        <v>0</v>
      </c>
      <c r="G70" s="44">
        <v>0</v>
      </c>
      <c r="H70" s="44">
        <v>0</v>
      </c>
      <c r="I70" s="44">
        <f t="shared" si="9"/>
        <v>850.77</v>
      </c>
      <c r="J70" s="45">
        <f t="shared" si="10"/>
        <v>2.3167845686903462E-3</v>
      </c>
      <c r="K70" s="45"/>
    </row>
    <row r="71" spans="1:11" s="11" customFormat="1" ht="54.95" customHeight="1" x14ac:dyDescent="0.85">
      <c r="A71" s="39" t="s">
        <v>363</v>
      </c>
      <c r="B71" s="44">
        <f>CNT!N241+CNT!N281</f>
        <v>2324.39</v>
      </c>
      <c r="C71" s="44">
        <f>BPM!N69</f>
        <v>346.52</v>
      </c>
      <c r="D71" s="44">
        <f>DEP!N60</f>
        <v>328.78</v>
      </c>
      <c r="E71" s="44">
        <v>0</v>
      </c>
      <c r="F71" s="44">
        <f>'BSC (Dome)'!N56</f>
        <v>823.61</v>
      </c>
      <c r="G71" s="44">
        <v>0</v>
      </c>
      <c r="H71" s="44">
        <v>0</v>
      </c>
      <c r="I71" s="44">
        <f t="shared" si="9"/>
        <v>3823.2999999999997</v>
      </c>
      <c r="J71" s="45">
        <f t="shared" si="10"/>
        <v>1.0411465427170445E-2</v>
      </c>
      <c r="K71" s="45"/>
    </row>
    <row r="72" spans="1:11" s="11" customFormat="1" ht="54.95" customHeight="1" x14ac:dyDescent="0.85">
      <c r="A72" s="43" t="s">
        <v>247</v>
      </c>
      <c r="B72" s="46">
        <f t="shared" ref="B72:H72" si="11">SUM(B50:B71)</f>
        <v>205104.56</v>
      </c>
      <c r="C72" s="46">
        <f t="shared" si="11"/>
        <v>7923.8099999999995</v>
      </c>
      <c r="D72" s="46">
        <f t="shared" si="11"/>
        <v>95705.33</v>
      </c>
      <c r="E72" s="46">
        <f t="shared" si="11"/>
        <v>110</v>
      </c>
      <c r="F72" s="46">
        <f t="shared" si="11"/>
        <v>34576.76</v>
      </c>
      <c r="G72" s="46">
        <f t="shared" si="11"/>
        <v>9253.2800000000007</v>
      </c>
      <c r="H72" s="46">
        <f t="shared" si="11"/>
        <v>14546.42</v>
      </c>
      <c r="I72" s="46">
        <f t="shared" si="9"/>
        <v>367220.16000000003</v>
      </c>
      <c r="J72" s="47">
        <f>SUM(J50:J71)</f>
        <v>1</v>
      </c>
      <c r="K72" s="45"/>
    </row>
    <row r="73" spans="1:11" s="11" customFormat="1" ht="92.25" x14ac:dyDescent="1.35">
      <c r="A73" s="249">
        <v>2019</v>
      </c>
      <c r="B73" s="250"/>
      <c r="C73" s="250"/>
      <c r="D73" s="250"/>
      <c r="E73" s="250"/>
      <c r="F73" s="250"/>
      <c r="G73" s="250"/>
      <c r="H73" s="250"/>
      <c r="I73" s="250"/>
      <c r="J73" s="251"/>
      <c r="K73" s="39"/>
    </row>
    <row r="74" spans="1:11" s="11" customFormat="1" ht="92.25" x14ac:dyDescent="1.35">
      <c r="A74" s="252" t="s">
        <v>398</v>
      </c>
      <c r="B74" s="253"/>
      <c r="C74" s="253"/>
      <c r="D74" s="253"/>
      <c r="E74" s="253"/>
      <c r="F74" s="253"/>
      <c r="G74" s="253"/>
      <c r="H74" s="253"/>
      <c r="I74" s="253"/>
      <c r="J74" s="254"/>
      <c r="K74" s="40"/>
    </row>
    <row r="75" spans="1:11" s="11" customFormat="1" ht="92.25" x14ac:dyDescent="1.35">
      <c r="A75" s="252" t="s">
        <v>340</v>
      </c>
      <c r="B75" s="253"/>
      <c r="C75" s="253"/>
      <c r="D75" s="253"/>
      <c r="E75" s="253"/>
      <c r="F75" s="253"/>
      <c r="G75" s="253"/>
      <c r="H75" s="253"/>
      <c r="I75" s="253"/>
      <c r="J75" s="254"/>
      <c r="K75" s="40"/>
    </row>
    <row r="76" spans="1:11" s="11" customFormat="1" ht="92.25" x14ac:dyDescent="1.35">
      <c r="A76" s="246">
        <f>A4</f>
        <v>43861</v>
      </c>
      <c r="B76" s="247"/>
      <c r="C76" s="247"/>
      <c r="D76" s="247"/>
      <c r="E76" s="247"/>
      <c r="F76" s="247"/>
      <c r="G76" s="247"/>
      <c r="H76" s="247"/>
      <c r="I76" s="247"/>
      <c r="J76" s="248"/>
      <c r="K76" s="40"/>
    </row>
    <row r="77" spans="1:11" s="11" customFormat="1" ht="54.95" customHeight="1" x14ac:dyDescent="0.85">
      <c r="A77" s="39"/>
      <c r="B77" s="39"/>
      <c r="C77" s="39"/>
      <c r="D77" s="39"/>
      <c r="E77" s="39"/>
      <c r="F77" s="39"/>
      <c r="G77" s="39"/>
      <c r="H77" s="39"/>
      <c r="I77" s="40" t="s">
        <v>205</v>
      </c>
      <c r="J77" s="40" t="s">
        <v>205</v>
      </c>
      <c r="K77" s="40"/>
    </row>
    <row r="78" spans="1:11" s="11" customFormat="1" ht="54.95" customHeight="1" x14ac:dyDescent="0.85">
      <c r="A78" s="39"/>
      <c r="B78" s="42" t="s">
        <v>210</v>
      </c>
      <c r="C78" s="42" t="s">
        <v>212</v>
      </c>
      <c r="D78" s="42" t="s">
        <v>211</v>
      </c>
      <c r="E78" s="42" t="s">
        <v>213</v>
      </c>
      <c r="F78" s="42" t="s">
        <v>214</v>
      </c>
      <c r="G78" s="42" t="s">
        <v>399</v>
      </c>
      <c r="H78" s="42" t="s">
        <v>411</v>
      </c>
      <c r="I78" s="42">
        <v>2019</v>
      </c>
      <c r="J78" s="40" t="s">
        <v>335</v>
      </c>
      <c r="K78" s="40"/>
    </row>
    <row r="79" spans="1:11" s="11" customFormat="1" ht="54.95" customHeight="1" x14ac:dyDescent="0.85">
      <c r="A79" s="39"/>
      <c r="B79" s="44"/>
      <c r="C79" s="44"/>
      <c r="D79" s="44"/>
      <c r="E79" s="44"/>
      <c r="F79" s="44"/>
      <c r="G79" s="44"/>
      <c r="H79" s="44"/>
      <c r="I79" s="44"/>
      <c r="J79" s="39"/>
      <c r="K79" s="39"/>
    </row>
    <row r="80" spans="1:11" s="11" customFormat="1" ht="54.95" customHeight="1" x14ac:dyDescent="0.85">
      <c r="A80" s="43" t="s">
        <v>248</v>
      </c>
      <c r="B80" s="44"/>
      <c r="C80" s="44"/>
      <c r="D80" s="44"/>
      <c r="E80" s="44"/>
      <c r="F80" s="44"/>
      <c r="G80" s="44"/>
      <c r="H80" s="44"/>
      <c r="I80" s="44"/>
      <c r="J80" s="39"/>
      <c r="K80" s="39"/>
    </row>
    <row r="81" spans="1:11" s="11" customFormat="1" ht="54.95" customHeight="1" x14ac:dyDescent="0.85">
      <c r="A81" s="39" t="s">
        <v>249</v>
      </c>
      <c r="B81" s="44">
        <f>CNT!N251</f>
        <v>1825.07</v>
      </c>
      <c r="C81" s="44">
        <v>0</v>
      </c>
      <c r="D81" s="44">
        <f>DEP!N64</f>
        <v>208.24</v>
      </c>
      <c r="E81" s="44">
        <v>0</v>
      </c>
      <c r="F81" s="44">
        <f>'BSC (Dome)'!N60</f>
        <v>509.71</v>
      </c>
      <c r="G81" s="44">
        <v>0</v>
      </c>
      <c r="H81" s="44">
        <v>0</v>
      </c>
      <c r="I81" s="44">
        <f t="shared" ref="I81:I103" si="12">SUM(B81:H81)</f>
        <v>2543.02</v>
      </c>
      <c r="J81" s="45">
        <f t="shared" ref="J81:J100" si="13">I81/$I$101</f>
        <v>3.5009667851314027E-2</v>
      </c>
      <c r="K81" s="45"/>
    </row>
    <row r="82" spans="1:11" s="11" customFormat="1" ht="54.95" customHeight="1" x14ac:dyDescent="0.85">
      <c r="A82" s="39" t="s">
        <v>385</v>
      </c>
      <c r="B82" s="44">
        <f>CNT!N249</f>
        <v>125</v>
      </c>
      <c r="C82" s="44">
        <f>BPM!N64</f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f t="shared" si="12"/>
        <v>125</v>
      </c>
      <c r="J82" s="45">
        <f t="shared" si="13"/>
        <v>1.7208706504133876E-3</v>
      </c>
      <c r="K82" s="45"/>
    </row>
    <row r="83" spans="1:11" s="11" customFormat="1" ht="54.95" customHeight="1" x14ac:dyDescent="0.85">
      <c r="A83" s="39" t="s">
        <v>533</v>
      </c>
      <c r="B83" s="44">
        <v>0</v>
      </c>
      <c r="C83" s="44">
        <v>0</v>
      </c>
      <c r="D83" s="44">
        <v>0</v>
      </c>
      <c r="E83" s="44">
        <f>Lending!N9</f>
        <v>0</v>
      </c>
      <c r="F83" s="44">
        <v>0</v>
      </c>
      <c r="G83" s="44">
        <v>0</v>
      </c>
      <c r="H83" s="44">
        <v>0</v>
      </c>
      <c r="I83" s="44">
        <f t="shared" si="12"/>
        <v>0</v>
      </c>
      <c r="J83" s="45">
        <f t="shared" si="13"/>
        <v>0</v>
      </c>
      <c r="K83" s="45"/>
    </row>
    <row r="84" spans="1:11" s="11" customFormat="1" ht="54.95" customHeight="1" x14ac:dyDescent="0.85">
      <c r="A84" s="39" t="s">
        <v>250</v>
      </c>
      <c r="B84" s="44">
        <f>CNT!N252</f>
        <v>6615.91</v>
      </c>
      <c r="C84" s="44">
        <f>BPM!N65</f>
        <v>110.69</v>
      </c>
      <c r="D84" s="44">
        <f>DEP!N65</f>
        <v>213.42</v>
      </c>
      <c r="E84" s="44">
        <f>Lending!N10</f>
        <v>1.99</v>
      </c>
      <c r="F84" s="44">
        <f>'BSC (Dome)'!N61</f>
        <v>0</v>
      </c>
      <c r="G84" s="44">
        <f>-'Oliari Co.'!N26</f>
        <v>0</v>
      </c>
      <c r="H84" s="44">
        <f>'722 Bedford St'!N16</f>
        <v>0</v>
      </c>
      <c r="I84" s="44">
        <f t="shared" si="12"/>
        <v>6942.0099999999993</v>
      </c>
      <c r="J84" s="45">
        <f t="shared" si="13"/>
        <v>9.5570410111009918E-2</v>
      </c>
      <c r="K84" s="45"/>
    </row>
    <row r="85" spans="1:11" s="11" customFormat="1" ht="54.95" customHeight="1" x14ac:dyDescent="0.85">
      <c r="A85" s="39" t="s">
        <v>357</v>
      </c>
      <c r="B85" s="44">
        <v>0</v>
      </c>
      <c r="C85" s="44">
        <v>0</v>
      </c>
      <c r="D85" s="44">
        <v>0</v>
      </c>
      <c r="E85" s="44">
        <v>0</v>
      </c>
      <c r="F85" s="44">
        <f>'BSC (Dome)'!N62</f>
        <v>995.74</v>
      </c>
      <c r="G85" s="44">
        <v>0</v>
      </c>
      <c r="H85" s="44">
        <v>0</v>
      </c>
      <c r="I85" s="44">
        <f t="shared" si="12"/>
        <v>995.74</v>
      </c>
      <c r="J85" s="45">
        <f t="shared" si="13"/>
        <v>1.3708317931541014E-2</v>
      </c>
      <c r="K85" s="45"/>
    </row>
    <row r="86" spans="1:11" s="11" customFormat="1" ht="54.95" customHeight="1" x14ac:dyDescent="0.85">
      <c r="A86" s="39" t="s">
        <v>251</v>
      </c>
      <c r="B86" s="44">
        <f>CNT!N254</f>
        <v>573.22</v>
      </c>
      <c r="C86" s="44">
        <v>0</v>
      </c>
      <c r="D86" s="44">
        <f>DEP!N75</f>
        <v>0</v>
      </c>
      <c r="E86" s="44">
        <v>0</v>
      </c>
      <c r="F86" s="44">
        <f>'BSC (Dome)'!N66</f>
        <v>89.68</v>
      </c>
      <c r="G86" s="44">
        <f>'Oliari Co.'!N11</f>
        <v>860.93</v>
      </c>
      <c r="H86" s="44">
        <v>0</v>
      </c>
      <c r="I86" s="44">
        <f t="shared" si="12"/>
        <v>1523.83</v>
      </c>
      <c r="J86" s="45">
        <f t="shared" si="13"/>
        <v>2.0978514585755458E-2</v>
      </c>
      <c r="K86" s="45"/>
    </row>
    <row r="87" spans="1:11" s="11" customFormat="1" ht="54.95" customHeight="1" x14ac:dyDescent="0.85">
      <c r="A87" s="39" t="s">
        <v>354</v>
      </c>
      <c r="B87" s="44">
        <f>CNT!N273</f>
        <v>19583.330000000002</v>
      </c>
      <c r="C87" s="44">
        <f>BPM!N72</f>
        <v>385</v>
      </c>
      <c r="D87" s="44">
        <f>DEP!N69</f>
        <v>3250</v>
      </c>
      <c r="E87" s="44">
        <f>Lending!N13</f>
        <v>250</v>
      </c>
      <c r="F87" s="44">
        <f>'BSC (Dome)'!N67</f>
        <v>250</v>
      </c>
      <c r="G87" s="44">
        <f>'Oliari Co.'!N17</f>
        <v>250</v>
      </c>
      <c r="H87" s="44">
        <f>'722 Bedford St'!N15</f>
        <v>333.33</v>
      </c>
      <c r="I87" s="44">
        <f t="shared" si="12"/>
        <v>24301.660000000003</v>
      </c>
      <c r="J87" s="45">
        <f t="shared" si="13"/>
        <v>0.33456010760260008</v>
      </c>
      <c r="K87" s="45"/>
    </row>
    <row r="88" spans="1:11" s="11" customFormat="1" ht="54.95" customHeight="1" x14ac:dyDescent="0.85">
      <c r="A88" s="39" t="s">
        <v>355</v>
      </c>
      <c r="B88" s="44">
        <f>CNT!N274</f>
        <v>7500</v>
      </c>
      <c r="C88" s="44">
        <f>BPM!N73</f>
        <v>3750</v>
      </c>
      <c r="D88" s="44">
        <f>DEP!N70</f>
        <v>2250</v>
      </c>
      <c r="E88" s="44">
        <v>0</v>
      </c>
      <c r="F88" s="44">
        <f>'BSC (Dome)'!N68</f>
        <v>1500</v>
      </c>
      <c r="G88" s="44">
        <v>0</v>
      </c>
      <c r="H88" s="44">
        <v>0</v>
      </c>
      <c r="I88" s="44">
        <f t="shared" si="12"/>
        <v>15000</v>
      </c>
      <c r="J88" s="45">
        <f t="shared" si="13"/>
        <v>0.20650447804960653</v>
      </c>
      <c r="K88" s="45"/>
    </row>
    <row r="89" spans="1:11" s="11" customFormat="1" ht="54.95" customHeight="1" x14ac:dyDescent="0.85">
      <c r="A89" s="39" t="s">
        <v>356</v>
      </c>
      <c r="B89" s="44">
        <f>CNT!N272</f>
        <v>7289.15</v>
      </c>
      <c r="C89" s="44">
        <f>BPM!N71</f>
        <v>110</v>
      </c>
      <c r="D89" s="44">
        <f>DEP!N68</f>
        <v>333.33</v>
      </c>
      <c r="E89" s="44">
        <f>Lending!N12</f>
        <v>0</v>
      </c>
      <c r="F89" s="44">
        <v>0</v>
      </c>
      <c r="G89" s="44">
        <v>0</v>
      </c>
      <c r="H89" s="44">
        <v>0</v>
      </c>
      <c r="I89" s="44">
        <f t="shared" si="12"/>
        <v>7732.48</v>
      </c>
      <c r="J89" s="45">
        <f t="shared" si="13"/>
        <v>0.10645278309526809</v>
      </c>
      <c r="K89" s="45"/>
    </row>
    <row r="90" spans="1:11" s="11" customFormat="1" ht="54.95" customHeight="1" x14ac:dyDescent="0.85">
      <c r="A90" s="39" t="s">
        <v>394</v>
      </c>
      <c r="B90" s="44">
        <f>CNT!N275</f>
        <v>0</v>
      </c>
      <c r="C90" s="44">
        <f>BPM!N74</f>
        <v>0</v>
      </c>
      <c r="D90" s="44">
        <f>DEP!N72</f>
        <v>0</v>
      </c>
      <c r="E90" s="44">
        <v>0</v>
      </c>
      <c r="F90" s="44">
        <v>0</v>
      </c>
      <c r="G90" s="44">
        <v>0</v>
      </c>
      <c r="H90" s="44">
        <v>0</v>
      </c>
      <c r="I90" s="44">
        <f t="shared" si="12"/>
        <v>0</v>
      </c>
      <c r="J90" s="45">
        <f t="shared" si="13"/>
        <v>0</v>
      </c>
      <c r="K90" s="45"/>
    </row>
    <row r="91" spans="1:11" s="11" customFormat="1" ht="54.95" customHeight="1" x14ac:dyDescent="0.85">
      <c r="A91" s="39" t="s">
        <v>383</v>
      </c>
      <c r="B91" s="44">
        <v>0</v>
      </c>
      <c r="C91" s="44">
        <v>0</v>
      </c>
      <c r="D91" s="44">
        <f>DEP!N71</f>
        <v>791.67</v>
      </c>
      <c r="E91" s="44">
        <v>0</v>
      </c>
      <c r="F91" s="44">
        <v>0</v>
      </c>
      <c r="G91" s="44">
        <v>0</v>
      </c>
      <c r="H91" s="44">
        <v>0</v>
      </c>
      <c r="I91" s="44">
        <f t="shared" si="12"/>
        <v>791.67</v>
      </c>
      <c r="J91" s="45">
        <f t="shared" si="13"/>
        <v>1.0898893342502132E-2</v>
      </c>
      <c r="K91" s="45"/>
    </row>
    <row r="92" spans="1:11" s="11" customFormat="1" ht="54.95" customHeight="1" x14ac:dyDescent="0.85">
      <c r="A92" s="39" t="s">
        <v>253</v>
      </c>
      <c r="B92" s="44">
        <f>CNT!N258+CNT!N277</f>
        <v>2967.81</v>
      </c>
      <c r="C92" s="44">
        <f>BPM!N66</f>
        <v>0</v>
      </c>
      <c r="D92" s="44">
        <f>DEP!N67</f>
        <v>0</v>
      </c>
      <c r="E92" s="44">
        <v>0</v>
      </c>
      <c r="F92" s="44">
        <f>'BSC (Dome)'!N64:N64</f>
        <v>1277.1500000000001</v>
      </c>
      <c r="G92" s="44">
        <v>0</v>
      </c>
      <c r="H92" s="44">
        <v>0</v>
      </c>
      <c r="I92" s="44">
        <f t="shared" si="12"/>
        <v>4244.96</v>
      </c>
      <c r="J92" s="45">
        <f t="shared" si="13"/>
        <v>5.8440216609430516E-2</v>
      </c>
      <c r="K92" s="45"/>
    </row>
    <row r="93" spans="1:11" s="11" customFormat="1" ht="54.95" customHeight="1" x14ac:dyDescent="0.85">
      <c r="A93" s="39" t="s">
        <v>254</v>
      </c>
      <c r="B93" s="44">
        <f>CNT!N263</f>
        <v>1195</v>
      </c>
      <c r="C93" s="44">
        <f>BPM!N68</f>
        <v>0</v>
      </c>
      <c r="D93" s="44">
        <f>DEP!N77</f>
        <v>225</v>
      </c>
      <c r="E93" s="44">
        <v>0</v>
      </c>
      <c r="F93" s="44">
        <f>'BSC (Dome)'!N70</f>
        <v>0</v>
      </c>
      <c r="G93" s="44">
        <v>0</v>
      </c>
      <c r="H93" s="44">
        <v>0</v>
      </c>
      <c r="I93" s="44">
        <f t="shared" si="12"/>
        <v>1420</v>
      </c>
      <c r="J93" s="45">
        <f t="shared" si="13"/>
        <v>1.9549090588696083E-2</v>
      </c>
      <c r="K93" s="45"/>
    </row>
    <row r="94" spans="1:11" s="11" customFormat="1" ht="54.95" customHeight="1" x14ac:dyDescent="0.85">
      <c r="A94" s="39" t="s">
        <v>255</v>
      </c>
      <c r="B94" s="44">
        <f>CNT!N264</f>
        <v>671.94</v>
      </c>
      <c r="C94" s="44">
        <f>0</f>
        <v>0</v>
      </c>
      <c r="D94" s="44">
        <f>DEP!N74</f>
        <v>0</v>
      </c>
      <c r="E94" s="44">
        <v>0</v>
      </c>
      <c r="F94" s="44">
        <v>0</v>
      </c>
      <c r="G94" s="44">
        <v>0</v>
      </c>
      <c r="H94" s="44">
        <v>0</v>
      </c>
      <c r="I94" s="44">
        <f t="shared" si="12"/>
        <v>671.94</v>
      </c>
      <c r="J94" s="45">
        <f t="shared" si="13"/>
        <v>9.2505745987101744E-3</v>
      </c>
      <c r="K94" s="45"/>
    </row>
    <row r="95" spans="1:11" s="11" customFormat="1" ht="54.95" customHeight="1" x14ac:dyDescent="0.85">
      <c r="A95" s="39" t="s">
        <v>292</v>
      </c>
      <c r="B95" s="44">
        <f>CNT!N253</f>
        <v>0</v>
      </c>
      <c r="C95" s="44">
        <f>0</f>
        <v>0</v>
      </c>
      <c r="D95" s="44">
        <f>DEP!N66</f>
        <v>0</v>
      </c>
      <c r="E95" s="44">
        <v>0</v>
      </c>
      <c r="F95" s="44">
        <f>'BSC (Dome)'!N63</f>
        <v>0</v>
      </c>
      <c r="G95" s="44">
        <v>0</v>
      </c>
      <c r="H95" s="44">
        <v>0</v>
      </c>
      <c r="I95" s="44">
        <f t="shared" si="12"/>
        <v>0</v>
      </c>
      <c r="J95" s="45">
        <f t="shared" si="13"/>
        <v>0</v>
      </c>
      <c r="K95" s="45"/>
    </row>
    <row r="96" spans="1:11" s="11" customFormat="1" ht="54.95" customHeight="1" x14ac:dyDescent="0.85">
      <c r="A96" s="39" t="s">
        <v>369</v>
      </c>
      <c r="B96" s="44">
        <f>CNT!N259</f>
        <v>396.78</v>
      </c>
      <c r="C96" s="44">
        <f>BPM!N67</f>
        <v>28.69</v>
      </c>
      <c r="D96" s="44">
        <v>0</v>
      </c>
      <c r="E96" s="44">
        <v>0</v>
      </c>
      <c r="F96" s="44">
        <f>'BSC (Dome)'!N65</f>
        <v>0</v>
      </c>
      <c r="G96" s="44">
        <v>0</v>
      </c>
      <c r="H96" s="44">
        <v>0</v>
      </c>
      <c r="I96" s="44">
        <f t="shared" si="12"/>
        <v>425.46999999999997</v>
      </c>
      <c r="J96" s="45">
        <f t="shared" si="13"/>
        <v>5.8574306850510717E-3</v>
      </c>
      <c r="K96" s="45"/>
    </row>
    <row r="97" spans="1:33" s="11" customFormat="1" ht="54.95" customHeight="1" x14ac:dyDescent="0.85">
      <c r="A97" s="39" t="s">
        <v>256</v>
      </c>
      <c r="B97" s="44">
        <f>CNT!N266</f>
        <v>2439.17</v>
      </c>
      <c r="C97" s="44">
        <f>BPM!N78</f>
        <v>0</v>
      </c>
      <c r="D97" s="44">
        <f>DEP!N73</f>
        <v>0</v>
      </c>
      <c r="E97" s="44">
        <v>0</v>
      </c>
      <c r="F97" s="44">
        <v>0</v>
      </c>
      <c r="G97" s="44">
        <v>0</v>
      </c>
      <c r="H97" s="44">
        <v>0</v>
      </c>
      <c r="I97" s="44">
        <f t="shared" si="12"/>
        <v>2439.17</v>
      </c>
      <c r="J97" s="45">
        <f t="shared" si="13"/>
        <v>3.3579968514950584E-2</v>
      </c>
      <c r="K97" s="45"/>
    </row>
    <row r="98" spans="1:33" s="11" customFormat="1" ht="54.95" customHeight="1" x14ac:dyDescent="0.85">
      <c r="A98" s="39" t="s">
        <v>257</v>
      </c>
      <c r="B98" s="44">
        <f>CNT!N267+CNT!N278</f>
        <v>2087.75</v>
      </c>
      <c r="C98" s="44">
        <v>0</v>
      </c>
      <c r="D98" s="44">
        <f>DEP!N53</f>
        <v>35</v>
      </c>
      <c r="E98" s="44">
        <v>0</v>
      </c>
      <c r="F98" s="44">
        <v>0</v>
      </c>
      <c r="G98" s="44">
        <v>0</v>
      </c>
      <c r="H98" s="44">
        <v>0</v>
      </c>
      <c r="I98" s="44">
        <f t="shared" si="12"/>
        <v>2122.75</v>
      </c>
      <c r="J98" s="45">
        <f t="shared" si="13"/>
        <v>2.9223825385320149E-2</v>
      </c>
      <c r="K98" s="45"/>
    </row>
    <row r="99" spans="1:33" s="11" customFormat="1" ht="54.95" customHeight="1" x14ac:dyDescent="0.85">
      <c r="A99" s="39" t="s">
        <v>258</v>
      </c>
      <c r="B99" s="44">
        <f>CNT!N268</f>
        <v>735.52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f t="shared" si="12"/>
        <v>735.52</v>
      </c>
      <c r="J99" s="45">
        <f t="shared" si="13"/>
        <v>1.0125878246336439E-2</v>
      </c>
      <c r="K99" s="45"/>
    </row>
    <row r="100" spans="1:33" s="11" customFormat="1" ht="54.95" customHeight="1" x14ac:dyDescent="0.85">
      <c r="A100" s="39" t="s">
        <v>259</v>
      </c>
      <c r="B100" s="44">
        <f>CNT!N269+CNT!N280</f>
        <v>622.42999999999995</v>
      </c>
      <c r="C100" s="44">
        <f>BPM!N77</f>
        <v>0</v>
      </c>
      <c r="D100" s="44">
        <f>DEP!N57</f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f t="shared" si="12"/>
        <v>622.42999999999995</v>
      </c>
      <c r="J100" s="45">
        <f t="shared" si="13"/>
        <v>8.5689721514944379E-3</v>
      </c>
      <c r="K100" s="45"/>
      <c r="AG100" s="15"/>
    </row>
    <row r="101" spans="1:33" s="11" customFormat="1" ht="54.95" customHeight="1" x14ac:dyDescent="0.85">
      <c r="A101" s="43" t="s">
        <v>261</v>
      </c>
      <c r="B101" s="46">
        <f>SUM(B81:B100)</f>
        <v>54628.079999999994</v>
      </c>
      <c r="C101" s="46">
        <f t="shared" ref="C101:H101" si="14">SUM(C81:C100)</f>
        <v>4384.3799999999992</v>
      </c>
      <c r="D101" s="46">
        <f t="shared" si="14"/>
        <v>7306.66</v>
      </c>
      <c r="E101" s="46">
        <f t="shared" si="14"/>
        <v>251.99</v>
      </c>
      <c r="F101" s="46">
        <f>SUM(F81:F100)</f>
        <v>4622.2800000000007</v>
      </c>
      <c r="G101" s="46">
        <f t="shared" si="14"/>
        <v>1110.9299999999998</v>
      </c>
      <c r="H101" s="46">
        <f t="shared" si="14"/>
        <v>333.33</v>
      </c>
      <c r="I101" s="46">
        <f t="shared" si="12"/>
        <v>72637.649999999994</v>
      </c>
      <c r="J101" s="47">
        <f>SUM(J81:J100)</f>
        <v>1.0000000000000002</v>
      </c>
      <c r="K101" s="45"/>
      <c r="AG101" s="15"/>
    </row>
    <row r="102" spans="1:33" s="11" customFormat="1" ht="54.95" customHeight="1" x14ac:dyDescent="0.85">
      <c r="A102" s="39"/>
      <c r="B102" s="44"/>
      <c r="C102" s="44"/>
      <c r="D102" s="44"/>
      <c r="E102" s="44"/>
      <c r="F102" s="44"/>
      <c r="G102" s="44"/>
      <c r="H102" s="44"/>
      <c r="I102" s="44">
        <f t="shared" si="12"/>
        <v>0</v>
      </c>
      <c r="J102" s="39"/>
      <c r="K102" s="39"/>
      <c r="AG102" s="15"/>
    </row>
    <row r="103" spans="1:33" s="11" customFormat="1" ht="54.95" customHeight="1" thickBot="1" x14ac:dyDescent="0.9">
      <c r="A103" s="43" t="s">
        <v>262</v>
      </c>
      <c r="B103" s="218">
        <f t="shared" ref="B103:H103" si="15">B47+B72+B101</f>
        <v>596965.90999999992</v>
      </c>
      <c r="C103" s="48">
        <f t="shared" si="15"/>
        <v>94368.349999999991</v>
      </c>
      <c r="D103" s="48">
        <f t="shared" si="15"/>
        <v>212555.52000000002</v>
      </c>
      <c r="E103" s="48">
        <f t="shared" si="15"/>
        <v>361.99</v>
      </c>
      <c r="F103" s="48">
        <f t="shared" si="15"/>
        <v>93968.790000000008</v>
      </c>
      <c r="G103" s="48">
        <f t="shared" si="15"/>
        <v>10364.210000000001</v>
      </c>
      <c r="H103" s="48">
        <f t="shared" si="15"/>
        <v>14879.75</v>
      </c>
      <c r="I103" s="48">
        <f t="shared" si="12"/>
        <v>1023464.5199999999</v>
      </c>
      <c r="J103" s="44">
        <f>SUM(I37:I46)+SUM(I50:I71)+SUM(I81:I100)-I103</f>
        <v>0</v>
      </c>
      <c r="K103" s="39"/>
      <c r="AG103" s="15"/>
    </row>
    <row r="104" spans="1:33" s="11" customFormat="1" ht="54.95" customHeight="1" x14ac:dyDescent="0.85">
      <c r="A104" s="39"/>
      <c r="B104" s="44"/>
      <c r="C104" s="44"/>
      <c r="D104" s="44"/>
      <c r="E104" s="44"/>
      <c r="F104" s="44"/>
      <c r="G104" s="44"/>
      <c r="H104" s="44"/>
      <c r="I104" s="44"/>
      <c r="J104" s="39"/>
      <c r="K104" s="39"/>
      <c r="AG104" s="15"/>
    </row>
    <row r="105" spans="1:33" s="11" customFormat="1" ht="54.95" customHeight="1" x14ac:dyDescent="0.85">
      <c r="A105" s="43" t="s">
        <v>454</v>
      </c>
      <c r="B105" s="44"/>
      <c r="C105" s="44"/>
      <c r="D105" s="44"/>
      <c r="E105" s="44"/>
      <c r="F105" s="44"/>
      <c r="G105" s="44"/>
      <c r="H105" s="44"/>
      <c r="I105" s="44"/>
      <c r="J105" s="39"/>
      <c r="K105" s="39"/>
      <c r="AG105" s="15"/>
    </row>
    <row r="106" spans="1:33" s="11" customFormat="1" ht="54.95" customHeight="1" x14ac:dyDescent="0.85">
      <c r="A106" s="39" t="s">
        <v>265</v>
      </c>
      <c r="B106" s="44">
        <f>CNT!N285</f>
        <v>12500</v>
      </c>
      <c r="C106" s="44">
        <v>0</v>
      </c>
      <c r="D106" s="44">
        <f>DEP!N83</f>
        <v>12500</v>
      </c>
      <c r="E106" s="44">
        <v>0</v>
      </c>
      <c r="F106" s="44">
        <f>'BSC (Dome)'!N76+'BSC (Dome)'!N77</f>
        <v>5000</v>
      </c>
      <c r="G106" s="44">
        <f>'Oliari Co.'!N23+'Oliari Co.'!N24+'Oliari Co.'!N25</f>
        <v>22700</v>
      </c>
      <c r="H106" s="44">
        <f>'722 Bedford St'!N22+'722 Bedford St'!N23</f>
        <v>32500</v>
      </c>
      <c r="I106" s="44">
        <f t="shared" ref="I106:I124" si="16">SUM(B106:H106)</f>
        <v>85200</v>
      </c>
      <c r="J106" s="45"/>
      <c r="K106" s="45"/>
      <c r="AG106" s="15"/>
    </row>
    <row r="107" spans="1:33" s="11" customFormat="1" ht="54.95" customHeight="1" x14ac:dyDescent="0.85">
      <c r="A107" s="39" t="s">
        <v>266</v>
      </c>
      <c r="B107" s="44">
        <f>CNT!N286</f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f t="shared" si="16"/>
        <v>0</v>
      </c>
      <c r="J107" s="45"/>
      <c r="K107" s="45"/>
      <c r="AG107" s="15"/>
    </row>
    <row r="108" spans="1:33" s="11" customFormat="1" ht="54.95" customHeight="1" x14ac:dyDescent="0.85">
      <c r="A108" s="39" t="s">
        <v>324</v>
      </c>
      <c r="B108" s="44">
        <v>0</v>
      </c>
      <c r="C108" s="44">
        <f>-BPM!N82</f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f t="shared" si="16"/>
        <v>0</v>
      </c>
      <c r="J108" s="45"/>
      <c r="K108" s="45"/>
      <c r="AG108" s="15"/>
    </row>
    <row r="109" spans="1:33" s="11" customFormat="1" ht="54.95" customHeight="1" x14ac:dyDescent="0.85">
      <c r="A109" s="39" t="s">
        <v>380</v>
      </c>
      <c r="B109" s="44">
        <f>CNT!N287</f>
        <v>2821.87</v>
      </c>
      <c r="C109" s="44">
        <f>BPM!N83</f>
        <v>-2821.87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f t="shared" si="16"/>
        <v>0</v>
      </c>
      <c r="J109" s="45"/>
      <c r="K109" s="45"/>
      <c r="AG109" s="15"/>
    </row>
    <row r="110" spans="1:33" s="11" customFormat="1" ht="54.95" customHeight="1" x14ac:dyDescent="0.85">
      <c r="A110" s="39" t="s">
        <v>267</v>
      </c>
      <c r="B110" s="44">
        <f>CNT!N288</f>
        <v>9456</v>
      </c>
      <c r="C110" s="44">
        <v>0</v>
      </c>
      <c r="D110" s="44">
        <f>DEP!N84</f>
        <v>1036.44</v>
      </c>
      <c r="E110" s="44">
        <v>0</v>
      </c>
      <c r="F110" s="44">
        <v>0</v>
      </c>
      <c r="G110" s="44">
        <v>0</v>
      </c>
      <c r="H110" s="44">
        <f>'722 Bedford St'!N25</f>
        <v>0</v>
      </c>
      <c r="I110" s="44">
        <f t="shared" si="16"/>
        <v>10492.44</v>
      </c>
      <c r="J110" s="45"/>
      <c r="K110" s="45"/>
      <c r="AG110" s="15"/>
    </row>
    <row r="111" spans="1:33" s="11" customFormat="1" ht="54.95" customHeight="1" x14ac:dyDescent="0.85">
      <c r="A111" s="39" t="s">
        <v>268</v>
      </c>
      <c r="B111" s="44">
        <f>CNT!N289</f>
        <v>15776.3</v>
      </c>
      <c r="C111" s="44">
        <f>BPM!N84</f>
        <v>723.33</v>
      </c>
      <c r="D111" s="44">
        <f>DEP!N85</f>
        <v>14725</v>
      </c>
      <c r="E111" s="44">
        <f>Lending!N17</f>
        <v>5844.62</v>
      </c>
      <c r="F111" s="44">
        <f>'BSC (Dome)'!N78</f>
        <v>645.83000000000004</v>
      </c>
      <c r="G111" s="44">
        <f>'Oliari Co.'!N28</f>
        <v>4544.66</v>
      </c>
      <c r="H111" s="44">
        <f>'722 Bedford St'!N26</f>
        <v>1937.5</v>
      </c>
      <c r="I111" s="44">
        <f t="shared" si="16"/>
        <v>44197.240000000005</v>
      </c>
      <c r="J111" s="45"/>
      <c r="K111" s="45"/>
      <c r="AG111" s="15"/>
    </row>
    <row r="112" spans="1:33" s="11" customFormat="1" ht="54.95" customHeight="1" x14ac:dyDescent="0.85">
      <c r="A112" s="39" t="s">
        <v>269</v>
      </c>
      <c r="B112" s="44">
        <f>CNT!N290</f>
        <v>-39467.980000000003</v>
      </c>
      <c r="C112" s="44">
        <v>0</v>
      </c>
      <c r="D112" s="44">
        <v>0</v>
      </c>
      <c r="E112" s="44">
        <f>Lending!N18</f>
        <v>-1516.72</v>
      </c>
      <c r="F112" s="44">
        <f>'BSC (Dome)'!N80+'BSC (Dome)'!N81</f>
        <v>-9311.7000000000007</v>
      </c>
      <c r="G112" s="44">
        <f>'Oliari Co.'!N29</f>
        <v>0</v>
      </c>
      <c r="H112" s="44">
        <f>'722 Bedford St'!N27</f>
        <v>0</v>
      </c>
      <c r="I112" s="44">
        <f t="shared" si="16"/>
        <v>-50296.400000000009</v>
      </c>
      <c r="J112" s="45"/>
      <c r="K112" s="45"/>
      <c r="AG112" s="15"/>
    </row>
    <row r="113" spans="1:33" s="11" customFormat="1" ht="54.95" customHeight="1" x14ac:dyDescent="0.85">
      <c r="A113" s="39" t="s">
        <v>597</v>
      </c>
      <c r="B113" s="44">
        <f>CNT!N291</f>
        <v>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f t="shared" si="16"/>
        <v>0</v>
      </c>
      <c r="J113" s="45"/>
      <c r="K113" s="45"/>
      <c r="AG113" s="15"/>
    </row>
    <row r="114" spans="1:33" s="11" customFormat="1" ht="54.95" customHeight="1" x14ac:dyDescent="0.85">
      <c r="A114" s="39" t="s">
        <v>270</v>
      </c>
      <c r="B114" s="44">
        <f>CNT!N292</f>
        <v>0</v>
      </c>
      <c r="C114" s="44">
        <v>0</v>
      </c>
      <c r="D114" s="44">
        <v>0</v>
      </c>
      <c r="E114" s="44">
        <v>0</v>
      </c>
      <c r="F114" s="44">
        <f>'BSC (Dome)'!N79</f>
        <v>0</v>
      </c>
      <c r="G114" s="44">
        <f>'Oliari Co.'!N27</f>
        <v>0</v>
      </c>
      <c r="H114" s="44">
        <f>'722 Bedford St'!N24</f>
        <v>0</v>
      </c>
      <c r="I114" s="44">
        <f t="shared" si="16"/>
        <v>0</v>
      </c>
      <c r="J114" s="45"/>
      <c r="K114" s="45"/>
      <c r="AG114" s="15"/>
    </row>
    <row r="115" spans="1:33" s="11" customFormat="1" ht="54.95" customHeight="1" x14ac:dyDescent="0.85">
      <c r="A115" s="39" t="s">
        <v>582</v>
      </c>
      <c r="B115" s="44">
        <v>0</v>
      </c>
      <c r="C115" s="44">
        <v>0</v>
      </c>
      <c r="D115" s="44">
        <v>0</v>
      </c>
      <c r="E115" s="44">
        <f>Lending!N19</f>
        <v>0</v>
      </c>
      <c r="F115" s="44">
        <v>0</v>
      </c>
      <c r="G115" s="44">
        <v>0</v>
      </c>
      <c r="H115" s="44">
        <v>0</v>
      </c>
      <c r="I115" s="44">
        <f t="shared" si="16"/>
        <v>0</v>
      </c>
      <c r="J115" s="45"/>
      <c r="K115" s="45"/>
      <c r="AG115" s="15"/>
    </row>
    <row r="116" spans="1:33" s="11" customFormat="1" ht="54.95" customHeight="1" x14ac:dyDescent="0.85">
      <c r="A116" s="39" t="s">
        <v>395</v>
      </c>
      <c r="B116" s="44">
        <f>CNT!N293</f>
        <v>20720.71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f t="shared" si="16"/>
        <v>20720.71</v>
      </c>
      <c r="J116" s="45"/>
      <c r="K116" s="45"/>
      <c r="AG116" s="15"/>
    </row>
    <row r="117" spans="1:33" s="11" customFormat="1" ht="54.95" customHeight="1" x14ac:dyDescent="0.85">
      <c r="A117" s="39" t="s">
        <v>430</v>
      </c>
      <c r="B117" s="44">
        <f>CNT!N294</f>
        <v>819.34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f t="shared" si="16"/>
        <v>819.34</v>
      </c>
      <c r="J117" s="45"/>
      <c r="K117" s="45"/>
      <c r="AG117" s="15"/>
    </row>
    <row r="118" spans="1:33" s="11" customFormat="1" ht="54.95" customHeight="1" x14ac:dyDescent="0.85">
      <c r="A118" s="39" t="s">
        <v>431</v>
      </c>
      <c r="B118" s="44">
        <f>CNT!N295</f>
        <v>1033.1300000000001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f t="shared" si="16"/>
        <v>1033.1300000000001</v>
      </c>
      <c r="J118" s="45"/>
      <c r="K118" s="45"/>
      <c r="AG118" s="15"/>
    </row>
    <row r="119" spans="1:33" s="50" customFormat="1" ht="69.95" customHeight="1" x14ac:dyDescent="1.05">
      <c r="A119" s="39" t="s">
        <v>397</v>
      </c>
      <c r="B119" s="44">
        <f>CNT!N296</f>
        <v>17978.47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f t="shared" si="16"/>
        <v>17978.47</v>
      </c>
      <c r="J119" s="45"/>
      <c r="K119" s="45"/>
      <c r="L119" s="11"/>
      <c r="AG119" s="51"/>
    </row>
    <row r="120" spans="1:33" x14ac:dyDescent="0.85">
      <c r="A120" s="39" t="s">
        <v>526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f t="shared" si="16"/>
        <v>0</v>
      </c>
      <c r="J120" s="45"/>
      <c r="K120" s="45"/>
      <c r="L120" s="11"/>
    </row>
    <row r="121" spans="1:33" s="54" customFormat="1" x14ac:dyDescent="0.85">
      <c r="A121" s="39" t="s">
        <v>441</v>
      </c>
      <c r="B121" s="44">
        <f>CNT!N297</f>
        <v>0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f t="shared" si="16"/>
        <v>0</v>
      </c>
      <c r="J121" s="45"/>
      <c r="K121" s="45"/>
      <c r="L121" s="11"/>
    </row>
    <row r="122" spans="1:33" s="54" customFormat="1" x14ac:dyDescent="0.85">
      <c r="A122" s="43" t="s">
        <v>455</v>
      </c>
      <c r="B122" s="219">
        <f>SUM(B106:B121)</f>
        <v>41637.839999999997</v>
      </c>
      <c r="C122" s="46">
        <f>SUM(C106:C121)</f>
        <v>-2098.54</v>
      </c>
      <c r="D122" s="46">
        <f t="shared" ref="D122:H122" si="17">SUM(D106:D121)</f>
        <v>28261.440000000002</v>
      </c>
      <c r="E122" s="46">
        <f t="shared" si="17"/>
        <v>4327.8999999999996</v>
      </c>
      <c r="F122" s="46">
        <f t="shared" si="17"/>
        <v>-3665.8700000000008</v>
      </c>
      <c r="G122" s="46">
        <f t="shared" si="17"/>
        <v>27244.66</v>
      </c>
      <c r="H122" s="46">
        <f t="shared" si="17"/>
        <v>34437.5</v>
      </c>
      <c r="I122" s="46">
        <f>SUM(I106:I121)</f>
        <v>130144.93</v>
      </c>
      <c r="J122" s="49">
        <f>SUM(I106:I121)-I122</f>
        <v>0</v>
      </c>
      <c r="K122" s="45"/>
      <c r="L122" s="11"/>
    </row>
    <row r="123" spans="1:33" s="11" customFormat="1" ht="54.95" hidden="1" customHeight="1" x14ac:dyDescent="0.85">
      <c r="A123" s="43"/>
      <c r="B123" s="44"/>
      <c r="C123" s="44"/>
      <c r="D123" s="44"/>
      <c r="E123" s="44"/>
      <c r="F123" s="44"/>
      <c r="G123" s="44"/>
      <c r="H123" s="44"/>
      <c r="I123" s="44">
        <f t="shared" si="16"/>
        <v>0</v>
      </c>
      <c r="J123" s="45"/>
      <c r="K123" s="45"/>
      <c r="M123" s="72"/>
      <c r="N123" s="72"/>
      <c r="O123" s="72"/>
      <c r="P123" s="72"/>
      <c r="Q123" s="72"/>
      <c r="R123" s="72" t="s">
        <v>500</v>
      </c>
      <c r="S123" s="72"/>
      <c r="T123" s="44"/>
      <c r="U123" s="45"/>
      <c r="V123" s="39"/>
      <c r="W123" s="45"/>
      <c r="X123" s="44"/>
      <c r="Y123" s="45"/>
      <c r="Z123" s="44"/>
      <c r="AA123" s="45"/>
      <c r="AB123" s="44"/>
      <c r="AC123" s="44"/>
      <c r="AD123" s="60"/>
      <c r="AE123" s="60"/>
      <c r="AF123" s="60"/>
      <c r="AG123" s="15"/>
    </row>
    <row r="124" spans="1:33" s="11" customFormat="1" ht="54.95" hidden="1" customHeight="1" x14ac:dyDescent="1.05">
      <c r="A124" s="53" t="s">
        <v>264</v>
      </c>
      <c r="B124" s="52">
        <f t="shared" ref="B124:H124" si="18">B32-B103+B122</f>
        <v>586808.42000000959</v>
      </c>
      <c r="C124" s="52">
        <f t="shared" si="18"/>
        <v>-36995.599999999024</v>
      </c>
      <c r="D124" s="52">
        <f t="shared" si="18"/>
        <v>336315.92999999988</v>
      </c>
      <c r="E124" s="52">
        <f t="shared" si="18"/>
        <v>3965.91</v>
      </c>
      <c r="F124" s="52">
        <f t="shared" si="18"/>
        <v>41640.389999999978</v>
      </c>
      <c r="G124" s="52">
        <f t="shared" si="18"/>
        <v>16880.449999999997</v>
      </c>
      <c r="H124" s="52">
        <f t="shared" si="18"/>
        <v>19557.75</v>
      </c>
      <c r="I124" s="52">
        <f t="shared" si="16"/>
        <v>968173.25000001048</v>
      </c>
      <c r="J124" s="50"/>
      <c r="K124" s="50"/>
      <c r="L124" s="50"/>
      <c r="M124" s="72"/>
      <c r="N124" s="72"/>
      <c r="O124" s="72"/>
      <c r="P124" s="72"/>
      <c r="Q124" s="72"/>
      <c r="R124" s="72" t="s">
        <v>502</v>
      </c>
      <c r="S124" s="72"/>
      <c r="T124" s="44"/>
      <c r="U124" s="45"/>
      <c r="V124" s="39"/>
      <c r="W124" s="45"/>
      <c r="X124" s="44"/>
      <c r="Y124" s="45"/>
      <c r="Z124" s="44"/>
      <c r="AA124" s="45"/>
      <c r="AB124" s="44"/>
      <c r="AC124" s="44"/>
      <c r="AD124" s="60"/>
      <c r="AE124" s="60"/>
      <c r="AF124" s="60"/>
      <c r="AG124" s="15"/>
    </row>
    <row r="125" spans="1:33" s="11" customFormat="1" ht="54.95" hidden="1" customHeight="1" x14ac:dyDescent="1.05">
      <c r="A125" s="43" t="s">
        <v>528</v>
      </c>
      <c r="B125" s="76">
        <f>B29</f>
        <v>0</v>
      </c>
      <c r="C125" s="58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52">
        <f>SUM(B125:H125)</f>
        <v>0</v>
      </c>
      <c r="J125" s="39"/>
      <c r="K125" s="39"/>
      <c r="L125" s="39"/>
      <c r="M125" s="72"/>
      <c r="N125" s="72"/>
      <c r="O125" s="72"/>
      <c r="P125" s="72"/>
      <c r="Q125" s="72"/>
      <c r="R125" s="72">
        <v>11000</v>
      </c>
      <c r="S125" s="72"/>
      <c r="T125" s="44"/>
      <c r="U125" s="45"/>
      <c r="V125" s="39"/>
      <c r="W125" s="45"/>
      <c r="X125" s="44"/>
      <c r="Y125" s="45"/>
      <c r="Z125" s="44"/>
      <c r="AA125" s="45"/>
      <c r="AB125" s="44"/>
      <c r="AC125" s="44"/>
      <c r="AD125" s="60"/>
      <c r="AE125" s="60"/>
      <c r="AF125" s="60"/>
      <c r="AG125" s="15"/>
    </row>
    <row r="126" spans="1:33" s="11" customFormat="1" ht="54.95" hidden="1" customHeight="1" x14ac:dyDescent="0.85">
      <c r="A126" s="43" t="s">
        <v>529</v>
      </c>
      <c r="B126" s="78">
        <f>B124+B125</f>
        <v>586808.42000000959</v>
      </c>
      <c r="C126" s="59">
        <f t="shared" ref="C126" si="19">C124+C125</f>
        <v>-36995.599999999024</v>
      </c>
      <c r="D126" s="78">
        <f t="shared" ref="D126" si="20">D124+D125</f>
        <v>336315.92999999988</v>
      </c>
      <c r="E126" s="78">
        <f t="shared" ref="E126" si="21">E124+E125</f>
        <v>3965.91</v>
      </c>
      <c r="F126" s="78">
        <f t="shared" ref="F126" si="22">F124+F125</f>
        <v>41640.389999999978</v>
      </c>
      <c r="G126" s="78">
        <f t="shared" ref="G126" si="23">G124+G125</f>
        <v>16880.449999999997</v>
      </c>
      <c r="H126" s="78">
        <f t="shared" ref="H126" si="24">H124+H125</f>
        <v>19557.75</v>
      </c>
      <c r="I126" s="78">
        <f>I124+I125</f>
        <v>968173.25000001048</v>
      </c>
      <c r="J126" s="58"/>
      <c r="K126" s="58"/>
      <c r="L126" s="54"/>
      <c r="M126" s="72"/>
      <c r="N126" s="72"/>
      <c r="O126" s="72"/>
      <c r="P126" s="72"/>
      <c r="Q126" s="72"/>
      <c r="R126" s="72" t="s">
        <v>505</v>
      </c>
      <c r="S126" s="72"/>
      <c r="T126" s="44"/>
      <c r="U126" s="45"/>
      <c r="V126" s="39"/>
      <c r="W126" s="45"/>
      <c r="X126" s="44"/>
      <c r="Y126" s="45"/>
      <c r="Z126" s="44"/>
      <c r="AA126" s="45"/>
      <c r="AB126" s="44"/>
      <c r="AC126" s="44"/>
      <c r="AD126" s="60"/>
      <c r="AE126" s="60"/>
      <c r="AF126" s="60"/>
      <c r="AG126" s="15"/>
    </row>
    <row r="127" spans="1:33" s="11" customFormat="1" ht="54.95" hidden="1" customHeight="1" x14ac:dyDescent="0.85">
      <c r="A127" s="58"/>
      <c r="B127" s="76"/>
      <c r="C127" s="54"/>
      <c r="D127" s="77"/>
      <c r="E127" s="77"/>
      <c r="F127" s="77"/>
      <c r="G127" s="77"/>
      <c r="H127" s="77"/>
      <c r="I127" s="58"/>
      <c r="J127" s="58"/>
      <c r="K127" s="58"/>
      <c r="L127" s="54"/>
      <c r="M127" s="72"/>
      <c r="N127" s="72"/>
      <c r="O127" s="72"/>
      <c r="P127" s="72"/>
      <c r="Q127" s="72"/>
      <c r="R127" s="72" t="s">
        <v>505</v>
      </c>
      <c r="S127" s="72"/>
      <c r="T127" s="44"/>
      <c r="U127" s="45"/>
      <c r="V127" s="39"/>
      <c r="W127" s="45"/>
      <c r="X127" s="44"/>
      <c r="Y127" s="45"/>
      <c r="Z127" s="44"/>
      <c r="AA127" s="45"/>
      <c r="AB127" s="44"/>
      <c r="AC127" s="44"/>
      <c r="AD127" s="60"/>
      <c r="AE127" s="60"/>
      <c r="AF127" s="60"/>
      <c r="AG127" s="15"/>
    </row>
    <row r="128" spans="1:33" s="11" customFormat="1" ht="54.95" hidden="1" customHeight="1" x14ac:dyDescent="0.85">
      <c r="A128" s="43" t="s">
        <v>499</v>
      </c>
      <c r="B128" s="44"/>
      <c r="C128" s="44"/>
      <c r="D128" s="44"/>
      <c r="E128" s="44"/>
      <c r="F128" s="44"/>
      <c r="G128" s="44"/>
      <c r="H128" s="44"/>
      <c r="I128" s="44"/>
      <c r="J128" s="45"/>
      <c r="K128" s="45"/>
      <c r="L128" s="39"/>
      <c r="M128" s="72"/>
      <c r="N128" s="72"/>
      <c r="O128" s="72"/>
      <c r="P128" s="72"/>
      <c r="Q128" s="72"/>
      <c r="R128" s="72"/>
      <c r="S128" s="72"/>
      <c r="T128" s="44"/>
      <c r="U128" s="45"/>
      <c r="V128" s="39"/>
      <c r="W128" s="45"/>
      <c r="X128" s="44"/>
      <c r="Y128" s="45"/>
      <c r="Z128" s="44"/>
      <c r="AA128" s="45"/>
      <c r="AB128" s="44"/>
      <c r="AC128" s="44"/>
      <c r="AD128" s="60"/>
      <c r="AE128" s="60"/>
      <c r="AF128" s="60"/>
      <c r="AG128" s="15"/>
    </row>
    <row r="129" spans="1:33" s="11" customFormat="1" ht="54.95" hidden="1" customHeight="1" x14ac:dyDescent="0.85">
      <c r="A129" s="39" t="s">
        <v>501</v>
      </c>
      <c r="B129" s="44">
        <f>-54614.42-50474.14</f>
        <v>-105088.56</v>
      </c>
      <c r="C129" s="44">
        <v>50474.14</v>
      </c>
      <c r="D129" s="44">
        <v>54614.42</v>
      </c>
      <c r="E129" s="44">
        <v>0</v>
      </c>
      <c r="F129" s="44">
        <v>0</v>
      </c>
      <c r="G129" s="44">
        <v>0</v>
      </c>
      <c r="H129" s="44">
        <v>0</v>
      </c>
      <c r="I129" s="44">
        <f t="shared" ref="I129:I140" si="25">SUM(B129:H129)</f>
        <v>0</v>
      </c>
      <c r="J129" s="45"/>
      <c r="K129" s="45"/>
      <c r="L129" s="39"/>
      <c r="M129" s="72"/>
      <c r="N129" s="72"/>
      <c r="O129" s="72"/>
      <c r="P129" s="72"/>
      <c r="Q129" s="72"/>
      <c r="R129" s="72"/>
      <c r="S129" s="72"/>
      <c r="T129" s="44"/>
      <c r="U129" s="45"/>
      <c r="V129" s="39"/>
      <c r="W129" s="45"/>
      <c r="X129" s="44"/>
      <c r="Y129" s="45"/>
      <c r="Z129" s="44"/>
      <c r="AA129" s="45"/>
      <c r="AB129" s="44"/>
      <c r="AC129" s="44"/>
      <c r="AD129" s="60"/>
      <c r="AE129" s="60"/>
      <c r="AF129" s="60"/>
      <c r="AG129" s="15"/>
    </row>
    <row r="130" spans="1:33" s="11" customFormat="1" ht="54.95" hidden="1" customHeight="1" x14ac:dyDescent="0.85">
      <c r="A130" s="39" t="s">
        <v>503</v>
      </c>
      <c r="B130" s="44">
        <f>-2995.24-3272.2</f>
        <v>-6267.44</v>
      </c>
      <c r="C130" s="44">
        <v>3272.2</v>
      </c>
      <c r="D130" s="44">
        <v>2995.24</v>
      </c>
      <c r="E130" s="44">
        <v>0</v>
      </c>
      <c r="F130" s="44">
        <v>0</v>
      </c>
      <c r="G130" s="44">
        <v>0</v>
      </c>
      <c r="H130" s="44">
        <v>0</v>
      </c>
      <c r="I130" s="44">
        <f t="shared" si="25"/>
        <v>0</v>
      </c>
      <c r="J130" s="45"/>
      <c r="K130" s="45"/>
      <c r="L130" s="39"/>
      <c r="M130" s="72"/>
      <c r="N130" s="72"/>
      <c r="O130" s="72"/>
      <c r="P130" s="72"/>
      <c r="Q130" s="72"/>
      <c r="R130" s="72"/>
      <c r="S130" s="72"/>
      <c r="T130" s="44"/>
      <c r="U130" s="45"/>
      <c r="V130" s="39"/>
      <c r="W130" s="45"/>
      <c r="X130" s="44"/>
      <c r="Y130" s="45"/>
      <c r="Z130" s="44"/>
      <c r="AA130" s="45"/>
      <c r="AB130" s="44"/>
      <c r="AC130" s="44"/>
      <c r="AD130" s="60"/>
      <c r="AE130" s="60"/>
      <c r="AF130" s="60"/>
      <c r="AG130" s="15"/>
    </row>
    <row r="131" spans="1:33" s="11" customFormat="1" ht="54.95" hidden="1" customHeight="1" x14ac:dyDescent="0.85">
      <c r="A131" s="39" t="s">
        <v>504</v>
      </c>
      <c r="B131" s="44">
        <f>-5532.16-3179.07</f>
        <v>-8711.23</v>
      </c>
      <c r="C131" s="44">
        <v>3179.07</v>
      </c>
      <c r="D131" s="44">
        <v>5532.16</v>
      </c>
      <c r="E131" s="44">
        <v>0</v>
      </c>
      <c r="F131" s="44">
        <v>0</v>
      </c>
      <c r="G131" s="44">
        <v>0</v>
      </c>
      <c r="H131" s="44">
        <v>0</v>
      </c>
      <c r="I131" s="44">
        <f t="shared" si="25"/>
        <v>0</v>
      </c>
      <c r="J131" s="45"/>
      <c r="K131" s="45"/>
      <c r="L131" s="39"/>
      <c r="M131" s="72"/>
      <c r="N131" s="72"/>
      <c r="O131" s="72"/>
      <c r="P131" s="72"/>
      <c r="Q131" s="72"/>
      <c r="R131" s="72"/>
      <c r="S131" s="72"/>
      <c r="T131" s="44"/>
      <c r="U131" s="45"/>
      <c r="V131" s="39"/>
      <c r="W131" s="45"/>
      <c r="X131" s="44"/>
      <c r="Y131" s="45"/>
      <c r="Z131" s="44"/>
      <c r="AA131" s="45"/>
      <c r="AB131" s="44"/>
      <c r="AC131" s="44"/>
      <c r="AD131" s="60"/>
      <c r="AE131" s="60"/>
      <c r="AF131" s="60"/>
      <c r="AG131" s="15"/>
    </row>
    <row r="132" spans="1:33" s="11" customFormat="1" ht="54.95" hidden="1" customHeight="1" x14ac:dyDescent="0.85">
      <c r="A132" s="39" t="s">
        <v>506</v>
      </c>
      <c r="B132" s="44">
        <f>-776.68-776.63</f>
        <v>-1553.31</v>
      </c>
      <c r="C132" s="44">
        <v>776.63</v>
      </c>
      <c r="D132" s="44">
        <v>776.68</v>
      </c>
      <c r="E132" s="44">
        <v>0</v>
      </c>
      <c r="F132" s="44">
        <v>0</v>
      </c>
      <c r="G132" s="44">
        <v>0</v>
      </c>
      <c r="H132" s="44">
        <v>0</v>
      </c>
      <c r="I132" s="44">
        <f t="shared" ref="I132" si="26">SUM(B132:H132)</f>
        <v>0</v>
      </c>
      <c r="J132" s="45"/>
      <c r="K132" s="45"/>
      <c r="L132" s="39"/>
      <c r="M132" s="72"/>
      <c r="N132" s="72"/>
      <c r="O132" s="72"/>
      <c r="P132" s="72"/>
      <c r="Q132" s="72"/>
      <c r="R132" s="72"/>
      <c r="S132" s="72"/>
      <c r="T132" s="44"/>
      <c r="U132" s="45"/>
      <c r="V132" s="39"/>
      <c r="W132" s="45"/>
      <c r="X132" s="44"/>
      <c r="Y132" s="45"/>
      <c r="Z132" s="44"/>
      <c r="AA132" s="45"/>
      <c r="AB132" s="44"/>
      <c r="AC132" s="44"/>
      <c r="AD132" s="60"/>
      <c r="AE132" s="60"/>
      <c r="AF132" s="60"/>
      <c r="AG132" s="15"/>
    </row>
    <row r="133" spans="1:33" s="11" customFormat="1" ht="54.95" hidden="1" customHeight="1" x14ac:dyDescent="0.85">
      <c r="A133" s="39" t="s">
        <v>507</v>
      </c>
      <c r="B133" s="44">
        <f>-1631.57-1469.63</f>
        <v>-3101.2</v>
      </c>
      <c r="C133" s="44">
        <v>1469.63</v>
      </c>
      <c r="D133" s="44">
        <v>1631.57</v>
      </c>
      <c r="E133" s="44">
        <v>0</v>
      </c>
      <c r="F133" s="44">
        <v>0</v>
      </c>
      <c r="G133" s="44">
        <v>0</v>
      </c>
      <c r="H133" s="44">
        <v>0</v>
      </c>
      <c r="I133" s="44">
        <f t="shared" si="25"/>
        <v>2.2737367544323206E-13</v>
      </c>
      <c r="J133" s="45"/>
      <c r="K133" s="45"/>
      <c r="L133" s="39"/>
      <c r="M133" s="72"/>
      <c r="N133" s="72"/>
      <c r="O133" s="72"/>
      <c r="P133" s="72"/>
      <c r="Q133" s="72"/>
      <c r="R133" s="72"/>
      <c r="S133" s="72"/>
      <c r="T133" s="44"/>
      <c r="U133" s="45"/>
      <c r="V133" s="39"/>
      <c r="W133" s="45"/>
      <c r="X133" s="44"/>
      <c r="Y133" s="45"/>
      <c r="Z133" s="44"/>
      <c r="AA133" s="45"/>
      <c r="AB133" s="44"/>
      <c r="AC133" s="44"/>
      <c r="AD133" s="60"/>
      <c r="AE133" s="60"/>
      <c r="AF133" s="60"/>
      <c r="AG133" s="15"/>
    </row>
    <row r="134" spans="1:33" s="11" customFormat="1" ht="54.95" hidden="1" customHeight="1" x14ac:dyDescent="0.85">
      <c r="A134" s="39" t="s">
        <v>508</v>
      </c>
      <c r="B134" s="44">
        <f>-500+-1250</f>
        <v>-1750</v>
      </c>
      <c r="C134" s="44">
        <v>500</v>
      </c>
      <c r="D134" s="44">
        <v>1250</v>
      </c>
      <c r="E134" s="44">
        <v>0</v>
      </c>
      <c r="F134" s="44">
        <v>0</v>
      </c>
      <c r="G134" s="44">
        <v>0</v>
      </c>
      <c r="H134" s="44">
        <v>0</v>
      </c>
      <c r="I134" s="44">
        <f t="shared" si="25"/>
        <v>0</v>
      </c>
      <c r="J134" s="55"/>
      <c r="K134" s="45"/>
      <c r="L134" s="39"/>
      <c r="M134" s="72"/>
      <c r="N134" s="72"/>
      <c r="O134" s="72"/>
      <c r="P134" s="72"/>
      <c r="Q134" s="72"/>
      <c r="R134" s="72"/>
      <c r="S134" s="72"/>
      <c r="T134" s="44"/>
      <c r="U134" s="45"/>
      <c r="V134" s="39"/>
      <c r="W134" s="45"/>
      <c r="X134" s="44"/>
      <c r="Y134" s="45"/>
      <c r="Z134" s="44"/>
      <c r="AA134" s="45"/>
      <c r="AB134" s="44"/>
      <c r="AC134" s="44"/>
      <c r="AD134" s="60"/>
      <c r="AE134" s="60"/>
      <c r="AF134" s="60"/>
      <c r="AG134" s="15"/>
    </row>
    <row r="135" spans="1:33" s="11" customFormat="1" ht="54.95" hidden="1" customHeight="1" x14ac:dyDescent="0.85">
      <c r="A135" s="39" t="s">
        <v>509</v>
      </c>
      <c r="B135" s="44">
        <f>-10402.9*0.15</f>
        <v>-1560.4349999999999</v>
      </c>
      <c r="C135" s="44">
        <f>10402.9*0.15</f>
        <v>1560.4349999999999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f t="shared" si="25"/>
        <v>0</v>
      </c>
      <c r="J135" s="56">
        <f>[1]CNT!K250</f>
        <v>1991.67</v>
      </c>
      <c r="K135" s="45"/>
      <c r="L135" s="39"/>
      <c r="M135" s="72"/>
      <c r="N135" s="72"/>
      <c r="O135" s="72"/>
      <c r="P135" s="72"/>
      <c r="Q135" s="72"/>
      <c r="R135" s="72"/>
      <c r="S135" s="72"/>
      <c r="T135" s="44"/>
      <c r="U135" s="45"/>
      <c r="V135" s="39"/>
      <c r="W135" s="45"/>
      <c r="X135" s="44"/>
      <c r="Y135" s="45"/>
      <c r="Z135" s="44"/>
      <c r="AA135" s="45"/>
      <c r="AB135" s="44"/>
      <c r="AC135" s="44"/>
      <c r="AD135" s="60"/>
      <c r="AE135" s="60"/>
      <c r="AF135" s="60"/>
      <c r="AG135" s="15"/>
    </row>
    <row r="136" spans="1:33" s="11" customFormat="1" ht="54.95" hidden="1" customHeight="1" x14ac:dyDescent="0.85">
      <c r="A136" s="39" t="s">
        <v>510</v>
      </c>
      <c r="B136" s="44">
        <f>-4404.67*0.1</f>
        <v>-440.46700000000004</v>
      </c>
      <c r="C136" s="44">
        <f>4404.67*0.1</f>
        <v>440.46700000000004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f t="shared" si="25"/>
        <v>0</v>
      </c>
      <c r="J136" s="56">
        <f>[1]CNT!K224</f>
        <v>1547.72</v>
      </c>
      <c r="K136" s="45"/>
      <c r="L136" s="39"/>
      <c r="M136" s="72"/>
      <c r="N136" s="72"/>
      <c r="O136" s="72"/>
      <c r="P136" s="72"/>
      <c r="Q136" s="72"/>
      <c r="R136" s="72"/>
      <c r="S136" s="72"/>
      <c r="T136" s="44"/>
      <c r="U136" s="45"/>
      <c r="V136" s="39"/>
      <c r="W136" s="45"/>
      <c r="X136" s="44"/>
      <c r="Y136" s="45"/>
      <c r="Z136" s="44"/>
      <c r="AA136" s="45"/>
      <c r="AB136" s="44"/>
      <c r="AC136" s="44"/>
      <c r="AD136" s="60"/>
      <c r="AE136" s="60"/>
      <c r="AF136" s="60"/>
      <c r="AG136" s="15"/>
    </row>
    <row r="137" spans="1:33" s="11" customFormat="1" ht="54.95" hidden="1" customHeight="1" x14ac:dyDescent="0.85">
      <c r="A137" s="39" t="s">
        <v>511</v>
      </c>
      <c r="B137" s="44">
        <f>-1351.56*0.15</f>
        <v>-202.73399999999998</v>
      </c>
      <c r="C137" s="44">
        <f>1351.56*0.15</f>
        <v>202.73399999999998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f t="shared" si="25"/>
        <v>0</v>
      </c>
      <c r="J137" s="56">
        <f>[1]CNT!K246</f>
        <v>1749.68</v>
      </c>
      <c r="K137" s="45"/>
      <c r="L137" s="39"/>
      <c r="M137" s="72"/>
      <c r="N137" s="72"/>
      <c r="O137" s="72"/>
      <c r="P137" s="72"/>
      <c r="Q137" s="72"/>
      <c r="R137" s="72"/>
      <c r="S137" s="72"/>
      <c r="T137" s="44"/>
      <c r="U137" s="45"/>
      <c r="V137" s="39"/>
      <c r="W137" s="45"/>
      <c r="X137" s="44"/>
      <c r="Y137" s="45"/>
      <c r="Z137" s="44"/>
      <c r="AA137" s="45"/>
      <c r="AB137" s="44"/>
      <c r="AC137" s="44"/>
      <c r="AD137" s="60"/>
      <c r="AE137" s="60"/>
      <c r="AF137" s="60"/>
      <c r="AG137" s="15"/>
    </row>
    <row r="138" spans="1:33" s="11" customFormat="1" ht="54.95" hidden="1" customHeight="1" x14ac:dyDescent="0.85">
      <c r="A138" s="39" t="s">
        <v>512</v>
      </c>
      <c r="B138" s="44">
        <f>-11873.59*0.2</f>
        <v>-2374.7180000000003</v>
      </c>
      <c r="C138" s="44">
        <f>11873.59*0.1</f>
        <v>1187.3590000000002</v>
      </c>
      <c r="D138" s="44">
        <f>11873.59*0.1</f>
        <v>1187.3590000000002</v>
      </c>
      <c r="E138" s="44">
        <v>0</v>
      </c>
      <c r="F138" s="44">
        <v>0</v>
      </c>
      <c r="G138" s="44">
        <v>0</v>
      </c>
      <c r="H138" s="44">
        <v>0</v>
      </c>
      <c r="I138" s="44">
        <f t="shared" si="25"/>
        <v>0</v>
      </c>
      <c r="J138" s="56">
        <f>[1]CNT!K257</f>
        <v>7500</v>
      </c>
      <c r="K138" s="45"/>
      <c r="L138" s="39"/>
      <c r="M138" s="72"/>
      <c r="N138" s="72"/>
      <c r="O138" s="72"/>
      <c r="P138" s="72"/>
      <c r="Q138" s="72"/>
      <c r="R138" s="72"/>
      <c r="S138" s="72"/>
      <c r="T138" s="44"/>
      <c r="U138" s="45"/>
      <c r="V138" s="39"/>
      <c r="W138" s="45"/>
      <c r="X138" s="44"/>
      <c r="Y138" s="45"/>
      <c r="Z138" s="44"/>
      <c r="AA138" s="45"/>
      <c r="AB138" s="44"/>
      <c r="AC138" s="44"/>
      <c r="AD138" s="60"/>
      <c r="AE138" s="60"/>
      <c r="AF138" s="60"/>
      <c r="AG138" s="15"/>
    </row>
    <row r="139" spans="1:33" s="11" customFormat="1" ht="54.95" hidden="1" customHeight="1" x14ac:dyDescent="0.85">
      <c r="A139" s="39" t="s">
        <v>513</v>
      </c>
      <c r="B139" s="44">
        <f>-652.5*0.35</f>
        <v>-228.37499999999997</v>
      </c>
      <c r="C139" s="44">
        <f>652.5*0.1</f>
        <v>65.25</v>
      </c>
      <c r="D139" s="44">
        <f>652.5*0.25</f>
        <v>163.125</v>
      </c>
      <c r="E139" s="44">
        <v>0</v>
      </c>
      <c r="F139" s="44">
        <v>0</v>
      </c>
      <c r="G139" s="44">
        <v>0</v>
      </c>
      <c r="H139" s="44">
        <v>0</v>
      </c>
      <c r="I139" s="44">
        <f t="shared" si="25"/>
        <v>2.8421709430404007E-14</v>
      </c>
      <c r="J139" s="56">
        <f>[1]CNT!K260</f>
        <v>0</v>
      </c>
      <c r="K139" s="45"/>
      <c r="L139" s="39"/>
      <c r="M139" s="72"/>
      <c r="N139" s="72"/>
      <c r="O139" s="72"/>
      <c r="P139" s="72"/>
      <c r="Q139" s="72"/>
      <c r="R139" s="72"/>
      <c r="S139" s="72"/>
      <c r="T139" s="44"/>
      <c r="U139" s="45"/>
      <c r="V139" s="39"/>
      <c r="W139" s="45"/>
      <c r="X139" s="44"/>
      <c r="Y139" s="45"/>
      <c r="Z139" s="44"/>
      <c r="AA139" s="45"/>
      <c r="AB139" s="44"/>
      <c r="AC139" s="44"/>
      <c r="AD139" s="60"/>
      <c r="AE139" s="60"/>
      <c r="AF139" s="60"/>
      <c r="AG139" s="15"/>
    </row>
    <row r="140" spans="1:33" s="11" customFormat="1" ht="54.95" hidden="1" customHeight="1" x14ac:dyDescent="0.85">
      <c r="A140" s="39" t="s">
        <v>514</v>
      </c>
      <c r="B140" s="44">
        <v>-11370.73</v>
      </c>
      <c r="C140" s="44">
        <v>0</v>
      </c>
      <c r="D140" s="44">
        <v>11370.73</v>
      </c>
      <c r="E140" s="44">
        <v>0</v>
      </c>
      <c r="F140" s="44">
        <v>0</v>
      </c>
      <c r="G140" s="44">
        <v>0</v>
      </c>
      <c r="H140" s="44">
        <v>0</v>
      </c>
      <c r="I140" s="44">
        <f t="shared" si="25"/>
        <v>0</v>
      </c>
      <c r="J140" s="56" t="s">
        <v>515</v>
      </c>
      <c r="K140" s="45"/>
      <c r="L140" s="39"/>
      <c r="M140" s="72"/>
      <c r="N140" s="72"/>
      <c r="O140" s="72"/>
      <c r="P140" s="72"/>
      <c r="Q140" s="72"/>
      <c r="R140" s="72"/>
      <c r="S140" s="72"/>
      <c r="T140" s="44"/>
      <c r="U140" s="45"/>
      <c r="V140" s="39"/>
      <c r="W140" s="45"/>
      <c r="X140" s="44"/>
      <c r="Y140" s="45"/>
      <c r="Z140" s="44"/>
      <c r="AA140" s="45"/>
      <c r="AB140" s="44"/>
      <c r="AC140" s="44"/>
      <c r="AD140" s="60"/>
      <c r="AE140" s="60"/>
      <c r="AF140" s="60"/>
      <c r="AG140" s="15"/>
    </row>
    <row r="141" spans="1:33" s="11" customFormat="1" ht="54.95" hidden="1" customHeight="1" x14ac:dyDescent="0.85">
      <c r="A141" s="43" t="s">
        <v>516</v>
      </c>
      <c r="B141" s="46">
        <f t="shared" ref="B141:I141" si="27">SUM(B129:B140)</f>
        <v>-142649.19899999999</v>
      </c>
      <c r="C141" s="46">
        <f t="shared" si="27"/>
        <v>63127.914999999979</v>
      </c>
      <c r="D141" s="46">
        <f t="shared" si="27"/>
        <v>79521.283999999985</v>
      </c>
      <c r="E141" s="44">
        <f t="shared" si="27"/>
        <v>0</v>
      </c>
      <c r="F141" s="44">
        <f t="shared" si="27"/>
        <v>0</v>
      </c>
      <c r="G141" s="44">
        <f t="shared" si="27"/>
        <v>0</v>
      </c>
      <c r="H141" s="44">
        <f t="shared" si="27"/>
        <v>0</v>
      </c>
      <c r="I141" s="44">
        <f t="shared" si="27"/>
        <v>2.5579538487363607E-13</v>
      </c>
      <c r="J141" s="45"/>
      <c r="K141" s="45"/>
      <c r="L141" s="39"/>
      <c r="M141" s="72"/>
      <c r="N141" s="72"/>
      <c r="O141" s="72"/>
      <c r="P141" s="72"/>
      <c r="Q141" s="72"/>
      <c r="R141" s="72"/>
      <c r="S141" s="72"/>
      <c r="T141" s="44"/>
      <c r="U141" s="45"/>
      <c r="V141" s="39"/>
      <c r="W141" s="45"/>
      <c r="X141" s="44"/>
      <c r="Y141" s="45"/>
      <c r="Z141" s="44"/>
      <c r="AA141" s="45"/>
      <c r="AB141" s="44"/>
      <c r="AC141" s="44"/>
      <c r="AD141" s="60"/>
      <c r="AE141" s="60"/>
      <c r="AF141" s="60"/>
      <c r="AG141" s="15"/>
    </row>
    <row r="142" spans="1:33" s="11" customFormat="1" ht="54.95" hidden="1" customHeight="1" x14ac:dyDescent="0.85">
      <c r="A142" s="39"/>
      <c r="B142" s="44"/>
      <c r="C142" s="44"/>
      <c r="D142" s="44"/>
      <c r="E142" s="44"/>
      <c r="F142" s="44"/>
      <c r="G142" s="44"/>
      <c r="H142" s="44"/>
      <c r="I142" s="44"/>
      <c r="J142" s="45"/>
      <c r="K142" s="45"/>
      <c r="L142" s="39"/>
      <c r="M142" s="72"/>
      <c r="N142" s="72"/>
      <c r="O142" s="72"/>
      <c r="P142" s="72"/>
      <c r="Q142" s="72"/>
      <c r="R142" s="72"/>
      <c r="S142" s="72"/>
      <c r="T142" s="44"/>
      <c r="U142" s="45"/>
      <c r="V142" s="39"/>
      <c r="W142" s="45"/>
      <c r="X142" s="44"/>
      <c r="Y142" s="45"/>
      <c r="Z142" s="44"/>
      <c r="AA142" s="45"/>
      <c r="AB142" s="44"/>
      <c r="AC142" s="44"/>
      <c r="AD142" s="60"/>
      <c r="AE142" s="60"/>
      <c r="AF142" s="60"/>
      <c r="AG142" s="15"/>
    </row>
    <row r="143" spans="1:33" s="11" customFormat="1" ht="54.95" hidden="1" customHeight="1" x14ac:dyDescent="0.85">
      <c r="A143" s="43" t="s">
        <v>517</v>
      </c>
      <c r="B143" s="44"/>
      <c r="C143" s="44"/>
      <c r="D143" s="44"/>
      <c r="E143" s="44"/>
      <c r="F143" s="44"/>
      <c r="G143" s="44"/>
      <c r="H143" s="44"/>
      <c r="I143" s="44"/>
      <c r="J143" s="45"/>
      <c r="K143" s="45"/>
      <c r="L143" s="39"/>
      <c r="M143" s="72"/>
      <c r="N143" s="72"/>
      <c r="O143" s="72"/>
      <c r="P143" s="72"/>
      <c r="Q143" s="72"/>
      <c r="R143" s="72"/>
      <c r="S143" s="72"/>
      <c r="T143" s="44"/>
      <c r="U143" s="45"/>
      <c r="V143" s="39"/>
      <c r="W143" s="45"/>
      <c r="X143" s="44"/>
      <c r="Y143" s="45"/>
      <c r="Z143" s="44"/>
      <c r="AA143" s="45"/>
      <c r="AB143" s="44"/>
      <c r="AC143" s="44"/>
      <c r="AD143" s="60"/>
      <c r="AE143" s="60"/>
      <c r="AF143" s="60"/>
      <c r="AG143" s="15"/>
    </row>
    <row r="144" spans="1:33" hidden="1" x14ac:dyDescent="0.85">
      <c r="A144" s="39" t="s">
        <v>518</v>
      </c>
      <c r="B144" s="44">
        <f>-25495.05-26333.26</f>
        <v>-51828.31</v>
      </c>
      <c r="C144" s="44">
        <v>26333.26</v>
      </c>
      <c r="D144" s="44">
        <v>25495.05</v>
      </c>
      <c r="E144" s="44"/>
      <c r="F144" s="44"/>
      <c r="G144" s="44"/>
      <c r="H144" s="44"/>
      <c r="I144" s="44"/>
      <c r="J144" s="45"/>
      <c r="K144" s="45"/>
    </row>
    <row r="145" spans="1:11" hidden="1" x14ac:dyDescent="0.85">
      <c r="A145" s="39" t="s">
        <v>519</v>
      </c>
      <c r="B145" s="44">
        <f>-1490.06-1702.61</f>
        <v>-3192.67</v>
      </c>
      <c r="C145" s="44">
        <v>1702.61</v>
      </c>
      <c r="D145" s="44">
        <v>1490.06</v>
      </c>
      <c r="E145" s="44"/>
      <c r="F145" s="44"/>
      <c r="G145" s="44"/>
      <c r="H145" s="44"/>
      <c r="I145" s="44"/>
      <c r="J145" s="45"/>
      <c r="K145" s="45"/>
    </row>
    <row r="146" spans="1:11" hidden="1" x14ac:dyDescent="0.85">
      <c r="A146" s="43" t="s">
        <v>520</v>
      </c>
      <c r="B146" s="46">
        <f>SUM(B144:B145)</f>
        <v>-55020.979999999996</v>
      </c>
      <c r="C146" s="46">
        <f t="shared" ref="C146:D146" si="28">SUM(C144:C145)</f>
        <v>28035.87</v>
      </c>
      <c r="D146" s="46">
        <f t="shared" si="28"/>
        <v>26985.11</v>
      </c>
      <c r="E146" s="44"/>
      <c r="F146" s="44"/>
      <c r="G146" s="44"/>
      <c r="H146" s="44"/>
      <c r="I146" s="44"/>
      <c r="J146" s="45"/>
      <c r="K146" s="45"/>
    </row>
    <row r="147" spans="1:11" ht="69.75" hidden="1" customHeight="1" x14ac:dyDescent="0.85">
      <c r="B147" s="44"/>
      <c r="C147" s="44"/>
      <c r="D147" s="44"/>
      <c r="E147" s="44"/>
      <c r="F147" s="44"/>
      <c r="G147" s="44"/>
      <c r="H147" s="44"/>
      <c r="I147" s="44">
        <f>SUM(B147:H147)</f>
        <v>0</v>
      </c>
      <c r="J147" s="45"/>
      <c r="K147" s="45"/>
    </row>
    <row r="148" spans="1:11" ht="69.75" hidden="1" customHeight="1" x14ac:dyDescent="0.85">
      <c r="B148" s="44"/>
      <c r="C148" s="44"/>
      <c r="D148" s="44"/>
      <c r="E148" s="44"/>
      <c r="F148" s="44"/>
      <c r="G148" s="44"/>
      <c r="H148" s="44"/>
      <c r="I148" s="44"/>
      <c r="J148" s="45"/>
      <c r="K148" s="45"/>
    </row>
    <row r="149" spans="1:11" ht="69.75" hidden="1" customHeight="1" x14ac:dyDescent="0.85"/>
    <row r="150" spans="1:11" ht="69.75" hidden="1" customHeight="1" x14ac:dyDescent="0.85"/>
    <row r="151" spans="1:11" ht="69.75" hidden="1" customHeight="1" x14ac:dyDescent="0.85">
      <c r="A151" s="57" t="s">
        <v>522</v>
      </c>
    </row>
    <row r="152" spans="1:11" ht="69.75" hidden="1" customHeight="1" x14ac:dyDescent="0.85">
      <c r="A152" s="39" t="s">
        <v>481</v>
      </c>
      <c r="B152" s="58">
        <f t="shared" ref="B152:D163" si="29">B129</f>
        <v>-105088.56</v>
      </c>
      <c r="C152" s="58">
        <f t="shared" si="29"/>
        <v>50474.14</v>
      </c>
      <c r="D152" s="58">
        <f t="shared" si="29"/>
        <v>54614.42</v>
      </c>
      <c r="E152" s="58">
        <v>0</v>
      </c>
      <c r="F152" s="58">
        <v>0</v>
      </c>
      <c r="G152" s="58">
        <v>0</v>
      </c>
      <c r="H152" s="58">
        <v>0</v>
      </c>
      <c r="I152" s="44">
        <f>SUM(B152:H152)</f>
        <v>0</v>
      </c>
    </row>
    <row r="153" spans="1:11" ht="69.75" hidden="1" customHeight="1" x14ac:dyDescent="0.85">
      <c r="A153" s="39" t="s">
        <v>482</v>
      </c>
      <c r="B153" s="58">
        <f t="shared" si="29"/>
        <v>-6267.44</v>
      </c>
      <c r="C153" s="58">
        <f t="shared" si="29"/>
        <v>3272.2</v>
      </c>
      <c r="D153" s="58">
        <f t="shared" si="29"/>
        <v>2995.24</v>
      </c>
      <c r="E153" s="58">
        <v>0</v>
      </c>
      <c r="F153" s="58">
        <v>0</v>
      </c>
      <c r="G153" s="58">
        <v>0</v>
      </c>
      <c r="H153" s="58">
        <v>0</v>
      </c>
      <c r="I153" s="44">
        <f t="shared" ref="I153:I164" si="30">SUM(B153:H153)</f>
        <v>0</v>
      </c>
    </row>
    <row r="154" spans="1:11" ht="69.75" hidden="1" customHeight="1" x14ac:dyDescent="0.85">
      <c r="A154" s="39" t="s">
        <v>483</v>
      </c>
      <c r="B154" s="58">
        <f t="shared" si="29"/>
        <v>-8711.23</v>
      </c>
      <c r="C154" s="58">
        <f t="shared" si="29"/>
        <v>3179.07</v>
      </c>
      <c r="D154" s="58">
        <f t="shared" si="29"/>
        <v>5532.16</v>
      </c>
      <c r="E154" s="58">
        <v>0</v>
      </c>
      <c r="F154" s="58">
        <v>0</v>
      </c>
      <c r="G154" s="58">
        <v>0</v>
      </c>
      <c r="H154" s="58">
        <v>0</v>
      </c>
      <c r="I154" s="44">
        <f t="shared" si="30"/>
        <v>0</v>
      </c>
    </row>
    <row r="155" spans="1:11" ht="69.75" hidden="1" customHeight="1" x14ac:dyDescent="0.85">
      <c r="A155" s="39" t="s">
        <v>484</v>
      </c>
      <c r="B155" s="58">
        <f t="shared" si="29"/>
        <v>-1553.31</v>
      </c>
      <c r="C155" s="58">
        <f t="shared" si="29"/>
        <v>776.63</v>
      </c>
      <c r="D155" s="58">
        <f t="shared" si="29"/>
        <v>776.68</v>
      </c>
      <c r="E155" s="58">
        <v>0</v>
      </c>
      <c r="F155" s="58">
        <v>0</v>
      </c>
      <c r="G155" s="58">
        <v>0</v>
      </c>
      <c r="H155" s="58">
        <v>0</v>
      </c>
      <c r="I155" s="44">
        <f t="shared" si="30"/>
        <v>0</v>
      </c>
    </row>
    <row r="156" spans="1:11" ht="69.75" hidden="1" customHeight="1" x14ac:dyDescent="0.85">
      <c r="A156" s="39" t="s">
        <v>485</v>
      </c>
      <c r="B156" s="58">
        <f t="shared" si="29"/>
        <v>-3101.2</v>
      </c>
      <c r="C156" s="58">
        <f t="shared" si="29"/>
        <v>1469.63</v>
      </c>
      <c r="D156" s="58">
        <f t="shared" si="29"/>
        <v>1631.57</v>
      </c>
      <c r="E156" s="58">
        <v>0</v>
      </c>
      <c r="F156" s="58">
        <v>0</v>
      </c>
      <c r="G156" s="58">
        <v>0</v>
      </c>
      <c r="H156" s="58">
        <v>0</v>
      </c>
      <c r="I156" s="44">
        <f t="shared" si="30"/>
        <v>2.2737367544323206E-13</v>
      </c>
    </row>
    <row r="157" spans="1:11" ht="69.75" hidden="1" customHeight="1" x14ac:dyDescent="0.85">
      <c r="A157" s="39" t="s">
        <v>486</v>
      </c>
      <c r="B157" s="58">
        <f t="shared" si="29"/>
        <v>-1750</v>
      </c>
      <c r="C157" s="58">
        <f t="shared" si="29"/>
        <v>500</v>
      </c>
      <c r="D157" s="58">
        <f t="shared" si="29"/>
        <v>1250</v>
      </c>
      <c r="E157" s="58">
        <v>0</v>
      </c>
      <c r="F157" s="58">
        <v>0</v>
      </c>
      <c r="G157" s="58">
        <v>0</v>
      </c>
      <c r="H157" s="58">
        <v>0</v>
      </c>
      <c r="I157" s="44">
        <f t="shared" si="30"/>
        <v>0</v>
      </c>
    </row>
    <row r="158" spans="1:11" ht="69.75" hidden="1" customHeight="1" x14ac:dyDescent="0.85">
      <c r="A158" s="39" t="s">
        <v>487</v>
      </c>
      <c r="B158" s="58">
        <f t="shared" si="29"/>
        <v>-1560.4349999999999</v>
      </c>
      <c r="C158" s="58">
        <f t="shared" si="29"/>
        <v>1560.4349999999999</v>
      </c>
      <c r="D158" s="58">
        <f t="shared" si="29"/>
        <v>0</v>
      </c>
      <c r="E158" s="58">
        <v>0</v>
      </c>
      <c r="F158" s="58">
        <v>0</v>
      </c>
      <c r="G158" s="58">
        <v>0</v>
      </c>
      <c r="H158" s="58">
        <v>0</v>
      </c>
      <c r="I158" s="44">
        <f t="shared" si="30"/>
        <v>0</v>
      </c>
    </row>
    <row r="159" spans="1:11" ht="69.75" hidden="1" customHeight="1" thickBot="1" x14ac:dyDescent="0.9">
      <c r="A159" s="39" t="s">
        <v>488</v>
      </c>
      <c r="B159" s="58">
        <f t="shared" si="29"/>
        <v>-440.46700000000004</v>
      </c>
      <c r="C159" s="58">
        <f t="shared" si="29"/>
        <v>440.46700000000004</v>
      </c>
      <c r="D159" s="58">
        <f t="shared" si="29"/>
        <v>0</v>
      </c>
      <c r="E159" s="58">
        <v>0</v>
      </c>
      <c r="F159" s="58">
        <v>0</v>
      </c>
      <c r="G159" s="58">
        <v>0</v>
      </c>
      <c r="H159" s="58">
        <v>0</v>
      </c>
      <c r="I159" s="44">
        <f t="shared" si="30"/>
        <v>0</v>
      </c>
    </row>
    <row r="160" spans="1:11" ht="69.75" hidden="1" customHeight="1" thickTop="1" x14ac:dyDescent="0.85">
      <c r="A160" s="39" t="s">
        <v>489</v>
      </c>
      <c r="B160" s="58">
        <f t="shared" si="29"/>
        <v>-202.73399999999998</v>
      </c>
      <c r="C160" s="58">
        <f t="shared" si="29"/>
        <v>202.73399999999998</v>
      </c>
      <c r="D160" s="58">
        <f t="shared" si="29"/>
        <v>0</v>
      </c>
      <c r="E160" s="58">
        <v>0</v>
      </c>
      <c r="F160" s="58">
        <v>0</v>
      </c>
      <c r="G160" s="58">
        <v>0</v>
      </c>
      <c r="H160" s="58">
        <v>0</v>
      </c>
      <c r="I160" s="44">
        <f t="shared" si="30"/>
        <v>0</v>
      </c>
    </row>
    <row r="161" spans="1:32" ht="69.75" hidden="1" customHeight="1" x14ac:dyDescent="0.85">
      <c r="A161" s="39" t="s">
        <v>490</v>
      </c>
      <c r="B161" s="58">
        <f t="shared" si="29"/>
        <v>-2374.7180000000003</v>
      </c>
      <c r="C161" s="58">
        <f t="shared" si="29"/>
        <v>1187.3590000000002</v>
      </c>
      <c r="D161" s="58">
        <f t="shared" si="29"/>
        <v>1187.3590000000002</v>
      </c>
      <c r="E161" s="58">
        <f>E138</f>
        <v>0</v>
      </c>
      <c r="F161" s="58">
        <v>0</v>
      </c>
      <c r="G161" s="58">
        <v>0</v>
      </c>
      <c r="H161" s="58">
        <v>0</v>
      </c>
      <c r="I161" s="44">
        <f t="shared" si="30"/>
        <v>0</v>
      </c>
    </row>
    <row r="162" spans="1:32" ht="69.75" hidden="1" customHeight="1" thickBot="1" x14ac:dyDescent="0.9">
      <c r="A162" s="39" t="s">
        <v>491</v>
      </c>
      <c r="B162" s="58">
        <f t="shared" si="29"/>
        <v>-228.37499999999997</v>
      </c>
      <c r="C162" s="58">
        <f t="shared" si="29"/>
        <v>65.25</v>
      </c>
      <c r="D162" s="58">
        <f t="shared" si="29"/>
        <v>163.125</v>
      </c>
      <c r="E162" s="58">
        <v>0</v>
      </c>
      <c r="F162" s="58">
        <v>0</v>
      </c>
      <c r="G162" s="58">
        <v>0</v>
      </c>
      <c r="H162" s="58">
        <v>0</v>
      </c>
      <c r="I162" s="44">
        <f t="shared" si="30"/>
        <v>2.8421709430404007E-14</v>
      </c>
    </row>
    <row r="163" spans="1:32" ht="69.75" hidden="1" customHeight="1" thickTop="1" x14ac:dyDescent="0.85">
      <c r="A163" s="39" t="s">
        <v>492</v>
      </c>
      <c r="B163" s="58">
        <f t="shared" si="29"/>
        <v>-11370.73</v>
      </c>
      <c r="C163" s="58">
        <f t="shared" si="29"/>
        <v>0</v>
      </c>
      <c r="D163" s="58">
        <f t="shared" si="29"/>
        <v>11370.73</v>
      </c>
      <c r="E163" s="58">
        <v>0</v>
      </c>
      <c r="F163" s="58">
        <v>0</v>
      </c>
      <c r="G163" s="58">
        <v>0</v>
      </c>
      <c r="H163" s="58">
        <v>0</v>
      </c>
      <c r="I163" s="44">
        <f t="shared" si="30"/>
        <v>0</v>
      </c>
    </row>
    <row r="164" spans="1:32" ht="69.75" hidden="1" customHeight="1" x14ac:dyDescent="0.85">
      <c r="B164" s="59">
        <f>SUM(B152:B163)</f>
        <v>-142649.19899999999</v>
      </c>
      <c r="C164" s="59">
        <f t="shared" ref="C164:D164" si="31">SUM(C152:C163)</f>
        <v>63127.914999999979</v>
      </c>
      <c r="D164" s="59">
        <f t="shared" si="31"/>
        <v>79521.283999999985</v>
      </c>
      <c r="E164" s="58">
        <v>0</v>
      </c>
      <c r="F164" s="58">
        <v>0</v>
      </c>
      <c r="G164" s="58">
        <v>0</v>
      </c>
      <c r="H164" s="58">
        <v>0</v>
      </c>
      <c r="I164" s="44">
        <f t="shared" si="30"/>
        <v>-2.9103830456733704E-11</v>
      </c>
    </row>
    <row r="165" spans="1:32" ht="69.75" hidden="1" customHeight="1" x14ac:dyDescent="0.85">
      <c r="A165" s="39" t="s">
        <v>493</v>
      </c>
      <c r="B165" s="58">
        <f>D164</f>
        <v>79521.283999999985</v>
      </c>
      <c r="C165" s="58"/>
      <c r="D165" s="58"/>
      <c r="E165" s="58">
        <v>0</v>
      </c>
      <c r="F165" s="58">
        <v>0</v>
      </c>
      <c r="G165" s="58">
        <v>0</v>
      </c>
      <c r="H165" s="58">
        <v>0</v>
      </c>
      <c r="I165" s="44"/>
    </row>
    <row r="166" spans="1:32" ht="69.75" hidden="1" customHeight="1" x14ac:dyDescent="0.85">
      <c r="A166" s="39" t="s">
        <v>494</v>
      </c>
      <c r="B166" s="58">
        <f>C164</f>
        <v>63127.914999999979</v>
      </c>
      <c r="C166" s="58"/>
      <c r="D166" s="58"/>
      <c r="E166" s="58">
        <v>0</v>
      </c>
      <c r="F166" s="58">
        <v>0</v>
      </c>
      <c r="G166" s="58">
        <v>0</v>
      </c>
      <c r="H166" s="58">
        <v>0</v>
      </c>
      <c r="I166" s="44"/>
    </row>
    <row r="167" spans="1:32" ht="69.75" hidden="1" customHeight="1" x14ac:dyDescent="0.85">
      <c r="B167" s="59">
        <f>SUM(B165:B166)</f>
        <v>142649.19899999996</v>
      </c>
      <c r="C167" s="58"/>
      <c r="D167" s="58"/>
      <c r="E167" s="58">
        <v>0</v>
      </c>
      <c r="F167" s="58">
        <v>0</v>
      </c>
      <c r="G167" s="58">
        <v>0</v>
      </c>
      <c r="H167" s="58">
        <v>0</v>
      </c>
      <c r="I167" s="44"/>
    </row>
    <row r="168" spans="1:32" ht="69.75" hidden="1" customHeight="1" x14ac:dyDescent="0.85">
      <c r="A168" s="39" t="s">
        <v>495</v>
      </c>
      <c r="B168" s="58"/>
      <c r="C168" s="58">
        <f>-C164</f>
        <v>-63127.914999999979</v>
      </c>
      <c r="D168" s="58"/>
      <c r="E168" s="58">
        <v>0</v>
      </c>
      <c r="F168" s="58">
        <v>0</v>
      </c>
      <c r="G168" s="58">
        <v>0</v>
      </c>
      <c r="H168" s="58">
        <v>0</v>
      </c>
      <c r="I168" s="44"/>
    </row>
    <row r="169" spans="1:32" ht="69.75" hidden="1" customHeight="1" thickBot="1" x14ac:dyDescent="0.9">
      <c r="A169" s="39" t="s">
        <v>496</v>
      </c>
      <c r="B169" s="58"/>
      <c r="C169" s="58"/>
      <c r="D169" s="58">
        <f>-D164</f>
        <v>-79521.283999999985</v>
      </c>
      <c r="E169" s="58">
        <v>0</v>
      </c>
      <c r="F169" s="58">
        <v>0</v>
      </c>
      <c r="G169" s="58">
        <v>0</v>
      </c>
      <c r="H169" s="58">
        <v>0</v>
      </c>
      <c r="I169" s="44"/>
    </row>
    <row r="170" spans="1:32" ht="69.75" hidden="1" customHeight="1" thickTop="1" x14ac:dyDescent="0.85">
      <c r="B170" s="58"/>
      <c r="C170" s="58"/>
      <c r="D170" s="58"/>
      <c r="E170" s="58"/>
      <c r="F170" s="58"/>
      <c r="G170" s="58"/>
      <c r="H170" s="58"/>
      <c r="I170" s="44"/>
    </row>
    <row r="171" spans="1:32" hidden="1" x14ac:dyDescent="0.85">
      <c r="A171" s="57" t="s">
        <v>521</v>
      </c>
      <c r="B171" s="58"/>
      <c r="C171" s="58"/>
      <c r="D171" s="58"/>
      <c r="E171" s="58">
        <v>0</v>
      </c>
      <c r="F171" s="58">
        <v>0</v>
      </c>
      <c r="G171" s="58">
        <v>0</v>
      </c>
      <c r="H171" s="58">
        <v>0</v>
      </c>
      <c r="I171" s="44"/>
    </row>
    <row r="172" spans="1:32" hidden="1" x14ac:dyDescent="0.85">
      <c r="A172" s="39" t="s">
        <v>497</v>
      </c>
      <c r="B172" s="58">
        <v>-51828.31</v>
      </c>
      <c r="C172" s="58">
        <v>26333.26</v>
      </c>
      <c r="D172" s="58">
        <v>25495.05</v>
      </c>
      <c r="E172" s="58">
        <v>0</v>
      </c>
      <c r="F172" s="58">
        <v>0</v>
      </c>
      <c r="G172" s="58">
        <v>0</v>
      </c>
      <c r="H172" s="58">
        <v>0</v>
      </c>
      <c r="I172" s="44"/>
    </row>
    <row r="173" spans="1:32" hidden="1" x14ac:dyDescent="0.85">
      <c r="A173" s="39" t="s">
        <v>498</v>
      </c>
      <c r="B173" s="58">
        <v>-3192.67</v>
      </c>
      <c r="C173" s="58">
        <v>1702.61</v>
      </c>
      <c r="D173" s="58">
        <v>1490.06</v>
      </c>
      <c r="E173" s="58">
        <v>0</v>
      </c>
      <c r="F173" s="58">
        <v>0</v>
      </c>
      <c r="G173" s="58">
        <v>0</v>
      </c>
      <c r="H173" s="58">
        <v>0</v>
      </c>
      <c r="I173" s="44"/>
    </row>
    <row r="174" spans="1:32" s="82" customFormat="1" x14ac:dyDescent="0.85">
      <c r="A174" s="43"/>
      <c r="B174" s="44"/>
      <c r="C174" s="44"/>
      <c r="D174" s="44"/>
      <c r="E174" s="44"/>
      <c r="F174" s="44"/>
      <c r="G174" s="44"/>
      <c r="H174" s="44"/>
      <c r="I174" s="44">
        <f t="shared" ref="I174" si="32">SUM(B174:H174)</f>
        <v>0</v>
      </c>
      <c r="J174" s="45"/>
      <c r="K174" s="45"/>
      <c r="L174" s="3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80"/>
      <c r="AC174" s="80"/>
      <c r="AD174" s="81"/>
      <c r="AE174" s="80"/>
      <c r="AF174" s="81"/>
    </row>
    <row r="175" spans="1:32" ht="71.25" thickBot="1" x14ac:dyDescent="1.1000000000000001">
      <c r="A175" s="53" t="s">
        <v>264</v>
      </c>
      <c r="B175" s="52">
        <f>B32-B103+B122</f>
        <v>586808.42000000959</v>
      </c>
      <c r="C175" s="52">
        <f t="shared" ref="C175:H175" si="33">C32-C103+C122</f>
        <v>-36995.599999999024</v>
      </c>
      <c r="D175" s="52">
        <f t="shared" si="33"/>
        <v>336315.92999999988</v>
      </c>
      <c r="E175" s="52">
        <f t="shared" si="33"/>
        <v>3965.91</v>
      </c>
      <c r="F175" s="52">
        <f t="shared" si="33"/>
        <v>41640.389999999978</v>
      </c>
      <c r="G175" s="52">
        <f t="shared" si="33"/>
        <v>16880.449999999997</v>
      </c>
      <c r="H175" s="52">
        <f t="shared" si="33"/>
        <v>19557.75</v>
      </c>
      <c r="I175" s="52">
        <f>SUM(B175:H175)</f>
        <v>968173.25000001048</v>
      </c>
      <c r="J175" s="50"/>
      <c r="K175" s="50"/>
      <c r="Q175" s="72"/>
    </row>
    <row r="176" spans="1:32" ht="72" thickTop="1" thickBot="1" x14ac:dyDescent="1.1000000000000001">
      <c r="A176" s="53"/>
      <c r="B176" s="83">
        <f>B175-CNT!N300</f>
        <v>5.972106009721756E-8</v>
      </c>
      <c r="C176" s="83">
        <f>C175-BPM!N89</f>
        <v>-1.8844730220735073E-9</v>
      </c>
      <c r="D176" s="83">
        <f>D175-DEP!N88</f>
        <v>0</v>
      </c>
      <c r="E176" s="83">
        <f>E175-Lending!N22</f>
        <v>0</v>
      </c>
      <c r="F176" s="83">
        <f>F175-'BSC (Dome)'!N84</f>
        <v>0</v>
      </c>
      <c r="G176" s="83">
        <f>G175-'Oliari Co.'!N32</f>
        <v>0</v>
      </c>
      <c r="H176" s="83">
        <f>H175-'722 Bedford St'!N30</f>
        <v>0</v>
      </c>
      <c r="I176" s="52"/>
      <c r="J176" s="50"/>
      <c r="K176" s="50"/>
      <c r="Q176" s="72"/>
    </row>
    <row r="177" spans="1:19" ht="72" thickTop="1" thickBot="1" x14ac:dyDescent="1.1000000000000001">
      <c r="A177" s="43" t="s">
        <v>528</v>
      </c>
      <c r="B177" s="76">
        <v>0</v>
      </c>
      <c r="C177" s="76">
        <v>0</v>
      </c>
      <c r="D177" s="76">
        <v>0</v>
      </c>
      <c r="E177" s="76">
        <v>0</v>
      </c>
      <c r="F177" s="76">
        <v>0</v>
      </c>
      <c r="G177" s="76">
        <v>0</v>
      </c>
      <c r="H177" s="76">
        <v>0</v>
      </c>
      <c r="I177" s="52">
        <f>SUM(B177:H177)</f>
        <v>0</v>
      </c>
      <c r="M177" s="76"/>
      <c r="N177" s="76"/>
      <c r="O177" s="76"/>
      <c r="P177" s="76"/>
      <c r="Q177" s="76"/>
      <c r="R177" s="76"/>
      <c r="S177" s="76"/>
    </row>
    <row r="178" spans="1:19" ht="59.25" thickTop="1" thickBot="1" x14ac:dyDescent="0.9">
      <c r="A178" s="43" t="s">
        <v>529</v>
      </c>
      <c r="B178" s="78">
        <f>B175+B177</f>
        <v>586808.42000000959</v>
      </c>
      <c r="C178" s="78">
        <f t="shared" ref="C178:H178" si="34">C175+C177</f>
        <v>-36995.599999999024</v>
      </c>
      <c r="D178" s="78">
        <f t="shared" si="34"/>
        <v>336315.92999999988</v>
      </c>
      <c r="E178" s="78">
        <f t="shared" si="34"/>
        <v>3965.91</v>
      </c>
      <c r="F178" s="78">
        <f t="shared" si="34"/>
        <v>41640.389999999978</v>
      </c>
      <c r="G178" s="78">
        <f t="shared" si="34"/>
        <v>16880.449999999997</v>
      </c>
      <c r="H178" s="78">
        <f t="shared" si="34"/>
        <v>19557.75</v>
      </c>
      <c r="I178" s="78">
        <f>I175+I177</f>
        <v>968173.25000001048</v>
      </c>
      <c r="J178" s="58"/>
      <c r="K178" s="58"/>
      <c r="M178" s="76"/>
      <c r="N178" s="76"/>
      <c r="O178" s="76"/>
      <c r="P178" s="76"/>
      <c r="Q178" s="76"/>
      <c r="R178" s="76"/>
      <c r="S178" s="76"/>
    </row>
    <row r="179" spans="1:19" ht="58.5" thickTop="1" x14ac:dyDescent="0.85">
      <c r="M179" s="76"/>
      <c r="N179" s="76"/>
      <c r="O179" s="76"/>
      <c r="P179" s="76"/>
      <c r="Q179" s="76"/>
      <c r="R179" s="76"/>
      <c r="S179" s="76"/>
    </row>
    <row r="180" spans="1:19" x14ac:dyDescent="0.85">
      <c r="M180" s="76"/>
      <c r="N180" s="76"/>
      <c r="O180" s="76"/>
      <c r="P180" s="76"/>
      <c r="Q180" s="76"/>
      <c r="R180" s="76"/>
      <c r="S180" s="76"/>
    </row>
    <row r="181" spans="1:19" x14ac:dyDescent="0.85">
      <c r="M181" s="76"/>
      <c r="N181" s="76"/>
      <c r="O181" s="76"/>
      <c r="P181" s="76"/>
      <c r="Q181" s="76"/>
      <c r="R181" s="76"/>
      <c r="S181" s="76"/>
    </row>
    <row r="182" spans="1:19" x14ac:dyDescent="0.8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M182" s="76"/>
      <c r="N182" s="76"/>
      <c r="O182" s="76"/>
      <c r="P182" s="76"/>
      <c r="Q182" s="76"/>
      <c r="R182" s="76"/>
      <c r="S182" s="76"/>
    </row>
    <row r="183" spans="1:19" ht="92.25" x14ac:dyDescent="1.35">
      <c r="A183" s="249">
        <v>2018</v>
      </c>
      <c r="B183" s="250"/>
      <c r="C183" s="250"/>
      <c r="D183" s="250"/>
      <c r="E183" s="250"/>
      <c r="F183" s="250"/>
      <c r="G183" s="250"/>
      <c r="H183" s="250"/>
      <c r="I183" s="250"/>
      <c r="J183" s="251"/>
    </row>
    <row r="184" spans="1:19" ht="92.25" x14ac:dyDescent="1.35">
      <c r="A184" s="252" t="s">
        <v>398</v>
      </c>
      <c r="B184" s="253"/>
      <c r="C184" s="253"/>
      <c r="D184" s="253"/>
      <c r="E184" s="253"/>
      <c r="F184" s="253"/>
      <c r="G184" s="253"/>
      <c r="H184" s="253"/>
      <c r="I184" s="253"/>
      <c r="J184" s="254"/>
    </row>
    <row r="185" spans="1:19" ht="92.25" x14ac:dyDescent="1.35">
      <c r="A185" s="252" t="s">
        <v>340</v>
      </c>
      <c r="B185" s="253"/>
      <c r="C185" s="253"/>
      <c r="D185" s="253"/>
      <c r="E185" s="253"/>
      <c r="F185" s="253"/>
      <c r="G185" s="253"/>
      <c r="H185" s="253"/>
      <c r="I185" s="253"/>
      <c r="J185" s="254"/>
    </row>
    <row r="186" spans="1:19" ht="92.25" x14ac:dyDescent="1.35">
      <c r="A186" s="246">
        <f>A4-365</f>
        <v>43496</v>
      </c>
      <c r="B186" s="247"/>
      <c r="C186" s="247"/>
      <c r="D186" s="247"/>
      <c r="E186" s="247"/>
      <c r="F186" s="247"/>
      <c r="G186" s="247"/>
      <c r="H186" s="247"/>
      <c r="I186" s="247"/>
      <c r="J186" s="248"/>
    </row>
    <row r="187" spans="1:19" x14ac:dyDescent="0.85">
      <c r="A187" s="40"/>
      <c r="B187" s="69"/>
      <c r="C187" s="69"/>
      <c r="D187" s="69"/>
      <c r="E187" s="69"/>
      <c r="F187" s="69"/>
      <c r="G187" s="69"/>
      <c r="H187" s="69"/>
      <c r="I187" s="40"/>
      <c r="J187" s="40"/>
    </row>
    <row r="188" spans="1:19" x14ac:dyDescent="0.85">
      <c r="A188" s="41"/>
      <c r="B188" s="70"/>
      <c r="C188" s="70"/>
      <c r="D188" s="70"/>
      <c r="E188" s="70"/>
      <c r="F188" s="70"/>
      <c r="G188" s="70"/>
      <c r="H188" s="70"/>
      <c r="I188" s="41"/>
      <c r="J188" s="40">
        <v>2019</v>
      </c>
    </row>
    <row r="189" spans="1:19" x14ac:dyDescent="0.85">
      <c r="A189" s="41"/>
      <c r="B189" s="70"/>
      <c r="C189" s="70"/>
      <c r="D189" s="70"/>
      <c r="E189" s="70"/>
      <c r="F189" s="70"/>
      <c r="G189" s="70"/>
      <c r="H189" s="70"/>
      <c r="I189" s="41"/>
      <c r="J189" s="40" t="s">
        <v>339</v>
      </c>
    </row>
    <row r="190" spans="1:19" x14ac:dyDescent="0.85">
      <c r="B190" s="68"/>
      <c r="C190" s="68"/>
      <c r="D190" s="68"/>
      <c r="E190" s="68"/>
      <c r="F190" s="68"/>
      <c r="G190" s="68"/>
      <c r="H190" s="68"/>
      <c r="J190" s="40" t="s">
        <v>337</v>
      </c>
    </row>
    <row r="191" spans="1:19" x14ac:dyDescent="0.85">
      <c r="B191" s="69"/>
      <c r="C191" s="69"/>
      <c r="D191" s="69"/>
      <c r="E191" s="69"/>
      <c r="F191" s="69"/>
      <c r="G191" s="69"/>
      <c r="H191" s="69"/>
      <c r="I191" s="40" t="s">
        <v>205</v>
      </c>
      <c r="J191" s="40" t="s">
        <v>205</v>
      </c>
    </row>
    <row r="192" spans="1:19" x14ac:dyDescent="0.85">
      <c r="B192" s="71" t="s">
        <v>210</v>
      </c>
      <c r="C192" s="71" t="s">
        <v>212</v>
      </c>
      <c r="D192" s="71" t="s">
        <v>211</v>
      </c>
      <c r="E192" s="71" t="s">
        <v>213</v>
      </c>
      <c r="F192" s="71" t="s">
        <v>214</v>
      </c>
      <c r="G192" s="71" t="s">
        <v>399</v>
      </c>
      <c r="H192" s="71" t="s">
        <v>411</v>
      </c>
      <c r="I192" s="42">
        <v>2019</v>
      </c>
      <c r="J192" s="40" t="s">
        <v>335</v>
      </c>
    </row>
    <row r="193" spans="1:10" x14ac:dyDescent="0.85">
      <c r="A193" s="43" t="s">
        <v>60</v>
      </c>
      <c r="B193" s="68"/>
      <c r="C193" s="68"/>
      <c r="D193" s="68"/>
      <c r="E193" s="68"/>
      <c r="F193" s="68"/>
      <c r="G193" s="68"/>
      <c r="H193" s="68"/>
    </row>
    <row r="194" spans="1:10" x14ac:dyDescent="0.85">
      <c r="A194" s="39" t="s">
        <v>215</v>
      </c>
      <c r="B194" s="72">
        <v>125968926.58</v>
      </c>
      <c r="C194" s="72">
        <v>5108890.45</v>
      </c>
      <c r="D194" s="72">
        <v>0</v>
      </c>
      <c r="E194" s="72">
        <v>0</v>
      </c>
      <c r="F194" s="72">
        <v>0</v>
      </c>
      <c r="G194" s="72">
        <v>0</v>
      </c>
      <c r="H194" s="72">
        <v>0</v>
      </c>
      <c r="I194" s="44">
        <f>SUM(B194:H194)</f>
        <v>131077817.03</v>
      </c>
      <c r="J194" s="45">
        <f t="shared" ref="J194:J200" si="35">I194/$I$201</f>
        <v>0.30721006815521057</v>
      </c>
    </row>
    <row r="195" spans="1:10" x14ac:dyDescent="0.85">
      <c r="A195" s="39" t="s">
        <v>216</v>
      </c>
      <c r="B195" s="72">
        <v>279591735.47999996</v>
      </c>
      <c r="C195" s="72">
        <v>362394.45</v>
      </c>
      <c r="D195" s="72">
        <v>0</v>
      </c>
      <c r="E195" s="72">
        <v>0</v>
      </c>
      <c r="F195" s="72">
        <v>0</v>
      </c>
      <c r="G195" s="72">
        <v>0</v>
      </c>
      <c r="H195" s="72">
        <v>0</v>
      </c>
      <c r="I195" s="44">
        <f t="shared" ref="I195:I279" si="36">SUM(B195:H195)</f>
        <v>279954129.92999995</v>
      </c>
      <c r="J195" s="45">
        <f t="shared" si="35"/>
        <v>0.65613487686054395</v>
      </c>
    </row>
    <row r="196" spans="1:10" x14ac:dyDescent="0.85">
      <c r="A196" s="39" t="s">
        <v>217</v>
      </c>
      <c r="B196" s="72">
        <v>2641175</v>
      </c>
      <c r="C196" s="72">
        <v>207.74</v>
      </c>
      <c r="D196" s="72">
        <v>0</v>
      </c>
      <c r="E196" s="72">
        <v>0</v>
      </c>
      <c r="F196" s="72">
        <v>0</v>
      </c>
      <c r="G196" s="72">
        <v>0</v>
      </c>
      <c r="H196" s="72">
        <v>0</v>
      </c>
      <c r="I196" s="44">
        <f t="shared" si="36"/>
        <v>2641382.7400000002</v>
      </c>
      <c r="J196" s="45">
        <f t="shared" si="35"/>
        <v>6.1906689473908228E-3</v>
      </c>
    </row>
    <row r="197" spans="1:10" x14ac:dyDescent="0.85">
      <c r="A197" s="39" t="s">
        <v>414</v>
      </c>
      <c r="B197" s="72">
        <v>6561216</v>
      </c>
      <c r="C197" s="72">
        <v>0</v>
      </c>
      <c r="D197" s="72">
        <v>0</v>
      </c>
      <c r="E197" s="72">
        <v>0</v>
      </c>
      <c r="F197" s="72">
        <v>0</v>
      </c>
      <c r="G197" s="72">
        <v>0</v>
      </c>
      <c r="H197" s="72">
        <v>0</v>
      </c>
      <c r="I197" s="44">
        <f t="shared" si="36"/>
        <v>6561216</v>
      </c>
      <c r="J197" s="45">
        <f t="shared" si="35"/>
        <v>1.5377671525302622E-2</v>
      </c>
    </row>
    <row r="198" spans="1:10" x14ac:dyDescent="0.85">
      <c r="A198" s="39" t="s">
        <v>218</v>
      </c>
      <c r="B198" s="72">
        <v>730765</v>
      </c>
      <c r="C198" s="72">
        <v>0</v>
      </c>
      <c r="D198" s="72">
        <v>0</v>
      </c>
      <c r="E198" s="72">
        <v>0</v>
      </c>
      <c r="F198" s="72">
        <v>0</v>
      </c>
      <c r="G198" s="72">
        <v>0</v>
      </c>
      <c r="H198" s="72">
        <v>0</v>
      </c>
      <c r="I198" s="44">
        <f t="shared" si="36"/>
        <v>730765</v>
      </c>
      <c r="J198" s="45">
        <f t="shared" si="35"/>
        <v>1.7127105908703159E-3</v>
      </c>
    </row>
    <row r="199" spans="1:10" x14ac:dyDescent="0.85">
      <c r="A199" s="39" t="s">
        <v>219</v>
      </c>
      <c r="B199" s="72">
        <v>4963007.37</v>
      </c>
      <c r="C199" s="72">
        <v>224.45</v>
      </c>
      <c r="D199" s="72">
        <v>0</v>
      </c>
      <c r="E199" s="72">
        <v>0</v>
      </c>
      <c r="F199" s="72">
        <v>0</v>
      </c>
      <c r="G199" s="72">
        <v>0</v>
      </c>
      <c r="H199" s="72">
        <v>0</v>
      </c>
      <c r="I199" s="44">
        <f t="shared" si="36"/>
        <v>4963231.82</v>
      </c>
      <c r="J199" s="45">
        <f t="shared" si="35"/>
        <v>1.1632439570940799E-2</v>
      </c>
    </row>
    <row r="200" spans="1:10" x14ac:dyDescent="0.85">
      <c r="A200" s="39" t="s">
        <v>220</v>
      </c>
      <c r="B200" s="72">
        <v>84478.069999999992</v>
      </c>
      <c r="C200" s="72">
        <v>245319.2</v>
      </c>
      <c r="D200" s="72">
        <v>267372.19</v>
      </c>
      <c r="E200" s="72">
        <v>0</v>
      </c>
      <c r="F200" s="72">
        <v>145906.62000000002</v>
      </c>
      <c r="G200" s="72">
        <v>0</v>
      </c>
      <c r="H200" s="72">
        <v>0</v>
      </c>
      <c r="I200" s="44">
        <f>SUM(B200:H200)</f>
        <v>743076.08</v>
      </c>
      <c r="J200" s="45">
        <f t="shared" si="35"/>
        <v>1.7415643497408853E-3</v>
      </c>
    </row>
    <row r="201" spans="1:10" x14ac:dyDescent="0.85">
      <c r="A201" s="43" t="s">
        <v>221</v>
      </c>
      <c r="B201" s="73">
        <f>SUM(B194:B200)</f>
        <v>420541303.49999994</v>
      </c>
      <c r="C201" s="73">
        <f t="shared" ref="C201:H201" si="37">SUM(C194:C200)</f>
        <v>5717036.290000001</v>
      </c>
      <c r="D201" s="73">
        <f t="shared" si="37"/>
        <v>267372.19</v>
      </c>
      <c r="E201" s="73">
        <f t="shared" si="37"/>
        <v>0</v>
      </c>
      <c r="F201" s="73">
        <f>SUM(F194:F200)</f>
        <v>145906.62000000002</v>
      </c>
      <c r="G201" s="73">
        <f>SUM(G194:G200)</f>
        <v>0</v>
      </c>
      <c r="H201" s="73">
        <f t="shared" si="37"/>
        <v>0</v>
      </c>
      <c r="I201" s="46">
        <f t="shared" si="36"/>
        <v>426671618.59999996</v>
      </c>
      <c r="J201" s="47">
        <f>SUM(J194:J200)</f>
        <v>1</v>
      </c>
    </row>
    <row r="202" spans="1:10" x14ac:dyDescent="0.85">
      <c r="B202" s="72"/>
      <c r="C202" s="72"/>
      <c r="D202" s="72"/>
      <c r="E202" s="72"/>
      <c r="F202" s="72"/>
      <c r="G202" s="72"/>
      <c r="H202" s="72"/>
      <c r="I202" s="44">
        <f t="shared" si="36"/>
        <v>0</v>
      </c>
    </row>
    <row r="203" spans="1:10" x14ac:dyDescent="0.85">
      <c r="A203" s="43" t="s">
        <v>206</v>
      </c>
      <c r="B203" s="72"/>
      <c r="C203" s="72"/>
      <c r="D203" s="72"/>
      <c r="E203" s="72"/>
      <c r="F203" s="72"/>
      <c r="G203" s="72"/>
      <c r="H203" s="72"/>
      <c r="I203" s="44">
        <f t="shared" si="36"/>
        <v>0</v>
      </c>
    </row>
    <row r="204" spans="1:10" x14ac:dyDescent="0.85">
      <c r="A204" s="39" t="s">
        <v>215</v>
      </c>
      <c r="B204" s="72">
        <v>125784463.19000012</v>
      </c>
      <c r="C204" s="72">
        <v>5067224.51</v>
      </c>
      <c r="D204" s="72">
        <v>0</v>
      </c>
      <c r="E204" s="72">
        <v>0</v>
      </c>
      <c r="F204" s="72">
        <v>0</v>
      </c>
      <c r="G204" s="72">
        <v>0</v>
      </c>
      <c r="H204" s="72">
        <v>0</v>
      </c>
      <c r="I204" s="44">
        <f t="shared" si="36"/>
        <v>130851687.70000012</v>
      </c>
      <c r="J204" s="45">
        <f t="shared" ref="J204:J211" si="38">I204/$I$212</f>
        <v>0.30747850518051911</v>
      </c>
    </row>
    <row r="205" spans="1:10" x14ac:dyDescent="0.85">
      <c r="A205" s="39" t="s">
        <v>216</v>
      </c>
      <c r="B205" s="72">
        <v>279119541.56</v>
      </c>
      <c r="C205" s="72">
        <v>346608.95</v>
      </c>
      <c r="D205" s="72">
        <v>0</v>
      </c>
      <c r="E205" s="72">
        <v>0</v>
      </c>
      <c r="F205" s="72">
        <v>0</v>
      </c>
      <c r="G205" s="72">
        <v>0</v>
      </c>
      <c r="H205" s="72">
        <v>0</v>
      </c>
      <c r="I205" s="44">
        <f t="shared" si="36"/>
        <v>279466150.50999999</v>
      </c>
      <c r="J205" s="45">
        <f t="shared" si="38"/>
        <v>0.65669641498531994</v>
      </c>
    </row>
    <row r="206" spans="1:10" x14ac:dyDescent="0.85">
      <c r="A206" s="39" t="s">
        <v>217</v>
      </c>
      <c r="B206" s="72">
        <v>2608969.2699999996</v>
      </c>
      <c r="C206" s="72">
        <v>180.5</v>
      </c>
      <c r="D206" s="72">
        <v>0</v>
      </c>
      <c r="E206" s="72">
        <v>0</v>
      </c>
      <c r="F206" s="72">
        <v>0</v>
      </c>
      <c r="G206" s="72">
        <v>0</v>
      </c>
      <c r="H206" s="72">
        <v>0</v>
      </c>
      <c r="I206" s="44">
        <f t="shared" si="36"/>
        <v>2609149.7699999996</v>
      </c>
      <c r="J206" s="45">
        <f t="shared" si="38"/>
        <v>6.1310441246352704E-3</v>
      </c>
    </row>
    <row r="207" spans="1:10" x14ac:dyDescent="0.85">
      <c r="A207" s="39" t="s">
        <v>414</v>
      </c>
      <c r="B207" s="72">
        <v>6487200</v>
      </c>
      <c r="C207" s="72">
        <v>0</v>
      </c>
      <c r="D207" s="72">
        <v>0</v>
      </c>
      <c r="E207" s="72">
        <v>0</v>
      </c>
      <c r="F207" s="72">
        <v>0</v>
      </c>
      <c r="G207" s="72">
        <v>0</v>
      </c>
      <c r="H207" s="72">
        <v>0</v>
      </c>
      <c r="I207" s="44">
        <f t="shared" si="36"/>
        <v>6487200</v>
      </c>
      <c r="J207" s="45">
        <f t="shared" si="38"/>
        <v>1.5243781672730092E-2</v>
      </c>
    </row>
    <row r="208" spans="1:10" x14ac:dyDescent="0.85">
      <c r="A208" s="39" t="s">
        <v>218</v>
      </c>
      <c r="B208" s="72">
        <v>703660.55999999994</v>
      </c>
      <c r="C208" s="72">
        <v>0</v>
      </c>
      <c r="D208" s="72">
        <v>0</v>
      </c>
      <c r="E208" s="72">
        <v>0</v>
      </c>
      <c r="F208" s="72">
        <v>0</v>
      </c>
      <c r="G208" s="72">
        <v>0</v>
      </c>
      <c r="H208" s="72">
        <v>0</v>
      </c>
      <c r="I208" s="44">
        <f t="shared" si="36"/>
        <v>703660.55999999994</v>
      </c>
      <c r="J208" s="45">
        <f t="shared" si="38"/>
        <v>1.6534788426980811E-3</v>
      </c>
    </row>
    <row r="209" spans="1:10" x14ac:dyDescent="0.85">
      <c r="A209" s="39" t="s">
        <v>219</v>
      </c>
      <c r="B209" s="72">
        <v>4897867.0799999991</v>
      </c>
      <c r="C209" s="72">
        <v>224.17</v>
      </c>
      <c r="D209" s="72">
        <v>0</v>
      </c>
      <c r="E209" s="72">
        <v>0</v>
      </c>
      <c r="F209" s="72">
        <v>0</v>
      </c>
      <c r="G209" s="72">
        <v>0</v>
      </c>
      <c r="H209" s="72">
        <v>0</v>
      </c>
      <c r="I209" s="44">
        <f t="shared" si="36"/>
        <v>4898091.2499999991</v>
      </c>
      <c r="J209" s="45">
        <f t="shared" si="38"/>
        <v>1.1509654955621781E-2</v>
      </c>
    </row>
    <row r="210" spans="1:10" x14ac:dyDescent="0.85">
      <c r="A210" s="39" t="s">
        <v>220</v>
      </c>
      <c r="B210" s="72">
        <v>251245.34999999995</v>
      </c>
      <c r="C210" s="72">
        <v>207623.55</v>
      </c>
      <c r="D210" s="72">
        <v>88443.989999999991</v>
      </c>
      <c r="E210" s="72">
        <v>0</v>
      </c>
      <c r="F210" s="72">
        <v>438.75</v>
      </c>
      <c r="G210" s="72">
        <v>0</v>
      </c>
      <c r="H210" s="72">
        <v>0</v>
      </c>
      <c r="I210" s="44">
        <f t="shared" ref="I210" si="39">SUM(B210:H210)</f>
        <v>547751.6399999999</v>
      </c>
      <c r="J210" s="45">
        <f t="shared" si="38"/>
        <v>1.2871202384757445E-3</v>
      </c>
    </row>
    <row r="211" spans="1:10" x14ac:dyDescent="0.85">
      <c r="A211" s="39" t="s">
        <v>527</v>
      </c>
      <c r="B211" s="72">
        <v>0</v>
      </c>
      <c r="C211" s="72">
        <v>0</v>
      </c>
      <c r="D211" s="72">
        <v>0</v>
      </c>
      <c r="E211" s="72">
        <v>0</v>
      </c>
      <c r="F211" s="72">
        <v>0</v>
      </c>
      <c r="G211" s="72">
        <v>0</v>
      </c>
      <c r="H211" s="72">
        <v>0</v>
      </c>
      <c r="I211" s="44">
        <f t="shared" si="36"/>
        <v>0</v>
      </c>
      <c r="J211" s="45">
        <f t="shared" si="38"/>
        <v>0</v>
      </c>
    </row>
    <row r="212" spans="1:10" x14ac:dyDescent="0.85">
      <c r="A212" s="43" t="s">
        <v>222</v>
      </c>
      <c r="B212" s="73">
        <f>SUM(B204:B211)</f>
        <v>419852947.01000011</v>
      </c>
      <c r="C212" s="73">
        <f t="shared" ref="C212:H212" si="40">SUM(C204:C211)</f>
        <v>5621861.6799999997</v>
      </c>
      <c r="D212" s="73">
        <f t="shared" si="40"/>
        <v>88443.989999999991</v>
      </c>
      <c r="E212" s="73">
        <f t="shared" si="40"/>
        <v>0</v>
      </c>
      <c r="F212" s="73">
        <f>SUM(F204:F211)</f>
        <v>438.75</v>
      </c>
      <c r="G212" s="73">
        <f>SUM(G204:G211)</f>
        <v>0</v>
      </c>
      <c r="H212" s="73">
        <f t="shared" si="40"/>
        <v>0</v>
      </c>
      <c r="I212" s="46">
        <f t="shared" si="36"/>
        <v>425563691.43000013</v>
      </c>
      <c r="J212" s="47">
        <f>SUM(J204:J211)</f>
        <v>1</v>
      </c>
    </row>
    <row r="213" spans="1:10" x14ac:dyDescent="0.85">
      <c r="B213" s="72"/>
      <c r="C213" s="72"/>
      <c r="D213" s="72"/>
      <c r="E213" s="72"/>
      <c r="F213" s="72"/>
      <c r="G213" s="72"/>
      <c r="H213" s="72"/>
      <c r="I213" s="44"/>
    </row>
    <row r="214" spans="1:10" ht="58.5" thickBot="1" x14ac:dyDescent="0.9">
      <c r="A214" s="43" t="s">
        <v>209</v>
      </c>
      <c r="B214" s="74">
        <f>B201-B212</f>
        <v>688356.48999983072</v>
      </c>
      <c r="C214" s="74">
        <f>C201-C212</f>
        <v>95174.610000001267</v>
      </c>
      <c r="D214" s="74">
        <f t="shared" ref="D214:H214" si="41">D201-D212</f>
        <v>178928.2</v>
      </c>
      <c r="E214" s="74">
        <f t="shared" si="41"/>
        <v>0</v>
      </c>
      <c r="F214" s="74">
        <f>F201-F212</f>
        <v>145467.87000000002</v>
      </c>
      <c r="G214" s="74">
        <f>G201-G212</f>
        <v>0</v>
      </c>
      <c r="H214" s="74">
        <f t="shared" si="41"/>
        <v>0</v>
      </c>
      <c r="I214" s="48">
        <f t="shared" si="36"/>
        <v>1107927.1699998321</v>
      </c>
    </row>
    <row r="215" spans="1:10" x14ac:dyDescent="0.85">
      <c r="B215" s="72"/>
      <c r="C215" s="72"/>
      <c r="D215" s="72"/>
      <c r="E215" s="72"/>
      <c r="F215" s="72"/>
      <c r="G215" s="72"/>
      <c r="H215" s="72"/>
      <c r="I215" s="44">
        <f t="shared" si="36"/>
        <v>0</v>
      </c>
    </row>
    <row r="216" spans="1:10" x14ac:dyDescent="0.85">
      <c r="A216" s="43" t="s">
        <v>207</v>
      </c>
      <c r="B216" s="72"/>
      <c r="C216" s="72"/>
      <c r="D216" s="72"/>
      <c r="E216" s="72"/>
      <c r="F216" s="72"/>
      <c r="G216" s="72"/>
      <c r="H216" s="72"/>
      <c r="I216" s="44">
        <f t="shared" si="36"/>
        <v>0</v>
      </c>
    </row>
    <row r="217" spans="1:10" x14ac:dyDescent="0.85">
      <c r="B217" s="72"/>
      <c r="C217" s="72"/>
      <c r="D217" s="72"/>
      <c r="E217" s="72"/>
      <c r="F217" s="72"/>
      <c r="G217" s="72"/>
      <c r="H217" s="72"/>
      <c r="I217" s="44">
        <f t="shared" si="36"/>
        <v>0</v>
      </c>
    </row>
    <row r="218" spans="1:10" x14ac:dyDescent="0.85">
      <c r="A218" s="43" t="s">
        <v>223</v>
      </c>
      <c r="B218" s="72"/>
      <c r="C218" s="72"/>
      <c r="D218" s="72"/>
      <c r="E218" s="72"/>
      <c r="F218" s="72"/>
      <c r="G218" s="72"/>
      <c r="H218" s="72"/>
      <c r="I218" s="44">
        <f t="shared" si="36"/>
        <v>0</v>
      </c>
    </row>
    <row r="219" spans="1:10" x14ac:dyDescent="0.85">
      <c r="A219" s="39" t="s">
        <v>224</v>
      </c>
      <c r="B219" s="72">
        <v>196320.15</v>
      </c>
      <c r="C219" s="72">
        <v>49853.14</v>
      </c>
      <c r="D219" s="72">
        <v>71609.289999999994</v>
      </c>
      <c r="E219" s="72">
        <v>0</v>
      </c>
      <c r="F219" s="72">
        <v>38760.370000000003</v>
      </c>
      <c r="G219" s="72">
        <v>0</v>
      </c>
      <c r="H219" s="72">
        <v>0</v>
      </c>
      <c r="I219" s="44">
        <f t="shared" si="36"/>
        <v>356542.94999999995</v>
      </c>
      <c r="J219" s="45">
        <f t="shared" ref="J219:J228" si="42">I219/$I$229</f>
        <v>0.72342040906413474</v>
      </c>
    </row>
    <row r="220" spans="1:10" x14ac:dyDescent="0.85">
      <c r="A220" s="39" t="s">
        <v>531</v>
      </c>
      <c r="B220" s="72">
        <v>13297.91</v>
      </c>
      <c r="C220" s="72">
        <v>4391.67</v>
      </c>
      <c r="D220" s="72">
        <v>3706.25</v>
      </c>
      <c r="E220" s="72"/>
      <c r="F220" s="72">
        <v>0</v>
      </c>
      <c r="G220" s="72"/>
      <c r="H220" s="72"/>
      <c r="I220" s="44">
        <f t="shared" si="36"/>
        <v>21395.83</v>
      </c>
      <c r="J220" s="45">
        <f t="shared" si="42"/>
        <v>4.3411824833071828E-2</v>
      </c>
    </row>
    <row r="221" spans="1:10" x14ac:dyDescent="0.85">
      <c r="A221" s="39" t="s">
        <v>225</v>
      </c>
      <c r="B221" s="72">
        <v>4088</v>
      </c>
      <c r="C221" s="72">
        <v>0</v>
      </c>
      <c r="D221" s="72">
        <v>0</v>
      </c>
      <c r="E221" s="72">
        <v>0</v>
      </c>
      <c r="F221" s="72">
        <v>0</v>
      </c>
      <c r="G221" s="72">
        <v>0</v>
      </c>
      <c r="H221" s="72">
        <v>0</v>
      </c>
      <c r="I221" s="44">
        <f t="shared" si="36"/>
        <v>4088</v>
      </c>
      <c r="J221" s="45">
        <f t="shared" si="42"/>
        <v>8.2944919602370003E-3</v>
      </c>
    </row>
    <row r="222" spans="1:10" x14ac:dyDescent="0.85">
      <c r="A222" s="39" t="s">
        <v>226</v>
      </c>
      <c r="B222" s="72">
        <v>25355.42</v>
      </c>
      <c r="C222" s="72">
        <v>5666.31</v>
      </c>
      <c r="D222" s="72">
        <v>8051.15</v>
      </c>
      <c r="E222" s="72">
        <v>0</v>
      </c>
      <c r="F222" s="72">
        <v>2599.83</v>
      </c>
      <c r="G222" s="72">
        <v>0</v>
      </c>
      <c r="H222" s="72">
        <v>0</v>
      </c>
      <c r="I222" s="44">
        <f t="shared" si="36"/>
        <v>41672.71</v>
      </c>
      <c r="J222" s="45">
        <f t="shared" si="42"/>
        <v>8.4553316549972612E-2</v>
      </c>
    </row>
    <row r="223" spans="1:10" x14ac:dyDescent="0.85">
      <c r="A223" s="39" t="s">
        <v>227</v>
      </c>
      <c r="B223" s="72">
        <v>22479.119999999999</v>
      </c>
      <c r="C223" s="72">
        <v>5197.53</v>
      </c>
      <c r="D223" s="72">
        <v>9223.52</v>
      </c>
      <c r="E223" s="72">
        <v>0</v>
      </c>
      <c r="F223" s="72">
        <v>4849.53</v>
      </c>
      <c r="G223" s="72">
        <v>0</v>
      </c>
      <c r="H223" s="72">
        <v>0</v>
      </c>
      <c r="I223" s="44">
        <f t="shared" si="36"/>
        <v>41749.699999999997</v>
      </c>
      <c r="J223" s="45">
        <f t="shared" si="42"/>
        <v>8.4709528129233533E-2</v>
      </c>
    </row>
    <row r="224" spans="1:10" x14ac:dyDescent="0.85">
      <c r="A224" s="39" t="s">
        <v>228</v>
      </c>
      <c r="B224" s="72">
        <v>3242.32</v>
      </c>
      <c r="C224" s="72">
        <v>792.81</v>
      </c>
      <c r="D224" s="72">
        <v>1042.9100000000001</v>
      </c>
      <c r="E224" s="72">
        <v>0</v>
      </c>
      <c r="F224" s="72">
        <v>333.6</v>
      </c>
      <c r="G224" s="72">
        <v>0</v>
      </c>
      <c r="H224" s="72">
        <v>0</v>
      </c>
      <c r="I224" s="44">
        <f t="shared" si="36"/>
        <v>5411.64</v>
      </c>
      <c r="J224" s="45">
        <f t="shared" si="42"/>
        <v>1.0980138080160707E-2</v>
      </c>
    </row>
    <row r="225" spans="1:10" x14ac:dyDescent="0.85">
      <c r="A225" s="39" t="s">
        <v>229</v>
      </c>
      <c r="B225" s="72">
        <v>9829.92</v>
      </c>
      <c r="C225" s="72">
        <v>2298.62</v>
      </c>
      <c r="D225" s="72">
        <v>2585.9899999999998</v>
      </c>
      <c r="E225" s="72">
        <v>0</v>
      </c>
      <c r="F225" s="72">
        <v>500</v>
      </c>
      <c r="G225" s="72">
        <v>0</v>
      </c>
      <c r="H225" s="72">
        <v>0</v>
      </c>
      <c r="I225" s="44">
        <f t="shared" si="36"/>
        <v>15214.53</v>
      </c>
      <c r="J225" s="45">
        <f t="shared" si="42"/>
        <v>3.087005791677707E-2</v>
      </c>
    </row>
    <row r="226" spans="1:10" x14ac:dyDescent="0.85">
      <c r="A226" s="39" t="s">
        <v>305</v>
      </c>
      <c r="B226" s="72">
        <v>2170.96</v>
      </c>
      <c r="C226" s="72">
        <v>0</v>
      </c>
      <c r="D226" s="72">
        <v>144.41</v>
      </c>
      <c r="E226" s="72">
        <v>0</v>
      </c>
      <c r="F226" s="72">
        <v>207.5</v>
      </c>
      <c r="G226" s="72">
        <v>0</v>
      </c>
      <c r="H226" s="72">
        <v>0</v>
      </c>
      <c r="I226" s="44">
        <f t="shared" si="36"/>
        <v>2522.87</v>
      </c>
      <c r="J226" s="45">
        <f t="shared" si="42"/>
        <v>5.1188661770359889E-3</v>
      </c>
    </row>
    <row r="227" spans="1:10" x14ac:dyDescent="0.85">
      <c r="A227" s="39" t="s">
        <v>230</v>
      </c>
      <c r="B227" s="72">
        <v>24.36</v>
      </c>
      <c r="C227" s="72">
        <v>0</v>
      </c>
      <c r="D227" s="72">
        <v>0</v>
      </c>
      <c r="E227" s="72">
        <v>0</v>
      </c>
      <c r="F227" s="72">
        <v>0</v>
      </c>
      <c r="G227" s="72">
        <v>0</v>
      </c>
      <c r="H227" s="72">
        <v>0</v>
      </c>
      <c r="I227" s="44">
        <f t="shared" si="36"/>
        <v>24.36</v>
      </c>
      <c r="J227" s="45">
        <f t="shared" si="42"/>
        <v>4.9426082228809527E-5</v>
      </c>
    </row>
    <row r="228" spans="1:10" x14ac:dyDescent="0.85">
      <c r="A228" s="39" t="s">
        <v>244</v>
      </c>
      <c r="B228" s="72">
        <v>2484.6</v>
      </c>
      <c r="C228" s="72">
        <v>500</v>
      </c>
      <c r="D228" s="72">
        <v>1250</v>
      </c>
      <c r="E228" s="72">
        <v>0</v>
      </c>
      <c r="F228" s="72">
        <v>0</v>
      </c>
      <c r="G228" s="72">
        <v>0</v>
      </c>
      <c r="H228" s="72">
        <v>0</v>
      </c>
      <c r="I228" s="44">
        <f t="shared" si="36"/>
        <v>4234.6000000000004</v>
      </c>
      <c r="J228" s="45">
        <f t="shared" si="42"/>
        <v>8.5919412071476537E-3</v>
      </c>
    </row>
    <row r="229" spans="1:10" x14ac:dyDescent="0.85">
      <c r="A229" s="43" t="s">
        <v>231</v>
      </c>
      <c r="B229" s="73">
        <f t="shared" ref="B229:H229" si="43">SUM(B219:B228)</f>
        <v>279292.75999999995</v>
      </c>
      <c r="C229" s="73">
        <f t="shared" si="43"/>
        <v>68700.079999999987</v>
      </c>
      <c r="D229" s="73">
        <f t="shared" si="43"/>
        <v>97613.52</v>
      </c>
      <c r="E229" s="73">
        <f t="shared" si="43"/>
        <v>0</v>
      </c>
      <c r="F229" s="73">
        <f t="shared" si="43"/>
        <v>47250.83</v>
      </c>
      <c r="G229" s="73">
        <f t="shared" si="43"/>
        <v>0</v>
      </c>
      <c r="H229" s="73">
        <f t="shared" si="43"/>
        <v>0</v>
      </c>
      <c r="I229" s="46">
        <f t="shared" si="36"/>
        <v>492857.19</v>
      </c>
      <c r="J229" s="47">
        <f>SUM(J219:J228)</f>
        <v>1</v>
      </c>
    </row>
    <row r="230" spans="1:10" x14ac:dyDescent="0.85">
      <c r="B230" s="72"/>
      <c r="C230" s="72"/>
      <c r="D230" s="72"/>
      <c r="E230" s="72"/>
      <c r="F230" s="72"/>
      <c r="G230" s="72"/>
      <c r="H230" s="72"/>
      <c r="I230" s="44"/>
    </row>
    <row r="231" spans="1:10" ht="92.25" x14ac:dyDescent="0.85">
      <c r="A231" s="41"/>
      <c r="B231" s="70"/>
      <c r="C231" s="70"/>
      <c r="D231" s="70"/>
      <c r="E231" s="176">
        <v>2018</v>
      </c>
      <c r="F231" s="70"/>
      <c r="G231" s="70"/>
      <c r="H231" s="70"/>
      <c r="I231" s="41"/>
      <c r="J231" s="40">
        <v>2019</v>
      </c>
    </row>
    <row r="232" spans="1:10" ht="92.25" x14ac:dyDescent="0.85">
      <c r="A232" s="41"/>
      <c r="B232" s="70"/>
      <c r="C232" s="70"/>
      <c r="D232" s="70"/>
      <c r="E232" s="176" t="s">
        <v>541</v>
      </c>
      <c r="F232" s="70"/>
      <c r="G232" s="70"/>
      <c r="H232" s="70"/>
      <c r="I232" s="41"/>
      <c r="J232" s="40" t="s">
        <v>339</v>
      </c>
    </row>
    <row r="233" spans="1:10" ht="92.25" x14ac:dyDescent="1.35">
      <c r="B233" s="68"/>
      <c r="C233" s="68"/>
      <c r="D233" s="68"/>
      <c r="E233" s="177" t="s">
        <v>340</v>
      </c>
      <c r="F233" s="68"/>
      <c r="G233" s="68"/>
      <c r="H233" s="68"/>
      <c r="J233" s="40" t="s">
        <v>337</v>
      </c>
    </row>
    <row r="234" spans="1:10" ht="92.25" x14ac:dyDescent="1.35">
      <c r="B234" s="68"/>
      <c r="C234" s="68"/>
      <c r="D234" s="68"/>
      <c r="E234" s="178">
        <f>A186</f>
        <v>43496</v>
      </c>
      <c r="F234" s="68"/>
      <c r="G234" s="68"/>
      <c r="H234" s="68"/>
      <c r="I234" s="40" t="s">
        <v>205</v>
      </c>
      <c r="J234" s="40" t="s">
        <v>205</v>
      </c>
    </row>
    <row r="235" spans="1:10" x14ac:dyDescent="0.85">
      <c r="B235" s="71" t="s">
        <v>210</v>
      </c>
      <c r="C235" s="71" t="s">
        <v>212</v>
      </c>
      <c r="D235" s="71" t="s">
        <v>211</v>
      </c>
      <c r="E235" s="71" t="s">
        <v>213</v>
      </c>
      <c r="F235" s="71" t="s">
        <v>214</v>
      </c>
      <c r="G235" s="71" t="s">
        <v>399</v>
      </c>
      <c r="H235" s="71" t="s">
        <v>411</v>
      </c>
      <c r="I235" s="42">
        <v>2019</v>
      </c>
      <c r="J235" s="40" t="s">
        <v>335</v>
      </c>
    </row>
    <row r="236" spans="1:10" x14ac:dyDescent="0.85">
      <c r="A236" s="43" t="s">
        <v>477</v>
      </c>
      <c r="B236" s="72"/>
      <c r="C236" s="72"/>
      <c r="D236" s="72"/>
      <c r="E236" s="72"/>
      <c r="F236" s="72"/>
      <c r="G236" s="72"/>
      <c r="H236" s="72"/>
      <c r="I236" s="44"/>
    </row>
    <row r="237" spans="1:10" x14ac:dyDescent="0.85">
      <c r="A237" s="39" t="s">
        <v>232</v>
      </c>
      <c r="B237" s="72">
        <v>41700</v>
      </c>
      <c r="C237" s="72">
        <v>5000</v>
      </c>
      <c r="D237" s="72">
        <v>37500</v>
      </c>
      <c r="E237" s="72">
        <v>0</v>
      </c>
      <c r="F237" s="72">
        <v>1000</v>
      </c>
      <c r="G237" s="72">
        <v>0</v>
      </c>
      <c r="H237" s="72">
        <v>0</v>
      </c>
      <c r="I237" s="44">
        <f t="shared" si="36"/>
        <v>85200</v>
      </c>
      <c r="J237" s="45">
        <f t="shared" ref="J237:J258" si="44">I237/$I$259</f>
        <v>0.22137851256504945</v>
      </c>
    </row>
    <row r="238" spans="1:10" x14ac:dyDescent="0.85">
      <c r="A238" s="39" t="s">
        <v>233</v>
      </c>
      <c r="B238" s="72">
        <v>7855.99</v>
      </c>
      <c r="C238" s="72">
        <v>0</v>
      </c>
      <c r="D238" s="72">
        <v>9520.43</v>
      </c>
      <c r="E238" s="72">
        <v>0</v>
      </c>
      <c r="F238" s="72">
        <v>883.5</v>
      </c>
      <c r="G238" s="72">
        <v>0</v>
      </c>
      <c r="H238" s="72">
        <v>0</v>
      </c>
      <c r="I238" s="44">
        <f t="shared" si="36"/>
        <v>18259.919999999998</v>
      </c>
      <c r="J238" s="45">
        <f t="shared" si="44"/>
        <v>4.7445468652075086E-2</v>
      </c>
    </row>
    <row r="239" spans="1:10" x14ac:dyDescent="0.85">
      <c r="A239" s="39" t="s">
        <v>234</v>
      </c>
      <c r="B239" s="72">
        <v>1243.76</v>
      </c>
      <c r="C239" s="72">
        <v>0</v>
      </c>
      <c r="D239" s="72">
        <v>0</v>
      </c>
      <c r="E239" s="72">
        <v>0</v>
      </c>
      <c r="F239" s="72">
        <v>10822.65</v>
      </c>
      <c r="G239" s="72">
        <v>0</v>
      </c>
      <c r="H239" s="72">
        <v>0</v>
      </c>
      <c r="I239" s="44">
        <f t="shared" si="36"/>
        <v>12066.41</v>
      </c>
      <c r="J239" s="45">
        <f t="shared" si="44"/>
        <v>3.1352627908451156E-2</v>
      </c>
    </row>
    <row r="240" spans="1:10" x14ac:dyDescent="0.85">
      <c r="A240" s="39" t="s">
        <v>333</v>
      </c>
      <c r="B240" s="72">
        <v>225</v>
      </c>
      <c r="C240" s="72">
        <v>0</v>
      </c>
      <c r="D240" s="72">
        <v>0</v>
      </c>
      <c r="E240" s="72">
        <v>0</v>
      </c>
      <c r="F240" s="72">
        <v>0</v>
      </c>
      <c r="G240" s="72">
        <v>0</v>
      </c>
      <c r="H240" s="72">
        <v>0</v>
      </c>
      <c r="I240" s="44">
        <f t="shared" si="36"/>
        <v>225</v>
      </c>
      <c r="J240" s="45">
        <f t="shared" si="44"/>
        <v>5.8462635360488407E-4</v>
      </c>
    </row>
    <row r="241" spans="1:10" x14ac:dyDescent="0.85">
      <c r="A241" s="39" t="s">
        <v>288</v>
      </c>
      <c r="B241" s="72">
        <v>178.45</v>
      </c>
      <c r="C241" s="72">
        <v>0</v>
      </c>
      <c r="D241" s="72">
        <v>150</v>
      </c>
      <c r="E241" s="72">
        <v>0</v>
      </c>
      <c r="F241" s="72">
        <v>747.91</v>
      </c>
      <c r="G241" s="72">
        <v>0</v>
      </c>
      <c r="H241" s="72">
        <v>0</v>
      </c>
      <c r="I241" s="44">
        <f t="shared" si="36"/>
        <v>1076.3599999999999</v>
      </c>
      <c r="J241" s="45">
        <f t="shared" si="44"/>
        <v>2.796748542071791E-3</v>
      </c>
    </row>
    <row r="242" spans="1:10" x14ac:dyDescent="0.85">
      <c r="A242" s="39" t="s">
        <v>437</v>
      </c>
      <c r="B242" s="72">
        <v>0</v>
      </c>
      <c r="C242" s="72">
        <v>0</v>
      </c>
      <c r="D242" s="72">
        <v>0</v>
      </c>
      <c r="E242" s="72">
        <v>0</v>
      </c>
      <c r="F242" s="72">
        <v>0</v>
      </c>
      <c r="G242" s="72">
        <v>0</v>
      </c>
      <c r="H242" s="72">
        <v>0</v>
      </c>
      <c r="I242" s="44">
        <f t="shared" si="36"/>
        <v>0</v>
      </c>
      <c r="J242" s="45">
        <f t="shared" si="44"/>
        <v>0</v>
      </c>
    </row>
    <row r="243" spans="1:10" x14ac:dyDescent="0.85">
      <c r="A243" s="39" t="s">
        <v>235</v>
      </c>
      <c r="B243" s="72">
        <v>14129.17</v>
      </c>
      <c r="C243" s="72">
        <v>0</v>
      </c>
      <c r="D243" s="72">
        <v>4869.29</v>
      </c>
      <c r="E243" s="72">
        <v>0</v>
      </c>
      <c r="F243" s="72">
        <v>4200</v>
      </c>
      <c r="G243" s="72">
        <v>0</v>
      </c>
      <c r="H243" s="72">
        <v>0</v>
      </c>
      <c r="I243" s="44">
        <f t="shared" si="36"/>
        <v>23198.46</v>
      </c>
      <c r="J243" s="45">
        <f t="shared" si="44"/>
        <v>6.0277471462438934E-2</v>
      </c>
    </row>
    <row r="244" spans="1:10" x14ac:dyDescent="0.85">
      <c r="A244" s="39" t="s">
        <v>368</v>
      </c>
      <c r="B244" s="72"/>
      <c r="C244" s="72">
        <v>0</v>
      </c>
      <c r="D244" s="72">
        <v>0</v>
      </c>
      <c r="E244" s="72">
        <v>0</v>
      </c>
      <c r="F244" s="72">
        <v>295</v>
      </c>
      <c r="G244" s="72">
        <v>0</v>
      </c>
      <c r="H244" s="72">
        <v>0</v>
      </c>
      <c r="I244" s="44">
        <f t="shared" si="36"/>
        <v>295</v>
      </c>
      <c r="J244" s="45">
        <f t="shared" si="44"/>
        <v>7.6651010805973692E-4</v>
      </c>
    </row>
    <row r="245" spans="1:10" x14ac:dyDescent="0.85">
      <c r="A245" s="39" t="s">
        <v>237</v>
      </c>
      <c r="B245" s="72">
        <v>9647.0499999999993</v>
      </c>
      <c r="C245" s="72">
        <v>0</v>
      </c>
      <c r="D245" s="72">
        <v>6770.16</v>
      </c>
      <c r="E245" s="72">
        <v>0</v>
      </c>
      <c r="F245" s="72">
        <v>0</v>
      </c>
      <c r="G245" s="72">
        <v>0</v>
      </c>
      <c r="H245" s="72">
        <v>0</v>
      </c>
      <c r="I245" s="44">
        <f t="shared" si="36"/>
        <v>16417.21</v>
      </c>
      <c r="J245" s="45">
        <f t="shared" si="44"/>
        <v>4.265748274962506E-2</v>
      </c>
    </row>
    <row r="246" spans="1:10" x14ac:dyDescent="0.85">
      <c r="A246" s="39" t="s">
        <v>238</v>
      </c>
      <c r="B246" s="72">
        <v>2653.4</v>
      </c>
      <c r="C246" s="72">
        <v>0</v>
      </c>
      <c r="D246" s="72">
        <v>625.1</v>
      </c>
      <c r="E246" s="72">
        <v>0</v>
      </c>
      <c r="F246" s="72">
        <v>0</v>
      </c>
      <c r="G246" s="72">
        <v>0</v>
      </c>
      <c r="H246" s="72">
        <v>0</v>
      </c>
      <c r="I246" s="44">
        <f t="shared" si="36"/>
        <v>3278.5</v>
      </c>
      <c r="J246" s="45">
        <f t="shared" si="44"/>
        <v>8.5186555568605004E-3</v>
      </c>
    </row>
    <row r="247" spans="1:10" x14ac:dyDescent="0.85">
      <c r="A247" s="39" t="s">
        <v>236</v>
      </c>
      <c r="B247" s="72">
        <v>5202.17</v>
      </c>
      <c r="C247" s="72">
        <v>440</v>
      </c>
      <c r="D247" s="72">
        <v>25051.66</v>
      </c>
      <c r="E247" s="72">
        <v>0</v>
      </c>
      <c r="F247" s="72">
        <v>2512.67</v>
      </c>
      <c r="G247" s="72">
        <v>0</v>
      </c>
      <c r="H247" s="72">
        <v>0</v>
      </c>
      <c r="I247" s="44">
        <f t="shared" si="36"/>
        <v>33206.5</v>
      </c>
      <c r="J247" s="45">
        <f t="shared" si="44"/>
        <v>8.6281755604358149E-2</v>
      </c>
    </row>
    <row r="248" spans="1:10" x14ac:dyDescent="0.85">
      <c r="A248" s="39" t="s">
        <v>353</v>
      </c>
      <c r="B248" s="72">
        <v>0</v>
      </c>
      <c r="C248" s="72">
        <v>0</v>
      </c>
      <c r="D248" s="72">
        <v>0</v>
      </c>
      <c r="E248" s="72">
        <v>0</v>
      </c>
      <c r="F248" s="72">
        <v>1583.15</v>
      </c>
      <c r="G248" s="72">
        <v>0</v>
      </c>
      <c r="H248" s="72">
        <v>0</v>
      </c>
      <c r="I248" s="44">
        <f t="shared" si="36"/>
        <v>1583.15</v>
      </c>
      <c r="J248" s="45">
        <f t="shared" si="44"/>
        <v>4.1135609409314322E-3</v>
      </c>
    </row>
    <row r="249" spans="1:10" x14ac:dyDescent="0.85">
      <c r="A249" s="39" t="s">
        <v>239</v>
      </c>
      <c r="B249" s="72">
        <v>2920.09</v>
      </c>
      <c r="C249" s="72">
        <v>0</v>
      </c>
      <c r="D249" s="72">
        <v>24.35</v>
      </c>
      <c r="E249" s="72">
        <v>0</v>
      </c>
      <c r="F249" s="72">
        <v>0</v>
      </c>
      <c r="G249" s="72">
        <v>0</v>
      </c>
      <c r="H249" s="72">
        <v>0</v>
      </c>
      <c r="I249" s="44">
        <f t="shared" si="36"/>
        <v>2944.44</v>
      </c>
      <c r="J249" s="45">
        <f t="shared" si="44"/>
        <v>7.6506543138149556E-3</v>
      </c>
    </row>
    <row r="250" spans="1:10" x14ac:dyDescent="0.85">
      <c r="A250" s="39" t="s">
        <v>240</v>
      </c>
      <c r="B250" s="72">
        <v>1528.3</v>
      </c>
      <c r="C250" s="72">
        <v>0</v>
      </c>
      <c r="D250" s="72">
        <v>382.08</v>
      </c>
      <c r="E250" s="72">
        <v>0</v>
      </c>
      <c r="F250" s="72">
        <v>0</v>
      </c>
      <c r="G250" s="72">
        <v>0</v>
      </c>
      <c r="H250" s="72">
        <v>0</v>
      </c>
      <c r="I250" s="44">
        <f t="shared" si="36"/>
        <v>1910.3799999999999</v>
      </c>
      <c r="J250" s="45">
        <f t="shared" si="44"/>
        <v>4.9638155262208819E-3</v>
      </c>
    </row>
    <row r="251" spans="1:10" x14ac:dyDescent="0.85">
      <c r="A251" s="39" t="s">
        <v>241</v>
      </c>
      <c r="B251" s="72">
        <v>333.33</v>
      </c>
      <c r="C251" s="72">
        <v>0</v>
      </c>
      <c r="D251" s="72">
        <v>0</v>
      </c>
      <c r="E251" s="72">
        <v>0</v>
      </c>
      <c r="F251" s="72">
        <v>0</v>
      </c>
      <c r="G251" s="72">
        <v>0</v>
      </c>
      <c r="H251" s="72">
        <v>0</v>
      </c>
      <c r="I251" s="44">
        <f t="shared" si="36"/>
        <v>333.33</v>
      </c>
      <c r="J251" s="45">
        <f t="shared" si="44"/>
        <v>8.6610445532051559E-4</v>
      </c>
    </row>
    <row r="252" spans="1:10" x14ac:dyDescent="0.85">
      <c r="A252" s="39" t="s">
        <v>242</v>
      </c>
      <c r="B252" s="72">
        <v>110639.4</v>
      </c>
      <c r="C252" s="72">
        <v>418.29</v>
      </c>
      <c r="D252" s="72">
        <v>10537.19</v>
      </c>
      <c r="E252" s="72">
        <v>0</v>
      </c>
      <c r="F252" s="72">
        <v>8736.86</v>
      </c>
      <c r="G252" s="72">
        <v>9292.1</v>
      </c>
      <c r="H252" s="72">
        <v>14827.31</v>
      </c>
      <c r="I252" s="44">
        <f t="shared" si="36"/>
        <v>154451.15</v>
      </c>
      <c r="J252" s="45">
        <f t="shared" si="44"/>
        <v>0.40131650059813773</v>
      </c>
    </row>
    <row r="253" spans="1:10" x14ac:dyDescent="0.85">
      <c r="A253" s="39" t="s">
        <v>252</v>
      </c>
      <c r="B253" s="72">
        <v>1436.24</v>
      </c>
      <c r="C253" s="72">
        <v>0</v>
      </c>
      <c r="D253" s="72">
        <v>0</v>
      </c>
      <c r="E253" s="72">
        <v>0</v>
      </c>
      <c r="F253" s="72">
        <v>0</v>
      </c>
      <c r="G253" s="72">
        <v>0</v>
      </c>
      <c r="H253" s="72">
        <v>0</v>
      </c>
      <c r="I253" s="44">
        <f t="shared" si="36"/>
        <v>1436.24</v>
      </c>
      <c r="J253" s="45">
        <f t="shared" si="44"/>
        <v>3.7318389071176834E-3</v>
      </c>
    </row>
    <row r="254" spans="1:10" x14ac:dyDescent="0.85">
      <c r="A254" s="39" t="s">
        <v>350</v>
      </c>
      <c r="B254" s="72">
        <v>109</v>
      </c>
      <c r="C254" s="72">
        <v>168.98</v>
      </c>
      <c r="D254" s="72">
        <v>109</v>
      </c>
      <c r="E254" s="72">
        <v>109</v>
      </c>
      <c r="F254" s="72">
        <v>337.97</v>
      </c>
      <c r="G254" s="72">
        <v>0</v>
      </c>
      <c r="H254" s="72">
        <v>650</v>
      </c>
      <c r="I254" s="44">
        <f t="shared" si="36"/>
        <v>1483.95</v>
      </c>
      <c r="J254" s="45">
        <f t="shared" si="44"/>
        <v>3.8558056774754125E-3</v>
      </c>
    </row>
    <row r="255" spans="1:10" x14ac:dyDescent="0.85">
      <c r="A255" s="39" t="s">
        <v>245</v>
      </c>
      <c r="B255" s="72">
        <v>1570.43</v>
      </c>
      <c r="C255" s="72">
        <v>159</v>
      </c>
      <c r="D255" s="72">
        <v>1498.9</v>
      </c>
      <c r="E255" s="72">
        <v>0</v>
      </c>
      <c r="F255" s="72">
        <v>0</v>
      </c>
      <c r="G255" s="72">
        <v>0</v>
      </c>
      <c r="H255" s="72">
        <v>0</v>
      </c>
      <c r="I255" s="44">
        <f t="shared" si="36"/>
        <v>3228.33</v>
      </c>
      <c r="J255" s="45">
        <f t="shared" si="44"/>
        <v>8.388296871703357E-3</v>
      </c>
    </row>
    <row r="256" spans="1:10" x14ac:dyDescent="0.85">
      <c r="A256" s="39" t="s">
        <v>246</v>
      </c>
      <c r="B256" s="72">
        <v>9673.76</v>
      </c>
      <c r="C256" s="72">
        <v>1560</v>
      </c>
      <c r="D256" s="72">
        <v>7340.76</v>
      </c>
      <c r="E256" s="72">
        <v>0</v>
      </c>
      <c r="F256" s="72">
        <v>0</v>
      </c>
      <c r="G256" s="72">
        <v>0</v>
      </c>
      <c r="H256" s="72">
        <v>0</v>
      </c>
      <c r="I256" s="44">
        <f t="shared" si="36"/>
        <v>18574.52</v>
      </c>
      <c r="J256" s="45">
        <f t="shared" si="44"/>
        <v>4.8262906211382191E-2</v>
      </c>
    </row>
    <row r="257" spans="1:10" x14ac:dyDescent="0.85">
      <c r="A257" s="39" t="s">
        <v>362</v>
      </c>
      <c r="B257" s="72">
        <v>161.51</v>
      </c>
      <c r="C257" s="72">
        <v>0</v>
      </c>
      <c r="D257" s="72">
        <v>0</v>
      </c>
      <c r="E257" s="72">
        <v>0</v>
      </c>
      <c r="F257" s="72">
        <v>0</v>
      </c>
      <c r="G257" s="72">
        <v>0</v>
      </c>
      <c r="H257" s="72">
        <v>0</v>
      </c>
      <c r="I257" s="44">
        <f t="shared" si="36"/>
        <v>161.51</v>
      </c>
      <c r="J257" s="45">
        <f t="shared" si="44"/>
        <v>4.1965778831433258E-4</v>
      </c>
    </row>
    <row r="258" spans="1:10" x14ac:dyDescent="0.85">
      <c r="A258" s="39" t="s">
        <v>363</v>
      </c>
      <c r="B258" s="72">
        <v>2626.9</v>
      </c>
      <c r="C258" s="72">
        <v>656.43</v>
      </c>
      <c r="D258" s="72">
        <v>1602.56</v>
      </c>
      <c r="E258" s="72">
        <v>0</v>
      </c>
      <c r="F258" s="72">
        <v>644.95000000000005</v>
      </c>
      <c r="G258" s="72">
        <v>0</v>
      </c>
      <c r="H258" s="72">
        <v>0</v>
      </c>
      <c r="I258" s="44">
        <f t="shared" si="36"/>
        <v>5530.8399999999992</v>
      </c>
      <c r="J258" s="45">
        <f t="shared" si="44"/>
        <v>1.4370999206986831E-2</v>
      </c>
    </row>
    <row r="259" spans="1:10" x14ac:dyDescent="0.85">
      <c r="A259" s="43" t="s">
        <v>247</v>
      </c>
      <c r="B259" s="73">
        <f t="shared" ref="B259:H259" si="45">SUM(B237:B258)</f>
        <v>213833.94999999998</v>
      </c>
      <c r="C259" s="73">
        <f t="shared" si="45"/>
        <v>8402.6999999999989</v>
      </c>
      <c r="D259" s="73">
        <f t="shared" si="45"/>
        <v>105981.48</v>
      </c>
      <c r="E259" s="73">
        <f t="shared" si="45"/>
        <v>109</v>
      </c>
      <c r="F259" s="73">
        <f t="shared" si="45"/>
        <v>31764.66</v>
      </c>
      <c r="G259" s="73">
        <f t="shared" si="45"/>
        <v>9292.1</v>
      </c>
      <c r="H259" s="73">
        <f t="shared" si="45"/>
        <v>15477.31</v>
      </c>
      <c r="I259" s="46">
        <f t="shared" si="36"/>
        <v>384861.19999999995</v>
      </c>
      <c r="J259" s="47">
        <f>SUM(J237:J258)</f>
        <v>1.0000000000000002</v>
      </c>
    </row>
    <row r="260" spans="1:10" x14ac:dyDescent="0.85">
      <c r="B260" s="72"/>
      <c r="C260" s="72"/>
      <c r="D260" s="72"/>
      <c r="E260" s="72"/>
      <c r="F260" s="72"/>
      <c r="G260" s="72"/>
      <c r="H260" s="72"/>
      <c r="I260" s="44"/>
    </row>
    <row r="261" spans="1:10" x14ac:dyDescent="0.85">
      <c r="A261" s="43" t="s">
        <v>248</v>
      </c>
      <c r="B261" s="72"/>
      <c r="C261" s="72"/>
      <c r="D261" s="72"/>
      <c r="E261" s="72"/>
      <c r="F261" s="72"/>
      <c r="G261" s="72"/>
      <c r="H261" s="72"/>
      <c r="I261" s="44"/>
    </row>
    <row r="262" spans="1:10" x14ac:dyDescent="0.85">
      <c r="A262" s="39" t="s">
        <v>249</v>
      </c>
      <c r="B262" s="72">
        <v>1030.1099999999999</v>
      </c>
      <c r="C262" s="72">
        <v>0</v>
      </c>
      <c r="D262" s="72">
        <v>124</v>
      </c>
      <c r="E262" s="72">
        <v>0</v>
      </c>
      <c r="F262" s="72">
        <v>455.04</v>
      </c>
      <c r="G262" s="72">
        <v>0</v>
      </c>
      <c r="H262" s="72">
        <v>0</v>
      </c>
      <c r="I262" s="44">
        <f t="shared" si="36"/>
        <v>1609.1499999999999</v>
      </c>
      <c r="J262" s="45">
        <f t="shared" ref="J262:J281" si="46">I262/$I$282</f>
        <v>2.1102308592428873E-2</v>
      </c>
    </row>
    <row r="263" spans="1:10" x14ac:dyDescent="0.85">
      <c r="A263" s="39" t="s">
        <v>385</v>
      </c>
      <c r="B263" s="72">
        <v>0</v>
      </c>
      <c r="C263" s="72">
        <v>0</v>
      </c>
      <c r="D263" s="72">
        <v>0</v>
      </c>
      <c r="E263" s="72">
        <v>0</v>
      </c>
      <c r="F263" s="72">
        <v>0</v>
      </c>
      <c r="G263" s="72">
        <v>0</v>
      </c>
      <c r="H263" s="72">
        <v>0</v>
      </c>
      <c r="I263" s="44">
        <f>SUM(B263:H263)</f>
        <v>0</v>
      </c>
      <c r="J263" s="45">
        <f t="shared" si="46"/>
        <v>0</v>
      </c>
    </row>
    <row r="264" spans="1:10" x14ac:dyDescent="0.85">
      <c r="A264" s="39" t="s">
        <v>533</v>
      </c>
      <c r="B264" s="72">
        <v>0</v>
      </c>
      <c r="C264" s="72">
        <v>0</v>
      </c>
      <c r="D264" s="72">
        <v>0</v>
      </c>
      <c r="E264" s="72">
        <v>0</v>
      </c>
      <c r="F264" s="72">
        <v>0</v>
      </c>
      <c r="G264" s="72">
        <v>0</v>
      </c>
      <c r="H264" s="72">
        <v>0</v>
      </c>
      <c r="I264" s="44">
        <f>SUM(B264:H264)</f>
        <v>0</v>
      </c>
      <c r="J264" s="45">
        <f t="shared" si="46"/>
        <v>0</v>
      </c>
    </row>
    <row r="265" spans="1:10" x14ac:dyDescent="0.85">
      <c r="A265" s="39" t="s">
        <v>250</v>
      </c>
      <c r="B265" s="72">
        <v>4820.1899999999996</v>
      </c>
      <c r="C265" s="72">
        <v>405.43</v>
      </c>
      <c r="D265" s="72">
        <v>325.54000000000002</v>
      </c>
      <c r="E265" s="72">
        <v>85.98</v>
      </c>
      <c r="F265" s="72">
        <v>357.55</v>
      </c>
      <c r="G265" s="72">
        <v>0</v>
      </c>
      <c r="H265" s="72">
        <v>0</v>
      </c>
      <c r="I265" s="44">
        <f t="shared" si="36"/>
        <v>5994.69</v>
      </c>
      <c r="J265" s="45">
        <f t="shared" si="46"/>
        <v>7.8614049837459191E-2</v>
      </c>
    </row>
    <row r="266" spans="1:10" x14ac:dyDescent="0.85">
      <c r="A266" s="39" t="s">
        <v>357</v>
      </c>
      <c r="B266" s="72">
        <v>0</v>
      </c>
      <c r="C266" s="72">
        <v>0</v>
      </c>
      <c r="D266" s="72">
        <v>0</v>
      </c>
      <c r="E266" s="72">
        <v>0</v>
      </c>
      <c r="F266" s="72">
        <v>595.66</v>
      </c>
      <c r="G266" s="72">
        <v>0</v>
      </c>
      <c r="H266" s="72">
        <v>0</v>
      </c>
      <c r="I266" s="44">
        <f>SUM(B266:H266)</f>
        <v>595.66</v>
      </c>
      <c r="J266" s="45">
        <f t="shared" si="46"/>
        <v>7.8114539577827944E-3</v>
      </c>
    </row>
    <row r="267" spans="1:10" x14ac:dyDescent="0.85">
      <c r="A267" s="39" t="s">
        <v>251</v>
      </c>
      <c r="B267" s="72">
        <v>3757.71</v>
      </c>
      <c r="C267" s="72">
        <v>0</v>
      </c>
      <c r="D267" s="72">
        <v>1165.53</v>
      </c>
      <c r="E267" s="72">
        <v>0</v>
      </c>
      <c r="F267" s="72">
        <v>425</v>
      </c>
      <c r="G267" s="72">
        <v>0</v>
      </c>
      <c r="H267" s="72">
        <v>0</v>
      </c>
      <c r="I267" s="44">
        <f t="shared" si="36"/>
        <v>5348.24</v>
      </c>
      <c r="J267" s="45">
        <f t="shared" si="46"/>
        <v>7.0136538487009792E-2</v>
      </c>
    </row>
    <row r="268" spans="1:10" x14ac:dyDescent="0.85">
      <c r="A268" s="39" t="s">
        <v>354</v>
      </c>
      <c r="B268" s="72">
        <v>20000</v>
      </c>
      <c r="C268" s="72">
        <v>335.42</v>
      </c>
      <c r="D268" s="72">
        <v>3250</v>
      </c>
      <c r="E268" s="72">
        <v>160</v>
      </c>
      <c r="F268" s="72">
        <v>200</v>
      </c>
      <c r="G268" s="72">
        <v>150</v>
      </c>
      <c r="H268" s="72">
        <v>0</v>
      </c>
      <c r="I268" s="44">
        <f t="shared" si="36"/>
        <v>24095.42</v>
      </c>
      <c r="J268" s="45">
        <f t="shared" si="46"/>
        <v>0.31598607246321508</v>
      </c>
    </row>
    <row r="269" spans="1:10" x14ac:dyDescent="0.85">
      <c r="A269" s="39" t="s">
        <v>355</v>
      </c>
      <c r="B269" s="72">
        <v>7500</v>
      </c>
      <c r="C269" s="72">
        <v>3750</v>
      </c>
      <c r="D269" s="72">
        <v>2250</v>
      </c>
      <c r="E269" s="72">
        <v>0</v>
      </c>
      <c r="F269" s="72">
        <v>1500</v>
      </c>
      <c r="G269" s="72">
        <v>0</v>
      </c>
      <c r="H269" s="72">
        <v>0</v>
      </c>
      <c r="I269" s="44">
        <f>SUM(B269:H269)</f>
        <v>15000</v>
      </c>
      <c r="J269" s="45">
        <f t="shared" si="46"/>
        <v>0.1967092122464861</v>
      </c>
    </row>
    <row r="270" spans="1:10" x14ac:dyDescent="0.85">
      <c r="A270" s="39" t="s">
        <v>356</v>
      </c>
      <c r="B270" s="72">
        <v>8734.61</v>
      </c>
      <c r="C270" s="72">
        <v>0</v>
      </c>
      <c r="D270" s="72">
        <v>1000</v>
      </c>
      <c r="E270" s="72">
        <v>0</v>
      </c>
      <c r="F270" s="72">
        <v>0</v>
      </c>
      <c r="G270" s="72">
        <v>0</v>
      </c>
      <c r="H270" s="72">
        <v>0</v>
      </c>
      <c r="I270" s="44">
        <f>SUM(B270:H270)</f>
        <v>9734.61</v>
      </c>
      <c r="J270" s="45">
        <f t="shared" si="46"/>
        <v>0.12765916430845109</v>
      </c>
    </row>
    <row r="271" spans="1:10" x14ac:dyDescent="0.85">
      <c r="A271" s="39" t="s">
        <v>394</v>
      </c>
      <c r="B271" s="72">
        <v>0</v>
      </c>
      <c r="C271" s="72">
        <v>0</v>
      </c>
      <c r="D271" s="72">
        <v>0</v>
      </c>
      <c r="E271" s="72">
        <v>0</v>
      </c>
      <c r="F271" s="72">
        <v>0</v>
      </c>
      <c r="G271" s="72">
        <v>0</v>
      </c>
      <c r="H271" s="72">
        <v>0</v>
      </c>
      <c r="I271" s="44">
        <f>SUM(B271:H271)</f>
        <v>0</v>
      </c>
      <c r="J271" s="45">
        <f t="shared" si="46"/>
        <v>0</v>
      </c>
    </row>
    <row r="272" spans="1:10" x14ac:dyDescent="0.85">
      <c r="A272" s="39" t="s">
        <v>383</v>
      </c>
      <c r="B272" s="72">
        <v>0</v>
      </c>
      <c r="C272" s="72">
        <v>0</v>
      </c>
      <c r="D272" s="72">
        <v>666.67</v>
      </c>
      <c r="E272" s="72">
        <v>0</v>
      </c>
      <c r="F272" s="72">
        <v>0</v>
      </c>
      <c r="G272" s="72">
        <v>0</v>
      </c>
      <c r="H272" s="72">
        <v>0</v>
      </c>
      <c r="I272" s="44">
        <f>SUM(B272:H272)</f>
        <v>666.67</v>
      </c>
      <c r="J272" s="45">
        <f t="shared" si="46"/>
        <v>8.7426753685576602E-3</v>
      </c>
    </row>
    <row r="273" spans="1:10" x14ac:dyDescent="0.85">
      <c r="A273" s="39" t="s">
        <v>253</v>
      </c>
      <c r="B273" s="72">
        <v>74.38</v>
      </c>
      <c r="C273" s="72">
        <v>2508.5700000000002</v>
      </c>
      <c r="D273" s="72">
        <v>0</v>
      </c>
      <c r="E273" s="72">
        <v>0</v>
      </c>
      <c r="F273" s="72">
        <v>132.81</v>
      </c>
      <c r="G273" s="72">
        <v>0</v>
      </c>
      <c r="H273" s="72">
        <v>0</v>
      </c>
      <c r="I273" s="44">
        <f t="shared" si="36"/>
        <v>2715.76</v>
      </c>
      <c r="J273" s="45">
        <f t="shared" si="46"/>
        <v>3.5614334016701145E-2</v>
      </c>
    </row>
    <row r="274" spans="1:10" x14ac:dyDescent="0.85">
      <c r="A274" s="39" t="s">
        <v>254</v>
      </c>
      <c r="B274" s="72">
        <v>3675.04</v>
      </c>
      <c r="C274" s="72">
        <v>0</v>
      </c>
      <c r="D274" s="72">
        <v>225</v>
      </c>
      <c r="E274" s="72">
        <v>0</v>
      </c>
      <c r="F274" s="72">
        <v>0</v>
      </c>
      <c r="G274" s="72">
        <v>0</v>
      </c>
      <c r="H274" s="72">
        <v>0</v>
      </c>
      <c r="I274" s="44">
        <f t="shared" si="36"/>
        <v>3900.04</v>
      </c>
      <c r="J274" s="45">
        <f t="shared" si="46"/>
        <v>5.1144919741985713E-2</v>
      </c>
    </row>
    <row r="275" spans="1:10" x14ac:dyDescent="0.85">
      <c r="A275" s="39" t="s">
        <v>255</v>
      </c>
      <c r="B275" s="72">
        <v>1802.51</v>
      </c>
      <c r="C275" s="72">
        <v>0</v>
      </c>
      <c r="D275" s="72">
        <v>721.32</v>
      </c>
      <c r="E275" s="72">
        <v>0</v>
      </c>
      <c r="F275" s="72">
        <v>0</v>
      </c>
      <c r="G275" s="72">
        <v>0</v>
      </c>
      <c r="H275" s="72">
        <v>0</v>
      </c>
      <c r="I275" s="44">
        <f t="shared" si="36"/>
        <v>2523.83</v>
      </c>
      <c r="J275" s="45">
        <f t="shared" si="46"/>
        <v>3.3097374076269934E-2</v>
      </c>
    </row>
    <row r="276" spans="1:10" x14ac:dyDescent="0.85">
      <c r="A276" s="39" t="s">
        <v>292</v>
      </c>
      <c r="B276" s="72">
        <v>0</v>
      </c>
      <c r="C276" s="72">
        <v>0</v>
      </c>
      <c r="D276" s="72">
        <v>300</v>
      </c>
      <c r="E276" s="72">
        <v>0</v>
      </c>
      <c r="F276" s="72">
        <v>0</v>
      </c>
      <c r="G276" s="72">
        <v>0</v>
      </c>
      <c r="H276" s="72">
        <v>0</v>
      </c>
      <c r="I276" s="44">
        <f>SUM(B276:H276)</f>
        <v>300</v>
      </c>
      <c r="J276" s="45">
        <f t="shared" si="46"/>
        <v>3.9341842449297226E-3</v>
      </c>
    </row>
    <row r="277" spans="1:10" x14ac:dyDescent="0.85">
      <c r="A277" s="39" t="s">
        <v>369</v>
      </c>
      <c r="B277" s="72">
        <v>0</v>
      </c>
      <c r="C277" s="72">
        <v>0</v>
      </c>
      <c r="D277" s="72">
        <v>0</v>
      </c>
      <c r="E277" s="72">
        <v>0</v>
      </c>
      <c r="F277" s="72">
        <v>0</v>
      </c>
      <c r="G277" s="72">
        <v>0</v>
      </c>
      <c r="H277" s="72">
        <v>0</v>
      </c>
      <c r="I277" s="44">
        <f>SUM(B277:H277)</f>
        <v>0</v>
      </c>
      <c r="J277" s="45">
        <f t="shared" si="46"/>
        <v>0</v>
      </c>
    </row>
    <row r="278" spans="1:10" x14ac:dyDescent="0.85">
      <c r="A278" s="39" t="s">
        <v>256</v>
      </c>
      <c r="B278" s="72">
        <v>1332.63</v>
      </c>
      <c r="C278" s="72">
        <v>0</v>
      </c>
      <c r="D278" s="72">
        <v>0</v>
      </c>
      <c r="E278" s="72">
        <v>0</v>
      </c>
      <c r="F278" s="72">
        <v>0</v>
      </c>
      <c r="G278" s="72">
        <v>0</v>
      </c>
      <c r="H278" s="72">
        <v>0</v>
      </c>
      <c r="I278" s="44">
        <f t="shared" si="36"/>
        <v>1332.63</v>
      </c>
      <c r="J278" s="45">
        <f t="shared" si="46"/>
        <v>1.747603983440232E-2</v>
      </c>
    </row>
    <row r="279" spans="1:10" x14ac:dyDescent="0.85">
      <c r="A279" s="39" t="s">
        <v>257</v>
      </c>
      <c r="B279" s="72">
        <v>1733.06</v>
      </c>
      <c r="C279" s="72">
        <v>0</v>
      </c>
      <c r="D279" s="72">
        <v>0</v>
      </c>
      <c r="E279" s="72">
        <v>0</v>
      </c>
      <c r="F279" s="72">
        <v>0</v>
      </c>
      <c r="G279" s="72">
        <v>0</v>
      </c>
      <c r="H279" s="72">
        <v>0</v>
      </c>
      <c r="I279" s="44">
        <f t="shared" si="36"/>
        <v>1733.06</v>
      </c>
      <c r="J279" s="45">
        <f t="shared" si="46"/>
        <v>2.2727257825059681E-2</v>
      </c>
    </row>
    <row r="280" spans="1:10" x14ac:dyDescent="0.85">
      <c r="A280" s="39" t="s">
        <v>258</v>
      </c>
      <c r="B280" s="72">
        <v>0</v>
      </c>
      <c r="C280" s="72">
        <v>0</v>
      </c>
      <c r="D280" s="72">
        <v>0</v>
      </c>
      <c r="E280" s="72">
        <v>0</v>
      </c>
      <c r="F280" s="72">
        <v>0</v>
      </c>
      <c r="G280" s="72">
        <v>0</v>
      </c>
      <c r="H280" s="72">
        <v>0</v>
      </c>
      <c r="I280" s="44">
        <f>SUM(B280:H280)</f>
        <v>0</v>
      </c>
      <c r="J280" s="45">
        <f t="shared" si="46"/>
        <v>0</v>
      </c>
    </row>
    <row r="281" spans="1:10" x14ac:dyDescent="0.85">
      <c r="A281" s="39" t="s">
        <v>259</v>
      </c>
      <c r="B281" s="72">
        <v>704.93</v>
      </c>
      <c r="C281" s="72">
        <v>0</v>
      </c>
      <c r="D281" s="72">
        <v>0</v>
      </c>
      <c r="E281" s="72">
        <v>0</v>
      </c>
      <c r="F281" s="72">
        <v>0</v>
      </c>
      <c r="G281" s="72">
        <v>0</v>
      </c>
      <c r="H281" s="72">
        <v>0</v>
      </c>
      <c r="I281" s="44">
        <f>SUM(B281:H281)</f>
        <v>704.93</v>
      </c>
      <c r="J281" s="45">
        <f t="shared" si="46"/>
        <v>9.2444149992610292E-3</v>
      </c>
    </row>
    <row r="282" spans="1:10" x14ac:dyDescent="0.85">
      <c r="A282" s="43" t="s">
        <v>261</v>
      </c>
      <c r="B282" s="73">
        <f t="shared" ref="B282:H282" si="47">SUM(B262:B281)</f>
        <v>55165.169999999991</v>
      </c>
      <c r="C282" s="73">
        <f t="shared" si="47"/>
        <v>6999.42</v>
      </c>
      <c r="D282" s="73">
        <f t="shared" si="47"/>
        <v>10028.06</v>
      </c>
      <c r="E282" s="73">
        <f t="shared" si="47"/>
        <v>245.98000000000002</v>
      </c>
      <c r="F282" s="73">
        <f t="shared" si="47"/>
        <v>3666.06</v>
      </c>
      <c r="G282" s="73">
        <f t="shared" si="47"/>
        <v>150</v>
      </c>
      <c r="H282" s="73">
        <f t="shared" si="47"/>
        <v>0</v>
      </c>
      <c r="I282" s="46">
        <f>SUM(B282:H282)</f>
        <v>76254.689999999988</v>
      </c>
      <c r="J282" s="47">
        <f>SUM(J262:J281)</f>
        <v>1.0000000000000002</v>
      </c>
    </row>
    <row r="283" spans="1:10" x14ac:dyDescent="0.85">
      <c r="B283" s="72"/>
      <c r="C283" s="72"/>
      <c r="D283" s="72"/>
      <c r="E283" s="72"/>
      <c r="F283" s="72"/>
      <c r="G283" s="72"/>
      <c r="H283" s="72"/>
      <c r="I283" s="44">
        <f>SUM(B283:H283)</f>
        <v>0</v>
      </c>
    </row>
    <row r="284" spans="1:10" ht="58.5" thickBot="1" x14ac:dyDescent="0.9">
      <c r="A284" s="43" t="s">
        <v>262</v>
      </c>
      <c r="B284" s="74">
        <f t="shared" ref="B284:H284" si="48">B229+B259+B282</f>
        <v>548291.88</v>
      </c>
      <c r="C284" s="74">
        <f t="shared" si="48"/>
        <v>84102.199999999983</v>
      </c>
      <c r="D284" s="74">
        <f t="shared" si="48"/>
        <v>213623.06</v>
      </c>
      <c r="E284" s="74">
        <f t="shared" si="48"/>
        <v>354.98</v>
      </c>
      <c r="F284" s="74">
        <f t="shared" si="48"/>
        <v>82681.55</v>
      </c>
      <c r="G284" s="74">
        <f t="shared" si="48"/>
        <v>9442.1</v>
      </c>
      <c r="H284" s="74">
        <f t="shared" si="48"/>
        <v>15477.31</v>
      </c>
      <c r="I284" s="48">
        <f>SUM(B284:H284)</f>
        <v>953973.08</v>
      </c>
      <c r="J284" s="44">
        <f>SUM(I219:I228)+SUM(I237:I258)+SUM(I262:I281)-I284</f>
        <v>0</v>
      </c>
    </row>
    <row r="285" spans="1:10" x14ac:dyDescent="0.85">
      <c r="A285" s="41"/>
      <c r="B285" s="70"/>
      <c r="C285" s="70"/>
      <c r="D285" s="70"/>
      <c r="E285" s="70"/>
      <c r="F285" s="70"/>
      <c r="G285" s="70"/>
      <c r="H285" s="70"/>
      <c r="I285" s="41"/>
      <c r="J285" s="40"/>
    </row>
    <row r="286" spans="1:10" ht="92.25" x14ac:dyDescent="0.85">
      <c r="A286" s="41"/>
      <c r="B286" s="70"/>
      <c r="C286" s="70"/>
      <c r="D286" s="70"/>
      <c r="E286" s="176">
        <v>2018</v>
      </c>
      <c r="F286" s="70"/>
      <c r="G286" s="70"/>
      <c r="H286" s="70"/>
      <c r="I286" s="41"/>
      <c r="J286" s="40">
        <v>2019</v>
      </c>
    </row>
    <row r="287" spans="1:10" ht="92.25" x14ac:dyDescent="0.85">
      <c r="A287" s="41"/>
      <c r="B287" s="70"/>
      <c r="C287" s="70"/>
      <c r="D287" s="70"/>
      <c r="E287" s="176" t="s">
        <v>541</v>
      </c>
      <c r="F287" s="70"/>
      <c r="G287" s="70"/>
      <c r="H287" s="70"/>
      <c r="I287" s="41"/>
      <c r="J287" s="40" t="s">
        <v>339</v>
      </c>
    </row>
    <row r="288" spans="1:10" ht="92.25" x14ac:dyDescent="1.35">
      <c r="B288" s="68"/>
      <c r="C288" s="68"/>
      <c r="D288" s="68"/>
      <c r="E288" s="177" t="s">
        <v>340</v>
      </c>
      <c r="F288" s="68"/>
      <c r="G288" s="68"/>
      <c r="H288" s="68"/>
      <c r="J288" s="40" t="s">
        <v>337</v>
      </c>
    </row>
    <row r="289" spans="1:32" ht="92.25" x14ac:dyDescent="1.35">
      <c r="B289" s="68"/>
      <c r="C289" s="68"/>
      <c r="D289" s="68"/>
      <c r="E289" s="178">
        <f>E234</f>
        <v>43496</v>
      </c>
      <c r="F289" s="68"/>
      <c r="G289" s="68"/>
      <c r="H289" s="68"/>
      <c r="I289" s="40" t="s">
        <v>205</v>
      </c>
      <c r="J289" s="40" t="s">
        <v>205</v>
      </c>
    </row>
    <row r="290" spans="1:32" x14ac:dyDescent="0.85">
      <c r="B290" s="71" t="s">
        <v>210</v>
      </c>
      <c r="C290" s="71" t="s">
        <v>212</v>
      </c>
      <c r="D290" s="71" t="s">
        <v>211</v>
      </c>
      <c r="E290" s="71" t="s">
        <v>213</v>
      </c>
      <c r="F290" s="71" t="s">
        <v>214</v>
      </c>
      <c r="G290" s="71" t="s">
        <v>399</v>
      </c>
      <c r="H290" s="71" t="s">
        <v>411</v>
      </c>
      <c r="I290" s="42">
        <v>2019</v>
      </c>
      <c r="J290" s="40" t="s">
        <v>335</v>
      </c>
    </row>
    <row r="291" spans="1:32" x14ac:dyDescent="0.85">
      <c r="B291" s="72"/>
      <c r="C291" s="72"/>
      <c r="D291" s="72"/>
      <c r="E291" s="72"/>
      <c r="F291" s="72"/>
      <c r="G291" s="72"/>
      <c r="H291" s="72"/>
      <c r="I291" s="44"/>
    </row>
    <row r="292" spans="1:32" x14ac:dyDescent="0.85">
      <c r="A292" s="43" t="s">
        <v>454</v>
      </c>
      <c r="B292" s="72"/>
      <c r="C292" s="72"/>
      <c r="D292" s="72"/>
      <c r="E292" s="72"/>
      <c r="F292" s="72"/>
      <c r="G292" s="72"/>
      <c r="H292" s="72"/>
      <c r="I292" s="44"/>
    </row>
    <row r="293" spans="1:32" x14ac:dyDescent="0.85">
      <c r="A293" s="39" t="s">
        <v>265</v>
      </c>
      <c r="B293" s="72">
        <v>12500</v>
      </c>
      <c r="C293" s="72">
        <v>0</v>
      </c>
      <c r="D293" s="72">
        <v>12500</v>
      </c>
      <c r="E293" s="72">
        <v>0</v>
      </c>
      <c r="F293" s="72">
        <v>6000</v>
      </c>
      <c r="G293" s="72">
        <v>22700</v>
      </c>
      <c r="H293" s="72">
        <v>32500</v>
      </c>
      <c r="I293" s="44">
        <f>SUM(B293:H293)</f>
        <v>86200</v>
      </c>
      <c r="J293" s="45"/>
    </row>
    <row r="294" spans="1:32" s="82" customFormat="1" x14ac:dyDescent="0.85">
      <c r="A294" s="39" t="s">
        <v>266</v>
      </c>
      <c r="B294" s="72">
        <v>0</v>
      </c>
      <c r="C294" s="72">
        <v>0</v>
      </c>
      <c r="D294" s="72">
        <v>0</v>
      </c>
      <c r="E294" s="72">
        <v>0</v>
      </c>
      <c r="F294" s="72">
        <v>0</v>
      </c>
      <c r="G294" s="72">
        <v>0</v>
      </c>
      <c r="H294" s="72">
        <v>0</v>
      </c>
      <c r="I294" s="44">
        <f>SUM(B294:H294)</f>
        <v>0</v>
      </c>
      <c r="J294" s="45"/>
      <c r="K294" s="39"/>
      <c r="L294" s="3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80"/>
      <c r="AC294" s="80"/>
      <c r="AD294" s="81"/>
      <c r="AE294" s="80"/>
      <c r="AF294" s="81"/>
    </row>
    <row r="295" spans="1:32" x14ac:dyDescent="0.85">
      <c r="A295" s="39" t="s">
        <v>324</v>
      </c>
      <c r="B295" s="72">
        <v>0</v>
      </c>
      <c r="C295" s="72">
        <v>0</v>
      </c>
      <c r="D295" s="72">
        <v>0</v>
      </c>
      <c r="E295" s="72">
        <v>0</v>
      </c>
      <c r="F295" s="72">
        <v>0</v>
      </c>
      <c r="G295" s="72">
        <v>0</v>
      </c>
      <c r="H295" s="72">
        <v>0</v>
      </c>
      <c r="I295" s="44">
        <f>SUM(B295:H295)</f>
        <v>0</v>
      </c>
      <c r="J295" s="45"/>
    </row>
    <row r="296" spans="1:32" x14ac:dyDescent="0.85">
      <c r="A296" s="39" t="s">
        <v>380</v>
      </c>
      <c r="B296" s="72">
        <v>3389.71</v>
      </c>
      <c r="C296" s="72">
        <v>-3389.71</v>
      </c>
      <c r="D296" s="72">
        <v>0</v>
      </c>
      <c r="E296" s="72">
        <v>0</v>
      </c>
      <c r="F296" s="72">
        <v>0</v>
      </c>
      <c r="G296" s="72">
        <v>0</v>
      </c>
      <c r="H296" s="72">
        <v>0</v>
      </c>
      <c r="I296" s="44">
        <v>0</v>
      </c>
      <c r="J296" s="45"/>
    </row>
    <row r="297" spans="1:32" x14ac:dyDescent="0.85">
      <c r="A297" s="39" t="s">
        <v>267</v>
      </c>
      <c r="B297" s="72">
        <v>9554.85</v>
      </c>
      <c r="C297" s="72">
        <v>0</v>
      </c>
      <c r="D297" s="72">
        <v>0</v>
      </c>
      <c r="E297" s="72">
        <v>0</v>
      </c>
      <c r="F297" s="72">
        <v>0</v>
      </c>
      <c r="G297" s="72">
        <v>0</v>
      </c>
      <c r="H297" s="72">
        <v>0</v>
      </c>
      <c r="I297" s="44">
        <f t="shared" ref="I297:I309" si="49">SUM(B297:H297)</f>
        <v>9554.85</v>
      </c>
      <c r="J297" s="45"/>
    </row>
    <row r="298" spans="1:32" x14ac:dyDescent="0.85">
      <c r="A298" s="39" t="s">
        <v>268</v>
      </c>
      <c r="B298" s="72">
        <v>1955.97</v>
      </c>
      <c r="C298" s="72">
        <v>1775</v>
      </c>
      <c r="D298" s="72">
        <v>3877.78</v>
      </c>
      <c r="E298" s="72">
        <v>3984.61</v>
      </c>
      <c r="F298" s="72">
        <v>0</v>
      </c>
      <c r="G298" s="72">
        <v>3690.94</v>
      </c>
      <c r="H298" s="72">
        <v>0</v>
      </c>
      <c r="I298" s="44">
        <f>SUM(B298:H298)</f>
        <v>15284.300000000001</v>
      </c>
      <c r="J298" s="45"/>
    </row>
    <row r="299" spans="1:32" x14ac:dyDescent="0.85">
      <c r="A299" s="39" t="s">
        <v>269</v>
      </c>
      <c r="B299" s="72">
        <v>-22822.16</v>
      </c>
      <c r="C299" s="72">
        <v>0</v>
      </c>
      <c r="D299" s="72">
        <v>0</v>
      </c>
      <c r="E299" s="72">
        <v>-239.32</v>
      </c>
      <c r="F299" s="72">
        <v>-9534.369999999999</v>
      </c>
      <c r="G299" s="72">
        <v>-860.93</v>
      </c>
      <c r="H299" s="72">
        <v>-18407.91</v>
      </c>
      <c r="I299" s="44">
        <f t="shared" si="49"/>
        <v>-51864.69</v>
      </c>
      <c r="J299" s="45"/>
    </row>
    <row r="300" spans="1:32" x14ac:dyDescent="0.85">
      <c r="A300" s="39" t="s">
        <v>270</v>
      </c>
      <c r="B300" s="72">
        <v>40</v>
      </c>
      <c r="C300" s="72">
        <v>0</v>
      </c>
      <c r="D300" s="72">
        <v>0</v>
      </c>
      <c r="E300" s="72">
        <v>0</v>
      </c>
      <c r="F300" s="72">
        <v>0</v>
      </c>
      <c r="G300" s="72">
        <v>0</v>
      </c>
      <c r="H300" s="72">
        <v>0</v>
      </c>
      <c r="I300" s="44">
        <f t="shared" si="49"/>
        <v>40</v>
      </c>
      <c r="J300" s="45"/>
    </row>
    <row r="301" spans="1:32" x14ac:dyDescent="0.85">
      <c r="A301" s="39" t="s">
        <v>395</v>
      </c>
      <c r="B301" s="72">
        <v>16914.78</v>
      </c>
      <c r="C301" s="72">
        <v>0</v>
      </c>
      <c r="D301" s="72">
        <v>0</v>
      </c>
      <c r="E301" s="72">
        <v>0</v>
      </c>
      <c r="F301" s="72">
        <v>0</v>
      </c>
      <c r="G301" s="72">
        <v>0</v>
      </c>
      <c r="H301" s="72">
        <v>0</v>
      </c>
      <c r="I301" s="44">
        <f t="shared" si="49"/>
        <v>16914.78</v>
      </c>
      <c r="J301" s="45"/>
    </row>
    <row r="302" spans="1:32" x14ac:dyDescent="0.85">
      <c r="A302" s="39" t="s">
        <v>430</v>
      </c>
      <c r="B302" s="72">
        <v>1440.91</v>
      </c>
      <c r="C302" s="72">
        <v>0</v>
      </c>
      <c r="D302" s="72">
        <v>0</v>
      </c>
      <c r="E302" s="72">
        <v>0</v>
      </c>
      <c r="F302" s="72">
        <v>0</v>
      </c>
      <c r="G302" s="72">
        <v>0</v>
      </c>
      <c r="H302" s="72">
        <v>0</v>
      </c>
      <c r="I302" s="44">
        <f t="shared" si="49"/>
        <v>1440.91</v>
      </c>
      <c r="J302" s="45"/>
    </row>
    <row r="303" spans="1:32" x14ac:dyDescent="0.85">
      <c r="A303" s="39" t="s">
        <v>431</v>
      </c>
      <c r="B303" s="72">
        <v>13840.36</v>
      </c>
      <c r="C303" s="72">
        <v>0</v>
      </c>
      <c r="D303" s="72">
        <v>0</v>
      </c>
      <c r="E303" s="72">
        <v>0</v>
      </c>
      <c r="F303" s="72">
        <v>0</v>
      </c>
      <c r="G303" s="72">
        <v>0</v>
      </c>
      <c r="H303" s="72">
        <v>0</v>
      </c>
      <c r="I303" s="44">
        <f t="shared" si="49"/>
        <v>13840.36</v>
      </c>
      <c r="J303" s="45"/>
    </row>
    <row r="304" spans="1:32" x14ac:dyDescent="0.85">
      <c r="A304" s="39" t="s">
        <v>397</v>
      </c>
      <c r="B304" s="72">
        <v>4520.6000000000004</v>
      </c>
      <c r="C304" s="72">
        <v>0</v>
      </c>
      <c r="D304" s="72">
        <v>0</v>
      </c>
      <c r="E304" s="72">
        <v>0</v>
      </c>
      <c r="F304" s="72">
        <v>0</v>
      </c>
      <c r="G304" s="72">
        <v>0</v>
      </c>
      <c r="H304" s="72">
        <v>0</v>
      </c>
      <c r="I304" s="44">
        <f t="shared" si="49"/>
        <v>4520.6000000000004</v>
      </c>
      <c r="J304" s="45"/>
    </row>
    <row r="305" spans="1:12" x14ac:dyDescent="0.85">
      <c r="A305" s="39" t="s">
        <v>526</v>
      </c>
      <c r="B305" s="72">
        <v>0</v>
      </c>
      <c r="C305" s="72">
        <v>0</v>
      </c>
      <c r="D305" s="72">
        <v>0</v>
      </c>
      <c r="E305" s="72">
        <v>0</v>
      </c>
      <c r="F305" s="72">
        <v>0</v>
      </c>
      <c r="G305" s="72">
        <v>0</v>
      </c>
      <c r="H305" s="72">
        <v>0</v>
      </c>
      <c r="I305" s="44">
        <f t="shared" si="49"/>
        <v>0</v>
      </c>
      <c r="J305" s="45"/>
    </row>
    <row r="306" spans="1:12" x14ac:dyDescent="0.85">
      <c r="A306" s="39" t="s">
        <v>441</v>
      </c>
      <c r="B306" s="72">
        <v>0</v>
      </c>
      <c r="C306" s="72">
        <v>0</v>
      </c>
      <c r="D306" s="72">
        <v>0</v>
      </c>
      <c r="E306" s="72">
        <v>0</v>
      </c>
      <c r="F306" s="72">
        <v>0</v>
      </c>
      <c r="G306" s="72">
        <v>0</v>
      </c>
      <c r="H306" s="72">
        <v>0</v>
      </c>
      <c r="I306" s="44">
        <f t="shared" si="49"/>
        <v>0</v>
      </c>
      <c r="J306" s="45"/>
    </row>
    <row r="307" spans="1:12" x14ac:dyDescent="0.85">
      <c r="A307" s="43" t="s">
        <v>455</v>
      </c>
      <c r="B307" s="73">
        <f t="shared" ref="B307:H307" si="50">SUM(B293:B306)</f>
        <v>41335.019999999997</v>
      </c>
      <c r="C307" s="73">
        <f t="shared" si="50"/>
        <v>-1614.71</v>
      </c>
      <c r="D307" s="73">
        <f t="shared" si="50"/>
        <v>16377.78</v>
      </c>
      <c r="E307" s="73">
        <f t="shared" si="50"/>
        <v>3745.29</v>
      </c>
      <c r="F307" s="73">
        <f t="shared" si="50"/>
        <v>-3534.369999999999</v>
      </c>
      <c r="G307" s="73">
        <f t="shared" si="50"/>
        <v>25530.01</v>
      </c>
      <c r="H307" s="73">
        <f t="shared" si="50"/>
        <v>14092.09</v>
      </c>
      <c r="I307" s="46">
        <f>SUM(B307:H307)</f>
        <v>95931.109999999986</v>
      </c>
      <c r="J307" s="49">
        <f>SUM(I293:I306)-I307</f>
        <v>0</v>
      </c>
    </row>
    <row r="308" spans="1:12" x14ac:dyDescent="0.85">
      <c r="A308" s="43"/>
      <c r="B308" s="72"/>
      <c r="C308" s="72"/>
      <c r="D308" s="72"/>
      <c r="E308" s="72"/>
      <c r="F308" s="72"/>
      <c r="G308" s="72"/>
      <c r="H308" s="72"/>
      <c r="I308" s="44">
        <f t="shared" si="49"/>
        <v>0</v>
      </c>
      <c r="J308" s="45"/>
    </row>
    <row r="309" spans="1:12" ht="71.25" thickBot="1" x14ac:dyDescent="1.1000000000000001">
      <c r="A309" s="53" t="s">
        <v>264</v>
      </c>
      <c r="B309" s="75">
        <f t="shared" ref="B309:H309" si="51">B214-B284+B307</f>
        <v>181399.62999983071</v>
      </c>
      <c r="C309" s="75">
        <f t="shared" si="51"/>
        <v>9457.7000000012849</v>
      </c>
      <c r="D309" s="75">
        <f t="shared" si="51"/>
        <v>-18317.079999999987</v>
      </c>
      <c r="E309" s="75">
        <f t="shared" si="51"/>
        <v>3390.31</v>
      </c>
      <c r="F309" s="75">
        <f t="shared" si="51"/>
        <v>59251.950000000026</v>
      </c>
      <c r="G309" s="75">
        <f t="shared" si="51"/>
        <v>16087.909999999998</v>
      </c>
      <c r="H309" s="75">
        <f t="shared" si="51"/>
        <v>-1385.2199999999993</v>
      </c>
      <c r="I309" s="52">
        <f t="shared" si="49"/>
        <v>249885.19999983202</v>
      </c>
      <c r="J309" s="50"/>
      <c r="L309" s="79"/>
    </row>
    <row r="310" spans="1:12" ht="72" thickTop="1" thickBot="1" x14ac:dyDescent="1.1000000000000001">
      <c r="A310" s="43" t="s">
        <v>528</v>
      </c>
      <c r="B310" s="76">
        <f>B211</f>
        <v>0</v>
      </c>
      <c r="C310" s="76">
        <v>0</v>
      </c>
      <c r="D310" s="76">
        <v>0</v>
      </c>
      <c r="E310" s="76">
        <v>0</v>
      </c>
      <c r="F310" s="76">
        <v>0</v>
      </c>
      <c r="G310" s="76">
        <v>0</v>
      </c>
      <c r="H310" s="76">
        <v>0</v>
      </c>
      <c r="I310" s="52">
        <f>SUM(B310:H310)</f>
        <v>0</v>
      </c>
    </row>
    <row r="311" spans="1:12" ht="59.25" thickTop="1" thickBot="1" x14ac:dyDescent="0.9">
      <c r="A311" s="43" t="s">
        <v>529</v>
      </c>
      <c r="B311" s="78">
        <f>B309+B310</f>
        <v>181399.62999983071</v>
      </c>
      <c r="C311" s="78">
        <f t="shared" ref="C311:H311" si="52">C309+C310</f>
        <v>9457.7000000012849</v>
      </c>
      <c r="D311" s="78">
        <f t="shared" si="52"/>
        <v>-18317.079999999987</v>
      </c>
      <c r="E311" s="78">
        <f t="shared" si="52"/>
        <v>3390.31</v>
      </c>
      <c r="F311" s="78">
        <f t="shared" si="52"/>
        <v>59251.950000000026</v>
      </c>
      <c r="G311" s="78">
        <f t="shared" si="52"/>
        <v>16087.909999999998</v>
      </c>
      <c r="H311" s="78">
        <f t="shared" si="52"/>
        <v>-1385.2199999999993</v>
      </c>
      <c r="I311" s="78">
        <f>I309+I310</f>
        <v>249885.19999983202</v>
      </c>
      <c r="J311" s="58"/>
    </row>
    <row r="312" spans="1:12" ht="58.5" thickTop="1" x14ac:dyDescent="0.85">
      <c r="A312" s="58"/>
      <c r="B312" s="76"/>
      <c r="C312" s="77"/>
      <c r="D312" s="77"/>
      <c r="E312" s="77"/>
      <c r="F312" s="77"/>
      <c r="G312" s="77"/>
      <c r="H312" s="77"/>
      <c r="I312" s="58"/>
      <c r="J312" s="58"/>
    </row>
    <row r="313" spans="1:12" x14ac:dyDescent="0.85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</row>
    <row r="314" spans="1:12" ht="92.25" x14ac:dyDescent="0.85">
      <c r="A314" s="41"/>
      <c r="B314" s="40"/>
      <c r="C314" s="58"/>
      <c r="D314" s="40"/>
      <c r="E314" s="179" t="s">
        <v>612</v>
      </c>
      <c r="F314" s="40"/>
      <c r="G314" s="58"/>
      <c r="H314" s="58"/>
      <c r="I314" s="60"/>
      <c r="J314" s="58"/>
      <c r="K314" s="60"/>
    </row>
    <row r="315" spans="1:12" ht="92.25" x14ac:dyDescent="0.85">
      <c r="A315" s="41"/>
      <c r="B315" s="40"/>
      <c r="C315" s="58"/>
      <c r="D315" s="40"/>
      <c r="E315" s="179" t="s">
        <v>541</v>
      </c>
      <c r="F315" s="40"/>
      <c r="G315" s="58"/>
      <c r="H315" s="58"/>
      <c r="I315" s="60"/>
      <c r="J315" s="58"/>
      <c r="K315" s="60"/>
    </row>
    <row r="316" spans="1:12" ht="92.25" x14ac:dyDescent="1.35">
      <c r="A316" s="41"/>
      <c r="B316" s="40"/>
      <c r="C316" s="58"/>
      <c r="D316" s="40"/>
      <c r="E316" s="180" t="s">
        <v>340</v>
      </c>
      <c r="F316" s="40"/>
      <c r="G316" s="58"/>
      <c r="H316" s="58"/>
      <c r="I316" s="60"/>
      <c r="J316" s="58"/>
      <c r="K316" s="60"/>
    </row>
    <row r="317" spans="1:12" ht="92.25" x14ac:dyDescent="1.35">
      <c r="A317" s="41"/>
      <c r="B317" s="40"/>
      <c r="C317" s="58"/>
      <c r="D317" s="40"/>
      <c r="E317" s="181" t="s">
        <v>542</v>
      </c>
      <c r="F317" s="40"/>
      <c r="G317" s="58"/>
      <c r="H317" s="58"/>
      <c r="I317" s="40" t="s">
        <v>536</v>
      </c>
      <c r="J317" s="58"/>
      <c r="K317" s="60"/>
    </row>
    <row r="318" spans="1:12" x14ac:dyDescent="0.85">
      <c r="B318" s="40"/>
      <c r="C318" s="40"/>
      <c r="D318" s="40"/>
      <c r="E318" s="40"/>
      <c r="F318" s="40"/>
      <c r="G318" s="40" t="s">
        <v>536</v>
      </c>
      <c r="H318" s="40"/>
      <c r="I318" s="60" t="s">
        <v>337</v>
      </c>
      <c r="J318" s="40"/>
      <c r="K318" s="40" t="s">
        <v>336</v>
      </c>
    </row>
    <row r="319" spans="1:12" x14ac:dyDescent="0.85">
      <c r="B319" s="40"/>
      <c r="C319" s="40">
        <v>2020</v>
      </c>
      <c r="D319" s="40"/>
      <c r="E319" s="40">
        <v>2019</v>
      </c>
      <c r="F319" s="40"/>
      <c r="G319" s="40" t="s">
        <v>613</v>
      </c>
      <c r="H319" s="40"/>
      <c r="I319" s="40" t="s">
        <v>613</v>
      </c>
      <c r="J319" s="40"/>
      <c r="K319" s="40" t="s">
        <v>338</v>
      </c>
    </row>
    <row r="320" spans="1:12" x14ac:dyDescent="0.85">
      <c r="B320" s="40"/>
      <c r="C320" s="42"/>
      <c r="D320" s="40"/>
      <c r="E320" s="42"/>
      <c r="F320" s="40"/>
      <c r="G320" s="42" t="s">
        <v>334</v>
      </c>
      <c r="H320" s="42"/>
      <c r="I320" s="42" t="s">
        <v>335</v>
      </c>
      <c r="J320" s="42"/>
      <c r="K320" s="42" t="s">
        <v>335</v>
      </c>
    </row>
    <row r="321" spans="1:11" x14ac:dyDescent="0.85">
      <c r="A321" s="43" t="s">
        <v>60</v>
      </c>
      <c r="I321" s="60"/>
      <c r="K321" s="60"/>
    </row>
    <row r="322" spans="1:11" x14ac:dyDescent="0.85">
      <c r="A322" s="39" t="s">
        <v>215</v>
      </c>
      <c r="B322" s="45"/>
      <c r="C322" s="44">
        <f t="shared" ref="C322:C329" si="53">I12</f>
        <v>149080950.81</v>
      </c>
      <c r="D322" s="45"/>
      <c r="E322" s="44">
        <f t="shared" ref="E322:E329" si="54">I194</f>
        <v>131077817.03</v>
      </c>
      <c r="F322" s="45"/>
      <c r="G322" s="44">
        <f t="shared" ref="G322:G329" si="55">I12-I194</f>
        <v>18003133.780000001</v>
      </c>
      <c r="H322" s="44"/>
      <c r="I322" s="45">
        <f t="shared" ref="I322:I329" si="56">I12/I194</f>
        <v>1.1373469148931554</v>
      </c>
      <c r="J322" s="44"/>
      <c r="K322" s="45">
        <f>I322-1</f>
        <v>0.13734691489315543</v>
      </c>
    </row>
    <row r="323" spans="1:11" x14ac:dyDescent="0.85">
      <c r="A323" s="39" t="s">
        <v>216</v>
      </c>
      <c r="B323" s="45"/>
      <c r="C323" s="44">
        <f t="shared" si="53"/>
        <v>328609846.57999998</v>
      </c>
      <c r="D323" s="45"/>
      <c r="E323" s="44">
        <f t="shared" si="54"/>
        <v>279954129.92999995</v>
      </c>
      <c r="F323" s="45"/>
      <c r="G323" s="44">
        <f t="shared" si="55"/>
        <v>48655716.650000036</v>
      </c>
      <c r="H323" s="44"/>
      <c r="I323" s="45">
        <f t="shared" si="56"/>
        <v>1.1737988886328128</v>
      </c>
      <c r="J323" s="44"/>
      <c r="K323" s="45">
        <f t="shared" ref="K323:K405" si="57">I323-1</f>
        <v>0.17379888863281279</v>
      </c>
    </row>
    <row r="324" spans="1:11" x14ac:dyDescent="0.85">
      <c r="A324" s="39" t="s">
        <v>217</v>
      </c>
      <c r="B324" s="45"/>
      <c r="C324" s="44">
        <f t="shared" si="53"/>
        <v>1935780.78</v>
      </c>
      <c r="D324" s="45"/>
      <c r="E324" s="44">
        <f t="shared" si="54"/>
        <v>2641382.7400000002</v>
      </c>
      <c r="F324" s="45"/>
      <c r="G324" s="44">
        <f t="shared" si="55"/>
        <v>-705601.9600000002</v>
      </c>
      <c r="H324" s="44"/>
      <c r="I324" s="45">
        <f t="shared" si="56"/>
        <v>0.73286644554965175</v>
      </c>
      <c r="J324" s="44"/>
      <c r="K324" s="45">
        <f t="shared" si="57"/>
        <v>-0.26713355445034825</v>
      </c>
    </row>
    <row r="325" spans="1:11" x14ac:dyDescent="0.85">
      <c r="A325" s="39" t="s">
        <v>414</v>
      </c>
      <c r="B325" s="45"/>
      <c r="C325" s="44">
        <f t="shared" si="53"/>
        <v>19227894.5</v>
      </c>
      <c r="D325" s="45"/>
      <c r="E325" s="44">
        <f t="shared" si="54"/>
        <v>6561216</v>
      </c>
      <c r="F325" s="45"/>
      <c r="G325" s="44">
        <f t="shared" si="55"/>
        <v>12666678.5</v>
      </c>
      <c r="H325" s="44"/>
      <c r="I325" s="45">
        <f t="shared" si="56"/>
        <v>2.9305382569328611</v>
      </c>
      <c r="J325" s="44"/>
      <c r="K325" s="45">
        <f t="shared" si="57"/>
        <v>1.9305382569328611</v>
      </c>
    </row>
    <row r="326" spans="1:11" x14ac:dyDescent="0.85">
      <c r="A326" s="39" t="s">
        <v>218</v>
      </c>
      <c r="B326" s="45"/>
      <c r="C326" s="44">
        <f t="shared" si="53"/>
        <v>5615755.9000000004</v>
      </c>
      <c r="D326" s="45"/>
      <c r="E326" s="44">
        <f t="shared" si="54"/>
        <v>730765</v>
      </c>
      <c r="F326" s="45"/>
      <c r="G326" s="44">
        <f t="shared" si="55"/>
        <v>4884990.9000000004</v>
      </c>
      <c r="H326" s="44"/>
      <c r="I326" s="45">
        <f t="shared" si="56"/>
        <v>7.6847630907336839</v>
      </c>
      <c r="J326" s="44"/>
      <c r="K326" s="45">
        <f t="shared" si="57"/>
        <v>6.6847630907336839</v>
      </c>
    </row>
    <row r="327" spans="1:11" x14ac:dyDescent="0.85">
      <c r="A327" s="39" t="s">
        <v>219</v>
      </c>
      <c r="B327" s="45"/>
      <c r="C327" s="44">
        <f t="shared" si="53"/>
        <v>1616066.4</v>
      </c>
      <c r="D327" s="45"/>
      <c r="E327" s="44">
        <f t="shared" si="54"/>
        <v>4963231.82</v>
      </c>
      <c r="F327" s="45"/>
      <c r="G327" s="44">
        <f t="shared" si="55"/>
        <v>-3347165.4200000004</v>
      </c>
      <c r="H327" s="44"/>
      <c r="I327" s="45">
        <f t="shared" si="56"/>
        <v>0.32560768036017301</v>
      </c>
      <c r="J327" s="44"/>
      <c r="K327" s="45">
        <f t="shared" si="57"/>
        <v>-0.67439231963982693</v>
      </c>
    </row>
    <row r="328" spans="1:11" x14ac:dyDescent="0.85">
      <c r="A328" s="39" t="s">
        <v>220</v>
      </c>
      <c r="B328" s="45"/>
      <c r="C328" s="44">
        <f t="shared" si="53"/>
        <v>863548.37999999989</v>
      </c>
      <c r="D328" s="45"/>
      <c r="E328" s="44">
        <f t="shared" si="54"/>
        <v>743076.08</v>
      </c>
      <c r="F328" s="45"/>
      <c r="G328" s="44">
        <f t="shared" si="55"/>
        <v>120472.29999999993</v>
      </c>
      <c r="H328" s="44"/>
      <c r="I328" s="45">
        <f t="shared" si="56"/>
        <v>1.1621264675886216</v>
      </c>
      <c r="J328" s="44"/>
      <c r="K328" s="45">
        <f t="shared" si="57"/>
        <v>0.16212646758862159</v>
      </c>
    </row>
    <row r="329" spans="1:11" x14ac:dyDescent="0.85">
      <c r="A329" s="43" t="s">
        <v>221</v>
      </c>
      <c r="B329" s="45"/>
      <c r="C329" s="46">
        <f t="shared" si="53"/>
        <v>506949843.35000002</v>
      </c>
      <c r="D329" s="45"/>
      <c r="E329" s="46">
        <f t="shared" si="54"/>
        <v>426671618.59999996</v>
      </c>
      <c r="F329" s="45"/>
      <c r="G329" s="46">
        <f t="shared" si="55"/>
        <v>80278224.75000006</v>
      </c>
      <c r="H329" s="46"/>
      <c r="I329" s="47">
        <f t="shared" si="56"/>
        <v>1.1881499055723694</v>
      </c>
      <c r="J329" s="46"/>
      <c r="K329" s="47">
        <f t="shared" si="57"/>
        <v>0.18814990557236944</v>
      </c>
    </row>
    <row r="330" spans="1:11" x14ac:dyDescent="0.85">
      <c r="C330" s="44"/>
      <c r="E330" s="44"/>
      <c r="G330" s="44"/>
      <c r="H330" s="44"/>
      <c r="I330" s="61"/>
      <c r="J330" s="44"/>
      <c r="K330" s="61"/>
    </row>
    <row r="331" spans="1:11" x14ac:dyDescent="0.85">
      <c r="A331" s="43" t="s">
        <v>206</v>
      </c>
      <c r="C331" s="44"/>
      <c r="E331" s="44"/>
      <c r="G331" s="44"/>
      <c r="H331" s="44"/>
      <c r="I331" s="61"/>
      <c r="J331" s="44"/>
      <c r="K331" s="61"/>
    </row>
    <row r="332" spans="1:11" x14ac:dyDescent="0.85">
      <c r="A332" s="39" t="s">
        <v>215</v>
      </c>
      <c r="B332" s="45"/>
      <c r="C332" s="44">
        <f t="shared" ref="C332:C340" si="58">I22</f>
        <v>148745272.31999987</v>
      </c>
      <c r="D332" s="45"/>
      <c r="E332" s="44">
        <f t="shared" ref="E332:E340" si="59">I204</f>
        <v>130851687.70000012</v>
      </c>
      <c r="F332" s="45"/>
      <c r="G332" s="44">
        <f t="shared" ref="G332:G339" si="60">I22-I204</f>
        <v>17893584.619999751</v>
      </c>
      <c r="H332" s="44"/>
      <c r="I332" s="45">
        <f t="shared" ref="I332:I340" si="61">I22/I204</f>
        <v>1.1367470678790468</v>
      </c>
      <c r="J332" s="44"/>
      <c r="K332" s="45">
        <f t="shared" si="57"/>
        <v>0.13674706787904678</v>
      </c>
    </row>
    <row r="333" spans="1:11" x14ac:dyDescent="0.85">
      <c r="A333" s="39" t="s">
        <v>216</v>
      </c>
      <c r="B333" s="45"/>
      <c r="C333" s="44">
        <f t="shared" si="58"/>
        <v>328336352.45000017</v>
      </c>
      <c r="D333" s="45"/>
      <c r="E333" s="44">
        <f t="shared" si="59"/>
        <v>279466150.50999999</v>
      </c>
      <c r="F333" s="45"/>
      <c r="G333" s="44">
        <f t="shared" si="60"/>
        <v>48870201.940000176</v>
      </c>
      <c r="H333" s="44"/>
      <c r="I333" s="45">
        <f t="shared" si="61"/>
        <v>1.1748698432737437</v>
      </c>
      <c r="J333" s="44"/>
      <c r="K333" s="45">
        <f t="shared" si="57"/>
        <v>0.17486984327374366</v>
      </c>
    </row>
    <row r="334" spans="1:11" x14ac:dyDescent="0.85">
      <c r="A334" s="39" t="s">
        <v>217</v>
      </c>
      <c r="B334" s="45"/>
      <c r="C334" s="44">
        <f t="shared" si="58"/>
        <v>1907350.0599999996</v>
      </c>
      <c r="D334" s="45"/>
      <c r="E334" s="44">
        <f t="shared" si="59"/>
        <v>2609149.7699999996</v>
      </c>
      <c r="F334" s="45"/>
      <c r="G334" s="44">
        <f t="shared" si="60"/>
        <v>-701799.71</v>
      </c>
      <c r="H334" s="44"/>
      <c r="I334" s="45">
        <f t="shared" si="61"/>
        <v>0.73102360084143425</v>
      </c>
      <c r="J334" s="44"/>
      <c r="K334" s="45">
        <f t="shared" si="57"/>
        <v>-0.26897639915856575</v>
      </c>
    </row>
    <row r="335" spans="1:11" x14ac:dyDescent="0.85">
      <c r="A335" s="39" t="s">
        <v>414</v>
      </c>
      <c r="B335" s="45"/>
      <c r="C335" s="44">
        <f t="shared" si="58"/>
        <v>18863001.990000002</v>
      </c>
      <c r="D335" s="45"/>
      <c r="E335" s="44">
        <f t="shared" si="59"/>
        <v>6487200</v>
      </c>
      <c r="F335" s="45"/>
      <c r="G335" s="44">
        <f t="shared" si="60"/>
        <v>12375801.990000002</v>
      </c>
      <c r="H335" s="44"/>
      <c r="I335" s="45">
        <f t="shared" si="61"/>
        <v>2.9077262902330747</v>
      </c>
      <c r="J335" s="44"/>
      <c r="K335" s="45">
        <f t="shared" si="57"/>
        <v>1.9077262902330747</v>
      </c>
    </row>
    <row r="336" spans="1:11" x14ac:dyDescent="0.85">
      <c r="A336" s="39" t="s">
        <v>218</v>
      </c>
      <c r="B336" s="45"/>
      <c r="C336" s="44">
        <f t="shared" si="58"/>
        <v>5207996.2000000011</v>
      </c>
      <c r="D336" s="45"/>
      <c r="E336" s="44">
        <f t="shared" si="59"/>
        <v>703660.55999999994</v>
      </c>
      <c r="F336" s="45"/>
      <c r="G336" s="44">
        <f t="shared" si="60"/>
        <v>4504335.6400000015</v>
      </c>
      <c r="H336" s="44"/>
      <c r="I336" s="45">
        <f t="shared" si="61"/>
        <v>7.4012904744867347</v>
      </c>
      <c r="J336" s="44"/>
      <c r="K336" s="45">
        <f t="shared" si="57"/>
        <v>6.4012904744867347</v>
      </c>
    </row>
    <row r="337" spans="1:11" x14ac:dyDescent="0.85">
      <c r="A337" s="39" t="s">
        <v>219</v>
      </c>
      <c r="B337" s="45"/>
      <c r="C337" s="44">
        <f t="shared" si="58"/>
        <v>1609910.15</v>
      </c>
      <c r="D337" s="45"/>
      <c r="E337" s="44">
        <f t="shared" si="59"/>
        <v>4898091.2499999991</v>
      </c>
      <c r="F337" s="45"/>
      <c r="G337" s="44">
        <f t="shared" si="60"/>
        <v>-3288181.0999999992</v>
      </c>
      <c r="H337" s="44"/>
      <c r="I337" s="45">
        <f t="shared" si="61"/>
        <v>0.32868112655108256</v>
      </c>
      <c r="J337" s="44"/>
      <c r="K337" s="45">
        <f t="shared" si="57"/>
        <v>-0.6713188734489175</v>
      </c>
    </row>
    <row r="338" spans="1:11" x14ac:dyDescent="0.85">
      <c r="A338" s="39" t="s">
        <v>220</v>
      </c>
      <c r="B338" s="45"/>
      <c r="C338" s="44">
        <f t="shared" si="58"/>
        <v>418467.34</v>
      </c>
      <c r="D338" s="45"/>
      <c r="E338" s="44">
        <f t="shared" si="59"/>
        <v>547751.6399999999</v>
      </c>
      <c r="F338" s="45"/>
      <c r="G338" s="44">
        <f t="shared" si="60"/>
        <v>-129284.29999999987</v>
      </c>
      <c r="H338" s="44"/>
      <c r="I338" s="45">
        <f t="shared" si="61"/>
        <v>0.76397277423030652</v>
      </c>
      <c r="J338" s="44"/>
      <c r="K338" s="45">
        <f t="shared" ref="K338" si="62">I338-1</f>
        <v>-0.23602722576969348</v>
      </c>
    </row>
    <row r="339" spans="1:11" x14ac:dyDescent="0.85">
      <c r="A339" s="39" t="s">
        <v>220</v>
      </c>
      <c r="B339" s="45"/>
      <c r="C339" s="44">
        <f t="shared" si="58"/>
        <v>0</v>
      </c>
      <c r="D339" s="45"/>
      <c r="E339" s="44">
        <f t="shared" si="59"/>
        <v>0</v>
      </c>
      <c r="F339" s="45"/>
      <c r="G339" s="44">
        <f t="shared" si="60"/>
        <v>0</v>
      </c>
      <c r="H339" s="44"/>
      <c r="I339" s="45" t="e">
        <f t="shared" si="61"/>
        <v>#DIV/0!</v>
      </c>
      <c r="J339" s="44"/>
      <c r="K339" s="45" t="e">
        <f t="shared" si="57"/>
        <v>#DIV/0!</v>
      </c>
    </row>
    <row r="340" spans="1:11" x14ac:dyDescent="0.85">
      <c r="A340" s="43" t="s">
        <v>222</v>
      </c>
      <c r="B340" s="45"/>
      <c r="C340" s="46">
        <f t="shared" si="58"/>
        <v>505088350.50999999</v>
      </c>
      <c r="D340" s="45"/>
      <c r="E340" s="46">
        <f t="shared" si="59"/>
        <v>425563691.43000013</v>
      </c>
      <c r="F340" s="45"/>
      <c r="G340" s="46">
        <f>SUM(G332:G339)</f>
        <v>79524659.079999939</v>
      </c>
      <c r="H340" s="46"/>
      <c r="I340" s="47">
        <f t="shared" si="61"/>
        <v>1.1868689944219093</v>
      </c>
      <c r="J340" s="46"/>
      <c r="K340" s="47">
        <f t="shared" si="57"/>
        <v>0.1868689944219093</v>
      </c>
    </row>
    <row r="341" spans="1:11" x14ac:dyDescent="0.85">
      <c r="C341" s="44"/>
      <c r="E341" s="44"/>
      <c r="G341" s="44"/>
      <c r="H341" s="44"/>
      <c r="I341" s="45"/>
      <c r="J341" s="44"/>
      <c r="K341" s="45"/>
    </row>
    <row r="342" spans="1:11" ht="58.5" thickBot="1" x14ac:dyDescent="0.9">
      <c r="A342" s="43" t="s">
        <v>209</v>
      </c>
      <c r="C342" s="48">
        <f>I32</f>
        <v>1861492.8400000103</v>
      </c>
      <c r="E342" s="48">
        <f>I214</f>
        <v>1107927.1699998321</v>
      </c>
      <c r="G342" s="48">
        <f>I32-I214</f>
        <v>753565.67000017827</v>
      </c>
      <c r="H342" s="48"/>
      <c r="I342" s="62">
        <f>I32/I214</f>
        <v>1.6801581280837192</v>
      </c>
      <c r="J342" s="48"/>
      <c r="K342" s="62">
        <f t="shared" si="57"/>
        <v>0.68015812808371923</v>
      </c>
    </row>
    <row r="343" spans="1:11" x14ac:dyDescent="0.85">
      <c r="C343" s="44"/>
      <c r="E343" s="44"/>
      <c r="G343" s="44"/>
      <c r="H343" s="44"/>
      <c r="I343" s="61"/>
      <c r="J343" s="44"/>
      <c r="K343" s="61"/>
    </row>
    <row r="344" spans="1:11" x14ac:dyDescent="0.85">
      <c r="A344" s="43" t="s">
        <v>207</v>
      </c>
      <c r="C344" s="44"/>
      <c r="E344" s="44"/>
      <c r="G344" s="44"/>
      <c r="H344" s="44"/>
      <c r="I344" s="61"/>
      <c r="J344" s="44"/>
      <c r="K344" s="61"/>
    </row>
    <row r="345" spans="1:11" x14ac:dyDescent="0.85">
      <c r="C345" s="44"/>
      <c r="E345" s="44"/>
      <c r="G345" s="44"/>
      <c r="H345" s="44"/>
      <c r="I345" s="61"/>
      <c r="J345" s="44"/>
      <c r="K345" s="61"/>
    </row>
    <row r="346" spans="1:11" x14ac:dyDescent="0.85">
      <c r="A346" s="43" t="s">
        <v>223</v>
      </c>
      <c r="C346" s="44"/>
      <c r="E346" s="44"/>
      <c r="G346" s="44"/>
      <c r="H346" s="44"/>
      <c r="I346" s="61"/>
      <c r="J346" s="44"/>
      <c r="K346" s="61"/>
    </row>
    <row r="347" spans="1:11" x14ac:dyDescent="0.85">
      <c r="A347" s="39" t="s">
        <v>224</v>
      </c>
      <c r="B347" s="45"/>
      <c r="C347" s="44">
        <f t="shared" ref="C347:C357" si="63">I37</f>
        <v>422797.34</v>
      </c>
      <c r="D347" s="45"/>
      <c r="E347" s="44">
        <f t="shared" ref="E347:E358" si="64">I219</f>
        <v>356542.94999999995</v>
      </c>
      <c r="F347" s="45"/>
      <c r="G347" s="44">
        <f>I37-I219</f>
        <v>66254.390000000072</v>
      </c>
      <c r="H347" s="44"/>
      <c r="I347" s="45">
        <f>I37/I219</f>
        <v>1.1858244287259083</v>
      </c>
      <c r="J347" s="44"/>
      <c r="K347" s="45">
        <f t="shared" si="57"/>
        <v>0.18582442872590832</v>
      </c>
    </row>
    <row r="348" spans="1:11" x14ac:dyDescent="0.85">
      <c r="A348" s="39" t="s">
        <v>531</v>
      </c>
      <c r="B348" s="45"/>
      <c r="C348" s="44">
        <f t="shared" si="63"/>
        <v>28522.920000000002</v>
      </c>
      <c r="D348" s="45"/>
      <c r="E348" s="44">
        <f t="shared" si="64"/>
        <v>21395.83</v>
      </c>
      <c r="F348" s="45"/>
      <c r="G348" s="44">
        <f>I38</f>
        <v>28522.920000000002</v>
      </c>
      <c r="H348" s="44"/>
      <c r="I348" s="45">
        <v>0</v>
      </c>
      <c r="J348" s="44"/>
      <c r="K348" s="45">
        <f t="shared" si="57"/>
        <v>-1</v>
      </c>
    </row>
    <row r="349" spans="1:11" x14ac:dyDescent="0.85">
      <c r="A349" s="39" t="s">
        <v>225</v>
      </c>
      <c r="B349" s="45"/>
      <c r="C349" s="44">
        <f t="shared" si="63"/>
        <v>2305</v>
      </c>
      <c r="D349" s="45"/>
      <c r="E349" s="44">
        <f t="shared" si="64"/>
        <v>4088</v>
      </c>
      <c r="F349" s="45"/>
      <c r="G349" s="44">
        <f t="shared" ref="G349:G357" si="65">I39-I221</f>
        <v>-1783</v>
      </c>
      <c r="H349" s="44"/>
      <c r="I349" s="45">
        <f t="shared" ref="I349:I354" si="66">I39/I221</f>
        <v>0.56384540117416826</v>
      </c>
      <c r="J349" s="44"/>
      <c r="K349" s="45">
        <f t="shared" si="57"/>
        <v>-0.43615459882583174</v>
      </c>
    </row>
    <row r="350" spans="1:11" x14ac:dyDescent="0.85">
      <c r="A350" s="39" t="s">
        <v>226</v>
      </c>
      <c r="B350" s="45"/>
      <c r="C350" s="44">
        <f t="shared" si="63"/>
        <v>44596.39</v>
      </c>
      <c r="D350" s="45"/>
      <c r="E350" s="44">
        <f t="shared" si="64"/>
        <v>41672.71</v>
      </c>
      <c r="F350" s="45"/>
      <c r="G350" s="44">
        <f t="shared" si="65"/>
        <v>2923.6800000000003</v>
      </c>
      <c r="H350" s="44"/>
      <c r="I350" s="45">
        <f t="shared" si="66"/>
        <v>1.0701581442627561</v>
      </c>
      <c r="J350" s="44"/>
      <c r="K350" s="45">
        <f t="shared" si="57"/>
        <v>7.0158144262756128E-2</v>
      </c>
    </row>
    <row r="351" spans="1:11" x14ac:dyDescent="0.85">
      <c r="A351" s="39" t="s">
        <v>227</v>
      </c>
      <c r="B351" s="45"/>
      <c r="C351" s="44">
        <f t="shared" si="63"/>
        <v>51764.78</v>
      </c>
      <c r="D351" s="45"/>
      <c r="E351" s="44">
        <f t="shared" si="64"/>
        <v>41749.699999999997</v>
      </c>
      <c r="F351" s="45"/>
      <c r="G351" s="44">
        <f t="shared" si="65"/>
        <v>10015.080000000002</v>
      </c>
      <c r="H351" s="44"/>
      <c r="I351" s="45">
        <f t="shared" si="66"/>
        <v>1.2398838794051215</v>
      </c>
      <c r="J351" s="44"/>
      <c r="K351" s="45">
        <f t="shared" si="57"/>
        <v>0.23988387940512146</v>
      </c>
    </row>
    <row r="352" spans="1:11" x14ac:dyDescent="0.85">
      <c r="A352" s="39" t="s">
        <v>228</v>
      </c>
      <c r="B352" s="45"/>
      <c r="C352" s="44">
        <f t="shared" si="63"/>
        <v>6902.62</v>
      </c>
      <c r="D352" s="45"/>
      <c r="E352" s="44">
        <f t="shared" si="64"/>
        <v>5411.64</v>
      </c>
      <c r="F352" s="45"/>
      <c r="G352" s="44">
        <f t="shared" si="65"/>
        <v>1490.9799999999996</v>
      </c>
      <c r="H352" s="44"/>
      <c r="I352" s="45">
        <f t="shared" si="66"/>
        <v>1.2755135227029144</v>
      </c>
      <c r="J352" s="44"/>
      <c r="K352" s="45">
        <f t="shared" si="57"/>
        <v>0.2755135227029144</v>
      </c>
    </row>
    <row r="353" spans="1:11" x14ac:dyDescent="0.85">
      <c r="A353" s="39" t="s">
        <v>229</v>
      </c>
      <c r="B353" s="45"/>
      <c r="C353" s="44">
        <f t="shared" si="63"/>
        <v>10297.35</v>
      </c>
      <c r="D353" s="45"/>
      <c r="E353" s="44">
        <f t="shared" si="64"/>
        <v>15214.53</v>
      </c>
      <c r="F353" s="45"/>
      <c r="G353" s="44">
        <f t="shared" si="65"/>
        <v>-4917.18</v>
      </c>
      <c r="H353" s="44"/>
      <c r="I353" s="45">
        <f t="shared" si="66"/>
        <v>0.67681025966625319</v>
      </c>
      <c r="J353" s="44"/>
      <c r="K353" s="45">
        <f t="shared" si="57"/>
        <v>-0.32318974033374681</v>
      </c>
    </row>
    <row r="354" spans="1:11" x14ac:dyDescent="0.85">
      <c r="A354" s="39" t="s">
        <v>305</v>
      </c>
      <c r="B354" s="45"/>
      <c r="C354" s="44">
        <f t="shared" si="63"/>
        <v>7346.3099999999995</v>
      </c>
      <c r="D354" s="45"/>
      <c r="E354" s="44">
        <f t="shared" si="64"/>
        <v>2522.87</v>
      </c>
      <c r="F354" s="45"/>
      <c r="G354" s="44">
        <f t="shared" si="65"/>
        <v>4823.4399999999996</v>
      </c>
      <c r="H354" s="44"/>
      <c r="I354" s="45">
        <f t="shared" si="66"/>
        <v>2.9118860662658004</v>
      </c>
      <c r="J354" s="44"/>
      <c r="K354" s="45">
        <f t="shared" si="57"/>
        <v>1.9118860662658004</v>
      </c>
    </row>
    <row r="355" spans="1:11" x14ac:dyDescent="0.85">
      <c r="A355" s="39" t="s">
        <v>230</v>
      </c>
      <c r="B355" s="45"/>
      <c r="C355" s="44">
        <f t="shared" si="63"/>
        <v>0</v>
      </c>
      <c r="D355" s="45"/>
      <c r="E355" s="44">
        <f t="shared" si="64"/>
        <v>24.36</v>
      </c>
      <c r="F355" s="45"/>
      <c r="G355" s="44">
        <f t="shared" si="65"/>
        <v>-24.36</v>
      </c>
      <c r="H355" s="44"/>
      <c r="I355" s="45">
        <v>0</v>
      </c>
      <c r="J355" s="44"/>
      <c r="K355" s="45">
        <f t="shared" si="57"/>
        <v>-1</v>
      </c>
    </row>
    <row r="356" spans="1:11" x14ac:dyDescent="0.85">
      <c r="A356" s="39" t="s">
        <v>244</v>
      </c>
      <c r="B356" s="45"/>
      <c r="C356" s="44">
        <f t="shared" si="63"/>
        <v>9074</v>
      </c>
      <c r="D356" s="45"/>
      <c r="E356" s="44">
        <f t="shared" si="64"/>
        <v>4234.6000000000004</v>
      </c>
      <c r="F356" s="45"/>
      <c r="G356" s="44">
        <f t="shared" si="65"/>
        <v>4839.3999999999996</v>
      </c>
      <c r="H356" s="44"/>
      <c r="I356" s="45">
        <f>I46/I228</f>
        <v>2.1428234071695083</v>
      </c>
      <c r="J356" s="44"/>
      <c r="K356" s="45">
        <f t="shared" si="57"/>
        <v>1.1428234071695083</v>
      </c>
    </row>
    <row r="357" spans="1:11" x14ac:dyDescent="0.85">
      <c r="A357" s="43" t="s">
        <v>231</v>
      </c>
      <c r="B357" s="45"/>
      <c r="C357" s="46">
        <f t="shared" si="63"/>
        <v>583606.71</v>
      </c>
      <c r="D357" s="45"/>
      <c r="E357" s="46">
        <f t="shared" si="64"/>
        <v>492857.19</v>
      </c>
      <c r="F357" s="45"/>
      <c r="G357" s="46">
        <f t="shared" si="65"/>
        <v>90749.51999999996</v>
      </c>
      <c r="H357" s="46"/>
      <c r="I357" s="47">
        <f>I47/I229</f>
        <v>1.1841294432571836</v>
      </c>
      <c r="J357" s="46"/>
      <c r="K357" s="47">
        <f t="shared" si="57"/>
        <v>0.18412944325718361</v>
      </c>
    </row>
    <row r="358" spans="1:11" x14ac:dyDescent="0.85">
      <c r="C358" s="44"/>
      <c r="E358" s="44">
        <f t="shared" si="64"/>
        <v>0</v>
      </c>
      <c r="G358" s="44"/>
      <c r="H358" s="44"/>
      <c r="I358" s="61"/>
      <c r="J358" s="44"/>
      <c r="K358" s="61"/>
    </row>
    <row r="359" spans="1:11" ht="92.25" x14ac:dyDescent="0.85">
      <c r="A359" s="41"/>
      <c r="B359" s="40"/>
      <c r="C359" s="58"/>
      <c r="D359" s="40"/>
      <c r="E359" s="179" t="s">
        <v>543</v>
      </c>
      <c r="F359" s="40"/>
      <c r="G359" s="58"/>
      <c r="H359" s="58"/>
      <c r="I359" s="60"/>
      <c r="J359" s="58"/>
      <c r="K359" s="60"/>
    </row>
    <row r="360" spans="1:11" ht="92.25" x14ac:dyDescent="0.85">
      <c r="A360" s="41"/>
      <c r="B360" s="40"/>
      <c r="C360" s="58"/>
      <c r="D360" s="40"/>
      <c r="E360" s="179" t="s">
        <v>541</v>
      </c>
      <c r="F360" s="40"/>
      <c r="G360" s="58"/>
      <c r="H360" s="58"/>
      <c r="I360" s="60"/>
      <c r="J360" s="58"/>
      <c r="K360" s="60"/>
    </row>
    <row r="361" spans="1:11" ht="92.25" x14ac:dyDescent="1.35">
      <c r="A361" s="41"/>
      <c r="B361" s="40"/>
      <c r="C361" s="58"/>
      <c r="D361" s="40"/>
      <c r="E361" s="180" t="s">
        <v>340</v>
      </c>
      <c r="F361" s="40"/>
      <c r="G361" s="58"/>
      <c r="H361" s="58"/>
      <c r="I361" s="60"/>
      <c r="J361" s="58"/>
      <c r="K361" s="60"/>
    </row>
    <row r="362" spans="1:11" ht="92.25" x14ac:dyDescent="1.35">
      <c r="A362" s="41"/>
      <c r="B362" s="40"/>
      <c r="C362" s="58"/>
      <c r="D362" s="40"/>
      <c r="E362" s="181" t="s">
        <v>542</v>
      </c>
      <c r="F362" s="40"/>
      <c r="G362" s="58"/>
      <c r="H362" s="58"/>
      <c r="I362" s="40" t="str">
        <f>I317</f>
        <v>2019 YTD</v>
      </c>
      <c r="J362" s="58"/>
      <c r="K362" s="60"/>
    </row>
    <row r="363" spans="1:11" x14ac:dyDescent="0.85">
      <c r="B363" s="40"/>
      <c r="C363" s="40"/>
      <c r="D363" s="40"/>
      <c r="E363" s="40"/>
      <c r="F363" s="40"/>
      <c r="G363" s="40" t="str">
        <f>G318</f>
        <v>2019 YTD</v>
      </c>
      <c r="H363" s="40"/>
      <c r="I363" s="60" t="s">
        <v>337</v>
      </c>
      <c r="J363" s="40"/>
      <c r="K363" s="40" t="s">
        <v>336</v>
      </c>
    </row>
    <row r="364" spans="1:11" x14ac:dyDescent="0.85">
      <c r="B364" s="40"/>
      <c r="C364" s="40">
        <f>C319</f>
        <v>2020</v>
      </c>
      <c r="D364" s="40"/>
      <c r="E364" s="40">
        <f>E319</f>
        <v>2019</v>
      </c>
      <c r="F364" s="40"/>
      <c r="G364" s="40" t="str">
        <f>G319</f>
        <v>2020 YTD</v>
      </c>
      <c r="H364" s="40"/>
      <c r="I364" s="40" t="str">
        <f>I319</f>
        <v>2020 YTD</v>
      </c>
      <c r="J364" s="40"/>
      <c r="K364" s="40" t="s">
        <v>338</v>
      </c>
    </row>
    <row r="365" spans="1:11" x14ac:dyDescent="0.85">
      <c r="B365" s="40"/>
      <c r="C365" s="42"/>
      <c r="D365" s="40"/>
      <c r="E365" s="42"/>
      <c r="F365" s="40"/>
      <c r="G365" s="42" t="s">
        <v>334</v>
      </c>
      <c r="H365" s="42"/>
      <c r="I365" s="42" t="s">
        <v>335</v>
      </c>
      <c r="J365" s="42"/>
      <c r="K365" s="42" t="s">
        <v>335</v>
      </c>
    </row>
    <row r="366" spans="1:11" x14ac:dyDescent="0.85">
      <c r="A366" s="43" t="s">
        <v>477</v>
      </c>
      <c r="C366" s="44"/>
      <c r="E366" s="44"/>
      <c r="G366" s="44"/>
      <c r="H366" s="44"/>
      <c r="I366" s="61"/>
      <c r="J366" s="44"/>
      <c r="K366" s="61"/>
    </row>
    <row r="367" spans="1:11" x14ac:dyDescent="0.85">
      <c r="A367" s="39" t="s">
        <v>232</v>
      </c>
      <c r="B367" s="45"/>
      <c r="C367" s="44">
        <f t="shared" ref="C367:C389" si="67">I50</f>
        <v>85200</v>
      </c>
      <c r="D367" s="45"/>
      <c r="E367" s="44">
        <f t="shared" ref="E367:E389" si="68">I237</f>
        <v>85200</v>
      </c>
      <c r="F367" s="45"/>
      <c r="G367" s="44">
        <f t="shared" ref="G367:G389" si="69">I50-I237</f>
        <v>0</v>
      </c>
      <c r="H367" s="44"/>
      <c r="I367" s="45">
        <f t="shared" ref="I367:I389" si="70">I50/I237</f>
        <v>1</v>
      </c>
      <c r="J367" s="44"/>
      <c r="K367" s="45">
        <f t="shared" si="57"/>
        <v>0</v>
      </c>
    </row>
    <row r="368" spans="1:11" x14ac:dyDescent="0.85">
      <c r="A368" s="39" t="s">
        <v>233</v>
      </c>
      <c r="B368" s="45"/>
      <c r="C368" s="44">
        <f t="shared" si="67"/>
        <v>7540.6399999999994</v>
      </c>
      <c r="D368" s="45"/>
      <c r="E368" s="44">
        <f t="shared" si="68"/>
        <v>18259.919999999998</v>
      </c>
      <c r="F368" s="45"/>
      <c r="G368" s="44">
        <f t="shared" si="69"/>
        <v>-10719.279999999999</v>
      </c>
      <c r="H368" s="44"/>
      <c r="I368" s="45">
        <f t="shared" si="70"/>
        <v>0.41296128351055206</v>
      </c>
      <c r="J368" s="44"/>
      <c r="K368" s="45">
        <f t="shared" si="57"/>
        <v>-0.58703871648944794</v>
      </c>
    </row>
    <row r="369" spans="1:11" x14ac:dyDescent="0.85">
      <c r="A369" s="39" t="s">
        <v>234</v>
      </c>
      <c r="B369" s="45"/>
      <c r="C369" s="44">
        <f t="shared" si="67"/>
        <v>16081.4</v>
      </c>
      <c r="D369" s="45"/>
      <c r="E369" s="44">
        <f t="shared" si="68"/>
        <v>12066.41</v>
      </c>
      <c r="F369" s="45"/>
      <c r="G369" s="44">
        <f t="shared" si="69"/>
        <v>4014.99</v>
      </c>
      <c r="H369" s="44"/>
      <c r="I369" s="45">
        <f t="shared" si="70"/>
        <v>1.3327410555417891</v>
      </c>
      <c r="J369" s="44"/>
      <c r="K369" s="45">
        <f t="shared" si="57"/>
        <v>0.33274105554178912</v>
      </c>
    </row>
    <row r="370" spans="1:11" x14ac:dyDescent="0.85">
      <c r="A370" s="39" t="s">
        <v>333</v>
      </c>
      <c r="B370" s="45"/>
      <c r="C370" s="44">
        <f t="shared" si="67"/>
        <v>418.49</v>
      </c>
      <c r="D370" s="45"/>
      <c r="E370" s="44">
        <f t="shared" si="68"/>
        <v>225</v>
      </c>
      <c r="F370" s="45"/>
      <c r="G370" s="44">
        <f t="shared" si="69"/>
        <v>193.49</v>
      </c>
      <c r="H370" s="44"/>
      <c r="I370" s="45">
        <f t="shared" si="70"/>
        <v>1.8599555555555556</v>
      </c>
      <c r="J370" s="44"/>
      <c r="K370" s="45">
        <f t="shared" si="57"/>
        <v>0.85995555555555558</v>
      </c>
    </row>
    <row r="371" spans="1:11" x14ac:dyDescent="0.85">
      <c r="A371" s="39" t="s">
        <v>288</v>
      </c>
      <c r="B371" s="45"/>
      <c r="C371" s="44">
        <f t="shared" si="67"/>
        <v>1611.1100000000001</v>
      </c>
      <c r="D371" s="45"/>
      <c r="E371" s="44">
        <f t="shared" si="68"/>
        <v>1076.3599999999999</v>
      </c>
      <c r="F371" s="45"/>
      <c r="G371" s="44">
        <f t="shared" si="69"/>
        <v>534.75000000000023</v>
      </c>
      <c r="H371" s="44"/>
      <c r="I371" s="45">
        <f t="shared" si="70"/>
        <v>1.4968133338288307</v>
      </c>
      <c r="J371" s="44"/>
      <c r="K371" s="45">
        <f t="shared" si="57"/>
        <v>0.49681333382883075</v>
      </c>
    </row>
    <row r="372" spans="1:11" x14ac:dyDescent="0.85">
      <c r="A372" s="39" t="s">
        <v>437</v>
      </c>
      <c r="B372" s="45"/>
      <c r="C372" s="44">
        <f t="shared" si="67"/>
        <v>4600</v>
      </c>
      <c r="D372" s="45"/>
      <c r="E372" s="44">
        <f t="shared" si="68"/>
        <v>0</v>
      </c>
      <c r="F372" s="45"/>
      <c r="G372" s="44">
        <f t="shared" si="69"/>
        <v>4600</v>
      </c>
      <c r="H372" s="44"/>
      <c r="I372" s="45" t="e">
        <f t="shared" si="70"/>
        <v>#DIV/0!</v>
      </c>
      <c r="J372" s="44"/>
      <c r="K372" s="45" t="e">
        <f t="shared" si="57"/>
        <v>#DIV/0!</v>
      </c>
    </row>
    <row r="373" spans="1:11" x14ac:dyDescent="0.85">
      <c r="A373" s="39" t="s">
        <v>235</v>
      </c>
      <c r="B373" s="45"/>
      <c r="C373" s="44">
        <f t="shared" si="67"/>
        <v>9845.09</v>
      </c>
      <c r="D373" s="45"/>
      <c r="E373" s="44">
        <f t="shared" si="68"/>
        <v>23198.46</v>
      </c>
      <c r="F373" s="45"/>
      <c r="G373" s="44">
        <f t="shared" si="69"/>
        <v>-13353.369999999999</v>
      </c>
      <c r="H373" s="44"/>
      <c r="I373" s="45">
        <f t="shared" si="70"/>
        <v>0.42438549800288472</v>
      </c>
      <c r="J373" s="44"/>
      <c r="K373" s="45">
        <f t="shared" si="57"/>
        <v>-0.57561450199711528</v>
      </c>
    </row>
    <row r="374" spans="1:11" x14ac:dyDescent="0.85">
      <c r="A374" s="39" t="s">
        <v>368</v>
      </c>
      <c r="B374" s="45"/>
      <c r="C374" s="44">
        <f t="shared" si="67"/>
        <v>1728.62</v>
      </c>
      <c r="D374" s="45"/>
      <c r="E374" s="44">
        <f t="shared" si="68"/>
        <v>295</v>
      </c>
      <c r="F374" s="45"/>
      <c r="G374" s="44">
        <f t="shared" si="69"/>
        <v>1433.62</v>
      </c>
      <c r="H374" s="44"/>
      <c r="I374" s="45">
        <f t="shared" si="70"/>
        <v>5.8597288135593217</v>
      </c>
      <c r="J374" s="44"/>
      <c r="K374" s="45">
        <f t="shared" si="57"/>
        <v>4.8597288135593217</v>
      </c>
    </row>
    <row r="375" spans="1:11" x14ac:dyDescent="0.85">
      <c r="A375" s="39" t="s">
        <v>237</v>
      </c>
      <c r="B375" s="45"/>
      <c r="C375" s="44">
        <f t="shared" si="67"/>
        <v>15512.699999999999</v>
      </c>
      <c r="D375" s="45"/>
      <c r="E375" s="44">
        <f t="shared" si="68"/>
        <v>16417.21</v>
      </c>
      <c r="F375" s="45"/>
      <c r="G375" s="44">
        <f t="shared" si="69"/>
        <v>-904.51000000000022</v>
      </c>
      <c r="H375" s="44"/>
      <c r="I375" s="45">
        <f t="shared" si="70"/>
        <v>0.94490476761885844</v>
      </c>
      <c r="J375" s="44"/>
      <c r="K375" s="45">
        <f t="shared" si="57"/>
        <v>-5.5095232381141557E-2</v>
      </c>
    </row>
    <row r="376" spans="1:11" x14ac:dyDescent="0.85">
      <c r="A376" s="39" t="s">
        <v>238</v>
      </c>
      <c r="B376" s="45"/>
      <c r="C376" s="44">
        <f t="shared" si="67"/>
        <v>2840.71</v>
      </c>
      <c r="D376" s="45"/>
      <c r="E376" s="44">
        <f t="shared" si="68"/>
        <v>3278.5</v>
      </c>
      <c r="F376" s="45"/>
      <c r="G376" s="44">
        <f t="shared" si="69"/>
        <v>-437.78999999999996</v>
      </c>
      <c r="H376" s="44"/>
      <c r="I376" s="45">
        <f t="shared" si="70"/>
        <v>0.86646637181637942</v>
      </c>
      <c r="J376" s="44"/>
      <c r="K376" s="45">
        <f t="shared" si="57"/>
        <v>-0.13353362818362058</v>
      </c>
    </row>
    <row r="377" spans="1:11" x14ac:dyDescent="0.85">
      <c r="A377" s="39" t="s">
        <v>236</v>
      </c>
      <c r="B377" s="45"/>
      <c r="C377" s="44">
        <f t="shared" si="67"/>
        <v>31083.929999999997</v>
      </c>
      <c r="D377" s="45"/>
      <c r="E377" s="44">
        <f t="shared" si="68"/>
        <v>33206.5</v>
      </c>
      <c r="F377" s="45"/>
      <c r="G377" s="44">
        <f t="shared" si="69"/>
        <v>-2122.5700000000033</v>
      </c>
      <c r="H377" s="44"/>
      <c r="I377" s="45">
        <f t="shared" si="70"/>
        <v>0.93607968319455515</v>
      </c>
      <c r="J377" s="44"/>
      <c r="K377" s="45">
        <f t="shared" si="57"/>
        <v>-6.3920316805444855E-2</v>
      </c>
    </row>
    <row r="378" spans="1:11" x14ac:dyDescent="0.85">
      <c r="A378" s="39" t="s">
        <v>353</v>
      </c>
      <c r="B378" s="45"/>
      <c r="C378" s="44">
        <f t="shared" si="67"/>
        <v>4672.5</v>
      </c>
      <c r="D378" s="45"/>
      <c r="E378" s="44">
        <f t="shared" si="68"/>
        <v>1583.15</v>
      </c>
      <c r="F378" s="45"/>
      <c r="G378" s="44">
        <f t="shared" si="69"/>
        <v>3089.35</v>
      </c>
      <c r="H378" s="44"/>
      <c r="I378" s="45">
        <f t="shared" si="70"/>
        <v>2.9513943719799132</v>
      </c>
      <c r="J378" s="44"/>
      <c r="K378" s="45">
        <f t="shared" si="57"/>
        <v>1.9513943719799132</v>
      </c>
    </row>
    <row r="379" spans="1:11" x14ac:dyDescent="0.85">
      <c r="A379" s="39" t="s">
        <v>239</v>
      </c>
      <c r="B379" s="45"/>
      <c r="C379" s="44">
        <f t="shared" si="67"/>
        <v>4399</v>
      </c>
      <c r="D379" s="45"/>
      <c r="E379" s="44">
        <f t="shared" si="68"/>
        <v>2944.44</v>
      </c>
      <c r="F379" s="45"/>
      <c r="G379" s="44">
        <f t="shared" si="69"/>
        <v>1454.56</v>
      </c>
      <c r="H379" s="44"/>
      <c r="I379" s="45">
        <f t="shared" si="70"/>
        <v>1.4940022550977434</v>
      </c>
      <c r="J379" s="44"/>
      <c r="K379" s="45">
        <f t="shared" si="57"/>
        <v>0.49400225509774343</v>
      </c>
    </row>
    <row r="380" spans="1:11" x14ac:dyDescent="0.85">
      <c r="A380" s="39" t="s">
        <v>240</v>
      </c>
      <c r="B380" s="45"/>
      <c r="C380" s="44">
        <f t="shared" si="67"/>
        <v>2002.86</v>
      </c>
      <c r="D380" s="45"/>
      <c r="E380" s="44">
        <f t="shared" si="68"/>
        <v>1910.3799999999999</v>
      </c>
      <c r="F380" s="45"/>
      <c r="G380" s="44">
        <f t="shared" si="69"/>
        <v>92.480000000000018</v>
      </c>
      <c r="H380" s="44"/>
      <c r="I380" s="45">
        <f t="shared" si="70"/>
        <v>1.0484092170144159</v>
      </c>
      <c r="J380" s="44"/>
      <c r="K380" s="45">
        <f t="shared" si="57"/>
        <v>4.8409217014415917E-2</v>
      </c>
    </row>
    <row r="381" spans="1:11" x14ac:dyDescent="0.85">
      <c r="A381" s="39" t="s">
        <v>241</v>
      </c>
      <c r="B381" s="45"/>
      <c r="C381" s="44">
        <f t="shared" si="67"/>
        <v>0</v>
      </c>
      <c r="D381" s="45"/>
      <c r="E381" s="44">
        <f t="shared" si="68"/>
        <v>333.33</v>
      </c>
      <c r="F381" s="45"/>
      <c r="G381" s="44">
        <f t="shared" si="69"/>
        <v>-333.33</v>
      </c>
      <c r="H381" s="44"/>
      <c r="I381" s="45">
        <f t="shared" si="70"/>
        <v>0</v>
      </c>
      <c r="J381" s="44"/>
      <c r="K381" s="45">
        <f t="shared" si="57"/>
        <v>-1</v>
      </c>
    </row>
    <row r="382" spans="1:11" x14ac:dyDescent="0.85">
      <c r="A382" s="39" t="s">
        <v>242</v>
      </c>
      <c r="B382" s="45"/>
      <c r="C382" s="44">
        <f t="shared" si="67"/>
        <v>152247.15000000002</v>
      </c>
      <c r="D382" s="45"/>
      <c r="E382" s="44">
        <f t="shared" si="68"/>
        <v>154451.15</v>
      </c>
      <c r="F382" s="45"/>
      <c r="G382" s="44">
        <f t="shared" si="69"/>
        <v>-2203.9999999999709</v>
      </c>
      <c r="H382" s="44"/>
      <c r="I382" s="45">
        <f t="shared" si="70"/>
        <v>0.98573011596223159</v>
      </c>
      <c r="J382" s="44"/>
      <c r="K382" s="45">
        <f t="shared" si="57"/>
        <v>-1.426988403776841E-2</v>
      </c>
    </row>
    <row r="383" spans="1:11" x14ac:dyDescent="0.85">
      <c r="A383" s="39" t="s">
        <v>252</v>
      </c>
      <c r="B383" s="45"/>
      <c r="C383" s="44">
        <f t="shared" si="67"/>
        <v>0</v>
      </c>
      <c r="D383" s="45"/>
      <c r="E383" s="44">
        <f t="shared" si="68"/>
        <v>1436.24</v>
      </c>
      <c r="F383" s="45"/>
      <c r="G383" s="44">
        <f t="shared" si="69"/>
        <v>-1436.24</v>
      </c>
      <c r="H383" s="44"/>
      <c r="I383" s="45">
        <f t="shared" si="70"/>
        <v>0</v>
      </c>
      <c r="J383" s="44"/>
      <c r="K383" s="45">
        <f t="shared" si="57"/>
        <v>-1</v>
      </c>
    </row>
    <row r="384" spans="1:11" x14ac:dyDescent="0.85">
      <c r="A384" s="39" t="s">
        <v>350</v>
      </c>
      <c r="B384" s="45"/>
      <c r="C384" s="44">
        <f t="shared" si="67"/>
        <v>330</v>
      </c>
      <c r="D384" s="45"/>
      <c r="E384" s="44">
        <f t="shared" si="68"/>
        <v>1483.95</v>
      </c>
      <c r="F384" s="45"/>
      <c r="G384" s="44">
        <f t="shared" si="69"/>
        <v>-1153.95</v>
      </c>
      <c r="H384" s="44"/>
      <c r="I384" s="45">
        <f t="shared" si="70"/>
        <v>0.22237946022440108</v>
      </c>
      <c r="J384" s="44"/>
      <c r="K384" s="45">
        <f t="shared" si="57"/>
        <v>-0.77762053977559886</v>
      </c>
    </row>
    <row r="385" spans="1:11" x14ac:dyDescent="0.85">
      <c r="A385" s="39" t="s">
        <v>245</v>
      </c>
      <c r="B385" s="45"/>
      <c r="C385" s="44">
        <f t="shared" si="67"/>
        <v>3169.82</v>
      </c>
      <c r="D385" s="45"/>
      <c r="E385" s="44">
        <f t="shared" si="68"/>
        <v>3228.33</v>
      </c>
      <c r="F385" s="45"/>
      <c r="G385" s="44">
        <f t="shared" si="69"/>
        <v>-58.509999999999764</v>
      </c>
      <c r="H385" s="44"/>
      <c r="I385" s="45">
        <f t="shared" si="70"/>
        <v>0.98187607834391166</v>
      </c>
      <c r="J385" s="44"/>
      <c r="K385" s="45">
        <f t="shared" si="57"/>
        <v>-1.8123921656088338E-2</v>
      </c>
    </row>
    <row r="386" spans="1:11" x14ac:dyDescent="0.85">
      <c r="A386" s="39" t="s">
        <v>246</v>
      </c>
      <c r="B386" s="45"/>
      <c r="C386" s="44">
        <f t="shared" si="67"/>
        <v>19262.07</v>
      </c>
      <c r="D386" s="45"/>
      <c r="E386" s="44">
        <f t="shared" si="68"/>
        <v>18574.52</v>
      </c>
      <c r="F386" s="45"/>
      <c r="G386" s="44">
        <f t="shared" si="69"/>
        <v>687.54999999999927</v>
      </c>
      <c r="H386" s="44"/>
      <c r="I386" s="45">
        <f t="shared" si="70"/>
        <v>1.0370157613763371</v>
      </c>
      <c r="J386" s="44"/>
      <c r="K386" s="45">
        <f t="shared" si="57"/>
        <v>3.7015761376337109E-2</v>
      </c>
    </row>
    <row r="387" spans="1:11" x14ac:dyDescent="0.85">
      <c r="A387" s="39" t="s">
        <v>362</v>
      </c>
      <c r="B387" s="45"/>
      <c r="C387" s="44">
        <f t="shared" si="67"/>
        <v>850.77</v>
      </c>
      <c r="D387" s="45"/>
      <c r="E387" s="44">
        <f t="shared" si="68"/>
        <v>161.51</v>
      </c>
      <c r="F387" s="45"/>
      <c r="G387" s="44">
        <f t="shared" si="69"/>
        <v>689.26</v>
      </c>
      <c r="H387" s="44"/>
      <c r="I387" s="45">
        <f t="shared" si="70"/>
        <v>5.2675995294409015</v>
      </c>
      <c r="J387" s="44"/>
      <c r="K387" s="45">
        <f t="shared" si="57"/>
        <v>4.2675995294409015</v>
      </c>
    </row>
    <row r="388" spans="1:11" x14ac:dyDescent="0.85">
      <c r="A388" s="39" t="s">
        <v>363</v>
      </c>
      <c r="B388" s="45"/>
      <c r="C388" s="44">
        <f t="shared" si="67"/>
        <v>3823.2999999999997</v>
      </c>
      <c r="D388" s="45"/>
      <c r="E388" s="44">
        <f t="shared" si="68"/>
        <v>5530.8399999999992</v>
      </c>
      <c r="F388" s="45"/>
      <c r="G388" s="44">
        <f t="shared" si="69"/>
        <v>-1707.5399999999995</v>
      </c>
      <c r="H388" s="44"/>
      <c r="I388" s="45">
        <f t="shared" si="70"/>
        <v>0.69126931894612753</v>
      </c>
      <c r="J388" s="44"/>
      <c r="K388" s="64">
        <f t="shared" si="57"/>
        <v>-0.30873068105387247</v>
      </c>
    </row>
    <row r="389" spans="1:11" x14ac:dyDescent="0.85">
      <c r="A389" s="43" t="s">
        <v>247</v>
      </c>
      <c r="B389" s="45"/>
      <c r="C389" s="46">
        <f t="shared" si="67"/>
        <v>367220.16000000003</v>
      </c>
      <c r="D389" s="45"/>
      <c r="E389" s="46">
        <f t="shared" si="68"/>
        <v>384861.19999999995</v>
      </c>
      <c r="F389" s="45"/>
      <c r="G389" s="46">
        <f t="shared" si="69"/>
        <v>-17641.039999999921</v>
      </c>
      <c r="H389" s="46"/>
      <c r="I389" s="47">
        <f t="shared" si="70"/>
        <v>0.95416259160445394</v>
      </c>
      <c r="J389" s="46"/>
      <c r="K389" s="47">
        <f t="shared" si="57"/>
        <v>-4.5837408395546064E-2</v>
      </c>
    </row>
    <row r="390" spans="1:11" x14ac:dyDescent="0.85">
      <c r="C390" s="44"/>
      <c r="E390" s="44"/>
      <c r="G390" s="44"/>
      <c r="H390" s="44"/>
      <c r="I390" s="45"/>
      <c r="J390" s="44"/>
      <c r="K390" s="45"/>
    </row>
    <row r="391" spans="1:11" x14ac:dyDescent="0.85">
      <c r="A391" s="43" t="s">
        <v>248</v>
      </c>
      <c r="C391" s="44"/>
      <c r="E391" s="44"/>
      <c r="G391" s="44"/>
      <c r="H391" s="44"/>
      <c r="I391" s="45"/>
      <c r="J391" s="44"/>
      <c r="K391" s="45"/>
    </row>
    <row r="392" spans="1:11" x14ac:dyDescent="0.85">
      <c r="A392" s="39" t="s">
        <v>249</v>
      </c>
      <c r="B392" s="45"/>
      <c r="C392" s="44">
        <f t="shared" ref="C392:C412" si="71">I81</f>
        <v>2543.02</v>
      </c>
      <c r="D392" s="45"/>
      <c r="E392" s="44">
        <f>I262</f>
        <v>1609.1499999999999</v>
      </c>
      <c r="F392" s="45"/>
      <c r="G392" s="44">
        <f>I81-I262</f>
        <v>933.87000000000012</v>
      </c>
      <c r="H392" s="44"/>
      <c r="I392" s="45">
        <f>I81/I262</f>
        <v>1.5803498741571638</v>
      </c>
      <c r="J392" s="44"/>
      <c r="K392" s="45">
        <f t="shared" si="57"/>
        <v>0.58034987415716377</v>
      </c>
    </row>
    <row r="393" spans="1:11" x14ac:dyDescent="0.85">
      <c r="A393" s="39" t="s">
        <v>385</v>
      </c>
      <c r="B393" s="45"/>
      <c r="C393" s="44">
        <f t="shared" si="71"/>
        <v>125</v>
      </c>
      <c r="D393" s="45"/>
      <c r="E393" s="44">
        <f>I263</f>
        <v>0</v>
      </c>
      <c r="F393" s="45"/>
      <c r="G393" s="44">
        <f>I82-I263</f>
        <v>125</v>
      </c>
      <c r="H393" s="44"/>
      <c r="I393" s="45" t="e">
        <f>I82/I263</f>
        <v>#DIV/0!</v>
      </c>
      <c r="J393" s="44"/>
      <c r="K393" s="45" t="e">
        <f>I393-1</f>
        <v>#DIV/0!</v>
      </c>
    </row>
    <row r="394" spans="1:11" x14ac:dyDescent="0.85">
      <c r="A394" s="39" t="s">
        <v>533</v>
      </c>
      <c r="B394" s="45"/>
      <c r="C394" s="44">
        <f t="shared" si="71"/>
        <v>0</v>
      </c>
      <c r="D394" s="45"/>
      <c r="E394" s="44">
        <f>I264</f>
        <v>0</v>
      </c>
      <c r="F394" s="45"/>
      <c r="G394" s="44">
        <f>I83</f>
        <v>0</v>
      </c>
      <c r="H394" s="44"/>
      <c r="I394" s="45">
        <v>0</v>
      </c>
      <c r="J394" s="44"/>
      <c r="K394" s="45">
        <f>I394-1</f>
        <v>-1</v>
      </c>
    </row>
    <row r="395" spans="1:11" x14ac:dyDescent="0.85">
      <c r="A395" s="39" t="s">
        <v>250</v>
      </c>
      <c r="B395" s="45"/>
      <c r="C395" s="44">
        <f t="shared" si="71"/>
        <v>6942.0099999999993</v>
      </c>
      <c r="D395" s="45"/>
      <c r="E395" s="44">
        <f t="shared" ref="E395:E397" si="72">I265</f>
        <v>5994.69</v>
      </c>
      <c r="F395" s="45"/>
      <c r="G395" s="44">
        <f t="shared" ref="G395:G412" si="73">I84-I265</f>
        <v>947.31999999999971</v>
      </c>
      <c r="H395" s="44"/>
      <c r="I395" s="45">
        <f t="shared" ref="I395:I412" si="74">I84/I265</f>
        <v>1.1580265201369879</v>
      </c>
      <c r="J395" s="44"/>
      <c r="K395" s="45">
        <f t="shared" si="57"/>
        <v>0.15802652013698792</v>
      </c>
    </row>
    <row r="396" spans="1:11" x14ac:dyDescent="0.85">
      <c r="A396" s="39" t="s">
        <v>357</v>
      </c>
      <c r="B396" s="45"/>
      <c r="C396" s="44">
        <f t="shared" si="71"/>
        <v>995.74</v>
      </c>
      <c r="D396" s="45"/>
      <c r="E396" s="44">
        <f t="shared" si="72"/>
        <v>595.66</v>
      </c>
      <c r="F396" s="45"/>
      <c r="G396" s="44">
        <f t="shared" si="73"/>
        <v>400.08000000000004</v>
      </c>
      <c r="H396" s="44"/>
      <c r="I396" s="45">
        <f t="shared" si="74"/>
        <v>1.671658328576705</v>
      </c>
      <c r="J396" s="44"/>
      <c r="K396" s="45">
        <f t="shared" si="57"/>
        <v>0.67165832857670504</v>
      </c>
    </row>
    <row r="397" spans="1:11" x14ac:dyDescent="0.85">
      <c r="A397" s="39" t="s">
        <v>251</v>
      </c>
      <c r="B397" s="45"/>
      <c r="C397" s="44">
        <f t="shared" si="71"/>
        <v>1523.83</v>
      </c>
      <c r="D397" s="45"/>
      <c r="E397" s="44">
        <f t="shared" si="72"/>
        <v>5348.24</v>
      </c>
      <c r="F397" s="45"/>
      <c r="G397" s="44">
        <f t="shared" si="73"/>
        <v>-3824.41</v>
      </c>
      <c r="H397" s="44"/>
      <c r="I397" s="45">
        <f t="shared" si="74"/>
        <v>0.28492176865660479</v>
      </c>
      <c r="J397" s="44"/>
      <c r="K397" s="45">
        <f t="shared" si="57"/>
        <v>-0.71507823134339521</v>
      </c>
    </row>
    <row r="398" spans="1:11" x14ac:dyDescent="0.85">
      <c r="A398" s="39" t="s">
        <v>354</v>
      </c>
      <c r="B398" s="45"/>
      <c r="C398" s="44">
        <f t="shared" si="71"/>
        <v>24301.660000000003</v>
      </c>
      <c r="D398" s="45"/>
      <c r="E398" s="44">
        <f t="shared" ref="E398:E414" si="75">I268</f>
        <v>24095.42</v>
      </c>
      <c r="F398" s="45"/>
      <c r="G398" s="44">
        <f t="shared" si="73"/>
        <v>206.24000000000524</v>
      </c>
      <c r="H398" s="44"/>
      <c r="I398" s="45">
        <f t="shared" si="74"/>
        <v>1.0085593029712703</v>
      </c>
      <c r="J398" s="44"/>
      <c r="K398" s="45">
        <f t="shared" si="57"/>
        <v>8.5593029712702773E-3</v>
      </c>
    </row>
    <row r="399" spans="1:11" x14ac:dyDescent="0.85">
      <c r="A399" s="39" t="s">
        <v>355</v>
      </c>
      <c r="B399" s="45"/>
      <c r="C399" s="44">
        <f t="shared" si="71"/>
        <v>15000</v>
      </c>
      <c r="D399" s="45"/>
      <c r="E399" s="44">
        <f t="shared" si="75"/>
        <v>15000</v>
      </c>
      <c r="F399" s="45"/>
      <c r="G399" s="44">
        <f t="shared" si="73"/>
        <v>0</v>
      </c>
      <c r="H399" s="44"/>
      <c r="I399" s="45">
        <f t="shared" si="74"/>
        <v>1</v>
      </c>
      <c r="J399" s="44"/>
      <c r="K399" s="45">
        <f t="shared" si="57"/>
        <v>0</v>
      </c>
    </row>
    <row r="400" spans="1:11" x14ac:dyDescent="0.85">
      <c r="A400" s="39" t="s">
        <v>356</v>
      </c>
      <c r="B400" s="45"/>
      <c r="C400" s="44">
        <f t="shared" si="71"/>
        <v>7732.48</v>
      </c>
      <c r="D400" s="45"/>
      <c r="E400" s="44">
        <f t="shared" si="75"/>
        <v>9734.61</v>
      </c>
      <c r="F400" s="45"/>
      <c r="G400" s="44">
        <f t="shared" si="73"/>
        <v>-2002.130000000001</v>
      </c>
      <c r="H400" s="44"/>
      <c r="I400" s="45">
        <f t="shared" si="74"/>
        <v>0.79432868907948029</v>
      </c>
      <c r="J400" s="44"/>
      <c r="K400" s="45">
        <f t="shared" si="57"/>
        <v>-0.20567131092051971</v>
      </c>
    </row>
    <row r="401" spans="1:11" x14ac:dyDescent="0.85">
      <c r="A401" s="39" t="s">
        <v>394</v>
      </c>
      <c r="B401" s="45"/>
      <c r="C401" s="44">
        <f t="shared" si="71"/>
        <v>0</v>
      </c>
      <c r="D401" s="45"/>
      <c r="E401" s="44">
        <f t="shared" si="75"/>
        <v>0</v>
      </c>
      <c r="F401" s="45"/>
      <c r="G401" s="44">
        <f t="shared" si="73"/>
        <v>0</v>
      </c>
      <c r="H401" s="44"/>
      <c r="I401" s="45" t="e">
        <f t="shared" si="74"/>
        <v>#DIV/0!</v>
      </c>
      <c r="J401" s="44"/>
      <c r="K401" s="45" t="e">
        <f t="shared" si="57"/>
        <v>#DIV/0!</v>
      </c>
    </row>
    <row r="402" spans="1:11" x14ac:dyDescent="0.85">
      <c r="A402" s="39" t="s">
        <v>383</v>
      </c>
      <c r="B402" s="45"/>
      <c r="C402" s="44">
        <f t="shared" si="71"/>
        <v>791.67</v>
      </c>
      <c r="D402" s="45"/>
      <c r="E402" s="44">
        <f t="shared" si="75"/>
        <v>666.67</v>
      </c>
      <c r="F402" s="45"/>
      <c r="G402" s="44">
        <f t="shared" si="73"/>
        <v>125</v>
      </c>
      <c r="H402" s="44"/>
      <c r="I402" s="45">
        <f t="shared" si="74"/>
        <v>1.1874990625046875</v>
      </c>
      <c r="J402" s="44"/>
      <c r="K402" s="45">
        <f t="shared" si="57"/>
        <v>0.18749906250468751</v>
      </c>
    </row>
    <row r="403" spans="1:11" x14ac:dyDescent="0.85">
      <c r="A403" s="39" t="s">
        <v>253</v>
      </c>
      <c r="B403" s="45"/>
      <c r="C403" s="44">
        <f t="shared" si="71"/>
        <v>4244.96</v>
      </c>
      <c r="D403" s="45"/>
      <c r="E403" s="44">
        <f t="shared" si="75"/>
        <v>2715.76</v>
      </c>
      <c r="F403" s="45"/>
      <c r="G403" s="44">
        <f t="shared" si="73"/>
        <v>1529.1999999999998</v>
      </c>
      <c r="H403" s="44"/>
      <c r="I403" s="45">
        <f t="shared" si="74"/>
        <v>1.5630836303649807</v>
      </c>
      <c r="J403" s="44"/>
      <c r="K403" s="45">
        <f t="shared" si="57"/>
        <v>0.56308363036498066</v>
      </c>
    </row>
    <row r="404" spans="1:11" x14ac:dyDescent="0.85">
      <c r="A404" s="39" t="s">
        <v>254</v>
      </c>
      <c r="B404" s="45"/>
      <c r="C404" s="44">
        <f t="shared" si="71"/>
        <v>1420</v>
      </c>
      <c r="D404" s="45"/>
      <c r="E404" s="44">
        <f t="shared" si="75"/>
        <v>3900.04</v>
      </c>
      <c r="F404" s="45"/>
      <c r="G404" s="44">
        <f t="shared" si="73"/>
        <v>-2480.04</v>
      </c>
      <c r="H404" s="44"/>
      <c r="I404" s="45">
        <f t="shared" si="74"/>
        <v>0.36409882975559227</v>
      </c>
      <c r="J404" s="44"/>
      <c r="K404" s="45">
        <f t="shared" si="57"/>
        <v>-0.63590117024440773</v>
      </c>
    </row>
    <row r="405" spans="1:11" x14ac:dyDescent="0.85">
      <c r="A405" s="39" t="s">
        <v>255</v>
      </c>
      <c r="B405" s="45"/>
      <c r="C405" s="44">
        <f t="shared" si="71"/>
        <v>671.94</v>
      </c>
      <c r="D405" s="45"/>
      <c r="E405" s="44">
        <f t="shared" si="75"/>
        <v>2523.83</v>
      </c>
      <c r="F405" s="45"/>
      <c r="G405" s="44">
        <f t="shared" si="73"/>
        <v>-1851.8899999999999</v>
      </c>
      <c r="H405" s="44"/>
      <c r="I405" s="45">
        <f t="shared" si="74"/>
        <v>0.26623821731257657</v>
      </c>
      <c r="J405" s="44"/>
      <c r="K405" s="45">
        <f t="shared" si="57"/>
        <v>-0.73376178268742343</v>
      </c>
    </row>
    <row r="406" spans="1:11" x14ac:dyDescent="0.85">
      <c r="A406" s="39" t="s">
        <v>292</v>
      </c>
      <c r="B406" s="45"/>
      <c r="C406" s="44">
        <f t="shared" si="71"/>
        <v>0</v>
      </c>
      <c r="D406" s="45"/>
      <c r="E406" s="44">
        <f t="shared" si="75"/>
        <v>300</v>
      </c>
      <c r="F406" s="45"/>
      <c r="G406" s="44">
        <f t="shared" si="73"/>
        <v>-300</v>
      </c>
      <c r="H406" s="44"/>
      <c r="I406" s="45">
        <f t="shared" si="74"/>
        <v>0</v>
      </c>
      <c r="J406" s="44"/>
      <c r="K406" s="64">
        <v>0</v>
      </c>
    </row>
    <row r="407" spans="1:11" x14ac:dyDescent="0.85">
      <c r="A407" s="39" t="s">
        <v>369</v>
      </c>
      <c r="B407" s="45"/>
      <c r="C407" s="44">
        <f t="shared" si="71"/>
        <v>425.46999999999997</v>
      </c>
      <c r="D407" s="45"/>
      <c r="E407" s="44">
        <f t="shared" si="75"/>
        <v>0</v>
      </c>
      <c r="F407" s="45"/>
      <c r="G407" s="44">
        <f t="shared" si="73"/>
        <v>425.46999999999997</v>
      </c>
      <c r="H407" s="44"/>
      <c r="I407" s="45" t="e">
        <f t="shared" si="74"/>
        <v>#DIV/0!</v>
      </c>
      <c r="J407" s="44"/>
      <c r="K407" s="64">
        <v>0</v>
      </c>
    </row>
    <row r="408" spans="1:11" x14ac:dyDescent="0.85">
      <c r="A408" s="39" t="s">
        <v>256</v>
      </c>
      <c r="B408" s="45"/>
      <c r="C408" s="44">
        <f t="shared" si="71"/>
        <v>2439.17</v>
      </c>
      <c r="D408" s="45"/>
      <c r="E408" s="44">
        <f t="shared" si="75"/>
        <v>1332.63</v>
      </c>
      <c r="F408" s="45"/>
      <c r="G408" s="44">
        <f t="shared" si="73"/>
        <v>1106.54</v>
      </c>
      <c r="H408" s="44"/>
      <c r="I408" s="45">
        <f t="shared" si="74"/>
        <v>1.8303430059356309</v>
      </c>
      <c r="J408" s="44"/>
      <c r="K408" s="45">
        <f>I408-1</f>
        <v>0.83034300593563093</v>
      </c>
    </row>
    <row r="409" spans="1:11" x14ac:dyDescent="0.85">
      <c r="A409" s="39" t="s">
        <v>257</v>
      </c>
      <c r="B409" s="45"/>
      <c r="C409" s="44">
        <f t="shared" si="71"/>
        <v>2122.75</v>
      </c>
      <c r="D409" s="45"/>
      <c r="E409" s="44">
        <f t="shared" si="75"/>
        <v>1733.06</v>
      </c>
      <c r="F409" s="45"/>
      <c r="G409" s="44">
        <f t="shared" si="73"/>
        <v>389.69000000000005</v>
      </c>
      <c r="H409" s="44"/>
      <c r="I409" s="45">
        <f t="shared" si="74"/>
        <v>1.2248566120042006</v>
      </c>
      <c r="J409" s="44"/>
      <c r="K409" s="64">
        <v>0</v>
      </c>
    </row>
    <row r="410" spans="1:11" x14ac:dyDescent="0.85">
      <c r="A410" s="39" t="s">
        <v>258</v>
      </c>
      <c r="B410" s="45"/>
      <c r="C410" s="44">
        <f t="shared" si="71"/>
        <v>735.52</v>
      </c>
      <c r="D410" s="45"/>
      <c r="E410" s="44">
        <f t="shared" si="75"/>
        <v>0</v>
      </c>
      <c r="F410" s="45"/>
      <c r="G410" s="44">
        <f t="shared" si="73"/>
        <v>735.52</v>
      </c>
      <c r="H410" s="44"/>
      <c r="I410" s="45" t="e">
        <f t="shared" si="74"/>
        <v>#DIV/0!</v>
      </c>
      <c r="J410" s="44"/>
      <c r="K410" s="45" t="e">
        <f>I410-1</f>
        <v>#DIV/0!</v>
      </c>
    </row>
    <row r="411" spans="1:11" x14ac:dyDescent="0.85">
      <c r="A411" s="39" t="s">
        <v>259</v>
      </c>
      <c r="B411" s="45"/>
      <c r="C411" s="44">
        <f t="shared" si="71"/>
        <v>622.42999999999995</v>
      </c>
      <c r="D411" s="45"/>
      <c r="E411" s="44">
        <f t="shared" si="75"/>
        <v>704.93</v>
      </c>
      <c r="F411" s="45"/>
      <c r="G411" s="44">
        <f t="shared" si="73"/>
        <v>-82.5</v>
      </c>
      <c r="H411" s="44"/>
      <c r="I411" s="45">
        <f t="shared" si="74"/>
        <v>0.88296710311662152</v>
      </c>
      <c r="J411" s="44"/>
      <c r="K411" s="64">
        <v>0</v>
      </c>
    </row>
    <row r="412" spans="1:11" x14ac:dyDescent="0.85">
      <c r="A412" s="43" t="s">
        <v>261</v>
      </c>
      <c r="B412" s="45"/>
      <c r="C412" s="46">
        <f t="shared" si="71"/>
        <v>72637.649999999994</v>
      </c>
      <c r="D412" s="45"/>
      <c r="E412" s="46">
        <f>I282</f>
        <v>76254.689999999988</v>
      </c>
      <c r="F412" s="45"/>
      <c r="G412" s="46">
        <f t="shared" si="73"/>
        <v>-3617.0399999999936</v>
      </c>
      <c r="H412" s="46"/>
      <c r="I412" s="65">
        <f t="shared" si="74"/>
        <v>0.95256632739573144</v>
      </c>
      <c r="J412" s="46"/>
      <c r="K412" s="47">
        <f>I412-1</f>
        <v>-4.7433672604268562E-2</v>
      </c>
    </row>
    <row r="413" spans="1:11" x14ac:dyDescent="0.85">
      <c r="C413" s="44"/>
      <c r="E413" s="44">
        <f t="shared" si="75"/>
        <v>0</v>
      </c>
      <c r="G413" s="44"/>
      <c r="H413" s="44"/>
      <c r="I413" s="61"/>
      <c r="J413" s="44"/>
      <c r="K413" s="45"/>
    </row>
    <row r="414" spans="1:11" ht="58.5" thickBot="1" x14ac:dyDescent="0.9">
      <c r="A414" s="43" t="s">
        <v>262</v>
      </c>
      <c r="C414" s="48">
        <f>I103</f>
        <v>1023464.5199999999</v>
      </c>
      <c r="E414" s="48">
        <f t="shared" si="75"/>
        <v>953973.08</v>
      </c>
      <c r="G414" s="48">
        <f>I103-I284</f>
        <v>69491.439999999944</v>
      </c>
      <c r="H414" s="48"/>
      <c r="I414" s="66">
        <f>I103/I284</f>
        <v>1.0728442358142851</v>
      </c>
      <c r="J414" s="48"/>
      <c r="K414" s="62">
        <v>0</v>
      </c>
    </row>
    <row r="415" spans="1:11" ht="92.25" x14ac:dyDescent="0.85">
      <c r="A415" s="43"/>
      <c r="C415" s="44"/>
      <c r="E415" s="179" t="s">
        <v>543</v>
      </c>
      <c r="G415" s="44"/>
      <c r="H415" s="44"/>
      <c r="I415" s="61"/>
      <c r="J415" s="44"/>
      <c r="K415" s="45"/>
    </row>
    <row r="416" spans="1:11" ht="92.25" x14ac:dyDescent="0.85">
      <c r="A416" s="43"/>
      <c r="C416" s="44"/>
      <c r="E416" s="179" t="s">
        <v>541</v>
      </c>
      <c r="G416" s="44"/>
      <c r="H416" s="44"/>
      <c r="I416" s="61"/>
      <c r="J416" s="44"/>
      <c r="K416" s="45"/>
    </row>
    <row r="417" spans="1:11" ht="92.25" x14ac:dyDescent="1.35">
      <c r="A417" s="43"/>
      <c r="C417" s="44"/>
      <c r="E417" s="180" t="s">
        <v>340</v>
      </c>
      <c r="G417" s="44"/>
      <c r="H417" s="44"/>
      <c r="I417" s="61"/>
      <c r="J417" s="44"/>
      <c r="K417" s="45"/>
    </row>
    <row r="418" spans="1:11" ht="92.25" x14ac:dyDescent="1.35">
      <c r="A418" s="41"/>
      <c r="B418" s="40"/>
      <c r="C418" s="58"/>
      <c r="D418" s="40"/>
      <c r="E418" s="181" t="s">
        <v>542</v>
      </c>
      <c r="F418" s="40"/>
      <c r="G418" s="58"/>
      <c r="H418" s="58"/>
      <c r="I418" s="61"/>
      <c r="J418" s="58"/>
      <c r="K418" s="61"/>
    </row>
    <row r="419" spans="1:11" x14ac:dyDescent="0.85">
      <c r="B419" s="40"/>
      <c r="C419" s="40"/>
      <c r="D419" s="40"/>
      <c r="E419" s="40"/>
      <c r="F419" s="40"/>
      <c r="G419" s="40" t="s">
        <v>536</v>
      </c>
      <c r="H419" s="58"/>
      <c r="I419" s="60"/>
      <c r="J419" s="60"/>
      <c r="K419" s="60"/>
    </row>
    <row r="420" spans="1:11" x14ac:dyDescent="0.85">
      <c r="B420" s="40"/>
      <c r="C420" s="40">
        <f>C364</f>
        <v>2020</v>
      </c>
      <c r="D420" s="40"/>
      <c r="E420" s="40">
        <f>E364</f>
        <v>2019</v>
      </c>
      <c r="F420" s="40"/>
      <c r="G420" s="40" t="s">
        <v>613</v>
      </c>
      <c r="H420" s="44"/>
      <c r="I420" s="60"/>
      <c r="J420" s="60"/>
      <c r="K420" s="60"/>
    </row>
    <row r="421" spans="1:11" x14ac:dyDescent="0.85">
      <c r="B421" s="40"/>
      <c r="C421" s="42"/>
      <c r="D421" s="40"/>
      <c r="E421" s="42"/>
      <c r="F421" s="40"/>
      <c r="G421" s="42" t="s">
        <v>334</v>
      </c>
      <c r="H421" s="44"/>
      <c r="I421" s="60"/>
      <c r="J421" s="60"/>
      <c r="K421" s="60"/>
    </row>
    <row r="422" spans="1:11" x14ac:dyDescent="0.85">
      <c r="C422" s="58"/>
      <c r="E422" s="58"/>
      <c r="G422" s="58"/>
      <c r="H422" s="44"/>
      <c r="I422" s="60"/>
      <c r="J422" s="60"/>
      <c r="K422" s="60"/>
    </row>
    <row r="423" spans="1:11" x14ac:dyDescent="0.85">
      <c r="A423" s="43" t="s">
        <v>454</v>
      </c>
      <c r="C423" s="58"/>
      <c r="E423" s="58"/>
      <c r="G423" s="58"/>
      <c r="H423" s="44"/>
      <c r="I423" s="60"/>
      <c r="J423" s="60"/>
      <c r="K423" s="60"/>
    </row>
    <row r="424" spans="1:11" x14ac:dyDescent="0.85">
      <c r="A424" s="39" t="s">
        <v>265</v>
      </c>
      <c r="B424" s="45"/>
      <c r="C424" s="44">
        <f t="shared" ref="C424:C430" si="76">I106</f>
        <v>85200</v>
      </c>
      <c r="D424" s="45"/>
      <c r="E424" s="44">
        <f t="shared" ref="E424:E435" si="77">I293</f>
        <v>86200</v>
      </c>
      <c r="F424" s="45"/>
      <c r="G424" s="44">
        <f t="shared" ref="G424:G430" si="78">I106-I293</f>
        <v>-1000</v>
      </c>
      <c r="H424" s="44"/>
      <c r="I424" s="60"/>
      <c r="J424" s="60"/>
      <c r="K424" s="60"/>
    </row>
    <row r="425" spans="1:11" x14ac:dyDescent="0.85">
      <c r="A425" s="39" t="s">
        <v>266</v>
      </c>
      <c r="B425" s="45"/>
      <c r="C425" s="44">
        <f t="shared" si="76"/>
        <v>0</v>
      </c>
      <c r="D425" s="45"/>
      <c r="E425" s="44">
        <f t="shared" si="77"/>
        <v>0</v>
      </c>
      <c r="F425" s="45"/>
      <c r="G425" s="44">
        <f t="shared" si="78"/>
        <v>0</v>
      </c>
      <c r="H425" s="44"/>
      <c r="I425" s="60"/>
      <c r="J425" s="60"/>
      <c r="K425" s="60"/>
    </row>
    <row r="426" spans="1:11" x14ac:dyDescent="0.85">
      <c r="A426" s="39" t="s">
        <v>324</v>
      </c>
      <c r="B426" s="45"/>
      <c r="C426" s="44">
        <f t="shared" si="76"/>
        <v>0</v>
      </c>
      <c r="D426" s="45"/>
      <c r="E426" s="44">
        <f t="shared" si="77"/>
        <v>0</v>
      </c>
      <c r="F426" s="45"/>
      <c r="G426" s="44">
        <f t="shared" si="78"/>
        <v>0</v>
      </c>
      <c r="H426" s="44"/>
      <c r="I426" s="60"/>
      <c r="J426" s="60"/>
      <c r="K426" s="60"/>
    </row>
    <row r="427" spans="1:11" x14ac:dyDescent="0.85">
      <c r="A427" s="39" t="s">
        <v>380</v>
      </c>
      <c r="B427" s="45"/>
      <c r="C427" s="44">
        <f t="shared" si="76"/>
        <v>0</v>
      </c>
      <c r="D427" s="45"/>
      <c r="E427" s="44">
        <f t="shared" si="77"/>
        <v>0</v>
      </c>
      <c r="F427" s="45"/>
      <c r="G427" s="44">
        <f t="shared" si="78"/>
        <v>0</v>
      </c>
      <c r="H427" s="44"/>
      <c r="I427" s="60"/>
      <c r="J427" s="60"/>
      <c r="K427" s="60"/>
    </row>
    <row r="428" spans="1:11" x14ac:dyDescent="0.85">
      <c r="A428" s="39" t="s">
        <v>267</v>
      </c>
      <c r="B428" s="45"/>
      <c r="C428" s="44">
        <f t="shared" si="76"/>
        <v>10492.44</v>
      </c>
      <c r="D428" s="45"/>
      <c r="E428" s="44">
        <f t="shared" si="77"/>
        <v>9554.85</v>
      </c>
      <c r="F428" s="45"/>
      <c r="G428" s="44">
        <f t="shared" si="78"/>
        <v>937.59000000000015</v>
      </c>
      <c r="H428" s="44"/>
      <c r="I428" s="60"/>
      <c r="J428" s="60"/>
      <c r="K428" s="60"/>
    </row>
    <row r="429" spans="1:11" x14ac:dyDescent="0.85">
      <c r="A429" s="39" t="s">
        <v>268</v>
      </c>
      <c r="B429" s="45"/>
      <c r="C429" s="44">
        <f t="shared" si="76"/>
        <v>44197.240000000005</v>
      </c>
      <c r="D429" s="45"/>
      <c r="E429" s="44">
        <f t="shared" si="77"/>
        <v>15284.300000000001</v>
      </c>
      <c r="F429" s="45"/>
      <c r="G429" s="44">
        <f t="shared" si="78"/>
        <v>28912.940000000002</v>
      </c>
      <c r="H429" s="44"/>
      <c r="I429" s="60"/>
      <c r="J429" s="60"/>
      <c r="K429" s="60"/>
    </row>
    <row r="430" spans="1:11" x14ac:dyDescent="0.85">
      <c r="A430" s="39" t="s">
        <v>269</v>
      </c>
      <c r="B430" s="45"/>
      <c r="C430" s="44">
        <f t="shared" si="76"/>
        <v>-50296.400000000009</v>
      </c>
      <c r="D430" s="45"/>
      <c r="E430" s="44">
        <f t="shared" si="77"/>
        <v>-51864.69</v>
      </c>
      <c r="F430" s="45"/>
      <c r="G430" s="44">
        <f t="shared" si="78"/>
        <v>1568.2899999999936</v>
      </c>
      <c r="H430" s="44"/>
      <c r="I430" s="60"/>
      <c r="J430" s="60"/>
      <c r="K430" s="60"/>
    </row>
    <row r="431" spans="1:11" x14ac:dyDescent="0.85">
      <c r="A431" s="39" t="s">
        <v>270</v>
      </c>
      <c r="B431" s="45"/>
      <c r="C431" s="44">
        <f t="shared" ref="C431" si="79">I114</f>
        <v>0</v>
      </c>
      <c r="D431" s="45"/>
      <c r="E431" s="44">
        <f t="shared" si="77"/>
        <v>40</v>
      </c>
      <c r="F431" s="45"/>
      <c r="G431" s="44">
        <f t="shared" ref="G431" si="80">I114-I300</f>
        <v>-40</v>
      </c>
      <c r="H431" s="44"/>
      <c r="I431" s="60"/>
      <c r="J431" s="60"/>
      <c r="K431" s="60"/>
    </row>
    <row r="432" spans="1:11" x14ac:dyDescent="0.85">
      <c r="A432" s="39" t="s">
        <v>395</v>
      </c>
      <c r="B432" s="45"/>
      <c r="C432" s="44">
        <f>I116</f>
        <v>20720.71</v>
      </c>
      <c r="D432" s="45"/>
      <c r="E432" s="44">
        <f t="shared" si="77"/>
        <v>16914.78</v>
      </c>
      <c r="F432" s="45"/>
      <c r="G432" s="44">
        <f t="shared" ref="G432:G438" si="81">I116-I301</f>
        <v>3805.9300000000003</v>
      </c>
      <c r="H432" s="44"/>
      <c r="I432" s="60"/>
      <c r="J432" s="60"/>
      <c r="K432" s="60"/>
    </row>
    <row r="433" spans="1:11" x14ac:dyDescent="0.85">
      <c r="A433" s="39" t="s">
        <v>430</v>
      </c>
      <c r="B433" s="45"/>
      <c r="C433" s="44">
        <v>0</v>
      </c>
      <c r="D433" s="45"/>
      <c r="E433" s="44">
        <f t="shared" si="77"/>
        <v>1440.91</v>
      </c>
      <c r="F433" s="45"/>
      <c r="G433" s="44">
        <f t="shared" si="81"/>
        <v>-621.57000000000005</v>
      </c>
      <c r="H433" s="44"/>
      <c r="I433" s="60"/>
      <c r="J433" s="60"/>
      <c r="K433" s="60"/>
    </row>
    <row r="434" spans="1:11" x14ac:dyDescent="0.85">
      <c r="A434" s="39" t="s">
        <v>431</v>
      </c>
      <c r="B434" s="45"/>
      <c r="C434" s="44">
        <v>0</v>
      </c>
      <c r="D434" s="45"/>
      <c r="E434" s="44">
        <f t="shared" si="77"/>
        <v>13840.36</v>
      </c>
      <c r="F434" s="45"/>
      <c r="G434" s="44">
        <f t="shared" si="81"/>
        <v>-12807.23</v>
      </c>
      <c r="H434" s="44"/>
      <c r="I434" s="60"/>
      <c r="J434" s="60"/>
      <c r="K434" s="60"/>
    </row>
    <row r="435" spans="1:11" x14ac:dyDescent="0.85">
      <c r="A435" s="39" t="s">
        <v>397</v>
      </c>
      <c r="B435" s="45"/>
      <c r="C435" s="44">
        <f>I119</f>
        <v>17978.47</v>
      </c>
      <c r="D435" s="45"/>
      <c r="E435" s="44">
        <f t="shared" si="77"/>
        <v>4520.6000000000004</v>
      </c>
      <c r="F435" s="45"/>
      <c r="G435" s="44">
        <f t="shared" si="81"/>
        <v>13457.87</v>
      </c>
      <c r="H435" s="44"/>
      <c r="I435" s="60"/>
      <c r="J435" s="60"/>
      <c r="K435" s="60"/>
    </row>
    <row r="436" spans="1:11" ht="70.5" x14ac:dyDescent="1.05">
      <c r="A436" s="39" t="s">
        <v>526</v>
      </c>
      <c r="B436" s="45"/>
      <c r="C436" s="44">
        <v>0</v>
      </c>
      <c r="D436" s="45"/>
      <c r="E436" s="44">
        <f>I305</f>
        <v>0</v>
      </c>
      <c r="F436" s="45"/>
      <c r="G436" s="44">
        <f t="shared" si="81"/>
        <v>0</v>
      </c>
      <c r="H436" s="83"/>
      <c r="I436" s="51"/>
      <c r="J436" s="51"/>
      <c r="K436" s="51"/>
    </row>
    <row r="437" spans="1:11" x14ac:dyDescent="0.85">
      <c r="A437" s="39" t="s">
        <v>441</v>
      </c>
      <c r="B437" s="45"/>
      <c r="C437" s="44">
        <v>0</v>
      </c>
      <c r="D437" s="45"/>
      <c r="E437" s="44">
        <f>I306</f>
        <v>0</v>
      </c>
      <c r="F437" s="45"/>
      <c r="G437" s="44">
        <f t="shared" si="81"/>
        <v>0</v>
      </c>
      <c r="H437" s="58"/>
      <c r="I437" s="60"/>
      <c r="J437" s="58"/>
      <c r="K437" s="60"/>
    </row>
    <row r="438" spans="1:11" x14ac:dyDescent="0.85">
      <c r="A438" s="43" t="s">
        <v>455</v>
      </c>
      <c r="B438" s="45"/>
      <c r="C438" s="46">
        <f>I122</f>
        <v>130144.93</v>
      </c>
      <c r="D438" s="45"/>
      <c r="E438" s="46">
        <f>I307</f>
        <v>95931.109999999986</v>
      </c>
      <c r="F438" s="45"/>
      <c r="G438" s="46">
        <f t="shared" si="81"/>
        <v>34213.820000000007</v>
      </c>
      <c r="H438" s="58"/>
      <c r="I438" s="55"/>
      <c r="J438" s="58"/>
      <c r="K438" s="55"/>
    </row>
    <row r="439" spans="1:11" x14ac:dyDescent="0.85">
      <c r="A439" s="43"/>
      <c r="B439" s="45"/>
      <c r="C439" s="44"/>
      <c r="D439" s="45"/>
      <c r="E439" s="44">
        <f>I308</f>
        <v>0</v>
      </c>
      <c r="F439" s="45"/>
      <c r="G439" s="44"/>
      <c r="H439" s="58"/>
      <c r="I439" s="55"/>
      <c r="J439" s="58"/>
      <c r="K439" s="55"/>
    </row>
    <row r="440" spans="1:11" ht="71.25" thickBot="1" x14ac:dyDescent="1.1000000000000001">
      <c r="A440" s="53" t="s">
        <v>264</v>
      </c>
      <c r="B440" s="50"/>
      <c r="C440" s="52">
        <f>I124</f>
        <v>968173.25000001048</v>
      </c>
      <c r="D440" s="50"/>
      <c r="E440" s="52">
        <f>I309</f>
        <v>249885.19999983202</v>
      </c>
      <c r="F440" s="50"/>
      <c r="G440" s="52">
        <f>I124-I309</f>
        <v>718288.05000017839</v>
      </c>
    </row>
    <row r="441" spans="1:11" ht="58.5" thickTop="1" x14ac:dyDescent="0.85">
      <c r="C441" s="44">
        <f>C440-I175</f>
        <v>0</v>
      </c>
      <c r="G441" s="58"/>
    </row>
    <row r="442" spans="1:11" x14ac:dyDescent="0.85">
      <c r="A442" s="58"/>
      <c r="B442" s="58"/>
      <c r="C442" s="58"/>
      <c r="D442" s="58"/>
      <c r="E442" s="58"/>
      <c r="F442" s="58"/>
      <c r="G442" s="58"/>
    </row>
    <row r="443" spans="1:11" x14ac:dyDescent="0.85">
      <c r="A443" s="58"/>
      <c r="B443" s="58"/>
      <c r="C443" s="58"/>
      <c r="D443" s="58"/>
      <c r="E443" s="58"/>
      <c r="F443" s="58"/>
      <c r="G443" s="58"/>
    </row>
  </sheetData>
  <mergeCells count="12">
    <mergeCell ref="A186:J186"/>
    <mergeCell ref="A1:J1"/>
    <mergeCell ref="A183:J183"/>
    <mergeCell ref="A2:J2"/>
    <mergeCell ref="A184:J184"/>
    <mergeCell ref="A3:J3"/>
    <mergeCell ref="A185:J185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2" max="11" man="1"/>
    <brk id="230" max="11" man="1"/>
    <brk id="285" max="11" man="1"/>
    <brk id="313" max="11" man="1"/>
    <brk id="358" max="11" man="1"/>
    <brk id="41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19" activePane="bottomLeft" state="frozen"/>
      <selection activeCell="A297" sqref="A297"/>
      <selection pane="bottomLeft" activeCell="G24" sqref="G24"/>
    </sheetView>
  </sheetViews>
  <sheetFormatPr defaultRowHeight="15" x14ac:dyDescent="0.25"/>
  <cols>
    <col min="1" max="1" width="14" style="3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223" t="s">
        <v>548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36" x14ac:dyDescent="0.55000000000000004">
      <c r="B2" s="223" t="s">
        <v>263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5" ht="36" x14ac:dyDescent="0.55000000000000004">
      <c r="B3" s="224">
        <v>43524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5" ht="36" x14ac:dyDescent="0.55000000000000004">
      <c r="B4" s="119"/>
      <c r="C4" s="119"/>
      <c r="D4" s="119"/>
      <c r="E4" s="119"/>
      <c r="M4" s="10">
        <v>2019</v>
      </c>
      <c r="O4" s="10">
        <v>2019</v>
      </c>
    </row>
    <row r="5" spans="1:15" s="27" customFormat="1" ht="30" customHeight="1" x14ac:dyDescent="0.5">
      <c r="A5" s="95"/>
      <c r="B5" s="11"/>
      <c r="C5" s="16">
        <v>2019</v>
      </c>
      <c r="D5" s="16" t="s">
        <v>536</v>
      </c>
      <c r="E5" s="16">
        <v>2019</v>
      </c>
      <c r="G5" s="16" t="s">
        <v>556</v>
      </c>
      <c r="I5" s="16">
        <v>2018</v>
      </c>
      <c r="K5" s="16" t="s">
        <v>560</v>
      </c>
      <c r="M5" s="16" t="s">
        <v>559</v>
      </c>
      <c r="O5" s="16" t="s">
        <v>557</v>
      </c>
    </row>
    <row r="6" spans="1:15" s="27" customFormat="1" ht="30" customHeight="1" x14ac:dyDescent="0.5">
      <c r="A6" s="95"/>
      <c r="B6" s="11"/>
      <c r="C6" s="16" t="s">
        <v>549</v>
      </c>
      <c r="D6" s="16" t="s">
        <v>555</v>
      </c>
      <c r="E6" s="16" t="s">
        <v>547</v>
      </c>
      <c r="G6" s="16" t="s">
        <v>555</v>
      </c>
      <c r="I6" s="16" t="s">
        <v>552</v>
      </c>
      <c r="K6" s="16" t="s">
        <v>561</v>
      </c>
      <c r="M6" s="16" t="s">
        <v>549</v>
      </c>
      <c r="O6" s="16" t="s">
        <v>558</v>
      </c>
    </row>
    <row r="7" spans="1:15" s="27" customFormat="1" ht="42.75" customHeight="1" x14ac:dyDescent="0.5">
      <c r="A7" s="104" t="s">
        <v>210</v>
      </c>
      <c r="B7" s="105" t="s">
        <v>60</v>
      </c>
      <c r="C7" s="106"/>
      <c r="D7" s="106"/>
      <c r="E7" s="106"/>
      <c r="G7" s="106"/>
      <c r="I7" s="106"/>
      <c r="J7" s="31"/>
      <c r="K7" s="106"/>
      <c r="M7" s="106"/>
      <c r="O7" s="106"/>
    </row>
    <row r="8" spans="1:15" s="27" customFormat="1" ht="42.75" customHeight="1" x14ac:dyDescent="0.5">
      <c r="A8" s="104" t="s">
        <v>210</v>
      </c>
      <c r="B8" s="107" t="s">
        <v>215</v>
      </c>
      <c r="C8" s="91">
        <f>'Comp YTD 2020-2019 '!B12</f>
        <v>144937480.56</v>
      </c>
      <c r="D8" s="91">
        <f>CNT!P108+CNT!P109+CNT!P121</f>
        <v>906586347.42750001</v>
      </c>
      <c r="E8" s="91">
        <f>D8-C8</f>
        <v>761648866.86750007</v>
      </c>
      <c r="G8" s="91">
        <f>CNT!Q108+CNT!Q109+CNT!Q121</f>
        <v>1208781796.5699999</v>
      </c>
      <c r="I8" s="91">
        <f>CNT!R108+CNT!R109+CNT!R121</f>
        <v>1208781796.5699999</v>
      </c>
      <c r="J8" s="31"/>
      <c r="K8" s="91">
        <f>G8-D8</f>
        <v>302195449.14249992</v>
      </c>
      <c r="M8" s="91">
        <f>G8-C8</f>
        <v>1063844316.01</v>
      </c>
      <c r="O8" s="91">
        <f>M8-K8</f>
        <v>761648866.86750007</v>
      </c>
    </row>
    <row r="9" spans="1:15" s="27" customFormat="1" ht="42.75" customHeight="1" x14ac:dyDescent="0.5">
      <c r="A9" s="104" t="s">
        <v>210</v>
      </c>
      <c r="B9" s="107" t="s">
        <v>216</v>
      </c>
      <c r="C9" s="91">
        <f>'Comp YTD 2020-2019 '!B13</f>
        <v>328312787.06999999</v>
      </c>
      <c r="D9" s="91">
        <f>CNT!P110+CNT!P122</f>
        <v>2565549627.4800005</v>
      </c>
      <c r="E9" s="91">
        <f t="shared" ref="E9:E14" si="0">D9-C9</f>
        <v>2237236840.4100003</v>
      </c>
      <c r="G9" s="91">
        <f>CNT!Q110+CNT!Q122</f>
        <v>3420732836.6400003</v>
      </c>
      <c r="I9" s="91">
        <f>CNT!R110+CNT!R122</f>
        <v>3420732836.6400003</v>
      </c>
      <c r="J9" s="31"/>
      <c r="K9" s="91">
        <f t="shared" ref="K9:K14" si="1">G9-D9</f>
        <v>855183209.15999985</v>
      </c>
      <c r="M9" s="91">
        <f t="shared" ref="M9:M14" si="2">G9-C9</f>
        <v>3092420049.5700002</v>
      </c>
      <c r="O9" s="91">
        <f t="shared" ref="O9:O14" si="3">M9-K9</f>
        <v>2237236840.4100003</v>
      </c>
    </row>
    <row r="10" spans="1:15" s="27" customFormat="1" ht="42.75" customHeight="1" x14ac:dyDescent="0.5">
      <c r="A10" s="104" t="s">
        <v>210</v>
      </c>
      <c r="B10" s="107" t="s">
        <v>217</v>
      </c>
      <c r="C10" s="91">
        <f>'Comp YTD 2020-2019 '!B14</f>
        <v>1932533</v>
      </c>
      <c r="D10" s="91">
        <f>CNT!P111+CNT!P123</f>
        <v>12572393.025</v>
      </c>
      <c r="E10" s="91">
        <f t="shared" si="0"/>
        <v>10639860.025</v>
      </c>
      <c r="G10" s="91">
        <f>CNT!Q111+CNT!Q123</f>
        <v>16763190.700000001</v>
      </c>
      <c r="I10" s="91">
        <f>CNT!R111+CNT!R123</f>
        <v>16763190.700000001</v>
      </c>
      <c r="J10" s="31"/>
      <c r="K10" s="91">
        <f t="shared" si="1"/>
        <v>4190797.6750000007</v>
      </c>
      <c r="M10" s="91">
        <f t="shared" si="2"/>
        <v>14830657.700000001</v>
      </c>
      <c r="O10" s="91">
        <f t="shared" si="3"/>
        <v>10639860.025</v>
      </c>
    </row>
    <row r="11" spans="1:15" s="27" customFormat="1" ht="42.75" customHeight="1" x14ac:dyDescent="0.5">
      <c r="A11" s="104" t="s">
        <v>210</v>
      </c>
      <c r="B11" s="107" t="s">
        <v>414</v>
      </c>
      <c r="C11" s="91">
        <f>'Comp YTD 2020-2019 '!B15</f>
        <v>19212707.800000001</v>
      </c>
      <c r="D11" s="91">
        <f>CNT!P112+CNT!P124</f>
        <v>16263463.7925</v>
      </c>
      <c r="E11" s="91">
        <f t="shared" si="0"/>
        <v>-2949244.0075000003</v>
      </c>
      <c r="G11" s="91">
        <f>CNT!Q112+CNT!Q124</f>
        <v>21684618.390000001</v>
      </c>
      <c r="I11" s="91">
        <f>CNT!R112+CNT!R124</f>
        <v>21684618.390000001</v>
      </c>
      <c r="J11" s="31"/>
      <c r="K11" s="91">
        <f t="shared" si="1"/>
        <v>5421154.5975000001</v>
      </c>
      <c r="M11" s="91">
        <f t="shared" si="2"/>
        <v>2471910.59</v>
      </c>
      <c r="O11" s="91">
        <f t="shared" si="3"/>
        <v>-2949244.0075000003</v>
      </c>
    </row>
    <row r="12" spans="1:15" s="27" customFormat="1" ht="42.75" customHeight="1" x14ac:dyDescent="0.5">
      <c r="A12" s="104" t="s">
        <v>210</v>
      </c>
      <c r="B12" s="107" t="s">
        <v>218</v>
      </c>
      <c r="C12" s="91">
        <f>'Comp YTD 2020-2019 '!B16</f>
        <v>5615755.9000000004</v>
      </c>
      <c r="D12" s="91">
        <f>CNT!P116+CNT!P127</f>
        <v>5044185.7275</v>
      </c>
      <c r="E12" s="91">
        <f t="shared" si="0"/>
        <v>-571570.17250000034</v>
      </c>
      <c r="G12" s="91">
        <f>CNT!Q116+CNT!Q127</f>
        <v>6725580.9700000007</v>
      </c>
      <c r="I12" s="91">
        <f>CNT!R116+CNT!R127</f>
        <v>6725580.9700000007</v>
      </c>
      <c r="J12" s="31"/>
      <c r="K12" s="91">
        <f t="shared" si="1"/>
        <v>1681395.2425000006</v>
      </c>
      <c r="M12" s="91">
        <f t="shared" si="2"/>
        <v>1109825.0700000003</v>
      </c>
      <c r="O12" s="91">
        <f t="shared" si="3"/>
        <v>-571570.17250000034</v>
      </c>
    </row>
    <row r="13" spans="1:15" s="27" customFormat="1" ht="42.75" customHeight="1" x14ac:dyDescent="0.5">
      <c r="A13" s="104" t="s">
        <v>210</v>
      </c>
      <c r="B13" s="107" t="s">
        <v>219</v>
      </c>
      <c r="C13" s="91">
        <f>'Comp YTD 2020-2019 '!B17</f>
        <v>1616056.41</v>
      </c>
      <c r="D13" s="91">
        <f>CNT!P128+CNT!P129+CNT!P130+CNT!P132</f>
        <v>7799893.9199999999</v>
      </c>
      <c r="E13" s="91">
        <f t="shared" si="0"/>
        <v>6183837.5099999998</v>
      </c>
      <c r="G13" s="91">
        <f>CNT!Q128+CNT!Q129+CNT!Q130+CNT!Q132</f>
        <v>10399858.559999999</v>
      </c>
      <c r="I13" s="91">
        <f>CNT!R128+CNT!R129+CNT!R130+CNT!R132</f>
        <v>10399858.559999999</v>
      </c>
      <c r="J13" s="31"/>
      <c r="K13" s="91">
        <f t="shared" si="1"/>
        <v>2599964.6399999987</v>
      </c>
      <c r="M13" s="91">
        <f t="shared" si="2"/>
        <v>8783802.1499999985</v>
      </c>
      <c r="O13" s="91">
        <f t="shared" si="3"/>
        <v>6183837.5099999998</v>
      </c>
    </row>
    <row r="14" spans="1:15" s="27" customFormat="1" ht="42.75" customHeight="1" x14ac:dyDescent="0.5">
      <c r="A14" s="104" t="s">
        <v>210</v>
      </c>
      <c r="B14" s="107" t="s">
        <v>220</v>
      </c>
      <c r="C14" s="91">
        <f>'Comp YTD 2020-2019 '!B18</f>
        <v>51711.68</v>
      </c>
      <c r="D14" s="91">
        <f>CNT!P113+CNT!P114+CNT!P115+CNT!P117+CNT!P118+CNT!P119+CNT!P125+CNT!P126</f>
        <v>904195.53750000009</v>
      </c>
      <c r="E14" s="91">
        <f t="shared" si="0"/>
        <v>852483.85750000004</v>
      </c>
      <c r="G14" s="91">
        <f>CNT!Q113+CNT!Q114+CNT!Q115+CNT!Q117+CNT!Q118+CNT!Q119+CNT!Q125+CNT!Q126</f>
        <v>1205594.05</v>
      </c>
      <c r="I14" s="91">
        <f>CNT!R113+CNT!R114+CNT!R115+CNT!R117+CNT!R118+CNT!R119+CNT!R125+CNT!R126</f>
        <v>1205594.05</v>
      </c>
      <c r="J14" s="31"/>
      <c r="K14" s="91">
        <f t="shared" si="1"/>
        <v>301398.51249999995</v>
      </c>
      <c r="M14" s="91">
        <f t="shared" si="2"/>
        <v>1153882.3700000001</v>
      </c>
      <c r="O14" s="91">
        <f t="shared" si="3"/>
        <v>852483.85750000016</v>
      </c>
    </row>
    <row r="15" spans="1:15" s="27" customFormat="1" ht="42.75" customHeight="1" x14ac:dyDescent="0.5">
      <c r="A15" s="104" t="s">
        <v>210</v>
      </c>
      <c r="B15" s="105" t="s">
        <v>221</v>
      </c>
      <c r="C15" s="108">
        <f>SUM(C8:C14)</f>
        <v>501679032.42000002</v>
      </c>
      <c r="D15" s="108">
        <f>SUM(D8:D14)</f>
        <v>3514720106.9100003</v>
      </c>
      <c r="E15" s="108">
        <f>SUM(E8:E14)</f>
        <v>3013041074.4900002</v>
      </c>
      <c r="G15" s="108">
        <f>SUM(G8:G14)</f>
        <v>4686293475.8800011</v>
      </c>
      <c r="I15" s="108">
        <f>SUM(I8:I14)</f>
        <v>4686293475.8800011</v>
      </c>
      <c r="J15" s="31"/>
      <c r="K15" s="108">
        <f>SUM(K8:K14)</f>
        <v>1171573368.97</v>
      </c>
      <c r="M15" s="108">
        <f>SUM(M8:M14)</f>
        <v>4184614443.46</v>
      </c>
      <c r="O15" s="108">
        <f>SUM(O8:O14)</f>
        <v>3013041074.4900002</v>
      </c>
    </row>
    <row r="16" spans="1:15" s="27" customFormat="1" ht="42.75" customHeight="1" x14ac:dyDescent="0.5">
      <c r="A16" s="104" t="s">
        <v>210</v>
      </c>
      <c r="B16" s="107"/>
      <c r="C16" s="91"/>
      <c r="D16" s="91"/>
      <c r="E16" s="91"/>
      <c r="G16" s="91"/>
      <c r="I16" s="91"/>
      <c r="J16" s="31"/>
      <c r="K16" s="91"/>
      <c r="M16" s="91"/>
      <c r="O16" s="91"/>
    </row>
    <row r="17" spans="1:15" s="27" customFormat="1" ht="42.75" customHeight="1" x14ac:dyDescent="0.5">
      <c r="A17" s="104" t="s">
        <v>210</v>
      </c>
      <c r="B17" s="105" t="s">
        <v>206</v>
      </c>
      <c r="C17" s="91"/>
      <c r="D17" s="91"/>
      <c r="E17" s="91"/>
      <c r="G17" s="91"/>
      <c r="I17" s="91"/>
      <c r="J17" s="31"/>
      <c r="K17" s="91"/>
      <c r="M17" s="91"/>
      <c r="O17" s="91"/>
    </row>
    <row r="18" spans="1:15" s="27" customFormat="1" ht="42.75" customHeight="1" x14ac:dyDescent="0.5">
      <c r="A18" s="104" t="s">
        <v>210</v>
      </c>
      <c r="B18" s="107" t="s">
        <v>215</v>
      </c>
      <c r="C18" s="91">
        <f>'Comp YTD 2020-2019 '!B22</f>
        <v>144682949.43999988</v>
      </c>
      <c r="D18" s="91">
        <f>CNT!P137+CNT!P142+CNT!P154+CNT!P158+CNT!P159+CNT!P163+CNT!P167+CNT!P174</f>
        <v>918716534.01000035</v>
      </c>
      <c r="E18" s="91">
        <f>D18-C18</f>
        <v>774033584.57000041</v>
      </c>
      <c r="G18" s="91">
        <f>CNT!Q137+CNT!Q142+CNT!Q154+CNT!Q158+CNT!Q159+CNT!Q163+CNT!Q167+CNT!Q174</f>
        <v>1224955378.6800001</v>
      </c>
      <c r="I18" s="91">
        <f>CNT!R137+CNT!R142+CNT!R154+CNT!R158+CNT!R159+CNT!R163+CNT!R167+CNT!R174</f>
        <v>1224955378.6800001</v>
      </c>
      <c r="J18" s="31"/>
      <c r="K18" s="91">
        <f>G18-D18</f>
        <v>306238844.66999972</v>
      </c>
      <c r="M18" s="91">
        <f>G18-C18</f>
        <v>1080272429.2400002</v>
      </c>
      <c r="O18" s="91">
        <f>M18-K18</f>
        <v>774033584.57000053</v>
      </c>
    </row>
    <row r="19" spans="1:15" s="27" customFormat="1" ht="42.75" customHeight="1" x14ac:dyDescent="0.5">
      <c r="A19" s="104" t="s">
        <v>210</v>
      </c>
      <c r="B19" s="107" t="s">
        <v>216</v>
      </c>
      <c r="C19" s="91">
        <f>'Comp YTD 2020-2019 '!B23</f>
        <v>328059162.46000016</v>
      </c>
      <c r="D19" s="91">
        <f>CNT!P138+CNT!P143+CNT!P155+CNT!P160+CNT!P164+CNT!P168+CNT!P175+CNT!P171</f>
        <v>2561500932.1724997</v>
      </c>
      <c r="E19" s="91">
        <f t="shared" ref="E19:E24" si="4">D19-C19</f>
        <v>2233441769.7124996</v>
      </c>
      <c r="G19" s="91">
        <f>CNT!Q138+CNT!Q143+CNT!Q155+CNT!Q160+CNT!Q164+CNT!Q168+CNT!Q175+CNT!Q171</f>
        <v>3415334576.2300005</v>
      </c>
      <c r="I19" s="91">
        <f>CNT!R138+CNT!R143+CNT!R155+CNT!R160+CNT!R164+CNT!R168+CNT!R175+CNT!R171</f>
        <v>3415334576.2300005</v>
      </c>
      <c r="J19" s="31"/>
      <c r="K19" s="91">
        <f t="shared" ref="K19:K24" si="5">G19-D19</f>
        <v>853833644.05750084</v>
      </c>
      <c r="M19" s="91">
        <f t="shared" ref="M19:M24" si="6">G19-C19</f>
        <v>3087275413.7700005</v>
      </c>
      <c r="O19" s="91">
        <f t="shared" ref="O19:O24" si="7">M19-K19</f>
        <v>2233441769.7124996</v>
      </c>
    </row>
    <row r="20" spans="1:15" s="27" customFormat="1" ht="42.75" customHeight="1" x14ac:dyDescent="0.5">
      <c r="A20" s="104" t="s">
        <v>210</v>
      </c>
      <c r="B20" s="107" t="s">
        <v>217</v>
      </c>
      <c r="C20" s="91">
        <f>'Comp YTD 2020-2019 '!B24</f>
        <v>1904476.7099999995</v>
      </c>
      <c r="D20" s="91">
        <f>CNT!P139+CNT!P144+CNT!P156+CNT!P161+CNT!P165+CNT!P169+CNT!P176+CNT!P173</f>
        <v>12020981.782500001</v>
      </c>
      <c r="E20" s="91">
        <f t="shared" si="4"/>
        <v>10116505.072500002</v>
      </c>
      <c r="G20" s="91">
        <f>CNT!Q139+CNT!Q144+CNT!Q156+CNT!Q161+CNT!Q165+CNT!Q169+CNT!Q176+CNT!Q173</f>
        <v>16027975.710000005</v>
      </c>
      <c r="I20" s="91">
        <f>CNT!R139+CNT!R144+CNT!R156+CNT!R161+CNT!R165+CNT!R169+CNT!R176+CNT!R173</f>
        <v>16027975.710000005</v>
      </c>
      <c r="J20" s="31"/>
      <c r="K20" s="91">
        <f t="shared" si="5"/>
        <v>4006993.9275000039</v>
      </c>
      <c r="M20" s="91">
        <f t="shared" si="6"/>
        <v>14123499.000000006</v>
      </c>
      <c r="O20" s="91">
        <f t="shared" si="7"/>
        <v>10116505.072500002</v>
      </c>
    </row>
    <row r="21" spans="1:15" s="27" customFormat="1" ht="42.75" customHeight="1" x14ac:dyDescent="0.5">
      <c r="A21" s="104" t="s">
        <v>210</v>
      </c>
      <c r="B21" s="107" t="s">
        <v>414</v>
      </c>
      <c r="C21" s="91">
        <f>'Comp YTD 2020-2019 '!B25</f>
        <v>18848541.990000002</v>
      </c>
      <c r="D21" s="91">
        <f>CNT!P140+CNT!P145+CNT!P157+CNT!P162+CNT!P166+CNT!P170+CNT!P177+CNT!P178</f>
        <v>16373117.340000004</v>
      </c>
      <c r="E21" s="91">
        <f t="shared" si="4"/>
        <v>-2475424.6499999985</v>
      </c>
      <c r="G21" s="91">
        <f>CNT!Q140+CNT!Q145+CNT!Q157+CNT!Q162+CNT!Q166+CNT!Q170+CNT!Q177+CNT!Q178</f>
        <v>21830823.120000005</v>
      </c>
      <c r="I21" s="91">
        <f>CNT!R140+CNT!R145+CNT!R157+CNT!R162+CNT!R166+CNT!R170+CNT!R177+CNT!R178</f>
        <v>21830823.120000005</v>
      </c>
      <c r="J21" s="31"/>
      <c r="K21" s="91">
        <f t="shared" si="5"/>
        <v>5457705.7800000012</v>
      </c>
      <c r="M21" s="91">
        <f t="shared" si="6"/>
        <v>2982281.1300000027</v>
      </c>
      <c r="O21" s="91">
        <f t="shared" si="7"/>
        <v>-2475424.6499999985</v>
      </c>
    </row>
    <row r="22" spans="1:15" s="27" customFormat="1" ht="42.75" customHeight="1" x14ac:dyDescent="0.5">
      <c r="A22" s="104" t="s">
        <v>210</v>
      </c>
      <c r="B22" s="107" t="s">
        <v>218</v>
      </c>
      <c r="C22" s="91">
        <f>'Comp YTD 2020-2019 '!B26</f>
        <v>5207996.2000000011</v>
      </c>
      <c r="D22" s="91">
        <f>CNT!P141+CNT!P148+CNT!P172+CNT!P183</f>
        <v>4901233.3274999997</v>
      </c>
      <c r="E22" s="91">
        <f t="shared" si="4"/>
        <v>-306762.87250000145</v>
      </c>
      <c r="G22" s="91">
        <f>CNT!Q141+CNT!Q148+CNT!Q172+CNT!Q183</f>
        <v>6534977.7699999986</v>
      </c>
      <c r="I22" s="91">
        <f>CNT!R141+CNT!R148+CNT!R172+CNT!R183</f>
        <v>6534977.7699999986</v>
      </c>
      <c r="J22" s="31"/>
      <c r="K22" s="91">
        <f t="shared" si="5"/>
        <v>1633744.442499999</v>
      </c>
      <c r="M22" s="91">
        <f t="shared" si="6"/>
        <v>1326981.5699999975</v>
      </c>
      <c r="O22" s="91">
        <f t="shared" si="7"/>
        <v>-306762.87250000145</v>
      </c>
    </row>
    <row r="23" spans="1:15" s="27" customFormat="1" ht="42.75" customHeight="1" x14ac:dyDescent="0.5">
      <c r="A23" s="104" t="s">
        <v>210</v>
      </c>
      <c r="B23" s="107" t="s">
        <v>219</v>
      </c>
      <c r="C23" s="91">
        <f>'Comp YTD 2020-2019 '!B27</f>
        <v>1609910.15</v>
      </c>
      <c r="D23" s="91">
        <f>CNT!P194+CNT!P195+CNT!P196+CNT!P198+CNT!P200+CNT!P201+CNT!P202+CNT!P203+CNT!P204</f>
        <v>7641937.5</v>
      </c>
      <c r="E23" s="91">
        <f>D23-C23</f>
        <v>6032027.3499999996</v>
      </c>
      <c r="G23" s="91">
        <f>CNT!Q194+CNT!Q195+CNT!Q196+CNT!Q198+CNT!Q200+CNT!Q201+CNT!Q202+CNT!Q203+CNT!Q204</f>
        <v>10189250</v>
      </c>
      <c r="I23" s="91">
        <f>CNT!R194+CNT!R195+CNT!R196+CNT!R198+CNT!R200+CNT!R201+CNT!R202+CNT!R203+CNT!R204</f>
        <v>10189250</v>
      </c>
      <c r="J23" s="31"/>
      <c r="K23" s="91">
        <f t="shared" si="5"/>
        <v>2547312.5</v>
      </c>
      <c r="M23" s="91">
        <f t="shared" si="6"/>
        <v>8579339.8499999996</v>
      </c>
      <c r="O23" s="91">
        <f t="shared" si="7"/>
        <v>6032027.3499999996</v>
      </c>
    </row>
    <row r="24" spans="1:15" s="27" customFormat="1" ht="42.75" customHeight="1" x14ac:dyDescent="0.5">
      <c r="A24" s="104" t="s">
        <v>210</v>
      </c>
      <c r="B24" s="107" t="s">
        <v>220</v>
      </c>
      <c r="C24" s="91">
        <f>'Comp YTD 2020-2019 '!B28</f>
        <v>223858.97999999998</v>
      </c>
      <c r="D24" s="91">
        <f>CNT!P135+CNT!P146+CNT!P147+CNT!P149+CNT!P150+CNT!P151+CNT!P152+CNT!P153+CNT!P179+CNT!P180+CNT!P181+CNT!P182+CNT!P184+CNT!P185+CNT!P186+CNT!P187+CNT!P188+CNT!P189+CNT!P190+CNT!P191+CNT!P192+CNT!P193</f>
        <v>-10601279.670000002</v>
      </c>
      <c r="E24" s="91">
        <f t="shared" si="4"/>
        <v>-10825138.650000002</v>
      </c>
      <c r="G24" s="91">
        <f>CNT!Q135+CNT!Q146+CNT!Q147+CNT!Q149+CNT!Q150+CNT!Q151+CNT!Q152+CNT!Q153+CNT!Q179+CNT!Q180+CNT!Q181+CNT!Q182+CNT!Q184+CNT!Q185+CNT!Q186+CNT!Q187+CNT!Q188+CNT!Q189+CNT!Q190+CNT!Q191+CNT!Q192+CNT!Q193</f>
        <v>-14135039.560000002</v>
      </c>
      <c r="I24" s="91">
        <f>CNT!R135+CNT!R146+CNT!R147+CNT!R149+CNT!R150+CNT!R151+CNT!R152+CNT!R153+CNT!R179+CNT!R180+CNT!R181+CNT!R182+CNT!R184+CNT!R185+CNT!R186+CNT!R187+CNT!R188+CNT!R189+CNT!R190+CNT!R191+CNT!R192+CNT!R193</f>
        <v>-14135039.560000002</v>
      </c>
      <c r="J24" s="31"/>
      <c r="K24" s="91">
        <f t="shared" si="5"/>
        <v>-3533759.8900000006</v>
      </c>
      <c r="M24" s="91">
        <f t="shared" si="6"/>
        <v>-14358898.540000003</v>
      </c>
      <c r="O24" s="91">
        <f t="shared" si="7"/>
        <v>-10825138.650000002</v>
      </c>
    </row>
    <row r="25" spans="1:15" s="27" customFormat="1" ht="42.75" customHeight="1" x14ac:dyDescent="0.5">
      <c r="A25" s="104" t="s">
        <v>210</v>
      </c>
      <c r="B25" s="105" t="s">
        <v>222</v>
      </c>
      <c r="C25" s="108">
        <f>SUM(C18:C24)</f>
        <v>500536895.93000001</v>
      </c>
      <c r="D25" s="108">
        <f>SUM(D18:D24)</f>
        <v>3510553456.4624996</v>
      </c>
      <c r="E25" s="108">
        <f>SUM(E18:E24)</f>
        <v>3010016560.5325003</v>
      </c>
      <c r="G25" s="108">
        <f>SUM(G18:G24)</f>
        <v>4680737941.9500008</v>
      </c>
      <c r="I25" s="108">
        <f>SUM(I18:I24)</f>
        <v>4680737941.9500008</v>
      </c>
      <c r="J25" s="31"/>
      <c r="K25" s="108">
        <f>SUM(K18:K24)</f>
        <v>1170184485.4875004</v>
      </c>
      <c r="M25" s="108">
        <f>SUM(M18:M24)</f>
        <v>4180201046.0200009</v>
      </c>
      <c r="O25" s="108">
        <f>SUM(O18:O24)</f>
        <v>3010016560.5325003</v>
      </c>
    </row>
    <row r="26" spans="1:15" s="27" customFormat="1" ht="42.75" customHeight="1" x14ac:dyDescent="0.5">
      <c r="A26" s="104" t="s">
        <v>210</v>
      </c>
      <c r="B26" s="107"/>
      <c r="C26" s="91"/>
      <c r="D26" s="91">
        <f>D25-CNT!P205</f>
        <v>0</v>
      </c>
      <c r="E26" s="91"/>
      <c r="G26" s="91"/>
      <c r="I26" s="91"/>
      <c r="J26" s="31"/>
      <c r="K26" s="91"/>
      <c r="L26" s="31"/>
      <c r="M26" s="91"/>
      <c r="O26" s="91"/>
    </row>
    <row r="27" spans="1:15" s="27" customFormat="1" ht="42.75" customHeight="1" thickBot="1" x14ac:dyDescent="0.55000000000000004">
      <c r="A27" s="104" t="s">
        <v>210</v>
      </c>
      <c r="B27" s="105" t="s">
        <v>209</v>
      </c>
      <c r="C27" s="109">
        <f>C15-C25</f>
        <v>1142136.4900000095</v>
      </c>
      <c r="D27" s="109">
        <f>D15-D25</f>
        <v>4166650.4475007057</v>
      </c>
      <c r="E27" s="109">
        <f>D27-C27</f>
        <v>3024513.9575006962</v>
      </c>
      <c r="G27" s="109">
        <f>G15-G25</f>
        <v>5555533.9300003052</v>
      </c>
      <c r="I27" s="109">
        <f t="shared" ref="I27:M27" si="8">I15-I25</f>
        <v>5555533.9300003052</v>
      </c>
      <c r="J27" s="31"/>
      <c r="K27" s="109">
        <f t="shared" si="8"/>
        <v>1388883.4824995995</v>
      </c>
      <c r="L27" s="31"/>
      <c r="M27" s="109">
        <f t="shared" si="8"/>
        <v>4413397.4399991035</v>
      </c>
      <c r="O27" s="109">
        <f>-(O15-O25)</f>
        <v>-3024513.9574999809</v>
      </c>
    </row>
    <row r="28" spans="1:15" s="27" customFormat="1" ht="42.75" customHeight="1" x14ac:dyDescent="0.5">
      <c r="A28" s="104" t="s">
        <v>210</v>
      </c>
      <c r="B28" s="107"/>
      <c r="C28" s="91"/>
      <c r="D28" s="91"/>
      <c r="E28" s="91"/>
      <c r="G28" s="91"/>
      <c r="I28" s="91"/>
      <c r="J28" s="31"/>
      <c r="K28" s="91"/>
      <c r="L28" s="31"/>
      <c r="M28" s="91"/>
      <c r="O28" s="91"/>
    </row>
    <row r="29" spans="1:15" s="27" customFormat="1" ht="42.75" customHeight="1" x14ac:dyDescent="0.5">
      <c r="A29" s="104" t="s">
        <v>210</v>
      </c>
      <c r="B29" s="105" t="s">
        <v>207</v>
      </c>
      <c r="C29" s="91"/>
      <c r="D29" s="91"/>
      <c r="E29" s="91"/>
      <c r="G29" s="91"/>
      <c r="I29" s="91"/>
      <c r="J29" s="31"/>
      <c r="K29" s="91"/>
      <c r="M29" s="91"/>
      <c r="O29" s="91"/>
    </row>
    <row r="30" spans="1:15" s="27" customFormat="1" ht="42.75" customHeight="1" x14ac:dyDescent="0.5">
      <c r="A30" s="104" t="s">
        <v>210</v>
      </c>
      <c r="B30" s="107"/>
      <c r="C30" s="91"/>
      <c r="D30" s="91"/>
      <c r="E30" s="91"/>
      <c r="G30" s="91"/>
      <c r="I30" s="91"/>
      <c r="J30" s="31"/>
      <c r="K30" s="91"/>
      <c r="M30" s="91"/>
      <c r="O30" s="91"/>
    </row>
    <row r="31" spans="1:15" s="27" customFormat="1" ht="42.75" customHeight="1" x14ac:dyDescent="0.5">
      <c r="A31" s="104" t="s">
        <v>210</v>
      </c>
      <c r="B31" s="105" t="s">
        <v>223</v>
      </c>
      <c r="C31" s="91"/>
      <c r="D31" s="91"/>
      <c r="E31" s="91"/>
      <c r="G31" s="91"/>
      <c r="I31" s="91"/>
      <c r="J31" s="31"/>
      <c r="K31" s="91"/>
      <c r="M31" s="91"/>
      <c r="O31" s="91"/>
    </row>
    <row r="32" spans="1:15" s="27" customFormat="1" ht="42.75" customHeight="1" x14ac:dyDescent="0.5">
      <c r="A32" s="104" t="s">
        <v>210</v>
      </c>
      <c r="B32" s="107" t="s">
        <v>224</v>
      </c>
      <c r="C32" s="91">
        <f>'Comp YTD 2020-2019 '!B37</f>
        <v>242616.64</v>
      </c>
      <c r="D32" s="91">
        <f>CNT!P208</f>
        <v>1955056.6875</v>
      </c>
      <c r="E32" s="91">
        <f>D32-C32</f>
        <v>1712440.0474999999</v>
      </c>
      <c r="G32" s="91">
        <f>CNT!Q208</f>
        <v>2606742.25</v>
      </c>
      <c r="I32" s="91">
        <f>CNT!R208</f>
        <v>2606742.25</v>
      </c>
      <c r="J32" s="31"/>
      <c r="K32" s="91">
        <f t="shared" ref="K32" si="9">G32-D32</f>
        <v>651685.5625</v>
      </c>
      <c r="M32" s="91">
        <f t="shared" ref="M32" si="10">G32-C32</f>
        <v>2364125.61</v>
      </c>
      <c r="O32" s="91">
        <f>M32-K32</f>
        <v>1712440.0474999999</v>
      </c>
    </row>
    <row r="33" spans="1:15" s="27" customFormat="1" ht="42.75" customHeight="1" x14ac:dyDescent="0.5">
      <c r="A33" s="104" t="s">
        <v>210</v>
      </c>
      <c r="B33" s="107" t="s">
        <v>531</v>
      </c>
      <c r="C33" s="91">
        <f>'Comp YTD 2020-2019 '!B38</f>
        <v>17957.400000000001</v>
      </c>
      <c r="D33" s="91">
        <f>CNT!P209</f>
        <v>119681.73</v>
      </c>
      <c r="E33" s="91">
        <f t="shared" ref="E33:E41" si="11">D33-C33</f>
        <v>101724.32999999999</v>
      </c>
      <c r="G33" s="91">
        <f>CNT!Q209</f>
        <v>159575.63999999998</v>
      </c>
      <c r="I33" s="91">
        <f>CNT!R209</f>
        <v>286.27999999999997</v>
      </c>
      <c r="J33" s="31"/>
      <c r="K33" s="91">
        <f t="shared" ref="K33:K41" si="12">G33-D33</f>
        <v>39893.909999999989</v>
      </c>
      <c r="M33" s="91">
        <f t="shared" ref="M33:M41" si="13">G33-C33</f>
        <v>141618.23999999999</v>
      </c>
      <c r="O33" s="91">
        <f t="shared" ref="O33:O41" si="14">M33-K33</f>
        <v>101724.33</v>
      </c>
    </row>
    <row r="34" spans="1:15" s="27" customFormat="1" ht="42.75" customHeight="1" x14ac:dyDescent="0.5">
      <c r="A34" s="104" t="s">
        <v>210</v>
      </c>
      <c r="B34" s="107" t="s">
        <v>225</v>
      </c>
      <c r="C34" s="91">
        <f>'Comp YTD 2020-2019 '!B39</f>
        <v>1544.13</v>
      </c>
      <c r="D34" s="91">
        <f>CNT!P210</f>
        <v>28710.75</v>
      </c>
      <c r="E34" s="91">
        <f t="shared" si="11"/>
        <v>27166.62</v>
      </c>
      <c r="G34" s="91">
        <f>CNT!Q210</f>
        <v>38281</v>
      </c>
      <c r="I34" s="91">
        <f>CNT!R210</f>
        <v>38281</v>
      </c>
      <c r="J34" s="31"/>
      <c r="K34" s="91">
        <f t="shared" si="12"/>
        <v>9570.25</v>
      </c>
      <c r="M34" s="91">
        <f t="shared" si="13"/>
        <v>36736.870000000003</v>
      </c>
      <c r="O34" s="91">
        <f t="shared" si="14"/>
        <v>27166.620000000003</v>
      </c>
    </row>
    <row r="35" spans="1:15" s="27" customFormat="1" ht="42.75" customHeight="1" x14ac:dyDescent="0.5">
      <c r="A35" s="104" t="s">
        <v>210</v>
      </c>
      <c r="B35" s="107" t="s">
        <v>226</v>
      </c>
      <c r="C35" s="91">
        <f>'Comp YTD 2020-2019 '!B40</f>
        <v>25587.14</v>
      </c>
      <c r="D35" s="91">
        <f>CNT!P211</f>
        <v>157327.73249999998</v>
      </c>
      <c r="E35" s="91">
        <f t="shared" si="11"/>
        <v>131740.59249999997</v>
      </c>
      <c r="G35" s="91">
        <f>CNT!Q211</f>
        <v>209770.30999999997</v>
      </c>
      <c r="I35" s="91">
        <f>CNT!R211</f>
        <v>209770.30999999997</v>
      </c>
      <c r="J35" s="31"/>
      <c r="K35" s="91">
        <f t="shared" si="12"/>
        <v>52442.577499999985</v>
      </c>
      <c r="M35" s="91">
        <f t="shared" si="13"/>
        <v>184183.16999999998</v>
      </c>
      <c r="O35" s="91">
        <f t="shared" si="14"/>
        <v>131740.5925</v>
      </c>
    </row>
    <row r="36" spans="1:15" s="27" customFormat="1" ht="42.75" customHeight="1" x14ac:dyDescent="0.5">
      <c r="A36" s="104" t="s">
        <v>210</v>
      </c>
      <c r="B36" s="107" t="s">
        <v>227</v>
      </c>
      <c r="C36" s="91">
        <f>'Comp YTD 2020-2019 '!B41</f>
        <v>28222.57</v>
      </c>
      <c r="D36" s="91">
        <f>CNT!P212</f>
        <v>202311</v>
      </c>
      <c r="E36" s="91">
        <f t="shared" si="11"/>
        <v>174088.43</v>
      </c>
      <c r="G36" s="91">
        <f>CNT!Q212</f>
        <v>269748</v>
      </c>
      <c r="I36" s="91">
        <f>CNT!R212</f>
        <v>223406.7</v>
      </c>
      <c r="J36" s="31"/>
      <c r="K36" s="91">
        <f t="shared" si="12"/>
        <v>67437</v>
      </c>
      <c r="M36" s="91">
        <f t="shared" si="13"/>
        <v>241525.43</v>
      </c>
      <c r="O36" s="91">
        <f t="shared" si="14"/>
        <v>174088.43</v>
      </c>
    </row>
    <row r="37" spans="1:15" s="27" customFormat="1" ht="42.75" customHeight="1" x14ac:dyDescent="0.5">
      <c r="A37" s="104" t="s">
        <v>210</v>
      </c>
      <c r="B37" s="107" t="s">
        <v>228</v>
      </c>
      <c r="C37" s="91">
        <f>'Comp YTD 2020-2019 '!B42</f>
        <v>4102.88</v>
      </c>
      <c r="D37" s="91">
        <f>CNT!P213</f>
        <v>29250</v>
      </c>
      <c r="E37" s="91">
        <f t="shared" si="11"/>
        <v>25147.119999999999</v>
      </c>
      <c r="G37" s="91">
        <f>CNT!Q213</f>
        <v>39000</v>
      </c>
      <c r="I37" s="91">
        <f>CNT!R213</f>
        <v>31540.97</v>
      </c>
      <c r="J37" s="31"/>
      <c r="K37" s="91">
        <f t="shared" si="12"/>
        <v>9750</v>
      </c>
      <c r="M37" s="91">
        <f t="shared" si="13"/>
        <v>34897.120000000003</v>
      </c>
      <c r="O37" s="91">
        <f t="shared" si="14"/>
        <v>25147.120000000003</v>
      </c>
    </row>
    <row r="38" spans="1:15" s="27" customFormat="1" ht="42.75" customHeight="1" x14ac:dyDescent="0.5">
      <c r="A38" s="104" t="s">
        <v>210</v>
      </c>
      <c r="B38" s="107" t="s">
        <v>229</v>
      </c>
      <c r="C38" s="91">
        <f>'Comp YTD 2020-2019 '!B43</f>
        <v>4264.72</v>
      </c>
      <c r="D38" s="91">
        <f>CNT!P214</f>
        <v>90000</v>
      </c>
      <c r="E38" s="91">
        <f t="shared" si="11"/>
        <v>85735.28</v>
      </c>
      <c r="G38" s="91">
        <f>CNT!Q214</f>
        <v>120000</v>
      </c>
      <c r="I38" s="91">
        <f>CNT!R214</f>
        <v>77546.92</v>
      </c>
      <c r="J38" s="31"/>
      <c r="K38" s="91">
        <f t="shared" si="12"/>
        <v>30000</v>
      </c>
      <c r="M38" s="91">
        <f t="shared" si="13"/>
        <v>115735.28</v>
      </c>
      <c r="O38" s="91">
        <f t="shared" si="14"/>
        <v>85735.28</v>
      </c>
    </row>
    <row r="39" spans="1:15" s="27" customFormat="1" ht="42.75" customHeight="1" x14ac:dyDescent="0.5">
      <c r="A39" s="104" t="s">
        <v>210</v>
      </c>
      <c r="B39" s="107" t="s">
        <v>305</v>
      </c>
      <c r="C39" s="91">
        <f>'Comp YTD 2020-2019 '!B44</f>
        <v>6937.79</v>
      </c>
      <c r="D39" s="91">
        <f>CNT!P215+CNT!P216+CNT!P221</f>
        <v>20144.3475</v>
      </c>
      <c r="E39" s="91">
        <f t="shared" si="11"/>
        <v>13206.557499999999</v>
      </c>
      <c r="G39" s="91">
        <f>CNT!Q215+CNT!Q216+CNT!Q221</f>
        <v>26859.13</v>
      </c>
      <c r="I39" s="91">
        <f>CNT!R215+CNT!R216+CNT!R221</f>
        <v>17354.98</v>
      </c>
      <c r="J39" s="31"/>
      <c r="K39" s="91">
        <f t="shared" si="12"/>
        <v>6714.7825000000012</v>
      </c>
      <c r="M39" s="91">
        <f t="shared" si="13"/>
        <v>19921.34</v>
      </c>
      <c r="O39" s="91">
        <f t="shared" si="14"/>
        <v>13206.557499999999</v>
      </c>
    </row>
    <row r="40" spans="1:15" s="27" customFormat="1" ht="42.75" customHeight="1" x14ac:dyDescent="0.5">
      <c r="A40" s="104" t="s">
        <v>210</v>
      </c>
      <c r="B40" s="107" t="s">
        <v>230</v>
      </c>
      <c r="C40" s="91">
        <f>'Comp YTD 2020-2019 '!B45</f>
        <v>0</v>
      </c>
      <c r="D40" s="91">
        <f>CNT!P219+CNT!P217</f>
        <v>5438.8050000000003</v>
      </c>
      <c r="E40" s="91">
        <f t="shared" si="11"/>
        <v>5438.8050000000003</v>
      </c>
      <c r="G40" s="91">
        <f>CNT!Q219+CNT!Q217</f>
        <v>7251.74</v>
      </c>
      <c r="I40" s="91">
        <f>CNT!R219+CNT!R217</f>
        <v>7251.74</v>
      </c>
      <c r="J40" s="31"/>
      <c r="K40" s="91">
        <f t="shared" si="12"/>
        <v>1812.9349999999995</v>
      </c>
      <c r="M40" s="91">
        <f t="shared" si="13"/>
        <v>7251.74</v>
      </c>
      <c r="O40" s="91">
        <f t="shared" si="14"/>
        <v>5438.8050000000003</v>
      </c>
    </row>
    <row r="41" spans="1:15" s="27" customFormat="1" ht="42.75" customHeight="1" x14ac:dyDescent="0.5">
      <c r="A41" s="104" t="s">
        <v>210</v>
      </c>
      <c r="B41" s="107" t="s">
        <v>244</v>
      </c>
      <c r="C41" s="91">
        <f>'Comp YTD 2020-2019 '!B46</f>
        <v>6000</v>
      </c>
      <c r="D41" s="91">
        <f>+CNT!P250</f>
        <v>28319.227500000001</v>
      </c>
      <c r="E41" s="91">
        <f t="shared" si="11"/>
        <v>22319.227500000001</v>
      </c>
      <c r="G41" s="91">
        <f>+CNT!Q250</f>
        <v>37758.97</v>
      </c>
      <c r="I41" s="91">
        <f>+CNT!R250</f>
        <v>37758.97</v>
      </c>
      <c r="J41" s="31"/>
      <c r="K41" s="91">
        <f t="shared" si="12"/>
        <v>9439.7425000000003</v>
      </c>
      <c r="M41" s="91">
        <f t="shared" si="13"/>
        <v>31758.97</v>
      </c>
      <c r="O41" s="91">
        <f t="shared" si="14"/>
        <v>22319.227500000001</v>
      </c>
    </row>
    <row r="42" spans="1:15" s="27" customFormat="1" ht="42.75" customHeight="1" x14ac:dyDescent="0.5">
      <c r="A42" s="104" t="s">
        <v>210</v>
      </c>
      <c r="B42" s="105" t="s">
        <v>231</v>
      </c>
      <c r="C42" s="108">
        <f>SUM(C32:C41)</f>
        <v>337233.26999999996</v>
      </c>
      <c r="D42" s="108">
        <f t="shared" ref="D42" si="15">SUM(D32:D41)</f>
        <v>2636240.2800000003</v>
      </c>
      <c r="E42" s="108">
        <f>SUM(E32:E41)</f>
        <v>2299007.0100000002</v>
      </c>
      <c r="G42" s="108">
        <f t="shared" ref="G42:I42" si="16">SUM(G32:G41)</f>
        <v>3514987.0400000005</v>
      </c>
      <c r="I42" s="108">
        <f t="shared" si="16"/>
        <v>3249940.1200000006</v>
      </c>
      <c r="J42" s="31"/>
      <c r="K42" s="108">
        <f>SUM(K32:K41)</f>
        <v>878746.76000000013</v>
      </c>
      <c r="M42" s="108">
        <f>SUM(M32:M41)</f>
        <v>3177753.77</v>
      </c>
      <c r="O42" s="108">
        <f>SUM(O32:O41)</f>
        <v>2299007.0100000002</v>
      </c>
    </row>
    <row r="43" spans="1:15" s="27" customFormat="1" ht="42.75" customHeight="1" x14ac:dyDescent="0.5">
      <c r="A43" s="104" t="s">
        <v>210</v>
      </c>
      <c r="B43" s="107"/>
      <c r="C43" s="91"/>
      <c r="D43" s="91">
        <f>2200*12</f>
        <v>26400</v>
      </c>
      <c r="E43" s="91"/>
      <c r="G43" s="91"/>
      <c r="I43" s="91"/>
      <c r="J43" s="31"/>
      <c r="K43" s="91"/>
      <c r="M43" s="91"/>
      <c r="O43" s="91"/>
    </row>
    <row r="44" spans="1:15" s="27" customFormat="1" ht="42.75" customHeight="1" x14ac:dyDescent="0.5">
      <c r="A44" s="104" t="s">
        <v>210</v>
      </c>
      <c r="B44" s="105" t="s">
        <v>477</v>
      </c>
      <c r="C44" s="91"/>
      <c r="D44" s="91"/>
      <c r="E44" s="91"/>
      <c r="G44" s="91"/>
      <c r="I44" s="91"/>
      <c r="J44" s="31"/>
      <c r="K44" s="91"/>
      <c r="M44" s="91"/>
      <c r="O44" s="91"/>
    </row>
    <row r="45" spans="1:15" s="27" customFormat="1" ht="42.75" customHeight="1" x14ac:dyDescent="0.5">
      <c r="A45" s="104" t="s">
        <v>210</v>
      </c>
      <c r="B45" s="107" t="s">
        <v>232</v>
      </c>
      <c r="C45" s="91">
        <f>'Comp YTD 2020-2019 '!B50</f>
        <v>41700</v>
      </c>
      <c r="D45" s="91">
        <f>CNT!P225+CNT!P245</f>
        <v>375300</v>
      </c>
      <c r="E45" s="91">
        <f>D45-C45</f>
        <v>333600</v>
      </c>
      <c r="G45" s="91">
        <f>CNT!Q225+CNT!Q224+CNT!Q245</f>
        <v>550400</v>
      </c>
      <c r="I45" s="91">
        <f>CNT!R225+CNT!R224+CNT!R245</f>
        <v>550400</v>
      </c>
      <c r="J45" s="31"/>
      <c r="K45" s="91">
        <f t="shared" ref="K45" si="17">G45-D45</f>
        <v>175100</v>
      </c>
      <c r="M45" s="91">
        <f>G45-C45</f>
        <v>508700</v>
      </c>
      <c r="O45" s="91">
        <f>M45-K45</f>
        <v>333600</v>
      </c>
    </row>
    <row r="46" spans="1:15" s="27" customFormat="1" ht="42.75" customHeight="1" x14ac:dyDescent="0.5">
      <c r="A46" s="104" t="s">
        <v>210</v>
      </c>
      <c r="B46" s="107" t="s">
        <v>233</v>
      </c>
      <c r="C46" s="91">
        <f>'Comp YTD 2020-2019 '!B51</f>
        <v>6970.86</v>
      </c>
      <c r="D46" s="91">
        <f>CNT!P226</f>
        <v>7999.5375000000022</v>
      </c>
      <c r="E46" s="91">
        <f t="shared" ref="E46:E66" si="18">D46-C46</f>
        <v>1028.6775000000025</v>
      </c>
      <c r="G46" s="91">
        <f>CNT!Q226</f>
        <v>10666.050000000003</v>
      </c>
      <c r="I46" s="91">
        <f>CNT!R226</f>
        <v>10666.050000000003</v>
      </c>
      <c r="J46" s="31"/>
      <c r="K46" s="91">
        <f t="shared" ref="K46:K66" si="19">G46-D46</f>
        <v>2666.5125000000007</v>
      </c>
      <c r="M46" s="91">
        <f t="shared" ref="M46:M66" si="20">G46-C46</f>
        <v>3695.1900000000032</v>
      </c>
      <c r="O46" s="91">
        <f t="shared" ref="O46:O66" si="21">M46-K46</f>
        <v>1028.6775000000025</v>
      </c>
    </row>
    <row r="47" spans="1:15" s="27" customFormat="1" ht="42.75" customHeight="1" x14ac:dyDescent="0.5">
      <c r="A47" s="104" t="s">
        <v>210</v>
      </c>
      <c r="B47" s="107" t="s">
        <v>234</v>
      </c>
      <c r="C47" s="91">
        <f>'Comp YTD 2020-2019 '!B52</f>
        <v>1694.68</v>
      </c>
      <c r="D47" s="91">
        <f>CNT!P227</f>
        <v>7942.8449999999993</v>
      </c>
      <c r="E47" s="91">
        <f t="shared" si="18"/>
        <v>6248.1649999999991</v>
      </c>
      <c r="G47" s="91">
        <f>CNT!Q227</f>
        <v>10590.46</v>
      </c>
      <c r="I47" s="91">
        <f>CNT!R227</f>
        <v>10590.46</v>
      </c>
      <c r="J47" s="31"/>
      <c r="K47" s="91">
        <f t="shared" si="19"/>
        <v>2647.6149999999998</v>
      </c>
      <c r="M47" s="91">
        <f t="shared" si="20"/>
        <v>8895.7799999999988</v>
      </c>
      <c r="O47" s="91">
        <f t="shared" si="21"/>
        <v>6248.1649999999991</v>
      </c>
    </row>
    <row r="48" spans="1:15" s="27" customFormat="1" ht="42.75" customHeight="1" x14ac:dyDescent="0.5">
      <c r="A48" s="104" t="s">
        <v>210</v>
      </c>
      <c r="B48" s="107" t="s">
        <v>333</v>
      </c>
      <c r="C48" s="91">
        <f>'Comp YTD 2020-2019 '!B53</f>
        <v>310.85000000000002</v>
      </c>
      <c r="D48" s="91">
        <f>CNT!P228</f>
        <v>808.84500000000003</v>
      </c>
      <c r="E48" s="91">
        <f t="shared" si="18"/>
        <v>497.995</v>
      </c>
      <c r="G48" s="91">
        <f>CNT!Q228</f>
        <v>1078.46</v>
      </c>
      <c r="I48" s="91">
        <f>CNT!R228</f>
        <v>1078.46</v>
      </c>
      <c r="J48" s="31"/>
      <c r="K48" s="91">
        <f t="shared" si="19"/>
        <v>269.61500000000001</v>
      </c>
      <c r="M48" s="91">
        <f t="shared" si="20"/>
        <v>767.61</v>
      </c>
      <c r="O48" s="91">
        <f t="shared" si="21"/>
        <v>497.995</v>
      </c>
    </row>
    <row r="49" spans="1:15" s="27" customFormat="1" ht="42.75" customHeight="1" x14ac:dyDescent="0.5">
      <c r="A49" s="104" t="s">
        <v>210</v>
      </c>
      <c r="B49" s="107" t="s">
        <v>288</v>
      </c>
      <c r="C49" s="91">
        <f>'Comp YTD 2020-2019 '!B54</f>
        <v>222.53</v>
      </c>
      <c r="D49" s="91">
        <f>CNT!P229</f>
        <v>401.51249999999993</v>
      </c>
      <c r="E49" s="91">
        <f t="shared" si="18"/>
        <v>178.98249999999993</v>
      </c>
      <c r="G49" s="91">
        <f>CNT!Q229</f>
        <v>535.34999999999991</v>
      </c>
      <c r="I49" s="91">
        <f>CNT!R229</f>
        <v>535.34999999999991</v>
      </c>
      <c r="J49" s="31"/>
      <c r="K49" s="91">
        <f t="shared" si="19"/>
        <v>133.83749999999998</v>
      </c>
      <c r="M49" s="91">
        <f t="shared" si="20"/>
        <v>312.81999999999994</v>
      </c>
      <c r="O49" s="91">
        <f t="shared" si="21"/>
        <v>178.98249999999996</v>
      </c>
    </row>
    <row r="50" spans="1:15" s="27" customFormat="1" ht="42.75" customHeight="1" x14ac:dyDescent="0.5">
      <c r="A50" s="104" t="s">
        <v>210</v>
      </c>
      <c r="B50" s="107" t="s">
        <v>437</v>
      </c>
      <c r="C50" s="91">
        <f>'Comp YTD 2020-2019 '!B55</f>
        <v>2500</v>
      </c>
      <c r="D50" s="91">
        <f>CNT!P230</f>
        <v>20242.5</v>
      </c>
      <c r="E50" s="91">
        <f t="shared" si="18"/>
        <v>17742.5</v>
      </c>
      <c r="G50" s="91">
        <f>CNT!Q230</f>
        <v>26990</v>
      </c>
      <c r="I50" s="91">
        <f>CNT!R230</f>
        <v>26990</v>
      </c>
      <c r="J50" s="31"/>
      <c r="K50" s="91">
        <f t="shared" si="19"/>
        <v>6747.5</v>
      </c>
      <c r="M50" s="91">
        <f t="shared" si="20"/>
        <v>24490</v>
      </c>
      <c r="O50" s="91">
        <f t="shared" si="21"/>
        <v>17742.5</v>
      </c>
    </row>
    <row r="51" spans="1:15" s="27" customFormat="1" ht="42.75" customHeight="1" x14ac:dyDescent="0.5">
      <c r="A51" s="104" t="s">
        <v>210</v>
      </c>
      <c r="B51" s="107" t="s">
        <v>370</v>
      </c>
      <c r="C51" s="91">
        <f>'Comp YTD 2020-2019 '!B56</f>
        <v>6839.76</v>
      </c>
      <c r="D51" s="91">
        <f>CNT!P231</f>
        <v>96610.882499999992</v>
      </c>
      <c r="E51" s="91">
        <f t="shared" si="18"/>
        <v>89771.122499999998</v>
      </c>
      <c r="G51" s="91">
        <f>CNT!Q231</f>
        <v>128814.51</v>
      </c>
      <c r="I51" s="91">
        <f>CNT!R231</f>
        <v>128814.51</v>
      </c>
      <c r="J51" s="31"/>
      <c r="K51" s="91">
        <f t="shared" si="19"/>
        <v>32203.627500000002</v>
      </c>
      <c r="M51" s="91">
        <f t="shared" si="20"/>
        <v>121974.75</v>
      </c>
      <c r="O51" s="91">
        <f t="shared" si="21"/>
        <v>89771.122499999998</v>
      </c>
    </row>
    <row r="52" spans="1:15" s="27" customFormat="1" ht="42.75" customHeight="1" x14ac:dyDescent="0.5">
      <c r="A52" s="104" t="s">
        <v>210</v>
      </c>
      <c r="B52" s="107" t="s">
        <v>368</v>
      </c>
      <c r="C52" s="91">
        <f>'Comp YTD 2020-2019 '!B57</f>
        <v>0</v>
      </c>
      <c r="D52" s="91">
        <f>CNT!P242</f>
        <v>20271.052499999994</v>
      </c>
      <c r="E52" s="91">
        <f t="shared" si="18"/>
        <v>20271.052499999994</v>
      </c>
      <c r="G52" s="91">
        <f>CNT!Q242</f>
        <v>27028.069999999996</v>
      </c>
      <c r="I52" s="91">
        <f>CNT!R242</f>
        <v>27028.069999999996</v>
      </c>
      <c r="J52" s="31"/>
      <c r="K52" s="91">
        <f t="shared" si="19"/>
        <v>6757.0175000000017</v>
      </c>
      <c r="M52" s="91">
        <f t="shared" si="20"/>
        <v>27028.069999999996</v>
      </c>
      <c r="O52" s="91">
        <f t="shared" si="21"/>
        <v>20271.052499999994</v>
      </c>
    </row>
    <row r="53" spans="1:15" s="27" customFormat="1" ht="42.75" customHeight="1" x14ac:dyDescent="0.5">
      <c r="A53" s="104" t="s">
        <v>210</v>
      </c>
      <c r="B53" s="107" t="s">
        <v>237</v>
      </c>
      <c r="C53" s="91">
        <f>'Comp YTD 2020-2019 '!B58</f>
        <v>9268.0499999999993</v>
      </c>
      <c r="D53" s="91">
        <f>CNT!P232</f>
        <v>82287</v>
      </c>
      <c r="E53" s="91">
        <f t="shared" si="18"/>
        <v>73018.95</v>
      </c>
      <c r="G53" s="91">
        <f>CNT!Q232</f>
        <v>109716</v>
      </c>
      <c r="I53" s="91">
        <f>CNT!R232</f>
        <v>107137.28000000001</v>
      </c>
      <c r="J53" s="31"/>
      <c r="K53" s="91">
        <f t="shared" si="19"/>
        <v>27429</v>
      </c>
      <c r="M53" s="91">
        <f t="shared" si="20"/>
        <v>100447.95</v>
      </c>
      <c r="O53" s="91">
        <f t="shared" si="21"/>
        <v>73018.95</v>
      </c>
    </row>
    <row r="54" spans="1:15" s="27" customFormat="1" ht="42.75" customHeight="1" x14ac:dyDescent="0.5">
      <c r="A54" s="104" t="s">
        <v>210</v>
      </c>
      <c r="B54" s="107" t="s">
        <v>238</v>
      </c>
      <c r="C54" s="91">
        <f>'Comp YTD 2020-2019 '!B59</f>
        <v>2429.77</v>
      </c>
      <c r="D54" s="91">
        <f>CNT!P233</f>
        <v>13754.699999999999</v>
      </c>
      <c r="E54" s="91">
        <f t="shared" si="18"/>
        <v>11324.929999999998</v>
      </c>
      <c r="G54" s="91">
        <f>CNT!Q233</f>
        <v>18339.599999999999</v>
      </c>
      <c r="I54" s="91">
        <f>CNT!R233</f>
        <v>38009.360000000001</v>
      </c>
      <c r="J54" s="31"/>
      <c r="K54" s="91">
        <f t="shared" si="19"/>
        <v>4584.8999999999996</v>
      </c>
      <c r="M54" s="91">
        <f t="shared" si="20"/>
        <v>15909.829999999998</v>
      </c>
      <c r="O54" s="91">
        <f t="shared" si="21"/>
        <v>11324.929999999998</v>
      </c>
    </row>
    <row r="55" spans="1:15" s="27" customFormat="1" ht="42.75" customHeight="1" x14ac:dyDescent="0.5">
      <c r="A55" s="104" t="s">
        <v>210</v>
      </c>
      <c r="B55" s="107" t="s">
        <v>236</v>
      </c>
      <c r="C55" s="91">
        <f>'Comp YTD 2020-2019 '!B60</f>
        <v>5339.08</v>
      </c>
      <c r="D55" s="91">
        <f>CNT!P234</f>
        <v>41030.579999999987</v>
      </c>
      <c r="E55" s="91">
        <f t="shared" si="18"/>
        <v>35691.499999999985</v>
      </c>
      <c r="G55" s="91">
        <f>CNT!Q234</f>
        <v>54707.439999999988</v>
      </c>
      <c r="I55" s="91">
        <f>CNT!R234</f>
        <v>54707.439999999988</v>
      </c>
      <c r="J55" s="31"/>
      <c r="K55" s="91">
        <f t="shared" si="19"/>
        <v>13676.86</v>
      </c>
      <c r="M55" s="91">
        <f t="shared" si="20"/>
        <v>49368.359999999986</v>
      </c>
      <c r="O55" s="91">
        <f t="shared" si="21"/>
        <v>35691.499999999985</v>
      </c>
    </row>
    <row r="56" spans="1:15" s="27" customFormat="1" ht="42.75" customHeight="1" x14ac:dyDescent="0.5">
      <c r="A56" s="104" t="s">
        <v>210</v>
      </c>
      <c r="B56" s="107" t="s">
        <v>350</v>
      </c>
      <c r="C56" s="91">
        <f>'Comp YTD 2020-2019 '!B67</f>
        <v>110</v>
      </c>
      <c r="D56" s="91">
        <f>CNT!P276</f>
        <v>2374.875</v>
      </c>
      <c r="E56" s="91">
        <f t="shared" si="18"/>
        <v>2264.875</v>
      </c>
      <c r="G56" s="91">
        <f>CNT!Q276</f>
        <v>3166.5</v>
      </c>
      <c r="I56" s="91">
        <f>CNT!R276</f>
        <v>3166.5</v>
      </c>
      <c r="J56" s="31"/>
      <c r="K56" s="91">
        <f t="shared" si="19"/>
        <v>791.625</v>
      </c>
      <c r="M56" s="91">
        <f t="shared" si="20"/>
        <v>3056.5</v>
      </c>
      <c r="O56" s="91">
        <f t="shared" si="21"/>
        <v>2264.875</v>
      </c>
    </row>
    <row r="57" spans="1:15" s="27" customFormat="1" ht="42.75" customHeight="1" x14ac:dyDescent="0.5">
      <c r="A57" s="104" t="s">
        <v>210</v>
      </c>
      <c r="B57" s="107" t="s">
        <v>353</v>
      </c>
      <c r="C57" s="91">
        <f>'Comp YTD 2020-2019 '!B61</f>
        <v>0</v>
      </c>
      <c r="D57" s="91">
        <f>CNT!P279</f>
        <v>22984.755000000001</v>
      </c>
      <c r="E57" s="91">
        <f t="shared" si="18"/>
        <v>22984.755000000001</v>
      </c>
      <c r="G57" s="91">
        <f>CNT!Q279</f>
        <v>30646.34</v>
      </c>
      <c r="I57" s="91">
        <f>CNT!R279</f>
        <v>30646.34</v>
      </c>
      <c r="J57" s="31"/>
      <c r="K57" s="91">
        <f t="shared" si="19"/>
        <v>7661.5849999999991</v>
      </c>
      <c r="M57" s="91">
        <f t="shared" si="20"/>
        <v>30646.34</v>
      </c>
      <c r="O57" s="91">
        <f t="shared" si="21"/>
        <v>22984.755000000001</v>
      </c>
    </row>
    <row r="58" spans="1:15" s="27" customFormat="1" ht="42.75" customHeight="1" x14ac:dyDescent="0.5">
      <c r="A58" s="104" t="s">
        <v>210</v>
      </c>
      <c r="B58" s="107" t="s">
        <v>239</v>
      </c>
      <c r="C58" s="91">
        <f>'Comp YTD 2020-2019 '!B62</f>
        <v>4399</v>
      </c>
      <c r="D58" s="91">
        <f>CNT!P235</f>
        <v>8488.7849999999999</v>
      </c>
      <c r="E58" s="91">
        <f t="shared" si="18"/>
        <v>4089.7849999999999</v>
      </c>
      <c r="G58" s="91">
        <f>CNT!Q235</f>
        <v>11318.38</v>
      </c>
      <c r="I58" s="91">
        <f>CNT!R235</f>
        <v>11318.38</v>
      </c>
      <c r="J58" s="31"/>
      <c r="K58" s="91">
        <f t="shared" si="19"/>
        <v>2829.5949999999993</v>
      </c>
      <c r="M58" s="91">
        <f t="shared" si="20"/>
        <v>6919.3799999999992</v>
      </c>
      <c r="O58" s="91">
        <f t="shared" si="21"/>
        <v>4089.7849999999999</v>
      </c>
    </row>
    <row r="59" spans="1:15" s="27" customFormat="1" ht="42.75" customHeight="1" x14ac:dyDescent="0.5">
      <c r="A59" s="104" t="s">
        <v>210</v>
      </c>
      <c r="B59" s="107" t="s">
        <v>240</v>
      </c>
      <c r="C59" s="91">
        <f>'Comp YTD 2020-2019 '!B63</f>
        <v>1602.29</v>
      </c>
      <c r="D59" s="91">
        <f>CNT!P236</f>
        <v>9151.739999999998</v>
      </c>
      <c r="E59" s="91">
        <f t="shared" si="18"/>
        <v>7549.449999999998</v>
      </c>
      <c r="G59" s="91">
        <f>CNT!Q236</f>
        <v>12202.319999999998</v>
      </c>
      <c r="I59" s="91">
        <f>CNT!R236</f>
        <v>12202.319999999998</v>
      </c>
      <c r="J59" s="31"/>
      <c r="K59" s="91">
        <f t="shared" si="19"/>
        <v>3050.58</v>
      </c>
      <c r="M59" s="91">
        <f t="shared" si="20"/>
        <v>10600.029999999999</v>
      </c>
      <c r="O59" s="91">
        <f t="shared" si="21"/>
        <v>7549.4499999999989</v>
      </c>
    </row>
    <row r="60" spans="1:15" s="27" customFormat="1" ht="42.75" customHeight="1" x14ac:dyDescent="0.5">
      <c r="A60" s="104" t="s">
        <v>210</v>
      </c>
      <c r="B60" s="107" t="s">
        <v>241</v>
      </c>
      <c r="C60" s="91">
        <f>'Comp YTD 2020-2019 '!B64</f>
        <v>0</v>
      </c>
      <c r="D60" s="91">
        <f>CNT!P238</f>
        <v>2999.97</v>
      </c>
      <c r="E60" s="91">
        <f t="shared" si="18"/>
        <v>2999.97</v>
      </c>
      <c r="G60" s="91">
        <f>CNT!Q238</f>
        <v>3999.9599999999996</v>
      </c>
      <c r="I60" s="91">
        <f>CNT!R238</f>
        <v>3999.9599999999996</v>
      </c>
      <c r="J60" s="31"/>
      <c r="K60" s="91">
        <f t="shared" si="19"/>
        <v>999.98999999999978</v>
      </c>
      <c r="M60" s="91">
        <f t="shared" si="20"/>
        <v>3999.9599999999996</v>
      </c>
      <c r="O60" s="91">
        <f t="shared" si="21"/>
        <v>2999.97</v>
      </c>
    </row>
    <row r="61" spans="1:15" s="27" customFormat="1" ht="42.75" customHeight="1" x14ac:dyDescent="0.5">
      <c r="A61" s="104" t="s">
        <v>210</v>
      </c>
      <c r="B61" s="107" t="s">
        <v>242</v>
      </c>
      <c r="C61" s="91">
        <f>'Comp YTD 2020-2019 '!B65</f>
        <v>106243.86</v>
      </c>
      <c r="D61" s="91">
        <f>CNT!P239+CNT!P244</f>
        <v>996750</v>
      </c>
      <c r="E61" s="91">
        <f t="shared" si="18"/>
        <v>890506.14</v>
      </c>
      <c r="G61" s="91">
        <f>CNT!Q239+CNT!Q244</f>
        <v>1329000</v>
      </c>
      <c r="I61" s="91">
        <f>CNT!R239+CNT!R244</f>
        <v>1486541.88</v>
      </c>
      <c r="J61" s="31"/>
      <c r="K61" s="91">
        <f t="shared" si="19"/>
        <v>332250</v>
      </c>
      <c r="M61" s="91">
        <f t="shared" si="20"/>
        <v>1222756.1399999999</v>
      </c>
      <c r="O61" s="91">
        <f t="shared" si="21"/>
        <v>890506.1399999999</v>
      </c>
    </row>
    <row r="62" spans="1:15" s="27" customFormat="1" ht="42.75" customHeight="1" x14ac:dyDescent="0.5">
      <c r="A62" s="104" t="s">
        <v>210</v>
      </c>
      <c r="B62" s="107" t="s">
        <v>252</v>
      </c>
      <c r="C62" s="91">
        <f>'Comp YTD 2020-2019 '!B66</f>
        <v>0</v>
      </c>
      <c r="D62" s="91">
        <f>CNT!P262</f>
        <v>1170.4575</v>
      </c>
      <c r="E62" s="91">
        <f t="shared" si="18"/>
        <v>1170.4575</v>
      </c>
      <c r="G62" s="91">
        <f>CNT!Q262</f>
        <v>1560.6100000000001</v>
      </c>
      <c r="I62" s="91">
        <f>CNT!R262</f>
        <v>1560.6100000000001</v>
      </c>
      <c r="J62" s="31"/>
      <c r="K62" s="91">
        <f t="shared" si="19"/>
        <v>390.15250000000015</v>
      </c>
      <c r="M62" s="91">
        <f t="shared" si="20"/>
        <v>1560.6100000000001</v>
      </c>
      <c r="O62" s="91">
        <f t="shared" si="21"/>
        <v>1170.4575</v>
      </c>
    </row>
    <row r="63" spans="1:15" s="27" customFormat="1" ht="42.75" customHeight="1" x14ac:dyDescent="0.5">
      <c r="A63" s="104" t="s">
        <v>210</v>
      </c>
      <c r="B63" s="107" t="s">
        <v>245</v>
      </c>
      <c r="C63" s="91">
        <f>'Comp YTD 2020-2019 '!B68</f>
        <v>1648.64</v>
      </c>
      <c r="D63" s="91">
        <f>CNT!P260</f>
        <v>13050</v>
      </c>
      <c r="E63" s="91">
        <f t="shared" si="18"/>
        <v>11401.36</v>
      </c>
      <c r="G63" s="91">
        <f>CNT!Q260</f>
        <v>17400</v>
      </c>
      <c r="I63" s="91">
        <f>CNT!R260</f>
        <v>17043.18</v>
      </c>
      <c r="J63" s="31"/>
      <c r="K63" s="91">
        <f t="shared" si="19"/>
        <v>4350</v>
      </c>
      <c r="M63" s="91">
        <f t="shared" si="20"/>
        <v>15751.36</v>
      </c>
      <c r="O63" s="91">
        <f t="shared" si="21"/>
        <v>11401.36</v>
      </c>
    </row>
    <row r="64" spans="1:15" s="27" customFormat="1" ht="42.75" customHeight="1" x14ac:dyDescent="0.5">
      <c r="A64" s="104" t="s">
        <v>210</v>
      </c>
      <c r="B64" s="107" t="s">
        <v>246</v>
      </c>
      <c r="C64" s="91">
        <f>'Comp YTD 2020-2019 '!B69</f>
        <v>10650.03</v>
      </c>
      <c r="D64" s="91">
        <f>CNT!P237+CNT!P243</f>
        <v>79132.5</v>
      </c>
      <c r="E64" s="91">
        <f t="shared" si="18"/>
        <v>68482.47</v>
      </c>
      <c r="G64" s="91">
        <f>CNT!Q237+CNT!Q243</f>
        <v>105510</v>
      </c>
      <c r="I64" s="91">
        <f>CNT!R237+CNT!R243</f>
        <v>134430.88999999996</v>
      </c>
      <c r="J64" s="31"/>
      <c r="K64" s="91">
        <f t="shared" si="19"/>
        <v>26377.5</v>
      </c>
      <c r="M64" s="91">
        <f t="shared" si="20"/>
        <v>94859.97</v>
      </c>
      <c r="O64" s="91">
        <f t="shared" si="21"/>
        <v>68482.47</v>
      </c>
    </row>
    <row r="65" spans="1:15" s="27" customFormat="1" ht="42.75" customHeight="1" x14ac:dyDescent="0.5">
      <c r="A65" s="104" t="s">
        <v>210</v>
      </c>
      <c r="B65" s="107" t="s">
        <v>362</v>
      </c>
      <c r="C65" s="91">
        <f>'Comp YTD 2020-2019 '!B70</f>
        <v>850.77</v>
      </c>
      <c r="D65" s="91">
        <f>CNT!P240</f>
        <v>23638.334999999999</v>
      </c>
      <c r="E65" s="91">
        <f t="shared" si="18"/>
        <v>22787.564999999999</v>
      </c>
      <c r="G65" s="91">
        <f>CNT!Q240</f>
        <v>31517.78</v>
      </c>
      <c r="I65" s="91">
        <f>CNT!R240</f>
        <v>31517.78</v>
      </c>
      <c r="J65" s="31"/>
      <c r="K65" s="91">
        <f t="shared" si="19"/>
        <v>7879.4449999999997</v>
      </c>
      <c r="M65" s="91">
        <f t="shared" si="20"/>
        <v>30667.01</v>
      </c>
      <c r="O65" s="91">
        <f t="shared" si="21"/>
        <v>22787.564999999999</v>
      </c>
    </row>
    <row r="66" spans="1:15" s="27" customFormat="1" ht="42.75" customHeight="1" x14ac:dyDescent="0.5">
      <c r="A66" s="104" t="s">
        <v>210</v>
      </c>
      <c r="B66" s="107" t="s">
        <v>363</v>
      </c>
      <c r="C66" s="91">
        <f>'Comp YTD 2020-2019 '!B71</f>
        <v>2324.39</v>
      </c>
      <c r="D66" s="91">
        <f>CNT!P241</f>
        <v>28476</v>
      </c>
      <c r="E66" s="91">
        <f t="shared" si="18"/>
        <v>26151.61</v>
      </c>
      <c r="G66" s="91">
        <f>CNT!Q241</f>
        <v>37968</v>
      </c>
      <c r="I66" s="91">
        <f>CNT!R241</f>
        <v>22152.17</v>
      </c>
      <c r="J66" s="31"/>
      <c r="K66" s="91">
        <f t="shared" si="19"/>
        <v>9492</v>
      </c>
      <c r="M66" s="91">
        <f t="shared" si="20"/>
        <v>35643.61</v>
      </c>
      <c r="O66" s="91">
        <f t="shared" si="21"/>
        <v>26151.61</v>
      </c>
    </row>
    <row r="67" spans="1:15" s="27" customFormat="1" ht="42.75" customHeight="1" x14ac:dyDescent="0.5">
      <c r="A67" s="104" t="s">
        <v>210</v>
      </c>
      <c r="B67" s="105" t="s">
        <v>247</v>
      </c>
      <c r="C67" s="108">
        <f>SUM(C45:C66)</f>
        <v>205104.56</v>
      </c>
      <c r="D67" s="108">
        <f t="shared" ref="D67:E67" si="22">SUM(D45:D66)</f>
        <v>1854866.8724999998</v>
      </c>
      <c r="E67" s="108">
        <f t="shared" si="22"/>
        <v>1649762.3125000002</v>
      </c>
      <c r="G67" s="108">
        <f t="shared" ref="G67:I67" si="23">SUM(G45:G66)</f>
        <v>2523155.8299999991</v>
      </c>
      <c r="I67" s="108">
        <f t="shared" si="23"/>
        <v>2710536.9899999993</v>
      </c>
      <c r="J67" s="31"/>
      <c r="K67" s="108">
        <f>SUM(K45:K66)</f>
        <v>668288.9574999999</v>
      </c>
      <c r="M67" s="108">
        <f>SUM(M45:M66)</f>
        <v>2318051.2699999991</v>
      </c>
      <c r="O67" s="108">
        <f>SUM(O45:O66)</f>
        <v>1649762.3125</v>
      </c>
    </row>
    <row r="68" spans="1:15" s="27" customFormat="1" ht="42.75" customHeight="1" x14ac:dyDescent="0.5">
      <c r="A68" s="104" t="s">
        <v>210</v>
      </c>
      <c r="B68" s="107"/>
      <c r="C68" s="91"/>
      <c r="D68" s="91"/>
      <c r="E68" s="91"/>
      <c r="G68" s="91"/>
      <c r="I68" s="91"/>
      <c r="J68" s="31"/>
      <c r="K68" s="91"/>
      <c r="M68" s="91"/>
      <c r="O68" s="91"/>
    </row>
    <row r="69" spans="1:15" s="27" customFormat="1" ht="42.75" customHeight="1" x14ac:dyDescent="0.5">
      <c r="A69" s="104" t="s">
        <v>210</v>
      </c>
      <c r="B69" s="105" t="s">
        <v>248</v>
      </c>
      <c r="C69" s="91"/>
      <c r="D69" s="91"/>
      <c r="E69" s="91"/>
      <c r="G69" s="91"/>
      <c r="I69" s="91"/>
      <c r="J69" s="31"/>
      <c r="K69" s="91"/>
      <c r="M69" s="91"/>
      <c r="O69" s="91"/>
    </row>
    <row r="70" spans="1:15" s="27" customFormat="1" ht="42.75" customHeight="1" x14ac:dyDescent="0.5">
      <c r="A70" s="104" t="s">
        <v>210</v>
      </c>
      <c r="B70" s="107" t="s">
        <v>249</v>
      </c>
      <c r="C70" s="91">
        <f>'Comp YTD 2020-2019 '!B81</f>
        <v>1825.07</v>
      </c>
      <c r="D70" s="91">
        <f>CNT!P251</f>
        <v>8026.5225000000009</v>
      </c>
      <c r="E70" s="91">
        <f>D70-C70</f>
        <v>6201.4525000000012</v>
      </c>
      <c r="G70" s="91">
        <f>CNT!Q251</f>
        <v>10702.03</v>
      </c>
      <c r="I70" s="91">
        <f>CNT!R251</f>
        <v>10702.03</v>
      </c>
      <c r="J70" s="31"/>
      <c r="K70" s="91">
        <f t="shared" ref="K70" si="24">G70-D70</f>
        <v>2675.5074999999997</v>
      </c>
      <c r="M70" s="91">
        <f t="shared" ref="M70" si="25">G70-C70</f>
        <v>8876.9600000000009</v>
      </c>
      <c r="O70" s="91">
        <f>M70-K70</f>
        <v>6201.4525000000012</v>
      </c>
    </row>
    <row r="71" spans="1:15" s="27" customFormat="1" ht="42.75" customHeight="1" x14ac:dyDescent="0.5">
      <c r="A71" s="104" t="s">
        <v>210</v>
      </c>
      <c r="B71" s="107" t="s">
        <v>385</v>
      </c>
      <c r="C71" s="91">
        <f>'Comp YTD 2020-2019 '!B82</f>
        <v>125</v>
      </c>
      <c r="D71" s="91">
        <f>CNT!P249</f>
        <v>3375</v>
      </c>
      <c r="E71" s="91">
        <f t="shared" ref="E71:E89" si="26">D71-C71</f>
        <v>3250</v>
      </c>
      <c r="G71" s="91">
        <f>CNT!Q249</f>
        <v>4500</v>
      </c>
      <c r="I71" s="91">
        <f>CNT!R249</f>
        <v>4500</v>
      </c>
      <c r="J71" s="31"/>
      <c r="K71" s="91">
        <f t="shared" ref="K71:K89" si="27">G71-D71</f>
        <v>1125</v>
      </c>
      <c r="M71" s="91">
        <f t="shared" ref="M71:M89" si="28">G71-C71</f>
        <v>4375</v>
      </c>
      <c r="O71" s="91">
        <f t="shared" ref="O71:O89" si="29">M71-K71</f>
        <v>3250</v>
      </c>
    </row>
    <row r="72" spans="1:15" s="27" customFormat="1" ht="42.75" customHeight="1" x14ac:dyDescent="0.5">
      <c r="A72" s="104" t="s">
        <v>210</v>
      </c>
      <c r="B72" s="107" t="s">
        <v>533</v>
      </c>
      <c r="C72" s="91">
        <v>0</v>
      </c>
      <c r="D72" s="91">
        <v>0</v>
      </c>
      <c r="E72" s="91">
        <f t="shared" si="26"/>
        <v>0</v>
      </c>
      <c r="G72" s="91">
        <v>0</v>
      </c>
      <c r="I72" s="91">
        <v>0</v>
      </c>
      <c r="J72" s="31"/>
      <c r="K72" s="91">
        <f t="shared" si="27"/>
        <v>0</v>
      </c>
      <c r="M72" s="91">
        <f t="shared" si="28"/>
        <v>0</v>
      </c>
      <c r="O72" s="91">
        <f t="shared" si="29"/>
        <v>0</v>
      </c>
    </row>
    <row r="73" spans="1:15" s="27" customFormat="1" ht="42.75" customHeight="1" x14ac:dyDescent="0.5">
      <c r="A73" s="104" t="s">
        <v>210</v>
      </c>
      <c r="B73" s="107" t="s">
        <v>250</v>
      </c>
      <c r="C73" s="91">
        <f>'Comp YTD 2020-2019 '!B84</f>
        <v>6615.91</v>
      </c>
      <c r="D73" s="91">
        <f>CNT!P252</f>
        <v>46261.931250000001</v>
      </c>
      <c r="E73" s="91">
        <f t="shared" si="26"/>
        <v>39646.021250000005</v>
      </c>
      <c r="G73" s="91">
        <f>CNT!Q252</f>
        <v>61682.574999999997</v>
      </c>
      <c r="I73" s="91">
        <f>CNT!R252</f>
        <v>123365.15</v>
      </c>
      <c r="J73" s="31"/>
      <c r="K73" s="91">
        <f t="shared" si="27"/>
        <v>15420.643749999996</v>
      </c>
      <c r="M73" s="91">
        <f t="shared" si="28"/>
        <v>55066.664999999994</v>
      </c>
      <c r="O73" s="91">
        <f t="shared" si="29"/>
        <v>39646.021249999998</v>
      </c>
    </row>
    <row r="74" spans="1:15" s="27" customFormat="1" ht="42.75" customHeight="1" x14ac:dyDescent="0.5">
      <c r="A74" s="104" t="s">
        <v>210</v>
      </c>
      <c r="B74" s="107" t="s">
        <v>357</v>
      </c>
      <c r="C74" s="91">
        <f>'Comp YTD 2020-2019 '!B85</f>
        <v>0</v>
      </c>
      <c r="D74" s="91">
        <v>0</v>
      </c>
      <c r="E74" s="91">
        <f t="shared" si="26"/>
        <v>0</v>
      </c>
      <c r="G74" s="91">
        <v>0</v>
      </c>
      <c r="I74" s="91">
        <v>0</v>
      </c>
      <c r="J74" s="31"/>
      <c r="K74" s="91">
        <f t="shared" si="27"/>
        <v>0</v>
      </c>
      <c r="M74" s="91">
        <f t="shared" si="28"/>
        <v>0</v>
      </c>
      <c r="O74" s="91">
        <f t="shared" si="29"/>
        <v>0</v>
      </c>
    </row>
    <row r="75" spans="1:15" s="27" customFormat="1" ht="42.75" customHeight="1" x14ac:dyDescent="0.5">
      <c r="A75" s="104" t="s">
        <v>210</v>
      </c>
      <c r="B75" s="107" t="s">
        <v>251</v>
      </c>
      <c r="C75" s="91">
        <f>'Comp YTD 2020-2019 '!B86</f>
        <v>573.22</v>
      </c>
      <c r="D75" s="91">
        <f>CNT!P254</f>
        <v>3592.6575000000003</v>
      </c>
      <c r="E75" s="91">
        <f t="shared" si="26"/>
        <v>3019.4375</v>
      </c>
      <c r="G75" s="91">
        <f>CNT!Q254</f>
        <v>4790.21</v>
      </c>
      <c r="I75" s="91">
        <f>CNT!R254</f>
        <v>4790.21</v>
      </c>
      <c r="J75" s="31"/>
      <c r="K75" s="91">
        <f t="shared" si="27"/>
        <v>1197.5524999999998</v>
      </c>
      <c r="M75" s="91">
        <f>G75-C75</f>
        <v>4216.99</v>
      </c>
      <c r="O75" s="91">
        <f>M75-K75</f>
        <v>3019.4375</v>
      </c>
    </row>
    <row r="76" spans="1:15" s="27" customFormat="1" ht="42.75" customHeight="1" x14ac:dyDescent="0.5">
      <c r="A76" s="104" t="s">
        <v>210</v>
      </c>
      <c r="B76" s="107" t="s">
        <v>354</v>
      </c>
      <c r="C76" s="91">
        <f>'Comp YTD 2020-2019 '!B87</f>
        <v>19583.330000000002</v>
      </c>
      <c r="D76" s="91">
        <f>CNT!P273</f>
        <v>180000</v>
      </c>
      <c r="E76" s="91">
        <f t="shared" si="26"/>
        <v>160416.66999999998</v>
      </c>
      <c r="G76" s="91">
        <f>CNT!Q273</f>
        <v>240000</v>
      </c>
      <c r="I76" s="91">
        <f>CNT!R273</f>
        <v>349999.99000000005</v>
      </c>
      <c r="J76" s="31"/>
      <c r="K76" s="91">
        <f t="shared" si="27"/>
        <v>60000</v>
      </c>
      <c r="M76" s="91">
        <f t="shared" si="28"/>
        <v>220416.66999999998</v>
      </c>
      <c r="O76" s="91">
        <f t="shared" si="29"/>
        <v>160416.66999999998</v>
      </c>
    </row>
    <row r="77" spans="1:15" s="27" customFormat="1" ht="42.75" customHeight="1" x14ac:dyDescent="0.5">
      <c r="A77" s="104" t="s">
        <v>210</v>
      </c>
      <c r="B77" s="107" t="s">
        <v>355</v>
      </c>
      <c r="C77" s="91">
        <f>'Comp YTD 2020-2019 '!B88</f>
        <v>7500</v>
      </c>
      <c r="D77" s="91">
        <f>CNT!P274</f>
        <v>67875</v>
      </c>
      <c r="E77" s="91">
        <f t="shared" si="26"/>
        <v>60375</v>
      </c>
      <c r="G77" s="91">
        <f>CNT!Q274</f>
        <v>90500</v>
      </c>
      <c r="I77" s="91">
        <f>CNT!R274</f>
        <v>90500</v>
      </c>
      <c r="J77" s="31"/>
      <c r="K77" s="91">
        <f t="shared" si="27"/>
        <v>22625</v>
      </c>
      <c r="M77" s="91">
        <f t="shared" si="28"/>
        <v>83000</v>
      </c>
      <c r="O77" s="91">
        <f t="shared" si="29"/>
        <v>60375</v>
      </c>
    </row>
    <row r="78" spans="1:15" s="27" customFormat="1" ht="42.75" customHeight="1" x14ac:dyDescent="0.5">
      <c r="A78" s="104" t="s">
        <v>210</v>
      </c>
      <c r="B78" s="107" t="s">
        <v>356</v>
      </c>
      <c r="C78" s="91">
        <f>'Comp YTD 2020-2019 '!B89</f>
        <v>7289.15</v>
      </c>
      <c r="D78" s="91">
        <f>CNT!P272</f>
        <v>60000</v>
      </c>
      <c r="E78" s="91">
        <f t="shared" si="26"/>
        <v>52710.85</v>
      </c>
      <c r="G78" s="91">
        <f>CNT!Q272</f>
        <v>80000</v>
      </c>
      <c r="I78" s="91">
        <f>CNT!R272</f>
        <v>83381.570000000007</v>
      </c>
      <c r="J78" s="31"/>
      <c r="K78" s="91">
        <f t="shared" si="27"/>
        <v>20000</v>
      </c>
      <c r="M78" s="91">
        <f t="shared" si="28"/>
        <v>72710.850000000006</v>
      </c>
      <c r="O78" s="91">
        <f t="shared" si="29"/>
        <v>52710.850000000006</v>
      </c>
    </row>
    <row r="79" spans="1:15" s="27" customFormat="1" ht="42.75" customHeight="1" x14ac:dyDescent="0.5">
      <c r="A79" s="104" t="s">
        <v>210</v>
      </c>
      <c r="B79" s="107" t="s">
        <v>394</v>
      </c>
      <c r="C79" s="91">
        <f>'Comp YTD 2020-2019 '!B90</f>
        <v>0</v>
      </c>
      <c r="D79" s="91">
        <f>CNT!P275</f>
        <v>0</v>
      </c>
      <c r="E79" s="91">
        <f t="shared" si="26"/>
        <v>0</v>
      </c>
      <c r="G79" s="91">
        <f>CNT!Q275</f>
        <v>0</v>
      </c>
      <c r="I79" s="91">
        <f>CNT!R275</f>
        <v>33743.360000000001</v>
      </c>
      <c r="J79" s="31"/>
      <c r="K79" s="91">
        <f t="shared" si="27"/>
        <v>0</v>
      </c>
      <c r="M79" s="91">
        <f t="shared" si="28"/>
        <v>0</v>
      </c>
      <c r="O79" s="91">
        <f t="shared" si="29"/>
        <v>0</v>
      </c>
    </row>
    <row r="80" spans="1:15" s="27" customFormat="1" ht="42.75" hidden="1" customHeight="1" x14ac:dyDescent="0.5">
      <c r="A80" s="104" t="s">
        <v>210</v>
      </c>
      <c r="B80" s="107" t="s">
        <v>383</v>
      </c>
      <c r="C80" s="91">
        <f>'Comp YTD 2020-2019 '!B91</f>
        <v>0</v>
      </c>
      <c r="D80" s="91">
        <v>0</v>
      </c>
      <c r="E80" s="91">
        <f t="shared" si="26"/>
        <v>0</v>
      </c>
      <c r="G80" s="91">
        <v>0</v>
      </c>
      <c r="I80" s="91">
        <v>0</v>
      </c>
      <c r="J80" s="31"/>
      <c r="K80" s="91">
        <f t="shared" si="27"/>
        <v>0</v>
      </c>
      <c r="M80" s="91">
        <f t="shared" si="28"/>
        <v>0</v>
      </c>
      <c r="O80" s="91">
        <f t="shared" si="29"/>
        <v>0</v>
      </c>
    </row>
    <row r="81" spans="1:15" s="27" customFormat="1" ht="42.75" customHeight="1" x14ac:dyDescent="0.5">
      <c r="A81" s="104" t="s">
        <v>210</v>
      </c>
      <c r="B81" s="107" t="s">
        <v>253</v>
      </c>
      <c r="C81" s="91">
        <f>'Comp YTD 2020-2019 '!B92</f>
        <v>2967.81</v>
      </c>
      <c r="D81" s="91">
        <f>CNT!P258+CNT!P277</f>
        <v>18773.047500000004</v>
      </c>
      <c r="E81" s="91">
        <f t="shared" si="26"/>
        <v>15805.237500000005</v>
      </c>
      <c r="G81" s="91">
        <f>CNT!Q258+CNT!Q277</f>
        <v>25030.730000000003</v>
      </c>
      <c r="I81" s="91">
        <f>CNT!R258+CNT!R277</f>
        <v>25030.730000000003</v>
      </c>
      <c r="J81" s="31"/>
      <c r="K81" s="91">
        <f t="shared" si="27"/>
        <v>6257.682499999999</v>
      </c>
      <c r="M81" s="91">
        <f t="shared" si="28"/>
        <v>22062.920000000002</v>
      </c>
      <c r="O81" s="91">
        <f t="shared" si="29"/>
        <v>15805.237500000003</v>
      </c>
    </row>
    <row r="82" spans="1:15" s="27" customFormat="1" ht="42.75" customHeight="1" x14ac:dyDescent="0.5">
      <c r="A82" s="104" t="s">
        <v>210</v>
      </c>
      <c r="B82" s="107" t="s">
        <v>254</v>
      </c>
      <c r="C82" s="91">
        <f>'Comp YTD 2020-2019 '!B93</f>
        <v>1195</v>
      </c>
      <c r="D82" s="91">
        <f>CNT!P263</f>
        <v>24634.35</v>
      </c>
      <c r="E82" s="91">
        <f t="shared" si="26"/>
        <v>23439.35</v>
      </c>
      <c r="G82" s="91">
        <f>CNT!Q263</f>
        <v>32845.799999999996</v>
      </c>
      <c r="I82" s="91">
        <f>CNT!R263</f>
        <v>32845.799999999996</v>
      </c>
      <c r="J82" s="31"/>
      <c r="K82" s="91">
        <f t="shared" si="27"/>
        <v>8211.4499999999971</v>
      </c>
      <c r="M82" s="91">
        <f t="shared" si="28"/>
        <v>31650.799999999996</v>
      </c>
      <c r="O82" s="91">
        <f t="shared" si="29"/>
        <v>23439.35</v>
      </c>
    </row>
    <row r="83" spans="1:15" s="27" customFormat="1" ht="42.75" customHeight="1" x14ac:dyDescent="0.5">
      <c r="A83" s="104" t="s">
        <v>210</v>
      </c>
      <c r="B83" s="107" t="s">
        <v>255</v>
      </c>
      <c r="C83" s="91">
        <f>'Comp YTD 2020-2019 '!B94</f>
        <v>671.94</v>
      </c>
      <c r="D83" s="91">
        <f>CNT!P264</f>
        <v>19390.365000000002</v>
      </c>
      <c r="E83" s="91">
        <f t="shared" si="26"/>
        <v>18718.425000000003</v>
      </c>
      <c r="G83" s="91">
        <f>CNT!Q264</f>
        <v>25853.820000000003</v>
      </c>
      <c r="I83" s="91">
        <f>CNT!R264</f>
        <v>25853.820000000003</v>
      </c>
      <c r="J83" s="31"/>
      <c r="K83" s="91">
        <f t="shared" si="27"/>
        <v>6463.4550000000017</v>
      </c>
      <c r="M83" s="91">
        <f t="shared" si="28"/>
        <v>25181.880000000005</v>
      </c>
      <c r="O83" s="91">
        <f t="shared" si="29"/>
        <v>18718.425000000003</v>
      </c>
    </row>
    <row r="84" spans="1:15" s="27" customFormat="1" ht="42.75" customHeight="1" x14ac:dyDescent="0.5">
      <c r="A84" s="104" t="s">
        <v>210</v>
      </c>
      <c r="B84" s="107" t="s">
        <v>292</v>
      </c>
      <c r="C84" s="91">
        <f>'Comp YTD 2020-2019 '!B95</f>
        <v>0</v>
      </c>
      <c r="D84" s="91">
        <f>CNT!P253</f>
        <v>407.76</v>
      </c>
      <c r="E84" s="91">
        <f t="shared" si="26"/>
        <v>407.76</v>
      </c>
      <c r="G84" s="91">
        <f>CNT!Q253</f>
        <v>543.67999999999995</v>
      </c>
      <c r="I84" s="91">
        <f>CNT!R253</f>
        <v>543.67999999999995</v>
      </c>
      <c r="J84" s="31"/>
      <c r="K84" s="91">
        <f t="shared" si="27"/>
        <v>135.91999999999996</v>
      </c>
      <c r="M84" s="91">
        <f t="shared" si="28"/>
        <v>543.67999999999995</v>
      </c>
      <c r="O84" s="91">
        <f t="shared" si="29"/>
        <v>407.76</v>
      </c>
    </row>
    <row r="85" spans="1:15" s="27" customFormat="1" ht="42.75" customHeight="1" x14ac:dyDescent="0.5">
      <c r="A85" s="104" t="s">
        <v>210</v>
      </c>
      <c r="B85" s="107" t="s">
        <v>371</v>
      </c>
      <c r="C85" s="91">
        <f>'Comp YTD 2020-2019 '!B96</f>
        <v>396.78</v>
      </c>
      <c r="D85" s="91">
        <f>CNT!P259</f>
        <v>5009.2275</v>
      </c>
      <c r="E85" s="91">
        <f t="shared" si="26"/>
        <v>4612.4475000000002</v>
      </c>
      <c r="G85" s="91">
        <f>CNT!Q259</f>
        <v>6678.97</v>
      </c>
      <c r="I85" s="91">
        <f>CNT!R259</f>
        <v>6678.97</v>
      </c>
      <c r="J85" s="31"/>
      <c r="K85" s="91">
        <f t="shared" si="27"/>
        <v>1669.7425000000003</v>
      </c>
      <c r="M85" s="91">
        <f t="shared" si="28"/>
        <v>6282.1900000000005</v>
      </c>
      <c r="O85" s="91">
        <f t="shared" si="29"/>
        <v>4612.4475000000002</v>
      </c>
    </row>
    <row r="86" spans="1:15" s="27" customFormat="1" ht="42.75" customHeight="1" x14ac:dyDescent="0.5">
      <c r="A86" s="104" t="s">
        <v>210</v>
      </c>
      <c r="B86" s="107" t="s">
        <v>256</v>
      </c>
      <c r="C86" s="91">
        <f>'Comp YTD 2020-2019 '!B97</f>
        <v>2439.17</v>
      </c>
      <c r="D86" s="91">
        <f>CNT!P266</f>
        <v>11484.21</v>
      </c>
      <c r="E86" s="91">
        <f t="shared" si="26"/>
        <v>9045.0399999999991</v>
      </c>
      <c r="G86" s="91">
        <f>CNT!Q266</f>
        <v>15312.279999999999</v>
      </c>
      <c r="I86" s="91">
        <f>CNT!R266</f>
        <v>15312.279999999999</v>
      </c>
      <c r="J86" s="31"/>
      <c r="K86" s="91">
        <f t="shared" si="27"/>
        <v>3828.0699999999997</v>
      </c>
      <c r="M86" s="91">
        <f t="shared" si="28"/>
        <v>12873.109999999999</v>
      </c>
      <c r="O86" s="91">
        <f t="shared" si="29"/>
        <v>9045.0399999999991</v>
      </c>
    </row>
    <row r="87" spans="1:15" s="27" customFormat="1" ht="42.75" customHeight="1" x14ac:dyDescent="0.5">
      <c r="A87" s="104" t="s">
        <v>210</v>
      </c>
      <c r="B87" s="107" t="s">
        <v>257</v>
      </c>
      <c r="C87" s="91">
        <f>'Comp YTD 2020-2019 '!B98</f>
        <v>2087.75</v>
      </c>
      <c r="D87" s="91">
        <f>CNT!P267+CNT!P278</f>
        <v>15301.402499999998</v>
      </c>
      <c r="E87" s="91">
        <f t="shared" si="26"/>
        <v>13213.652499999998</v>
      </c>
      <c r="G87" s="91">
        <f>CNT!Q267+CNT!Q278</f>
        <v>20401.87</v>
      </c>
      <c r="I87" s="91">
        <f>CNT!R267+CNT!R278</f>
        <v>20401.87</v>
      </c>
      <c r="J87" s="31"/>
      <c r="K87" s="91">
        <f t="shared" si="27"/>
        <v>5100.4675000000007</v>
      </c>
      <c r="M87" s="91">
        <f t="shared" si="28"/>
        <v>18314.12</v>
      </c>
      <c r="O87" s="91">
        <f t="shared" si="29"/>
        <v>13213.652499999998</v>
      </c>
    </row>
    <row r="88" spans="1:15" s="27" customFormat="1" ht="42.75" customHeight="1" x14ac:dyDescent="0.5">
      <c r="A88" s="104" t="s">
        <v>210</v>
      </c>
      <c r="B88" s="107" t="s">
        <v>258</v>
      </c>
      <c r="C88" s="91">
        <f>'Comp YTD 2020-2019 '!B99</f>
        <v>735.52</v>
      </c>
      <c r="D88" s="91">
        <f>CNT!P268</f>
        <v>4215.9674999999997</v>
      </c>
      <c r="E88" s="91">
        <f t="shared" si="26"/>
        <v>3480.4474999999998</v>
      </c>
      <c r="G88" s="91">
        <f>CNT!Q268</f>
        <v>5621.29</v>
      </c>
      <c r="I88" s="91">
        <f>CNT!R268</f>
        <v>5621.29</v>
      </c>
      <c r="J88" s="31"/>
      <c r="K88" s="91">
        <f t="shared" si="27"/>
        <v>1405.3225000000002</v>
      </c>
      <c r="M88" s="91">
        <f t="shared" si="28"/>
        <v>4885.7700000000004</v>
      </c>
      <c r="O88" s="91">
        <f t="shared" si="29"/>
        <v>3480.4475000000002</v>
      </c>
    </row>
    <row r="89" spans="1:15" s="27" customFormat="1" ht="42.75" customHeight="1" x14ac:dyDescent="0.5">
      <c r="A89" s="104" t="s">
        <v>210</v>
      </c>
      <c r="B89" s="107" t="s">
        <v>259</v>
      </c>
      <c r="C89" s="91">
        <f>'Comp YTD 2020-2019 '!B100</f>
        <v>622.42999999999995</v>
      </c>
      <c r="D89" s="91">
        <f>CNT!P269</f>
        <v>17399.370000000003</v>
      </c>
      <c r="E89" s="91">
        <f t="shared" si="26"/>
        <v>16776.940000000002</v>
      </c>
      <c r="G89" s="91">
        <f>CNT!Q269</f>
        <v>23199.160000000003</v>
      </c>
      <c r="I89" s="91">
        <f>CNT!R269</f>
        <v>23199.160000000003</v>
      </c>
      <c r="J89" s="31"/>
      <c r="K89" s="91">
        <f t="shared" si="27"/>
        <v>5799.7900000000009</v>
      </c>
      <c r="M89" s="91">
        <f t="shared" si="28"/>
        <v>22576.730000000003</v>
      </c>
      <c r="O89" s="91">
        <f t="shared" si="29"/>
        <v>16776.940000000002</v>
      </c>
    </row>
    <row r="90" spans="1:15" s="27" customFormat="1" ht="42.75" customHeight="1" x14ac:dyDescent="0.5">
      <c r="A90" s="104" t="s">
        <v>210</v>
      </c>
      <c r="B90" s="105" t="s">
        <v>261</v>
      </c>
      <c r="C90" s="108">
        <f>SUM(C70:C89)</f>
        <v>54628.079999999994</v>
      </c>
      <c r="D90" s="108">
        <f>SUM(D70:D89)</f>
        <v>485746.81125000003</v>
      </c>
      <c r="E90" s="108">
        <f>SUM(E70:E89)</f>
        <v>431118.73124999995</v>
      </c>
      <c r="G90" s="108">
        <f>SUM(G70:G89)</f>
        <v>647662.41500000004</v>
      </c>
      <c r="I90" s="108">
        <f t="shared" ref="I90" si="30">SUM(I70:I89)</f>
        <v>856469.91</v>
      </c>
      <c r="J90" s="31"/>
      <c r="K90" s="108">
        <f>SUM(K70:K89)</f>
        <v>161915.60375000004</v>
      </c>
      <c r="M90" s="108">
        <f>SUM(M70:M89)</f>
        <v>593034.33499999996</v>
      </c>
      <c r="O90" s="108">
        <f>SUM(O70:O89)</f>
        <v>431118.73125000001</v>
      </c>
    </row>
    <row r="91" spans="1:15" s="27" customFormat="1" ht="42.75" customHeight="1" x14ac:dyDescent="0.5">
      <c r="A91" s="104" t="s">
        <v>210</v>
      </c>
      <c r="B91" s="107"/>
      <c r="C91" s="91"/>
      <c r="D91" s="91"/>
      <c r="E91" s="91"/>
      <c r="G91" s="91"/>
      <c r="I91" s="91"/>
      <c r="J91" s="31"/>
      <c r="K91" s="91"/>
      <c r="M91" s="91"/>
      <c r="O91" s="91"/>
    </row>
    <row r="92" spans="1:15" s="27" customFormat="1" ht="42.75" customHeight="1" thickBot="1" x14ac:dyDescent="0.55000000000000004">
      <c r="A92" s="104" t="s">
        <v>210</v>
      </c>
      <c r="B92" s="105" t="s">
        <v>262</v>
      </c>
      <c r="C92" s="109">
        <f t="shared" ref="C92:E92" si="31">C42+C67+C90</f>
        <v>596965.90999999992</v>
      </c>
      <c r="D92" s="109">
        <f t="shared" si="31"/>
        <v>4976853.9637500001</v>
      </c>
      <c r="E92" s="109">
        <f t="shared" si="31"/>
        <v>4379888.0537500009</v>
      </c>
      <c r="G92" s="109">
        <f t="shared" ref="G92:M92" si="32">G42+G67+G90</f>
        <v>6685805.2849999992</v>
      </c>
      <c r="I92" s="109">
        <f t="shared" si="32"/>
        <v>6816947.0199999996</v>
      </c>
      <c r="J92" s="31"/>
      <c r="K92" s="109">
        <f t="shared" si="32"/>
        <v>1708951.32125</v>
      </c>
      <c r="M92" s="109">
        <f t="shared" si="32"/>
        <v>6088839.3749999991</v>
      </c>
      <c r="O92" s="109">
        <f>O42+O67+O90</f>
        <v>4379888.05375</v>
      </c>
    </row>
    <row r="93" spans="1:15" s="27" customFormat="1" ht="42.75" customHeight="1" x14ac:dyDescent="0.5">
      <c r="A93" s="104" t="s">
        <v>210</v>
      </c>
      <c r="B93" s="107"/>
      <c r="C93" s="91"/>
      <c r="D93" s="91"/>
      <c r="E93" s="91"/>
      <c r="G93" s="91"/>
      <c r="I93" s="91"/>
      <c r="J93" s="31"/>
      <c r="K93" s="91"/>
      <c r="M93" s="91"/>
      <c r="O93" s="91"/>
    </row>
    <row r="94" spans="1:15" s="27" customFormat="1" ht="42.75" customHeight="1" x14ac:dyDescent="0.5">
      <c r="A94" s="104" t="s">
        <v>210</v>
      </c>
      <c r="B94" s="105" t="s">
        <v>454</v>
      </c>
      <c r="C94" s="91"/>
      <c r="D94" s="91"/>
      <c r="E94" s="91"/>
      <c r="G94" s="91"/>
      <c r="I94" s="91"/>
      <c r="J94" s="31"/>
      <c r="K94" s="91"/>
      <c r="M94" s="91"/>
      <c r="O94" s="91"/>
    </row>
    <row r="95" spans="1:15" s="27" customFormat="1" ht="42.75" customHeight="1" x14ac:dyDescent="0.5">
      <c r="A95" s="104" t="s">
        <v>210</v>
      </c>
      <c r="B95" s="107" t="s">
        <v>265</v>
      </c>
      <c r="C95" s="91">
        <f>'Comp YTD 2020-2019 '!B106</f>
        <v>12500</v>
      </c>
      <c r="D95" s="91">
        <f>CNT!P285</f>
        <v>112500</v>
      </c>
      <c r="E95" s="91">
        <f>C95-D95</f>
        <v>-100000</v>
      </c>
      <c r="G95" s="91">
        <f>CNT!Q285</f>
        <v>150000</v>
      </c>
      <c r="I95" s="91">
        <f>CNT!R285</f>
        <v>150000</v>
      </c>
      <c r="J95" s="31"/>
      <c r="K95" s="91">
        <f t="shared" ref="K95" si="33">G95-D95</f>
        <v>37500</v>
      </c>
      <c r="M95" s="91">
        <f t="shared" ref="M95" si="34">G95-C95</f>
        <v>137500</v>
      </c>
      <c r="O95" s="91">
        <f>M95-K95</f>
        <v>100000</v>
      </c>
    </row>
    <row r="96" spans="1:15" s="27" customFormat="1" ht="42.75" hidden="1" customHeight="1" x14ac:dyDescent="0.5">
      <c r="A96" s="104" t="s">
        <v>210</v>
      </c>
      <c r="B96" s="107" t="s">
        <v>266</v>
      </c>
      <c r="C96" s="91">
        <f>'Comp YTD 2020-2019 '!B107</f>
        <v>0</v>
      </c>
      <c r="D96" s="91">
        <v>0</v>
      </c>
      <c r="E96" s="91">
        <f t="shared" ref="E96:E97" si="35">D96-C96</f>
        <v>0</v>
      </c>
      <c r="G96" s="91">
        <v>0</v>
      </c>
      <c r="I96" s="91">
        <v>0</v>
      </c>
      <c r="J96" s="31"/>
      <c r="K96" s="91">
        <f t="shared" ref="K96:K107" si="36">G96-D96</f>
        <v>0</v>
      </c>
      <c r="M96" s="91">
        <f t="shared" ref="M96:M107" si="37">G96-C96</f>
        <v>0</v>
      </c>
      <c r="O96" s="91">
        <f t="shared" ref="O96:O107" si="38">M96-K96</f>
        <v>0</v>
      </c>
    </row>
    <row r="97" spans="1:15" s="27" customFormat="1" ht="42.75" hidden="1" customHeight="1" x14ac:dyDescent="0.5">
      <c r="A97" s="104" t="s">
        <v>210</v>
      </c>
      <c r="B97" s="107" t="s">
        <v>324</v>
      </c>
      <c r="C97" s="91">
        <f>'Comp YTD 2020-2019 '!B108</f>
        <v>0</v>
      </c>
      <c r="D97" s="91">
        <v>0</v>
      </c>
      <c r="E97" s="91">
        <f t="shared" si="35"/>
        <v>0</v>
      </c>
      <c r="G97" s="91">
        <v>0</v>
      </c>
      <c r="I97" s="91">
        <v>0</v>
      </c>
      <c r="J97" s="31"/>
      <c r="K97" s="91">
        <f t="shared" si="36"/>
        <v>0</v>
      </c>
      <c r="M97" s="91">
        <f t="shared" si="37"/>
        <v>0</v>
      </c>
      <c r="O97" s="91">
        <f t="shared" si="38"/>
        <v>0</v>
      </c>
    </row>
    <row r="98" spans="1:15" s="27" customFormat="1" ht="42.75" customHeight="1" x14ac:dyDescent="0.5">
      <c r="A98" s="104" t="s">
        <v>210</v>
      </c>
      <c r="B98" s="107" t="s">
        <v>380</v>
      </c>
      <c r="C98" s="91">
        <f>'Comp YTD 2020-2019 '!B109</f>
        <v>2821.87</v>
      </c>
      <c r="D98" s="91">
        <f>CNT!P287</f>
        <v>43648.845000000001</v>
      </c>
      <c r="E98" s="91">
        <f>D98-C98</f>
        <v>40826.974999999999</v>
      </c>
      <c r="G98" s="91">
        <f>CNT!Q287</f>
        <v>58198.46</v>
      </c>
      <c r="I98" s="91">
        <f>CNT!R287</f>
        <v>58198.46</v>
      </c>
      <c r="J98" s="31"/>
      <c r="K98" s="91">
        <f t="shared" si="36"/>
        <v>14549.614999999998</v>
      </c>
      <c r="M98" s="91">
        <f t="shared" si="37"/>
        <v>55376.59</v>
      </c>
      <c r="O98" s="91">
        <f t="shared" si="38"/>
        <v>40826.974999999999</v>
      </c>
    </row>
    <row r="99" spans="1:15" s="27" customFormat="1" ht="42.75" customHeight="1" x14ac:dyDescent="0.5">
      <c r="A99" s="104" t="s">
        <v>210</v>
      </c>
      <c r="B99" s="107" t="s">
        <v>267</v>
      </c>
      <c r="C99" s="91">
        <f>'Comp YTD 2020-2019 '!B110</f>
        <v>9456</v>
      </c>
      <c r="D99" s="91">
        <f>CNT!P288</f>
        <v>143988.78749999998</v>
      </c>
      <c r="E99" s="91">
        <f t="shared" ref="E99:E107" si="39">D99-C99</f>
        <v>134532.78749999998</v>
      </c>
      <c r="G99" s="91">
        <f>CNT!Q288</f>
        <v>191985.05</v>
      </c>
      <c r="I99" s="91">
        <f>CNT!R288</f>
        <v>191985.05</v>
      </c>
      <c r="J99" s="31"/>
      <c r="K99" s="91">
        <f t="shared" si="36"/>
        <v>47996.262500000012</v>
      </c>
      <c r="M99" s="91">
        <f t="shared" si="37"/>
        <v>182529.05</v>
      </c>
      <c r="O99" s="91">
        <f t="shared" si="38"/>
        <v>134532.78749999998</v>
      </c>
    </row>
    <row r="100" spans="1:15" s="27" customFormat="1" ht="42.75" customHeight="1" x14ac:dyDescent="0.5">
      <c r="A100" s="104" t="s">
        <v>210</v>
      </c>
      <c r="B100" s="107" t="s">
        <v>268</v>
      </c>
      <c r="C100" s="91">
        <f>'Comp YTD 2020-2019 '!B111</f>
        <v>15776.3</v>
      </c>
      <c r="D100" s="91">
        <f>CNT!P289</f>
        <v>216176.70749999999</v>
      </c>
      <c r="E100" s="91">
        <f t="shared" si="39"/>
        <v>200400.4075</v>
      </c>
      <c r="G100" s="91">
        <f>CNT!Q289</f>
        <v>288235.61</v>
      </c>
      <c r="I100" s="91">
        <f>CNT!R289</f>
        <v>288235.61</v>
      </c>
      <c r="J100" s="31"/>
      <c r="K100" s="91">
        <f t="shared" si="36"/>
        <v>72058.902499999997</v>
      </c>
      <c r="M100" s="91">
        <f t="shared" si="37"/>
        <v>272459.31</v>
      </c>
      <c r="O100" s="91">
        <f t="shared" si="38"/>
        <v>200400.4075</v>
      </c>
    </row>
    <row r="101" spans="1:15" s="27" customFormat="1" ht="42.75" customHeight="1" x14ac:dyDescent="0.5">
      <c r="A101" s="104" t="s">
        <v>210</v>
      </c>
      <c r="B101" s="107" t="s">
        <v>269</v>
      </c>
      <c r="C101" s="91">
        <f>'Comp YTD 2020-2019 '!B112</f>
        <v>-39467.980000000003</v>
      </c>
      <c r="D101" s="91">
        <f>CNT!P290</f>
        <v>-137722.67249999999</v>
      </c>
      <c r="E101" s="91">
        <f t="shared" si="39"/>
        <v>-98254.692499999976</v>
      </c>
      <c r="G101" s="91">
        <f>CNT!Q290</f>
        <v>-183630.22999999998</v>
      </c>
      <c r="I101" s="91">
        <f>CNT!R290</f>
        <v>-183630.22999999998</v>
      </c>
      <c r="J101" s="31"/>
      <c r="K101" s="91">
        <f t="shared" si="36"/>
        <v>-45907.557499999995</v>
      </c>
      <c r="M101" s="91">
        <f t="shared" si="37"/>
        <v>-144162.24999999997</v>
      </c>
      <c r="O101" s="91">
        <f t="shared" si="38"/>
        <v>-98254.692499999976</v>
      </c>
    </row>
    <row r="102" spans="1:15" s="27" customFormat="1" ht="42.75" customHeight="1" x14ac:dyDescent="0.5">
      <c r="A102" s="104" t="s">
        <v>210</v>
      </c>
      <c r="B102" s="107" t="s">
        <v>270</v>
      </c>
      <c r="C102" s="91">
        <f>'Comp YTD 2020-2019 '!B114</f>
        <v>0</v>
      </c>
      <c r="D102" s="91">
        <f>CNT!P292</f>
        <v>710.44499999999994</v>
      </c>
      <c r="E102" s="91">
        <f t="shared" si="39"/>
        <v>710.44499999999994</v>
      </c>
      <c r="G102" s="91">
        <f>CNT!Q292</f>
        <v>947.26</v>
      </c>
      <c r="I102" s="91">
        <f>CNT!R292</f>
        <v>947.26</v>
      </c>
      <c r="J102" s="31"/>
      <c r="K102" s="91">
        <f t="shared" si="36"/>
        <v>236.81500000000005</v>
      </c>
      <c r="M102" s="91">
        <f t="shared" si="37"/>
        <v>947.26</v>
      </c>
      <c r="O102" s="91">
        <f t="shared" si="38"/>
        <v>710.44499999999994</v>
      </c>
    </row>
    <row r="103" spans="1:15" s="27" customFormat="1" ht="42.75" customHeight="1" x14ac:dyDescent="0.5">
      <c r="A103" s="104" t="s">
        <v>210</v>
      </c>
      <c r="B103" s="107" t="s">
        <v>395</v>
      </c>
      <c r="C103" s="91">
        <f>'Comp YTD 2020-2019 '!B116</f>
        <v>20720.71</v>
      </c>
      <c r="D103" s="91">
        <f>CNT!P293</f>
        <v>52375.18499999999</v>
      </c>
      <c r="E103" s="91">
        <f t="shared" si="39"/>
        <v>31654.474999999991</v>
      </c>
      <c r="G103" s="91">
        <f>CNT!Q293</f>
        <v>69833.579999999987</v>
      </c>
      <c r="I103" s="91">
        <f>CNT!R293</f>
        <v>69833.579999999987</v>
      </c>
      <c r="J103" s="31"/>
      <c r="K103" s="91">
        <f t="shared" si="36"/>
        <v>17458.394999999997</v>
      </c>
      <c r="M103" s="91">
        <f t="shared" si="37"/>
        <v>49112.869999999988</v>
      </c>
      <c r="O103" s="91">
        <f t="shared" si="38"/>
        <v>31654.474999999991</v>
      </c>
    </row>
    <row r="104" spans="1:15" s="27" customFormat="1" ht="42.75" customHeight="1" x14ac:dyDescent="0.5">
      <c r="A104" s="104" t="s">
        <v>210</v>
      </c>
      <c r="B104" s="107" t="s">
        <v>430</v>
      </c>
      <c r="C104" s="91">
        <f>'Comp YTD 2020-2019 '!B117</f>
        <v>819.34</v>
      </c>
      <c r="D104" s="91">
        <f>CNT!P294</f>
        <v>5425.5</v>
      </c>
      <c r="E104" s="91">
        <f t="shared" si="39"/>
        <v>4606.16</v>
      </c>
      <c r="G104" s="91">
        <f>CNT!Q294</f>
        <v>7234</v>
      </c>
      <c r="I104" s="91">
        <f>CNT!R294</f>
        <v>7234</v>
      </c>
      <c r="J104" s="31"/>
      <c r="K104" s="91">
        <f t="shared" si="36"/>
        <v>1808.5</v>
      </c>
      <c r="M104" s="91">
        <f t="shared" si="37"/>
        <v>6414.66</v>
      </c>
      <c r="O104" s="91">
        <f>M104-K104</f>
        <v>4606.16</v>
      </c>
    </row>
    <row r="105" spans="1:15" s="27" customFormat="1" ht="42.75" customHeight="1" x14ac:dyDescent="0.5">
      <c r="A105" s="104" t="s">
        <v>210</v>
      </c>
      <c r="B105" s="107" t="s">
        <v>431</v>
      </c>
      <c r="C105" s="91">
        <f>'Comp YTD 2020-2019 '!B118</f>
        <v>1033.1300000000001</v>
      </c>
      <c r="D105" s="91">
        <f>CNT!P296</f>
        <v>45668.745000000003</v>
      </c>
      <c r="E105" s="91">
        <f t="shared" si="39"/>
        <v>44635.615000000005</v>
      </c>
      <c r="G105" s="91">
        <f>CNT!Q296</f>
        <v>60891.66</v>
      </c>
      <c r="I105" s="91">
        <f>CNT!R296</f>
        <v>60891.66</v>
      </c>
      <c r="J105" s="31"/>
      <c r="K105" s="91">
        <f t="shared" si="36"/>
        <v>15222.915000000001</v>
      </c>
      <c r="M105" s="91">
        <f t="shared" si="37"/>
        <v>59858.530000000006</v>
      </c>
      <c r="O105" s="91">
        <f t="shared" si="38"/>
        <v>44635.615000000005</v>
      </c>
    </row>
    <row r="106" spans="1:15" s="27" customFormat="1" ht="42.75" customHeight="1" x14ac:dyDescent="0.5">
      <c r="A106" s="104" t="s">
        <v>210</v>
      </c>
      <c r="B106" s="107" t="s">
        <v>396</v>
      </c>
      <c r="C106" s="91">
        <f>'Comp YTD 2020-2019 '!B119</f>
        <v>17978.47</v>
      </c>
      <c r="D106" s="91">
        <f>CNT!P295</f>
        <v>22591.245000000003</v>
      </c>
      <c r="E106" s="91">
        <f t="shared" si="39"/>
        <v>4612.7750000000015</v>
      </c>
      <c r="G106" s="91">
        <f>CNT!Q295</f>
        <v>30121.660000000003</v>
      </c>
      <c r="I106" s="91">
        <f>CNT!R295</f>
        <v>30121.660000000003</v>
      </c>
      <c r="J106" s="31"/>
      <c r="K106" s="91">
        <f t="shared" si="36"/>
        <v>7530.4150000000009</v>
      </c>
      <c r="M106" s="91">
        <f t="shared" si="37"/>
        <v>12143.190000000002</v>
      </c>
      <c r="O106" s="91">
        <f t="shared" si="38"/>
        <v>4612.7750000000015</v>
      </c>
    </row>
    <row r="107" spans="1:15" s="27" customFormat="1" ht="42.75" customHeight="1" x14ac:dyDescent="0.5">
      <c r="A107" s="104" t="s">
        <v>210</v>
      </c>
      <c r="B107" s="107" t="s">
        <v>441</v>
      </c>
      <c r="C107" s="91">
        <f>'Comp YTD 2020-2019 '!B121</f>
        <v>0</v>
      </c>
      <c r="D107" s="91">
        <f>CNT!P297</f>
        <v>12741.21</v>
      </c>
      <c r="E107" s="91">
        <f t="shared" si="39"/>
        <v>12741.21</v>
      </c>
      <c r="G107" s="91">
        <f>CNT!Q297</f>
        <v>16988.28</v>
      </c>
      <c r="I107" s="91">
        <f>CNT!R297</f>
        <v>16988.28</v>
      </c>
      <c r="J107" s="31"/>
      <c r="K107" s="91">
        <f t="shared" si="36"/>
        <v>4247.07</v>
      </c>
      <c r="M107" s="91">
        <f t="shared" si="37"/>
        <v>16988.28</v>
      </c>
      <c r="O107" s="91">
        <f t="shared" si="38"/>
        <v>12741.21</v>
      </c>
    </row>
    <row r="108" spans="1:15" s="27" customFormat="1" ht="42.75" customHeight="1" x14ac:dyDescent="0.5">
      <c r="A108" s="104" t="s">
        <v>210</v>
      </c>
      <c r="B108" s="105" t="s">
        <v>455</v>
      </c>
      <c r="C108" s="108">
        <f t="shared" ref="C108:E108" si="40">SUM(C95:C107)</f>
        <v>41637.839999999997</v>
      </c>
      <c r="D108" s="108">
        <f t="shared" si="40"/>
        <v>518103.9975</v>
      </c>
      <c r="E108" s="108">
        <f t="shared" si="40"/>
        <v>276466.15750000009</v>
      </c>
      <c r="G108" s="108">
        <f t="shared" ref="G108:I108" si="41">SUM(G95:G107)</f>
        <v>690805.33000000007</v>
      </c>
      <c r="I108" s="108">
        <f t="shared" si="41"/>
        <v>690805.33000000007</v>
      </c>
      <c r="J108" s="31"/>
      <c r="K108" s="108">
        <f>SUM(K95:K107)</f>
        <v>172701.33250000002</v>
      </c>
      <c r="M108" s="108">
        <f>SUM(M95:M107)</f>
        <v>649167.49</v>
      </c>
      <c r="O108" s="108">
        <f>SUM(O95:O107)</f>
        <v>476466.15749999991</v>
      </c>
    </row>
    <row r="109" spans="1:15" s="27" customFormat="1" ht="42.75" customHeight="1" x14ac:dyDescent="0.5">
      <c r="A109" s="104" t="s">
        <v>210</v>
      </c>
      <c r="B109" s="105"/>
      <c r="C109" s="91"/>
      <c r="D109" s="91"/>
      <c r="E109" s="91"/>
      <c r="G109" s="91"/>
      <c r="I109" s="91"/>
      <c r="J109" s="31"/>
      <c r="K109" s="91"/>
      <c r="M109" s="91"/>
      <c r="O109" s="91"/>
    </row>
    <row r="110" spans="1:15" s="27" customFormat="1" ht="42.75" customHeight="1" thickBot="1" x14ac:dyDescent="0.55000000000000004">
      <c r="A110" s="104" t="s">
        <v>210</v>
      </c>
      <c r="B110" s="105" t="s">
        <v>264</v>
      </c>
      <c r="C110" s="110">
        <f t="shared" ref="C110:D110" si="42">C27-C92+C108</f>
        <v>586808.42000000959</v>
      </c>
      <c r="D110" s="110">
        <f t="shared" si="42"/>
        <v>-292099.5187492944</v>
      </c>
      <c r="E110" s="110">
        <f>E27-E92+E108</f>
        <v>-1078907.9387493045</v>
      </c>
      <c r="G110" s="110">
        <f t="shared" ref="G110" si="43">G27-G92+G108</f>
        <v>-439466.02499969397</v>
      </c>
      <c r="I110" s="110">
        <f>I27-I92+I108</f>
        <v>-570607.7599996943</v>
      </c>
      <c r="J110" s="31"/>
      <c r="K110" s="110">
        <f>K27-K92+K108</f>
        <v>-147366.50625040056</v>
      </c>
      <c r="M110" s="110">
        <f>M27-M92+M108</f>
        <v>-1026274.4450008955</v>
      </c>
      <c r="O110" s="110">
        <f>-M110+K110</f>
        <v>878907.93875049497</v>
      </c>
    </row>
    <row r="111" spans="1:15" ht="15.75" thickTop="1" x14ac:dyDescent="0.25">
      <c r="C111" s="9"/>
      <c r="D111" s="9"/>
      <c r="E111" s="9"/>
      <c r="G111" s="9"/>
      <c r="I111" s="9"/>
      <c r="K111" s="9"/>
      <c r="M111" s="9"/>
      <c r="O111" s="9"/>
    </row>
    <row r="112" spans="1:15" s="27" customFormat="1" ht="30" customHeight="1" x14ac:dyDescent="0.5">
      <c r="A112" s="95"/>
      <c r="B112" s="11"/>
      <c r="C112" s="16"/>
      <c r="D112" s="16"/>
      <c r="E112" s="16"/>
      <c r="G112" s="16"/>
      <c r="I112" s="16"/>
      <c r="K112" s="16"/>
      <c r="M112" s="16"/>
      <c r="O112" s="16"/>
    </row>
    <row r="113" spans="1:15" s="27" customFormat="1" ht="42.75" customHeight="1" x14ac:dyDescent="0.5">
      <c r="A113" s="96" t="s">
        <v>212</v>
      </c>
      <c r="B113" s="97" t="s">
        <v>60</v>
      </c>
      <c r="C113" s="98"/>
      <c r="D113" s="98"/>
      <c r="E113" s="98"/>
      <c r="G113" s="98"/>
      <c r="I113" s="98"/>
      <c r="K113" s="98"/>
      <c r="M113" s="98"/>
      <c r="O113" s="98"/>
    </row>
    <row r="114" spans="1:15" s="27" customFormat="1" ht="42.75" customHeight="1" x14ac:dyDescent="0.5">
      <c r="A114" s="96" t="s">
        <v>212</v>
      </c>
      <c r="B114" s="99" t="s">
        <v>215</v>
      </c>
      <c r="C114" s="100">
        <f>'Comp YTD 2020-2019 '!C12</f>
        <v>4143470.25</v>
      </c>
      <c r="D114" s="100">
        <f>BPM!P8</f>
        <v>51831346.946666665</v>
      </c>
      <c r="E114" s="100">
        <f>D114-C114</f>
        <v>47687876.696666665</v>
      </c>
      <c r="G114" s="100">
        <f>BPM!Q8</f>
        <v>77747020.420000002</v>
      </c>
      <c r="I114" s="100">
        <f>BPM!R8</f>
        <v>77747020.420000002</v>
      </c>
      <c r="K114" s="100">
        <f t="shared" ref="K114" si="44">G114-D114</f>
        <v>25915673.473333336</v>
      </c>
      <c r="M114" s="100">
        <f>G114-C114</f>
        <v>73603550.170000002</v>
      </c>
      <c r="O114" s="100">
        <f>M114-K114</f>
        <v>47687876.696666665</v>
      </c>
    </row>
    <row r="115" spans="1:15" s="27" customFormat="1" ht="42.75" customHeight="1" x14ac:dyDescent="0.5">
      <c r="A115" s="96" t="s">
        <v>212</v>
      </c>
      <c r="B115" s="99" t="s">
        <v>216</v>
      </c>
      <c r="C115" s="100">
        <f>'Comp YTD 2020-2019 '!C13</f>
        <v>297059.51</v>
      </c>
      <c r="D115" s="100">
        <f>BPM!P9</f>
        <v>3281448.7466666666</v>
      </c>
      <c r="E115" s="100">
        <f t="shared" ref="E115:E120" si="45">D115-C115</f>
        <v>2984389.2366666663</v>
      </c>
      <c r="G115" s="100">
        <f>BPM!Q9</f>
        <v>4922173.12</v>
      </c>
      <c r="I115" s="100">
        <f>BPM!R9</f>
        <v>4922173.12</v>
      </c>
      <c r="K115" s="100">
        <f t="shared" ref="K115:K120" si="46">G115-D115</f>
        <v>1640724.3733333335</v>
      </c>
      <c r="M115" s="100">
        <f t="shared" ref="M115:M120" si="47">G115-C115</f>
        <v>4625113.6100000003</v>
      </c>
      <c r="O115" s="100">
        <f t="shared" ref="O115:O120" si="48">M115-K115</f>
        <v>2984389.2366666668</v>
      </c>
    </row>
    <row r="116" spans="1:15" s="27" customFormat="1" ht="42.75" customHeight="1" x14ac:dyDescent="0.5">
      <c r="A116" s="96" t="s">
        <v>212</v>
      </c>
      <c r="B116" s="99" t="s">
        <v>217</v>
      </c>
      <c r="C116" s="100">
        <f>'Comp YTD 2020-2019 '!C14</f>
        <v>3247.78</v>
      </c>
      <c r="D116" s="100">
        <f>BPM!P10</f>
        <v>307676.68</v>
      </c>
      <c r="E116" s="100">
        <f t="shared" si="45"/>
        <v>304428.89999999997</v>
      </c>
      <c r="G116" s="100">
        <f>BPM!Q10</f>
        <v>461515.02</v>
      </c>
      <c r="I116" s="100">
        <f>BPM!R10</f>
        <v>461515.02</v>
      </c>
      <c r="K116" s="100">
        <f t="shared" si="46"/>
        <v>153838.34000000003</v>
      </c>
      <c r="M116" s="100">
        <f t="shared" si="47"/>
        <v>458267.24</v>
      </c>
      <c r="O116" s="100">
        <f t="shared" si="48"/>
        <v>304428.89999999997</v>
      </c>
    </row>
    <row r="117" spans="1:15" s="27" customFormat="1" ht="42.75" customHeight="1" x14ac:dyDescent="0.5">
      <c r="A117" s="96" t="s">
        <v>212</v>
      </c>
      <c r="B117" s="99" t="s">
        <v>414</v>
      </c>
      <c r="C117" s="100">
        <f>'Comp YTD 2020-2019 '!C15</f>
        <v>15186.7</v>
      </c>
      <c r="D117" s="100">
        <f>BPM!P11</f>
        <v>25784.533333333336</v>
      </c>
      <c r="E117" s="100">
        <f t="shared" si="45"/>
        <v>10597.833333333336</v>
      </c>
      <c r="G117" s="100">
        <f>BPM!Q11</f>
        <v>38676.800000000003</v>
      </c>
      <c r="I117" s="100">
        <f>BPM!R11</f>
        <v>38676.800000000003</v>
      </c>
      <c r="K117" s="100">
        <f t="shared" si="46"/>
        <v>12892.266666666666</v>
      </c>
      <c r="M117" s="100">
        <f t="shared" si="47"/>
        <v>23490.100000000002</v>
      </c>
      <c r="O117" s="100">
        <f t="shared" si="48"/>
        <v>10597.833333333336</v>
      </c>
    </row>
    <row r="118" spans="1:15" s="27" customFormat="1" ht="42.75" customHeight="1" x14ac:dyDescent="0.5">
      <c r="A118" s="96" t="s">
        <v>212</v>
      </c>
      <c r="B118" s="99" t="s">
        <v>218</v>
      </c>
      <c r="C118" s="100">
        <f>'Comp YTD 2020-2019 '!C16</f>
        <v>0</v>
      </c>
      <c r="D118" s="100">
        <f>BPM!P12</f>
        <v>3093.34</v>
      </c>
      <c r="E118" s="100">
        <f t="shared" si="45"/>
        <v>3093.34</v>
      </c>
      <c r="G118" s="100">
        <f>BPM!Q12</f>
        <v>4640.01</v>
      </c>
      <c r="I118" s="100">
        <f>BPM!R12</f>
        <v>4640.01</v>
      </c>
      <c r="K118" s="100">
        <f t="shared" si="46"/>
        <v>1546.67</v>
      </c>
      <c r="M118" s="100">
        <f t="shared" si="47"/>
        <v>4640.01</v>
      </c>
      <c r="O118" s="100">
        <f t="shared" si="48"/>
        <v>3093.34</v>
      </c>
    </row>
    <row r="119" spans="1:15" s="27" customFormat="1" ht="42.75" customHeight="1" x14ac:dyDescent="0.5">
      <c r="A119" s="96" t="s">
        <v>212</v>
      </c>
      <c r="B119" s="99" t="s">
        <v>219</v>
      </c>
      <c r="C119" s="100">
        <f>'Comp YTD 2020-2019 '!C17</f>
        <v>9.99</v>
      </c>
      <c r="D119" s="100">
        <f>BPM!P13</f>
        <v>12663.413333333332</v>
      </c>
      <c r="E119" s="100">
        <f t="shared" si="45"/>
        <v>12653.423333333332</v>
      </c>
      <c r="G119" s="100">
        <f>BPM!Q13</f>
        <v>18995.12</v>
      </c>
      <c r="I119" s="100">
        <f>BPM!R13</f>
        <v>18995.12</v>
      </c>
      <c r="K119" s="100">
        <f t="shared" si="46"/>
        <v>6331.7066666666669</v>
      </c>
      <c r="M119" s="100">
        <f t="shared" si="47"/>
        <v>18985.129999999997</v>
      </c>
      <c r="O119" s="100">
        <f t="shared" si="48"/>
        <v>12653.42333333333</v>
      </c>
    </row>
    <row r="120" spans="1:15" s="27" customFormat="1" ht="42.75" customHeight="1" x14ac:dyDescent="0.5">
      <c r="A120" s="96" t="s">
        <v>212</v>
      </c>
      <c r="B120" s="99" t="s">
        <v>220</v>
      </c>
      <c r="C120" s="100">
        <f>'Comp YTD 2020-2019 '!C18</f>
        <v>122157.57</v>
      </c>
      <c r="D120" s="100">
        <f>BPM!P14+BPM!P15+BPM!P16</f>
        <v>2280872.2933333335</v>
      </c>
      <c r="E120" s="100">
        <f t="shared" si="45"/>
        <v>2158714.7233333336</v>
      </c>
      <c r="G120" s="100">
        <f>BPM!Q14+BPM!Q15+BPM!Q16</f>
        <v>3421308.44</v>
      </c>
      <c r="I120" s="100">
        <f>BPM!R14+BPM!R15+BPM!R16</f>
        <v>3421308.44</v>
      </c>
      <c r="K120" s="100">
        <f t="shared" si="46"/>
        <v>1140436.1466666665</v>
      </c>
      <c r="M120" s="100">
        <f t="shared" si="47"/>
        <v>3299150.87</v>
      </c>
      <c r="O120" s="100">
        <f t="shared" si="48"/>
        <v>2158714.7233333336</v>
      </c>
    </row>
    <row r="121" spans="1:15" s="27" customFormat="1" ht="42.75" customHeight="1" x14ac:dyDescent="0.5">
      <c r="A121" s="96" t="s">
        <v>212</v>
      </c>
      <c r="B121" s="97" t="s">
        <v>221</v>
      </c>
      <c r="C121" s="101">
        <f>SUM(C114:C120)</f>
        <v>4581131.8000000007</v>
      </c>
      <c r="D121" s="101">
        <f>SUM(D114:D120)</f>
        <v>57742885.953333341</v>
      </c>
      <c r="E121" s="101">
        <f>SUM(E114:E120)</f>
        <v>53161754.153333336</v>
      </c>
      <c r="G121" s="101">
        <f>SUM(G114:G120)</f>
        <v>86614328.930000007</v>
      </c>
      <c r="I121" s="101">
        <f>SUM(I114:I120)</f>
        <v>86614328.930000007</v>
      </c>
      <c r="K121" s="101">
        <f>SUM(K114:K120)</f>
        <v>28871442.976666674</v>
      </c>
      <c r="M121" s="101">
        <f>SUM(M114:M120)</f>
        <v>82033197.129999995</v>
      </c>
      <c r="O121" s="101">
        <f>SUM(O114:O120)</f>
        <v>53161754.153333336</v>
      </c>
    </row>
    <row r="122" spans="1:15" s="27" customFormat="1" ht="42.75" customHeight="1" x14ac:dyDescent="0.5">
      <c r="A122" s="96" t="s">
        <v>212</v>
      </c>
      <c r="B122" s="99"/>
      <c r="C122" s="100"/>
      <c r="D122" s="100"/>
      <c r="E122" s="100"/>
      <c r="G122" s="100"/>
      <c r="I122" s="100"/>
      <c r="K122" s="100"/>
      <c r="M122" s="100"/>
      <c r="O122" s="100"/>
    </row>
    <row r="123" spans="1:15" s="27" customFormat="1" ht="42.75" customHeight="1" x14ac:dyDescent="0.5">
      <c r="A123" s="96" t="s">
        <v>212</v>
      </c>
      <c r="B123" s="97" t="s">
        <v>206</v>
      </c>
      <c r="C123" s="100"/>
      <c r="D123" s="100"/>
      <c r="E123" s="100"/>
      <c r="G123" s="100"/>
      <c r="I123" s="100"/>
      <c r="K123" s="100"/>
      <c r="M123" s="100"/>
      <c r="O123" s="100"/>
    </row>
    <row r="124" spans="1:15" s="27" customFormat="1" ht="42.75" customHeight="1" x14ac:dyDescent="0.5">
      <c r="A124" s="96" t="s">
        <v>212</v>
      </c>
      <c r="B124" s="99" t="s">
        <v>215</v>
      </c>
      <c r="C124" s="100">
        <f>'Comp YTD 2020-2019 '!C22</f>
        <v>4062322.88</v>
      </c>
      <c r="D124" s="100">
        <f>BPM!P20</f>
        <v>51545832.259999998</v>
      </c>
      <c r="E124" s="100">
        <f>D124-C124</f>
        <v>47483509.379999995</v>
      </c>
      <c r="G124" s="100">
        <f>BPM!Q20</f>
        <v>77318748.390000001</v>
      </c>
      <c r="I124" s="100">
        <f>BPM!R20</f>
        <v>77318748.390000001</v>
      </c>
      <c r="K124" s="100">
        <f t="shared" ref="K124:K130" si="49">G124-D124</f>
        <v>25772916.130000003</v>
      </c>
      <c r="M124" s="100">
        <f t="shared" ref="M124:M130" si="50">G124-C124</f>
        <v>73256425.510000005</v>
      </c>
      <c r="O124" s="100">
        <f>M124-K124</f>
        <v>47483509.380000003</v>
      </c>
    </row>
    <row r="125" spans="1:15" s="27" customFormat="1" ht="42.75" customHeight="1" x14ac:dyDescent="0.5">
      <c r="A125" s="96" t="s">
        <v>212</v>
      </c>
      <c r="B125" s="99" t="s">
        <v>216</v>
      </c>
      <c r="C125" s="100">
        <f>'Comp YTD 2020-2019 '!C23</f>
        <v>277189.99</v>
      </c>
      <c r="D125" s="100">
        <f>BPM!P21</f>
        <v>3065361.4600000004</v>
      </c>
      <c r="E125" s="100">
        <f t="shared" ref="E125:E130" si="51">D125-C125</f>
        <v>2788171.4700000007</v>
      </c>
      <c r="G125" s="100">
        <f>BPM!Q21</f>
        <v>4598042.1900000004</v>
      </c>
      <c r="I125" s="100">
        <f>BPM!R21</f>
        <v>4598042.1900000004</v>
      </c>
      <c r="K125" s="100">
        <f t="shared" si="49"/>
        <v>1532680.73</v>
      </c>
      <c r="M125" s="100">
        <f t="shared" si="50"/>
        <v>4320852.2</v>
      </c>
      <c r="O125" s="100">
        <f t="shared" ref="O125:O130" si="52">M125-K125</f>
        <v>2788171.47</v>
      </c>
    </row>
    <row r="126" spans="1:15" s="27" customFormat="1" ht="42.75" customHeight="1" x14ac:dyDescent="0.5">
      <c r="A126" s="96" t="s">
        <v>212</v>
      </c>
      <c r="B126" s="99" t="s">
        <v>217</v>
      </c>
      <c r="C126" s="100">
        <f>'Comp YTD 2020-2019 '!C24</f>
        <v>2873.35</v>
      </c>
      <c r="D126" s="100">
        <f>BPM!P22</f>
        <v>291667.32</v>
      </c>
      <c r="E126" s="100">
        <f t="shared" si="51"/>
        <v>288793.97000000003</v>
      </c>
      <c r="G126" s="100">
        <f>BPM!Q22</f>
        <v>437500.98000000004</v>
      </c>
      <c r="I126" s="100">
        <f>BPM!R22</f>
        <v>437500.98000000004</v>
      </c>
      <c r="K126" s="100">
        <f t="shared" si="49"/>
        <v>145833.66000000003</v>
      </c>
      <c r="M126" s="100">
        <f t="shared" si="50"/>
        <v>434627.63000000006</v>
      </c>
      <c r="O126" s="100">
        <f t="shared" si="52"/>
        <v>288793.97000000003</v>
      </c>
    </row>
    <row r="127" spans="1:15" s="27" customFormat="1" ht="42.75" customHeight="1" x14ac:dyDescent="0.5">
      <c r="A127" s="96" t="s">
        <v>212</v>
      </c>
      <c r="B127" s="99" t="s">
        <v>414</v>
      </c>
      <c r="C127" s="100">
        <f>'Comp YTD 2020-2019 '!C25</f>
        <v>14460</v>
      </c>
      <c r="D127" s="100">
        <f>BPM!P23</f>
        <v>20532</v>
      </c>
      <c r="E127" s="100">
        <f t="shared" si="51"/>
        <v>6072</v>
      </c>
      <c r="G127" s="100">
        <f>BPM!Q23</f>
        <v>30798</v>
      </c>
      <c r="I127" s="100">
        <f>BPM!R23</f>
        <v>30798</v>
      </c>
      <c r="K127" s="100">
        <f t="shared" si="49"/>
        <v>10266</v>
      </c>
      <c r="M127" s="100">
        <f t="shared" si="50"/>
        <v>16338</v>
      </c>
      <c r="O127" s="100">
        <f t="shared" si="52"/>
        <v>6072</v>
      </c>
    </row>
    <row r="128" spans="1:15" s="27" customFormat="1" ht="42.75" customHeight="1" x14ac:dyDescent="0.5">
      <c r="A128" s="96" t="s">
        <v>212</v>
      </c>
      <c r="B128" s="99" t="s">
        <v>218</v>
      </c>
      <c r="C128" s="100">
        <f>'Comp YTD 2020-2019 '!C26</f>
        <v>0</v>
      </c>
      <c r="D128" s="100">
        <f>BPM!P24</f>
        <v>12663.413333333332</v>
      </c>
      <c r="E128" s="100">
        <f t="shared" si="51"/>
        <v>12663.413333333332</v>
      </c>
      <c r="G128" s="100">
        <f>BPM!Q24</f>
        <v>18995.12</v>
      </c>
      <c r="I128" s="100">
        <f>BPM!R24</f>
        <v>18995.12</v>
      </c>
      <c r="K128" s="100">
        <f t="shared" si="49"/>
        <v>6331.7066666666669</v>
      </c>
      <c r="M128" s="100">
        <f t="shared" si="50"/>
        <v>18995.12</v>
      </c>
      <c r="O128" s="100">
        <f t="shared" si="52"/>
        <v>12663.413333333332</v>
      </c>
    </row>
    <row r="129" spans="1:15" s="27" customFormat="1" ht="42.75" customHeight="1" x14ac:dyDescent="0.5">
      <c r="A129" s="96" t="s">
        <v>212</v>
      </c>
      <c r="B129" s="99" t="s">
        <v>219</v>
      </c>
      <c r="C129" s="100">
        <f>'Comp YTD 2020-2019 '!C27</f>
        <v>0</v>
      </c>
      <c r="D129" s="100">
        <f>BPM!P25</f>
        <v>2344.3333333333335</v>
      </c>
      <c r="E129" s="100">
        <f t="shared" si="51"/>
        <v>2344.3333333333335</v>
      </c>
      <c r="G129" s="100">
        <f>BPM!Q25</f>
        <v>3516.5</v>
      </c>
      <c r="I129" s="100">
        <f>BPM!R25</f>
        <v>3516.5</v>
      </c>
      <c r="K129" s="100">
        <f t="shared" si="49"/>
        <v>1172.1666666666665</v>
      </c>
      <c r="M129" s="100">
        <f t="shared" si="50"/>
        <v>3516.5</v>
      </c>
      <c r="O129" s="100">
        <f t="shared" si="52"/>
        <v>2344.3333333333335</v>
      </c>
    </row>
    <row r="130" spans="1:15" s="27" customFormat="1" ht="42.75" customHeight="1" x14ac:dyDescent="0.5">
      <c r="A130" s="96" t="s">
        <v>212</v>
      </c>
      <c r="B130" s="99" t="s">
        <v>220</v>
      </c>
      <c r="C130" s="100">
        <f>'Comp YTD 2020-2019 '!C28</f>
        <v>164814.29</v>
      </c>
      <c r="D130" s="100">
        <f>BPM!P26+BPM!P27+BPM!P28+BPM!P29+BPM!P30+BPM!P31+BPM!P32+BPM!P33+BPM!P35+BPM!P36</f>
        <v>1948052.0733333337</v>
      </c>
      <c r="E130" s="100">
        <f t="shared" si="51"/>
        <v>1783237.7833333337</v>
      </c>
      <c r="G130" s="100">
        <f>BPM!Q26+BPM!Q27+BPM!Q28+BPM!Q29+BPM!Q30+BPM!Q31+BPM!Q32+BPM!Q33+BPM!Q35+BPM!Q36</f>
        <v>2922078.1100000003</v>
      </c>
      <c r="I130" s="100">
        <f>BPM!R26+BPM!R27+BPM!R28+BPM!R29+BPM!R30+BPM!R31+BPM!R32+BPM!R33+BPM!R35+BPM!R36</f>
        <v>2922078.1100000003</v>
      </c>
      <c r="K130" s="100">
        <f t="shared" si="49"/>
        <v>974026.03666666662</v>
      </c>
      <c r="M130" s="100">
        <f t="shared" si="50"/>
        <v>2757263.8200000003</v>
      </c>
      <c r="O130" s="100">
        <f t="shared" si="52"/>
        <v>1783237.7833333337</v>
      </c>
    </row>
    <row r="131" spans="1:15" s="27" customFormat="1" ht="42.75" customHeight="1" x14ac:dyDescent="0.5">
      <c r="A131" s="96" t="s">
        <v>212</v>
      </c>
      <c r="B131" s="97" t="s">
        <v>222</v>
      </c>
      <c r="C131" s="101">
        <f t="shared" ref="C131" si="53">SUM(C124:C130)</f>
        <v>4521660.51</v>
      </c>
      <c r="D131" s="101">
        <f>SUM(D124:D130)</f>
        <v>56886452.859999999</v>
      </c>
      <c r="E131" s="101">
        <f>SUM(E124:E130)</f>
        <v>52364792.349999994</v>
      </c>
      <c r="G131" s="101">
        <f>SUM(G124:G130)</f>
        <v>85329679.290000007</v>
      </c>
      <c r="I131" s="101">
        <f>SUM(I124:I130)</f>
        <v>85329679.290000007</v>
      </c>
      <c r="K131" s="101">
        <f>SUM(K124:K130)</f>
        <v>28443226.430000003</v>
      </c>
      <c r="M131" s="101">
        <f>SUM(M124:M130)</f>
        <v>80808018.780000001</v>
      </c>
      <c r="O131" s="101">
        <f>SUM(O124:O130)</f>
        <v>52364792.350000001</v>
      </c>
    </row>
    <row r="132" spans="1:15" s="27" customFormat="1" ht="42.75" customHeight="1" x14ac:dyDescent="0.5">
      <c r="A132" s="96" t="s">
        <v>212</v>
      </c>
      <c r="B132" s="99"/>
      <c r="C132" s="100"/>
      <c r="D132" s="100"/>
      <c r="E132" s="100"/>
      <c r="G132" s="100"/>
      <c r="I132" s="100"/>
      <c r="K132" s="100"/>
      <c r="M132" s="100"/>
      <c r="O132" s="100"/>
    </row>
    <row r="133" spans="1:15" s="27" customFormat="1" ht="42.75" customHeight="1" thickBot="1" x14ac:dyDescent="0.55000000000000004">
      <c r="A133" s="96" t="s">
        <v>212</v>
      </c>
      <c r="B133" s="97" t="s">
        <v>209</v>
      </c>
      <c r="C133" s="102">
        <f>C121-C131</f>
        <v>59471.290000000969</v>
      </c>
      <c r="D133" s="102">
        <f>D121-D131</f>
        <v>856433.09333334118</v>
      </c>
      <c r="E133" s="102">
        <f>D133-C133</f>
        <v>796961.80333334021</v>
      </c>
      <c r="G133" s="102">
        <f>G121-G131</f>
        <v>1284649.6400000006</v>
      </c>
      <c r="I133" s="102">
        <f>I121-I131</f>
        <v>1284649.6400000006</v>
      </c>
      <c r="K133" s="102">
        <f>K121-K131</f>
        <v>428216.54666667059</v>
      </c>
      <c r="M133" s="102">
        <f>M121-M131</f>
        <v>1225178.349999994</v>
      </c>
      <c r="O133" s="102">
        <f>-(O121-O131)</f>
        <v>-796961.80333333462</v>
      </c>
    </row>
    <row r="134" spans="1:15" s="27" customFormat="1" ht="42.75" customHeight="1" x14ac:dyDescent="0.5">
      <c r="A134" s="96" t="s">
        <v>212</v>
      </c>
      <c r="B134" s="99"/>
      <c r="C134" s="100"/>
      <c r="D134" s="100"/>
      <c r="E134" s="100"/>
      <c r="G134" s="100"/>
      <c r="I134" s="100"/>
      <c r="K134" s="100"/>
      <c r="M134" s="100"/>
      <c r="O134" s="100"/>
    </row>
    <row r="135" spans="1:15" s="27" customFormat="1" ht="42.75" customHeight="1" x14ac:dyDescent="0.5">
      <c r="A135" s="96" t="s">
        <v>212</v>
      </c>
      <c r="B135" s="97" t="s">
        <v>207</v>
      </c>
      <c r="C135" s="100"/>
      <c r="D135" s="100"/>
      <c r="E135" s="100"/>
      <c r="G135" s="100"/>
      <c r="I135" s="100"/>
      <c r="K135" s="100"/>
      <c r="M135" s="100"/>
      <c r="O135" s="100"/>
    </row>
    <row r="136" spans="1:15" s="27" customFormat="1" ht="42.75" customHeight="1" x14ac:dyDescent="0.5">
      <c r="A136" s="96" t="s">
        <v>212</v>
      </c>
      <c r="B136" s="99"/>
      <c r="C136" s="100"/>
      <c r="D136" s="100"/>
      <c r="E136" s="100"/>
      <c r="G136" s="100"/>
      <c r="I136" s="100"/>
      <c r="K136" s="100"/>
      <c r="M136" s="100"/>
      <c r="O136" s="100"/>
    </row>
    <row r="137" spans="1:15" s="27" customFormat="1" ht="42.75" customHeight="1" x14ac:dyDescent="0.5">
      <c r="A137" s="96" t="s">
        <v>212</v>
      </c>
      <c r="B137" s="97" t="s">
        <v>223</v>
      </c>
      <c r="C137" s="100"/>
      <c r="D137" s="100"/>
      <c r="E137" s="100"/>
      <c r="G137" s="100"/>
      <c r="I137" s="100"/>
      <c r="K137" s="100"/>
      <c r="M137" s="100"/>
      <c r="O137" s="100"/>
    </row>
    <row r="138" spans="1:15" s="27" customFormat="1" ht="42.75" customHeight="1" x14ac:dyDescent="0.5">
      <c r="A138" s="96" t="s">
        <v>212</v>
      </c>
      <c r="B138" s="99" t="s">
        <v>224</v>
      </c>
      <c r="C138" s="100">
        <f>'Comp YTD 2020-2019 '!C37</f>
        <v>58937.49</v>
      </c>
      <c r="D138" s="100">
        <f>BPM!P44</f>
        <v>400000</v>
      </c>
      <c r="E138" s="100">
        <f>D138-C138</f>
        <v>341062.51</v>
      </c>
      <c r="G138" s="100">
        <f>BPM!Q44</f>
        <v>600000</v>
      </c>
      <c r="I138" s="100">
        <f>BPM!R44</f>
        <v>701959.7</v>
      </c>
      <c r="K138" s="100">
        <f>G138-D138</f>
        <v>200000</v>
      </c>
      <c r="M138" s="100">
        <f>G138-C138</f>
        <v>541062.51</v>
      </c>
      <c r="O138" s="100">
        <f>M138-K138</f>
        <v>341062.51</v>
      </c>
    </row>
    <row r="139" spans="1:15" s="27" customFormat="1" ht="42.75" customHeight="1" x14ac:dyDescent="0.5">
      <c r="A139" s="96" t="s">
        <v>212</v>
      </c>
      <c r="B139" s="99" t="s">
        <v>531</v>
      </c>
      <c r="C139" s="100">
        <f>'Comp YTD 2020-2019 '!C38</f>
        <v>4803.0200000000004</v>
      </c>
      <c r="D139" s="100">
        <f>BPM!P45</f>
        <v>35133.360000000001</v>
      </c>
      <c r="E139" s="100">
        <f t="shared" ref="E139:E147" si="54">D139-C139</f>
        <v>30330.34</v>
      </c>
      <c r="G139" s="100">
        <f>BPM!Q45</f>
        <v>52700.04</v>
      </c>
      <c r="I139" s="100">
        <f>BPM!R45</f>
        <v>0</v>
      </c>
      <c r="K139" s="100">
        <f t="shared" ref="K139:K147" si="55">G139-D139</f>
        <v>17566.68</v>
      </c>
      <c r="M139" s="100">
        <f t="shared" ref="M139:M147" si="56">G139-C139</f>
        <v>47897.020000000004</v>
      </c>
      <c r="O139" s="100">
        <f t="shared" ref="O139:O147" si="57">M139-K139</f>
        <v>30330.340000000004</v>
      </c>
    </row>
    <row r="140" spans="1:15" s="27" customFormat="1" ht="42.75" customHeight="1" x14ac:dyDescent="0.5">
      <c r="A140" s="96" t="s">
        <v>212</v>
      </c>
      <c r="B140" s="99" t="s">
        <v>225</v>
      </c>
      <c r="C140" s="100">
        <f>'Comp YTD 2020-2019 '!C39</f>
        <v>368.91</v>
      </c>
      <c r="D140" s="100">
        <f>0</f>
        <v>0</v>
      </c>
      <c r="E140" s="100">
        <f t="shared" si="54"/>
        <v>-368.91</v>
      </c>
      <c r="G140" s="100">
        <f>0</f>
        <v>0</v>
      </c>
      <c r="I140" s="100">
        <f>0</f>
        <v>0</v>
      </c>
      <c r="K140" s="100">
        <f t="shared" si="55"/>
        <v>0</v>
      </c>
      <c r="M140" s="100">
        <f t="shared" si="56"/>
        <v>-368.91</v>
      </c>
      <c r="O140" s="100">
        <f t="shared" si="57"/>
        <v>-368.91</v>
      </c>
    </row>
    <row r="141" spans="1:15" s="27" customFormat="1" ht="42.75" customHeight="1" x14ac:dyDescent="0.5">
      <c r="A141" s="96" t="s">
        <v>212</v>
      </c>
      <c r="B141" s="99" t="s">
        <v>226</v>
      </c>
      <c r="C141" s="100">
        <f>'Comp YTD 2020-2019 '!C40</f>
        <v>6430.34</v>
      </c>
      <c r="D141" s="100">
        <f>BPM!P47</f>
        <v>37172.379999999997</v>
      </c>
      <c r="E141" s="100">
        <f t="shared" si="54"/>
        <v>30742.039999999997</v>
      </c>
      <c r="G141" s="100">
        <f>BPM!Q47</f>
        <v>55758.57</v>
      </c>
      <c r="I141" s="100">
        <f>BPM!R47</f>
        <v>55758.57</v>
      </c>
      <c r="K141" s="100">
        <f t="shared" si="55"/>
        <v>18586.190000000002</v>
      </c>
      <c r="M141" s="100">
        <f t="shared" si="56"/>
        <v>49328.229999999996</v>
      </c>
      <c r="O141" s="100">
        <f t="shared" si="57"/>
        <v>30742.039999999994</v>
      </c>
    </row>
    <row r="142" spans="1:15" s="27" customFormat="1" ht="42.75" customHeight="1" x14ac:dyDescent="0.5">
      <c r="A142" s="96" t="s">
        <v>212</v>
      </c>
      <c r="B142" s="99" t="s">
        <v>227</v>
      </c>
      <c r="C142" s="100">
        <f>'Comp YTD 2020-2019 '!C41</f>
        <v>7145.82</v>
      </c>
      <c r="D142" s="100">
        <f>BPM!P48</f>
        <v>40776.080000000002</v>
      </c>
      <c r="E142" s="100">
        <f t="shared" si="54"/>
        <v>33630.26</v>
      </c>
      <c r="G142" s="100">
        <f>BPM!Q48</f>
        <v>61164.12</v>
      </c>
      <c r="I142" s="100">
        <f>BPM!R48</f>
        <v>36164.119999999995</v>
      </c>
      <c r="K142" s="100">
        <f t="shared" si="55"/>
        <v>20388.04</v>
      </c>
      <c r="M142" s="100">
        <f t="shared" si="56"/>
        <v>54018.3</v>
      </c>
      <c r="O142" s="100">
        <f t="shared" si="57"/>
        <v>33630.26</v>
      </c>
    </row>
    <row r="143" spans="1:15" s="27" customFormat="1" ht="42.75" customHeight="1" x14ac:dyDescent="0.5">
      <c r="A143" s="96" t="s">
        <v>212</v>
      </c>
      <c r="B143" s="99" t="s">
        <v>228</v>
      </c>
      <c r="C143" s="100">
        <f>'Comp YTD 2020-2019 '!C42</f>
        <v>1085.8800000000001</v>
      </c>
      <c r="D143" s="100">
        <f>BPM!P49</f>
        <v>6400</v>
      </c>
      <c r="E143" s="100">
        <f t="shared" si="54"/>
        <v>5314.12</v>
      </c>
      <c r="G143" s="100">
        <f>BPM!Q49</f>
        <v>9600</v>
      </c>
      <c r="I143" s="100">
        <f>BPM!R49</f>
        <v>9124.52</v>
      </c>
      <c r="K143" s="100">
        <f t="shared" si="55"/>
        <v>3200</v>
      </c>
      <c r="M143" s="100">
        <f t="shared" si="56"/>
        <v>8514.119999999999</v>
      </c>
      <c r="O143" s="100">
        <f t="shared" si="57"/>
        <v>5314.119999999999</v>
      </c>
    </row>
    <row r="144" spans="1:15" s="27" customFormat="1" ht="42.75" customHeight="1" x14ac:dyDescent="0.5">
      <c r="A144" s="96" t="s">
        <v>212</v>
      </c>
      <c r="B144" s="99" t="s">
        <v>229</v>
      </c>
      <c r="C144" s="100">
        <f>'Comp YTD 2020-2019 '!C43</f>
        <v>2417.75</v>
      </c>
      <c r="D144" s="100">
        <f>BPM!P50</f>
        <v>18400</v>
      </c>
      <c r="E144" s="100">
        <f t="shared" si="54"/>
        <v>15982.25</v>
      </c>
      <c r="G144" s="100">
        <f>BPM!Q50</f>
        <v>27600</v>
      </c>
      <c r="I144" s="100">
        <f>BPM!R50</f>
        <v>18307.82</v>
      </c>
      <c r="K144" s="100">
        <f t="shared" si="55"/>
        <v>9200</v>
      </c>
      <c r="M144" s="100">
        <f t="shared" si="56"/>
        <v>25182.25</v>
      </c>
      <c r="O144" s="100">
        <f t="shared" si="57"/>
        <v>15982.25</v>
      </c>
    </row>
    <row r="145" spans="1:15" s="27" customFormat="1" ht="42.75" customHeight="1" x14ac:dyDescent="0.5">
      <c r="A145" s="96" t="s">
        <v>212</v>
      </c>
      <c r="B145" s="99" t="s">
        <v>305</v>
      </c>
      <c r="C145" s="100">
        <f>'Comp YTD 2020-2019 '!C44</f>
        <v>0</v>
      </c>
      <c r="D145" s="100">
        <v>0</v>
      </c>
      <c r="E145" s="100">
        <f t="shared" si="54"/>
        <v>0</v>
      </c>
      <c r="G145" s="100">
        <v>0</v>
      </c>
      <c r="I145" s="100">
        <v>0</v>
      </c>
      <c r="K145" s="100">
        <f t="shared" si="55"/>
        <v>0</v>
      </c>
      <c r="M145" s="100">
        <f t="shared" si="56"/>
        <v>0</v>
      </c>
      <c r="O145" s="100">
        <f t="shared" si="57"/>
        <v>0</v>
      </c>
    </row>
    <row r="146" spans="1:15" s="27" customFormat="1" ht="42.75" customHeight="1" x14ac:dyDescent="0.5">
      <c r="A146" s="96" t="s">
        <v>212</v>
      </c>
      <c r="B146" s="99" t="s">
        <v>230</v>
      </c>
      <c r="C146" s="100">
        <f>'Comp YTD 2020-2019 '!C45</f>
        <v>0</v>
      </c>
      <c r="D146" s="100">
        <v>0</v>
      </c>
      <c r="E146" s="100">
        <f t="shared" si="54"/>
        <v>0</v>
      </c>
      <c r="G146" s="100">
        <v>0</v>
      </c>
      <c r="I146" s="100">
        <v>0</v>
      </c>
      <c r="K146" s="100">
        <f t="shared" si="55"/>
        <v>0</v>
      </c>
      <c r="M146" s="100">
        <f t="shared" si="56"/>
        <v>0</v>
      </c>
      <c r="O146" s="100">
        <f t="shared" si="57"/>
        <v>0</v>
      </c>
    </row>
    <row r="147" spans="1:15" s="27" customFormat="1" ht="42.75" customHeight="1" x14ac:dyDescent="0.5">
      <c r="A147" s="96" t="s">
        <v>212</v>
      </c>
      <c r="B147" s="99" t="s">
        <v>244</v>
      </c>
      <c r="C147" s="100">
        <f>'Comp YTD 2020-2019 '!C46</f>
        <v>870.95</v>
      </c>
      <c r="D147" s="100">
        <f>BPM!P52</f>
        <v>4043.2466666666664</v>
      </c>
      <c r="E147" s="100">
        <f t="shared" si="54"/>
        <v>3172.2966666666662</v>
      </c>
      <c r="G147" s="100">
        <f>BPM!Q52</f>
        <v>6064.87</v>
      </c>
      <c r="I147" s="100">
        <f>BPM!R52</f>
        <v>6064.87</v>
      </c>
      <c r="K147" s="100">
        <f t="shared" si="55"/>
        <v>2021.6233333333334</v>
      </c>
      <c r="M147" s="100">
        <f t="shared" si="56"/>
        <v>5193.92</v>
      </c>
      <c r="O147" s="100">
        <f t="shared" si="57"/>
        <v>3172.2966666666666</v>
      </c>
    </row>
    <row r="148" spans="1:15" s="27" customFormat="1" ht="42.75" customHeight="1" x14ac:dyDescent="0.5">
      <c r="A148" s="96" t="s">
        <v>212</v>
      </c>
      <c r="B148" s="97" t="s">
        <v>231</v>
      </c>
      <c r="C148" s="101">
        <f>SUM(C138:C147)</f>
        <v>82060.159999999989</v>
      </c>
      <c r="D148" s="101">
        <f t="shared" ref="D148" si="58">SUM(D138:D147)</f>
        <v>541925.06666666677</v>
      </c>
      <c r="E148" s="101">
        <f>SUM(E138:E147)</f>
        <v>459864.90666666673</v>
      </c>
      <c r="G148" s="101">
        <f>SUM(G138:G147)</f>
        <v>812887.6</v>
      </c>
      <c r="I148" s="101">
        <f>SUM(I138:I147)</f>
        <v>827379.59999999986</v>
      </c>
      <c r="K148" s="101">
        <f>SUM(K138:K147)</f>
        <v>270962.53333333338</v>
      </c>
      <c r="M148" s="101">
        <f>SUM(M138:M147)</f>
        <v>730827.44000000006</v>
      </c>
      <c r="O148" s="101">
        <f>SUM(O138:O147)</f>
        <v>459864.90666666673</v>
      </c>
    </row>
    <row r="149" spans="1:15" s="27" customFormat="1" ht="42.75" customHeight="1" x14ac:dyDescent="0.5">
      <c r="A149" s="96" t="s">
        <v>212</v>
      </c>
      <c r="B149" s="99"/>
      <c r="C149" s="100"/>
      <c r="D149" s="100"/>
      <c r="E149" s="100"/>
      <c r="G149" s="100"/>
      <c r="I149" s="100"/>
      <c r="K149" s="100"/>
      <c r="M149" s="100"/>
      <c r="O149" s="100"/>
    </row>
    <row r="150" spans="1:15" s="27" customFormat="1" ht="42.75" customHeight="1" x14ac:dyDescent="0.5">
      <c r="A150" s="96" t="s">
        <v>212</v>
      </c>
      <c r="B150" s="97" t="s">
        <v>477</v>
      </c>
      <c r="C150" s="100"/>
      <c r="D150" s="100"/>
      <c r="E150" s="100"/>
      <c r="G150" s="100"/>
      <c r="I150" s="100"/>
      <c r="K150" s="100"/>
      <c r="M150" s="100"/>
      <c r="O150" s="100"/>
    </row>
    <row r="151" spans="1:15" s="27" customFormat="1" ht="42.75" customHeight="1" x14ac:dyDescent="0.5">
      <c r="A151" s="96" t="s">
        <v>212</v>
      </c>
      <c r="B151" s="99" t="s">
        <v>232</v>
      </c>
      <c r="C151" s="100">
        <f>'Comp YTD 2020-2019 '!C50</f>
        <v>5000</v>
      </c>
      <c r="D151" s="100">
        <f>BPM!P57</f>
        <v>40000</v>
      </c>
      <c r="E151" s="100">
        <f>D151-C151</f>
        <v>35000</v>
      </c>
      <c r="G151" s="100">
        <f>BPM!Q57</f>
        <v>60000</v>
      </c>
      <c r="I151" s="100">
        <f>BPM!R57</f>
        <v>60000</v>
      </c>
      <c r="K151" s="100">
        <f t="shared" ref="K151" si="59">G151-D151</f>
        <v>20000</v>
      </c>
      <c r="M151" s="100">
        <f t="shared" ref="M151" si="60">G151-C151</f>
        <v>55000</v>
      </c>
      <c r="O151" s="100">
        <f>M151-K151</f>
        <v>35000</v>
      </c>
    </row>
    <row r="152" spans="1:15" s="27" customFormat="1" ht="42.75" hidden="1" customHeight="1" x14ac:dyDescent="0.5">
      <c r="A152" s="96" t="s">
        <v>212</v>
      </c>
      <c r="B152" s="99" t="s">
        <v>233</v>
      </c>
      <c r="C152" s="100">
        <f>'Comp YTD 2020-2019 '!C51</f>
        <v>0</v>
      </c>
      <c r="D152" s="100">
        <v>0</v>
      </c>
      <c r="E152" s="100">
        <f t="shared" ref="E152:E172" si="61">D152-C152</f>
        <v>0</v>
      </c>
      <c r="G152" s="100">
        <v>0</v>
      </c>
      <c r="I152" s="100">
        <v>0</v>
      </c>
      <c r="K152" s="100">
        <f t="shared" ref="K152:K172" si="62">G152-D152</f>
        <v>0</v>
      </c>
      <c r="M152" s="100">
        <f t="shared" ref="M152:M172" si="63">G152-C152</f>
        <v>0</v>
      </c>
      <c r="O152" s="100">
        <f t="shared" ref="O152:O172" si="64">M152-K152</f>
        <v>0</v>
      </c>
    </row>
    <row r="153" spans="1:15" s="27" customFormat="1" ht="42.75" hidden="1" customHeight="1" x14ac:dyDescent="0.5">
      <c r="A153" s="96" t="s">
        <v>212</v>
      </c>
      <c r="B153" s="99" t="s">
        <v>234</v>
      </c>
      <c r="C153" s="100">
        <f>'Comp YTD 2020-2019 '!C52</f>
        <v>0</v>
      </c>
      <c r="D153" s="100">
        <v>0</v>
      </c>
      <c r="E153" s="100">
        <f t="shared" si="61"/>
        <v>0</v>
      </c>
      <c r="G153" s="100">
        <v>0</v>
      </c>
      <c r="I153" s="100">
        <v>0</v>
      </c>
      <c r="K153" s="100">
        <f t="shared" si="62"/>
        <v>0</v>
      </c>
      <c r="M153" s="100">
        <f t="shared" si="63"/>
        <v>0</v>
      </c>
      <c r="O153" s="100">
        <f t="shared" si="64"/>
        <v>0</v>
      </c>
    </row>
    <row r="154" spans="1:15" s="27" customFormat="1" ht="42.75" hidden="1" customHeight="1" x14ac:dyDescent="0.5">
      <c r="A154" s="96" t="s">
        <v>212</v>
      </c>
      <c r="B154" s="99" t="s">
        <v>333</v>
      </c>
      <c r="C154" s="100">
        <f>'Comp YTD 2020-2019 '!C53</f>
        <v>0</v>
      </c>
      <c r="D154" s="100">
        <v>0</v>
      </c>
      <c r="E154" s="100">
        <f t="shared" si="61"/>
        <v>0</v>
      </c>
      <c r="G154" s="100">
        <v>0</v>
      </c>
      <c r="I154" s="100">
        <v>0</v>
      </c>
      <c r="K154" s="100">
        <f t="shared" si="62"/>
        <v>0</v>
      </c>
      <c r="M154" s="100">
        <f t="shared" si="63"/>
        <v>0</v>
      </c>
      <c r="O154" s="100">
        <f t="shared" si="64"/>
        <v>0</v>
      </c>
    </row>
    <row r="155" spans="1:15" s="27" customFormat="1" ht="42.75" hidden="1" customHeight="1" x14ac:dyDescent="0.5">
      <c r="A155" s="96" t="s">
        <v>212</v>
      </c>
      <c r="B155" s="99" t="s">
        <v>288</v>
      </c>
      <c r="C155" s="100">
        <f>'Comp YTD 2020-2019 '!C54</f>
        <v>0</v>
      </c>
      <c r="D155" s="100">
        <v>0</v>
      </c>
      <c r="E155" s="100">
        <f t="shared" si="61"/>
        <v>0</v>
      </c>
      <c r="G155" s="100">
        <v>0</v>
      </c>
      <c r="I155" s="100">
        <v>0</v>
      </c>
      <c r="K155" s="100">
        <f t="shared" si="62"/>
        <v>0</v>
      </c>
      <c r="M155" s="100">
        <f t="shared" si="63"/>
        <v>0</v>
      </c>
      <c r="O155" s="100">
        <f t="shared" si="64"/>
        <v>0</v>
      </c>
    </row>
    <row r="156" spans="1:15" s="27" customFormat="1" ht="42.75" hidden="1" customHeight="1" x14ac:dyDescent="0.5">
      <c r="A156" s="96" t="s">
        <v>212</v>
      </c>
      <c r="B156" s="99" t="s">
        <v>437</v>
      </c>
      <c r="C156" s="100">
        <f>'Comp YTD 2020-2019 '!C55</f>
        <v>0</v>
      </c>
      <c r="D156" s="100">
        <v>0</v>
      </c>
      <c r="E156" s="100">
        <f t="shared" si="61"/>
        <v>0</v>
      </c>
      <c r="G156" s="100">
        <v>0</v>
      </c>
      <c r="I156" s="100">
        <v>0</v>
      </c>
      <c r="K156" s="100">
        <f t="shared" si="62"/>
        <v>0</v>
      </c>
      <c r="M156" s="100">
        <f t="shared" si="63"/>
        <v>0</v>
      </c>
      <c r="O156" s="100">
        <f t="shared" si="64"/>
        <v>0</v>
      </c>
    </row>
    <row r="157" spans="1:15" s="27" customFormat="1" ht="42.75" hidden="1" customHeight="1" x14ac:dyDescent="0.5">
      <c r="A157" s="96" t="s">
        <v>212</v>
      </c>
      <c r="B157" s="99" t="s">
        <v>370</v>
      </c>
      <c r="C157" s="100">
        <f>'Comp YTD 2020-2019 '!C56</f>
        <v>0</v>
      </c>
      <c r="D157" s="100">
        <v>0</v>
      </c>
      <c r="E157" s="100">
        <f t="shared" si="61"/>
        <v>0</v>
      </c>
      <c r="G157" s="100">
        <v>0</v>
      </c>
      <c r="I157" s="100">
        <v>0</v>
      </c>
      <c r="K157" s="100">
        <f t="shared" si="62"/>
        <v>0</v>
      </c>
      <c r="M157" s="100">
        <f t="shared" si="63"/>
        <v>0</v>
      </c>
      <c r="O157" s="100">
        <f t="shared" si="64"/>
        <v>0</v>
      </c>
    </row>
    <row r="158" spans="1:15" s="27" customFormat="1" ht="42.75" customHeight="1" x14ac:dyDescent="0.5">
      <c r="A158" s="96" t="s">
        <v>212</v>
      </c>
      <c r="B158" s="99" t="s">
        <v>368</v>
      </c>
      <c r="C158" s="100">
        <f>'Comp YTD 2020-2019 '!C57</f>
        <v>0</v>
      </c>
      <c r="D158" s="100">
        <f>BPM!P58</f>
        <v>1813.1533333333334</v>
      </c>
      <c r="E158" s="100">
        <f t="shared" si="61"/>
        <v>1813.1533333333334</v>
      </c>
      <c r="G158" s="100">
        <f>BPM!Q58</f>
        <v>2719.73</v>
      </c>
      <c r="I158" s="100">
        <f>BPM!R58</f>
        <v>2719.73</v>
      </c>
      <c r="K158" s="100">
        <f t="shared" si="62"/>
        <v>906.5766666666666</v>
      </c>
      <c r="M158" s="100">
        <f t="shared" si="63"/>
        <v>2719.73</v>
      </c>
      <c r="O158" s="100">
        <f t="shared" si="64"/>
        <v>1813.1533333333334</v>
      </c>
    </row>
    <row r="159" spans="1:15" s="27" customFormat="1" ht="42.75" hidden="1" customHeight="1" x14ac:dyDescent="0.5">
      <c r="A159" s="96" t="s">
        <v>212</v>
      </c>
      <c r="B159" s="99" t="s">
        <v>237</v>
      </c>
      <c r="C159" s="100">
        <f>'Comp YTD 2020-2019 '!C58</f>
        <v>0</v>
      </c>
      <c r="D159" s="100">
        <v>0</v>
      </c>
      <c r="E159" s="100">
        <f t="shared" si="61"/>
        <v>0</v>
      </c>
      <c r="G159" s="100">
        <v>0</v>
      </c>
      <c r="I159" s="100">
        <v>0</v>
      </c>
      <c r="K159" s="100">
        <f t="shared" si="62"/>
        <v>0</v>
      </c>
      <c r="M159" s="100">
        <f t="shared" si="63"/>
        <v>0</v>
      </c>
      <c r="O159" s="100">
        <f t="shared" si="64"/>
        <v>0</v>
      </c>
    </row>
    <row r="160" spans="1:15" s="27" customFormat="1" ht="42.75" hidden="1" customHeight="1" x14ac:dyDescent="0.5">
      <c r="A160" s="96" t="s">
        <v>212</v>
      </c>
      <c r="B160" s="99" t="s">
        <v>238</v>
      </c>
      <c r="C160" s="100">
        <f>'Comp YTD 2020-2019 '!C59</f>
        <v>0</v>
      </c>
      <c r="D160" s="100">
        <v>0</v>
      </c>
      <c r="E160" s="100">
        <f t="shared" si="61"/>
        <v>0</v>
      </c>
      <c r="G160" s="100">
        <v>0</v>
      </c>
      <c r="I160" s="100">
        <v>0</v>
      </c>
      <c r="K160" s="100">
        <f t="shared" si="62"/>
        <v>0</v>
      </c>
      <c r="M160" s="100">
        <f t="shared" si="63"/>
        <v>0</v>
      </c>
      <c r="O160" s="100">
        <f t="shared" si="64"/>
        <v>0</v>
      </c>
    </row>
    <row r="161" spans="1:15" s="27" customFormat="1" ht="42.75" customHeight="1" x14ac:dyDescent="0.5">
      <c r="A161" s="96" t="s">
        <v>212</v>
      </c>
      <c r="B161" s="99" t="s">
        <v>236</v>
      </c>
      <c r="C161" s="100">
        <f>'Comp YTD 2020-2019 '!C60</f>
        <v>440</v>
      </c>
      <c r="D161" s="100">
        <f>BPM!P59</f>
        <v>3960.7400000000002</v>
      </c>
      <c r="E161" s="100">
        <f t="shared" si="61"/>
        <v>3520.7400000000002</v>
      </c>
      <c r="G161" s="100">
        <f>BPM!Q59</f>
        <v>5941.1100000000006</v>
      </c>
      <c r="I161" s="100">
        <f>BPM!R59</f>
        <v>5941.1100000000006</v>
      </c>
      <c r="K161" s="100">
        <f t="shared" si="62"/>
        <v>1980.3700000000003</v>
      </c>
      <c r="M161" s="100">
        <f t="shared" si="63"/>
        <v>5501.1100000000006</v>
      </c>
      <c r="O161" s="100">
        <f t="shared" si="64"/>
        <v>3520.7400000000002</v>
      </c>
    </row>
    <row r="162" spans="1:15" s="27" customFormat="1" ht="42.75" customHeight="1" x14ac:dyDescent="0.5">
      <c r="A162" s="96" t="s">
        <v>212</v>
      </c>
      <c r="B162" s="99" t="s">
        <v>350</v>
      </c>
      <c r="C162" s="100">
        <f>'Comp YTD 2020-2019 '!C67</f>
        <v>0</v>
      </c>
      <c r="D162" s="100">
        <f>BPM!P75</f>
        <v>312.5866666666667</v>
      </c>
      <c r="E162" s="100">
        <f t="shared" si="61"/>
        <v>312.5866666666667</v>
      </c>
      <c r="G162" s="100">
        <f>BPM!Q75</f>
        <v>468.88000000000005</v>
      </c>
      <c r="I162" s="100">
        <f>BPM!R75</f>
        <v>468.88000000000005</v>
      </c>
      <c r="K162" s="100">
        <f t="shared" si="62"/>
        <v>156.29333333333335</v>
      </c>
      <c r="M162" s="100">
        <f t="shared" si="63"/>
        <v>468.88000000000005</v>
      </c>
      <c r="O162" s="100">
        <f t="shared" si="64"/>
        <v>312.5866666666667</v>
      </c>
    </row>
    <row r="163" spans="1:15" s="27" customFormat="1" ht="42.75" hidden="1" customHeight="1" x14ac:dyDescent="0.5">
      <c r="A163" s="96" t="s">
        <v>212</v>
      </c>
      <c r="B163" s="99" t="s">
        <v>353</v>
      </c>
      <c r="C163" s="100">
        <f>'Comp YTD 2020-2019 '!C61</f>
        <v>0</v>
      </c>
      <c r="D163" s="100">
        <v>0</v>
      </c>
      <c r="E163" s="100">
        <f t="shared" si="61"/>
        <v>0</v>
      </c>
      <c r="G163" s="100">
        <v>0</v>
      </c>
      <c r="I163" s="100">
        <v>0</v>
      </c>
      <c r="K163" s="100">
        <f t="shared" si="62"/>
        <v>0</v>
      </c>
      <c r="M163" s="100">
        <f t="shared" si="63"/>
        <v>0</v>
      </c>
      <c r="O163" s="100">
        <f t="shared" si="64"/>
        <v>0</v>
      </c>
    </row>
    <row r="164" spans="1:15" s="27" customFormat="1" ht="42.75" hidden="1" customHeight="1" x14ac:dyDescent="0.5">
      <c r="A164" s="96" t="s">
        <v>212</v>
      </c>
      <c r="B164" s="99" t="s">
        <v>239</v>
      </c>
      <c r="C164" s="100">
        <f>'Comp YTD 2020-2019 '!C62</f>
        <v>0</v>
      </c>
      <c r="D164" s="100">
        <v>0</v>
      </c>
      <c r="E164" s="100">
        <f t="shared" si="61"/>
        <v>0</v>
      </c>
      <c r="G164" s="100">
        <v>0</v>
      </c>
      <c r="I164" s="100">
        <v>0</v>
      </c>
      <c r="K164" s="100">
        <f t="shared" si="62"/>
        <v>0</v>
      </c>
      <c r="M164" s="100">
        <f t="shared" si="63"/>
        <v>0</v>
      </c>
      <c r="O164" s="100">
        <f t="shared" si="64"/>
        <v>0</v>
      </c>
    </row>
    <row r="165" spans="1:15" s="27" customFormat="1" ht="42.75" hidden="1" customHeight="1" x14ac:dyDescent="0.5">
      <c r="A165" s="96" t="s">
        <v>212</v>
      </c>
      <c r="B165" s="99" t="s">
        <v>240</v>
      </c>
      <c r="C165" s="100">
        <f>'Comp YTD 2020-2019 '!C63</f>
        <v>0</v>
      </c>
      <c r="D165" s="100">
        <v>0</v>
      </c>
      <c r="E165" s="100">
        <f t="shared" si="61"/>
        <v>0</v>
      </c>
      <c r="G165" s="100">
        <v>0</v>
      </c>
      <c r="I165" s="100">
        <v>0</v>
      </c>
      <c r="K165" s="100">
        <f t="shared" si="62"/>
        <v>0</v>
      </c>
      <c r="M165" s="100">
        <f t="shared" si="63"/>
        <v>0</v>
      </c>
      <c r="O165" s="100">
        <f t="shared" si="64"/>
        <v>0</v>
      </c>
    </row>
    <row r="166" spans="1:15" s="27" customFormat="1" ht="42.75" hidden="1" customHeight="1" x14ac:dyDescent="0.5">
      <c r="A166" s="96" t="s">
        <v>212</v>
      </c>
      <c r="B166" s="99" t="s">
        <v>241</v>
      </c>
      <c r="C166" s="100">
        <f>'Comp YTD 2020-2019 '!C64</f>
        <v>0</v>
      </c>
      <c r="D166" s="100">
        <v>0</v>
      </c>
      <c r="E166" s="100">
        <f t="shared" si="61"/>
        <v>0</v>
      </c>
      <c r="G166" s="100">
        <v>0</v>
      </c>
      <c r="I166" s="100">
        <v>0</v>
      </c>
      <c r="K166" s="100">
        <f t="shared" si="62"/>
        <v>0</v>
      </c>
      <c r="M166" s="100">
        <f t="shared" si="63"/>
        <v>0</v>
      </c>
      <c r="O166" s="100">
        <f t="shared" si="64"/>
        <v>0</v>
      </c>
    </row>
    <row r="167" spans="1:15" s="27" customFormat="1" ht="42.75" customHeight="1" x14ac:dyDescent="0.5">
      <c r="A167" s="96" t="s">
        <v>212</v>
      </c>
      <c r="B167" s="99" t="s">
        <v>242</v>
      </c>
      <c r="C167" s="100">
        <f>'Comp YTD 2020-2019 '!C65</f>
        <v>418.29</v>
      </c>
      <c r="D167" s="100">
        <f>BPM!P60</f>
        <v>3162.4066666666663</v>
      </c>
      <c r="E167" s="100">
        <f t="shared" si="61"/>
        <v>2744.1166666666663</v>
      </c>
      <c r="G167" s="100">
        <f>BPM!Q60</f>
        <v>4743.6099999999997</v>
      </c>
      <c r="I167" s="100">
        <f>BPM!R60</f>
        <v>4743.6099999999997</v>
      </c>
      <c r="K167" s="100">
        <f t="shared" si="62"/>
        <v>1581.2033333333334</v>
      </c>
      <c r="M167" s="100">
        <f t="shared" si="63"/>
        <v>4325.32</v>
      </c>
      <c r="O167" s="100">
        <f t="shared" si="64"/>
        <v>2744.1166666666663</v>
      </c>
    </row>
    <row r="168" spans="1:15" s="27" customFormat="1" ht="42.75" hidden="1" customHeight="1" x14ac:dyDescent="0.5">
      <c r="A168" s="96" t="s">
        <v>212</v>
      </c>
      <c r="B168" s="99" t="s">
        <v>252</v>
      </c>
      <c r="C168" s="100">
        <v>0</v>
      </c>
      <c r="D168" s="100">
        <v>0</v>
      </c>
      <c r="E168" s="100">
        <f t="shared" si="61"/>
        <v>0</v>
      </c>
      <c r="G168" s="100">
        <v>0</v>
      </c>
      <c r="I168" s="100">
        <v>0</v>
      </c>
      <c r="K168" s="100">
        <f t="shared" si="62"/>
        <v>0</v>
      </c>
      <c r="M168" s="100">
        <f t="shared" si="63"/>
        <v>0</v>
      </c>
      <c r="O168" s="100">
        <f t="shared" si="64"/>
        <v>0</v>
      </c>
    </row>
    <row r="169" spans="1:15" s="27" customFormat="1" ht="42.75" customHeight="1" x14ac:dyDescent="0.5">
      <c r="A169" s="96" t="s">
        <v>212</v>
      </c>
      <c r="B169" s="99" t="s">
        <v>245</v>
      </c>
      <c r="C169" s="100">
        <f>'Comp YTD 2020-2019 '!C68</f>
        <v>159</v>
      </c>
      <c r="D169" s="100">
        <f>BPM!P76</f>
        <v>1880.2533333333333</v>
      </c>
      <c r="E169" s="100">
        <f t="shared" si="61"/>
        <v>1721.2533333333333</v>
      </c>
      <c r="G169" s="100">
        <f>BPM!Q76</f>
        <v>2820.38</v>
      </c>
      <c r="I169" s="100">
        <f>BPM!R76</f>
        <v>2820.38</v>
      </c>
      <c r="K169" s="100">
        <f t="shared" si="62"/>
        <v>940.12666666666678</v>
      </c>
      <c r="M169" s="100">
        <f t="shared" si="63"/>
        <v>2661.38</v>
      </c>
      <c r="O169" s="100">
        <f t="shared" si="64"/>
        <v>1721.2533333333333</v>
      </c>
    </row>
    <row r="170" spans="1:15" s="27" customFormat="1" ht="42.75" customHeight="1" x14ac:dyDescent="0.5">
      <c r="A170" s="96" t="s">
        <v>212</v>
      </c>
      <c r="B170" s="99" t="s">
        <v>246</v>
      </c>
      <c r="C170" s="100">
        <f>'Comp YTD 2020-2019 '!C69</f>
        <v>1560</v>
      </c>
      <c r="D170" s="100">
        <f>BPM!P70</f>
        <v>12480</v>
      </c>
      <c r="E170" s="100">
        <f t="shared" si="61"/>
        <v>10920</v>
      </c>
      <c r="G170" s="100">
        <f>BPM!Q70</f>
        <v>18720</v>
      </c>
      <c r="I170" s="100">
        <f>BPM!R70</f>
        <v>22738.28</v>
      </c>
      <c r="K170" s="100">
        <f t="shared" si="62"/>
        <v>6240</v>
      </c>
      <c r="M170" s="100">
        <f t="shared" si="63"/>
        <v>17160</v>
      </c>
      <c r="O170" s="100">
        <f t="shared" si="64"/>
        <v>10920</v>
      </c>
    </row>
    <row r="171" spans="1:15" s="27" customFormat="1" ht="42.75" customHeight="1" x14ac:dyDescent="0.5">
      <c r="A171" s="96" t="s">
        <v>212</v>
      </c>
      <c r="B171" s="99" t="s">
        <v>362</v>
      </c>
      <c r="C171" s="100">
        <f>'Comp YTD 2020-2019 '!C70</f>
        <v>0</v>
      </c>
      <c r="D171" s="100">
        <v>0</v>
      </c>
      <c r="E171" s="100">
        <f t="shared" si="61"/>
        <v>0</v>
      </c>
      <c r="G171" s="100">
        <v>0</v>
      </c>
      <c r="I171" s="100">
        <v>0</v>
      </c>
      <c r="K171" s="100">
        <f t="shared" si="62"/>
        <v>0</v>
      </c>
      <c r="M171" s="100">
        <f t="shared" si="63"/>
        <v>0</v>
      </c>
      <c r="O171" s="100">
        <f t="shared" si="64"/>
        <v>0</v>
      </c>
    </row>
    <row r="172" spans="1:15" s="27" customFormat="1" ht="42.75" customHeight="1" x14ac:dyDescent="0.5">
      <c r="A172" s="96" t="s">
        <v>212</v>
      </c>
      <c r="B172" s="99" t="s">
        <v>363</v>
      </c>
      <c r="C172" s="100">
        <f>'Comp YTD 2020-2019 '!C71</f>
        <v>346.52</v>
      </c>
      <c r="D172" s="100">
        <f>BPM!P69</f>
        <v>4838.5933333333332</v>
      </c>
      <c r="E172" s="100">
        <f t="shared" si="61"/>
        <v>4492.0733333333337</v>
      </c>
      <c r="G172" s="100">
        <f>BPM!Q69</f>
        <v>7257.89</v>
      </c>
      <c r="I172" s="100">
        <f>BPM!R69</f>
        <v>7257.89</v>
      </c>
      <c r="K172" s="100">
        <f t="shared" si="62"/>
        <v>2419.2966666666671</v>
      </c>
      <c r="M172" s="100">
        <f t="shared" si="63"/>
        <v>6911.3700000000008</v>
      </c>
      <c r="O172" s="100">
        <f t="shared" si="64"/>
        <v>4492.0733333333337</v>
      </c>
    </row>
    <row r="173" spans="1:15" s="27" customFormat="1" ht="42.75" customHeight="1" x14ac:dyDescent="0.5">
      <c r="A173" s="96" t="s">
        <v>212</v>
      </c>
      <c r="B173" s="97" t="s">
        <v>247</v>
      </c>
      <c r="C173" s="101">
        <f>SUM(C151:C172)</f>
        <v>7923.8099999999995</v>
      </c>
      <c r="D173" s="101">
        <f t="shared" ref="D173" si="65">SUM(D151:D172)</f>
        <v>68447.733333333337</v>
      </c>
      <c r="E173" s="101">
        <f t="shared" ref="E173" si="66">SUM(E151:E172)</f>
        <v>60523.92333333334</v>
      </c>
      <c r="G173" s="101">
        <f>SUM(G151:G172)</f>
        <v>102671.6</v>
      </c>
      <c r="I173" s="101">
        <f>SUM(I151:I172)</f>
        <v>106689.88</v>
      </c>
      <c r="K173" s="101">
        <f>SUM(K151:K172)</f>
        <v>34223.866666666669</v>
      </c>
      <c r="M173" s="101">
        <f>SUM(M151:M172)</f>
        <v>94747.790000000008</v>
      </c>
      <c r="O173" s="101">
        <f>SUM(O151:O172)</f>
        <v>60523.92333333334</v>
      </c>
    </row>
    <row r="174" spans="1:15" s="27" customFormat="1" ht="42.75" customHeight="1" x14ac:dyDescent="0.5">
      <c r="A174" s="96" t="s">
        <v>212</v>
      </c>
      <c r="B174" s="99"/>
      <c r="C174" s="100"/>
      <c r="D174" s="100"/>
      <c r="E174" s="100"/>
      <c r="G174" s="100"/>
      <c r="I174" s="100"/>
      <c r="K174" s="100"/>
      <c r="M174" s="100"/>
      <c r="O174" s="100"/>
    </row>
    <row r="175" spans="1:15" s="27" customFormat="1" ht="42.75" customHeight="1" x14ac:dyDescent="0.5">
      <c r="A175" s="96" t="s">
        <v>212</v>
      </c>
      <c r="B175" s="97" t="s">
        <v>248</v>
      </c>
      <c r="C175" s="100"/>
      <c r="D175" s="100"/>
      <c r="E175" s="100"/>
      <c r="G175" s="100"/>
      <c r="I175" s="100"/>
      <c r="K175" s="100"/>
      <c r="M175" s="100"/>
      <c r="O175" s="100"/>
    </row>
    <row r="176" spans="1:15" s="27" customFormat="1" ht="42.75" hidden="1" customHeight="1" x14ac:dyDescent="0.5">
      <c r="A176" s="96" t="s">
        <v>212</v>
      </c>
      <c r="B176" s="99" t="s">
        <v>249</v>
      </c>
      <c r="C176" s="100">
        <f>'Comp YTD 2020-2019 '!C81</f>
        <v>0</v>
      </c>
      <c r="D176" s="100">
        <v>0</v>
      </c>
      <c r="E176" s="100">
        <f>D176-C176</f>
        <v>0</v>
      </c>
      <c r="G176" s="100">
        <v>0</v>
      </c>
      <c r="I176" s="100">
        <v>0</v>
      </c>
      <c r="K176" s="100">
        <f t="shared" ref="K176" si="67">G176-D176</f>
        <v>0</v>
      </c>
      <c r="M176" s="100">
        <f t="shared" ref="M176" si="68">G176-C176</f>
        <v>0</v>
      </c>
      <c r="O176" s="100">
        <f>M176-K176</f>
        <v>0</v>
      </c>
    </row>
    <row r="177" spans="1:15" s="27" customFormat="1" ht="42.75" hidden="1" customHeight="1" x14ac:dyDescent="0.5">
      <c r="A177" s="96" t="s">
        <v>212</v>
      </c>
      <c r="B177" s="99" t="s">
        <v>385</v>
      </c>
      <c r="C177" s="100">
        <f>'Comp YTD 2020-2019 '!C82</f>
        <v>0</v>
      </c>
      <c r="D177" s="100">
        <v>0</v>
      </c>
      <c r="E177" s="100">
        <f t="shared" ref="E177:E195" si="69">D177-C177</f>
        <v>0</v>
      </c>
      <c r="G177" s="100">
        <v>0</v>
      </c>
      <c r="I177" s="100">
        <v>0</v>
      </c>
      <c r="K177" s="100">
        <f t="shared" ref="K177:K195" si="70">G177-D177</f>
        <v>0</v>
      </c>
      <c r="M177" s="100">
        <f t="shared" ref="M177:M195" si="71">G177-C177</f>
        <v>0</v>
      </c>
      <c r="O177" s="100">
        <f t="shared" ref="O177:O195" si="72">M177-K177</f>
        <v>0</v>
      </c>
    </row>
    <row r="178" spans="1:15" s="27" customFormat="1" ht="42.75" hidden="1" customHeight="1" x14ac:dyDescent="0.5">
      <c r="A178" s="96" t="s">
        <v>212</v>
      </c>
      <c r="B178" s="99" t="s">
        <v>533</v>
      </c>
      <c r="C178" s="100">
        <f>'Comp YTD 2020-2019 '!C83</f>
        <v>0</v>
      </c>
      <c r="D178" s="100">
        <v>0</v>
      </c>
      <c r="E178" s="100">
        <f t="shared" si="69"/>
        <v>0</v>
      </c>
      <c r="G178" s="100">
        <v>0</v>
      </c>
      <c r="I178" s="100">
        <v>0</v>
      </c>
      <c r="K178" s="100">
        <f t="shared" si="70"/>
        <v>0</v>
      </c>
      <c r="M178" s="100">
        <f t="shared" si="71"/>
        <v>0</v>
      </c>
      <c r="O178" s="100">
        <f t="shared" si="72"/>
        <v>0</v>
      </c>
    </row>
    <row r="179" spans="1:15" s="27" customFormat="1" ht="42.75" customHeight="1" x14ac:dyDescent="0.5">
      <c r="A179" s="96" t="s">
        <v>212</v>
      </c>
      <c r="B179" s="99" t="s">
        <v>250</v>
      </c>
      <c r="C179" s="100">
        <f>'Comp YTD 2020-2019 '!C84</f>
        <v>110.69</v>
      </c>
      <c r="D179" s="100">
        <f>BPM!P65</f>
        <v>3328.8666666666668</v>
      </c>
      <c r="E179" s="100">
        <f t="shared" si="69"/>
        <v>3218.1766666666667</v>
      </c>
      <c r="G179" s="100">
        <f>BPM!Q65</f>
        <v>4993.3</v>
      </c>
      <c r="I179" s="100">
        <f>BPM!R65</f>
        <v>9986.6</v>
      </c>
      <c r="K179" s="100">
        <f t="shared" si="70"/>
        <v>1664.4333333333334</v>
      </c>
      <c r="M179" s="100">
        <f t="shared" si="71"/>
        <v>4882.6100000000006</v>
      </c>
      <c r="O179" s="100">
        <f t="shared" si="72"/>
        <v>3218.1766666666672</v>
      </c>
    </row>
    <row r="180" spans="1:15" s="27" customFormat="1" ht="42.75" hidden="1" customHeight="1" x14ac:dyDescent="0.5">
      <c r="A180" s="96" t="s">
        <v>212</v>
      </c>
      <c r="B180" s="99" t="s">
        <v>357</v>
      </c>
      <c r="C180" s="100">
        <f>'Comp YTD 2020-2019 '!C85</f>
        <v>0</v>
      </c>
      <c r="D180" s="100">
        <v>0</v>
      </c>
      <c r="E180" s="100">
        <f t="shared" si="69"/>
        <v>0</v>
      </c>
      <c r="G180" s="100">
        <v>0</v>
      </c>
      <c r="I180" s="100">
        <v>0</v>
      </c>
      <c r="K180" s="100">
        <f t="shared" si="70"/>
        <v>0</v>
      </c>
      <c r="M180" s="100">
        <f t="shared" si="71"/>
        <v>0</v>
      </c>
      <c r="O180" s="100">
        <f t="shared" si="72"/>
        <v>0</v>
      </c>
    </row>
    <row r="181" spans="1:15" s="27" customFormat="1" ht="42.75" hidden="1" customHeight="1" x14ac:dyDescent="0.5">
      <c r="A181" s="96" t="s">
        <v>212</v>
      </c>
      <c r="B181" s="99" t="s">
        <v>251</v>
      </c>
      <c r="C181" s="100">
        <f>'Comp YTD 2020-2019 '!C86</f>
        <v>0</v>
      </c>
      <c r="D181" s="100">
        <v>0</v>
      </c>
      <c r="E181" s="100">
        <f t="shared" si="69"/>
        <v>0</v>
      </c>
      <c r="G181" s="100">
        <v>0</v>
      </c>
      <c r="I181" s="100">
        <v>0</v>
      </c>
      <c r="K181" s="100">
        <f t="shared" si="70"/>
        <v>0</v>
      </c>
      <c r="M181" s="100">
        <f t="shared" si="71"/>
        <v>0</v>
      </c>
      <c r="O181" s="100">
        <f t="shared" si="72"/>
        <v>0</v>
      </c>
    </row>
    <row r="182" spans="1:15" s="27" customFormat="1" ht="42.75" customHeight="1" x14ac:dyDescent="0.5">
      <c r="A182" s="96" t="s">
        <v>212</v>
      </c>
      <c r="B182" s="99" t="s">
        <v>354</v>
      </c>
      <c r="C182" s="100">
        <f>'Comp YTD 2020-2019 '!C87</f>
        <v>385</v>
      </c>
      <c r="D182" s="100">
        <f>BPM!P72</f>
        <v>2683.3333333333335</v>
      </c>
      <c r="E182" s="100">
        <f t="shared" si="69"/>
        <v>2298.3333333333335</v>
      </c>
      <c r="G182" s="100">
        <f>BPM!Q72</f>
        <v>4025</v>
      </c>
      <c r="I182" s="100">
        <f>BPM!R72</f>
        <v>12091.89</v>
      </c>
      <c r="K182" s="100">
        <f t="shared" si="70"/>
        <v>1341.6666666666665</v>
      </c>
      <c r="M182" s="100">
        <f t="shared" si="71"/>
        <v>3640</v>
      </c>
      <c r="O182" s="100">
        <f t="shared" si="72"/>
        <v>2298.3333333333335</v>
      </c>
    </row>
    <row r="183" spans="1:15" s="27" customFormat="1" ht="42.75" customHeight="1" x14ac:dyDescent="0.5">
      <c r="A183" s="96" t="s">
        <v>212</v>
      </c>
      <c r="B183" s="99" t="s">
        <v>355</v>
      </c>
      <c r="C183" s="100">
        <f>'Comp YTD 2020-2019 '!C88</f>
        <v>3750</v>
      </c>
      <c r="D183" s="100">
        <f>BPM!P73</f>
        <v>30040.066666666666</v>
      </c>
      <c r="E183" s="100">
        <f t="shared" si="69"/>
        <v>26290.066666666666</v>
      </c>
      <c r="G183" s="100">
        <f>BPM!Q73</f>
        <v>45060.1</v>
      </c>
      <c r="I183" s="100">
        <f>BPM!R73</f>
        <v>45060.1</v>
      </c>
      <c r="K183" s="100">
        <f t="shared" si="70"/>
        <v>15020.033333333333</v>
      </c>
      <c r="M183" s="100">
        <f t="shared" si="71"/>
        <v>41310.1</v>
      </c>
      <c r="O183" s="100">
        <f t="shared" si="72"/>
        <v>26290.066666666666</v>
      </c>
    </row>
    <row r="184" spans="1:15" s="27" customFormat="1" ht="42.75" customHeight="1" x14ac:dyDescent="0.5">
      <c r="A184" s="96" t="s">
        <v>212</v>
      </c>
      <c r="B184" s="99" t="s">
        <v>356</v>
      </c>
      <c r="C184" s="100">
        <f>'Comp YTD 2020-2019 '!C89</f>
        <v>110</v>
      </c>
      <c r="D184" s="100">
        <f>BPM!P71</f>
        <v>5018.0466666666671</v>
      </c>
      <c r="E184" s="100">
        <f t="shared" si="69"/>
        <v>4908.0466666666671</v>
      </c>
      <c r="G184" s="100">
        <f>BPM!Q71</f>
        <v>7527.0700000000006</v>
      </c>
      <c r="I184" s="100">
        <f>BPM!R71</f>
        <v>7527.0700000000006</v>
      </c>
      <c r="K184" s="100">
        <f t="shared" si="70"/>
        <v>2509.0233333333335</v>
      </c>
      <c r="M184" s="100">
        <f t="shared" si="71"/>
        <v>7417.0700000000006</v>
      </c>
      <c r="O184" s="100">
        <f t="shared" si="72"/>
        <v>4908.0466666666671</v>
      </c>
    </row>
    <row r="185" spans="1:15" s="27" customFormat="1" ht="42.75" customHeight="1" x14ac:dyDescent="0.5">
      <c r="A185" s="96" t="s">
        <v>212</v>
      </c>
      <c r="B185" s="99" t="s">
        <v>394</v>
      </c>
      <c r="C185" s="100">
        <f>'Comp YTD 2020-2019 '!C90</f>
        <v>0</v>
      </c>
      <c r="D185" s="100">
        <f>BPM!P74</f>
        <v>0</v>
      </c>
      <c r="E185" s="100">
        <f t="shared" si="69"/>
        <v>0</v>
      </c>
      <c r="G185" s="100">
        <f>BPM!Q74</f>
        <v>0</v>
      </c>
      <c r="I185" s="100">
        <f>BPM!R74</f>
        <v>5191.34</v>
      </c>
      <c r="K185" s="100">
        <f t="shared" si="70"/>
        <v>0</v>
      </c>
      <c r="M185" s="100">
        <f t="shared" si="71"/>
        <v>0</v>
      </c>
      <c r="O185" s="100">
        <f t="shared" si="72"/>
        <v>0</v>
      </c>
    </row>
    <row r="186" spans="1:15" s="27" customFormat="1" ht="42.75" hidden="1" customHeight="1" x14ac:dyDescent="0.5">
      <c r="A186" s="96" t="s">
        <v>212</v>
      </c>
      <c r="B186" s="99" t="s">
        <v>383</v>
      </c>
      <c r="C186" s="100">
        <f>'Comp YTD 2020-2019 '!C91</f>
        <v>0</v>
      </c>
      <c r="D186" s="100">
        <v>0</v>
      </c>
      <c r="E186" s="100">
        <f t="shared" si="69"/>
        <v>0</v>
      </c>
      <c r="G186" s="100">
        <v>0</v>
      </c>
      <c r="I186" s="100">
        <v>0</v>
      </c>
      <c r="K186" s="100">
        <f t="shared" si="70"/>
        <v>0</v>
      </c>
      <c r="M186" s="100">
        <f t="shared" si="71"/>
        <v>0</v>
      </c>
      <c r="O186" s="100">
        <f t="shared" si="72"/>
        <v>0</v>
      </c>
    </row>
    <row r="187" spans="1:15" s="27" customFormat="1" ht="42.75" customHeight="1" x14ac:dyDescent="0.5">
      <c r="A187" s="96" t="s">
        <v>212</v>
      </c>
      <c r="B187" s="99" t="s">
        <v>253</v>
      </c>
      <c r="C187" s="100">
        <f>'Comp YTD 2020-2019 '!C92</f>
        <v>0</v>
      </c>
      <c r="D187" s="100">
        <f>BPM!P66</f>
        <v>2333.3333333333335</v>
      </c>
      <c r="E187" s="100">
        <f t="shared" si="69"/>
        <v>2333.3333333333335</v>
      </c>
      <c r="G187" s="100">
        <f>BPM!Q66</f>
        <v>3500</v>
      </c>
      <c r="I187" s="100">
        <f>BPM!U66</f>
        <v>0</v>
      </c>
      <c r="K187" s="100">
        <f t="shared" si="70"/>
        <v>1166.6666666666665</v>
      </c>
      <c r="M187" s="100">
        <f t="shared" si="71"/>
        <v>3500</v>
      </c>
      <c r="O187" s="100">
        <f t="shared" si="72"/>
        <v>2333.3333333333335</v>
      </c>
    </row>
    <row r="188" spans="1:15" s="27" customFormat="1" ht="42.75" customHeight="1" x14ac:dyDescent="0.5">
      <c r="A188" s="96" t="s">
        <v>212</v>
      </c>
      <c r="B188" s="99" t="s">
        <v>254</v>
      </c>
      <c r="C188" s="100">
        <f>'Comp YTD 2020-2019 '!C93</f>
        <v>0</v>
      </c>
      <c r="D188" s="100">
        <f>BPM!P68</f>
        <v>608.32666666666671</v>
      </c>
      <c r="E188" s="100">
        <f t="shared" si="69"/>
        <v>608.32666666666671</v>
      </c>
      <c r="G188" s="100">
        <f>BPM!Q68</f>
        <v>912.49</v>
      </c>
      <c r="I188" s="100">
        <f>BPM!R68</f>
        <v>912.49</v>
      </c>
      <c r="K188" s="100">
        <f t="shared" si="70"/>
        <v>304.1633333333333</v>
      </c>
      <c r="M188" s="100">
        <f t="shared" si="71"/>
        <v>912.49</v>
      </c>
      <c r="O188" s="100">
        <f t="shared" si="72"/>
        <v>608.32666666666671</v>
      </c>
    </row>
    <row r="189" spans="1:15" s="27" customFormat="1" ht="42.75" hidden="1" customHeight="1" x14ac:dyDescent="0.5">
      <c r="A189" s="96" t="s">
        <v>212</v>
      </c>
      <c r="B189" s="99" t="s">
        <v>255</v>
      </c>
      <c r="C189" s="100">
        <f>'Comp YTD 2020-2019 '!C94</f>
        <v>0</v>
      </c>
      <c r="D189" s="100">
        <v>0</v>
      </c>
      <c r="E189" s="100">
        <f t="shared" si="69"/>
        <v>0</v>
      </c>
      <c r="G189" s="100">
        <v>0</v>
      </c>
      <c r="I189" s="100">
        <v>0</v>
      </c>
      <c r="K189" s="100">
        <f t="shared" si="70"/>
        <v>0</v>
      </c>
      <c r="M189" s="100">
        <f t="shared" si="71"/>
        <v>0</v>
      </c>
      <c r="O189" s="100">
        <f t="shared" si="72"/>
        <v>0</v>
      </c>
    </row>
    <row r="190" spans="1:15" s="27" customFormat="1" ht="42.75" hidden="1" customHeight="1" x14ac:dyDescent="0.5">
      <c r="A190" s="96" t="s">
        <v>212</v>
      </c>
      <c r="B190" s="99" t="s">
        <v>292</v>
      </c>
      <c r="C190" s="100">
        <f>'Comp YTD 2020-2019 '!C95</f>
        <v>0</v>
      </c>
      <c r="D190" s="100">
        <v>0</v>
      </c>
      <c r="E190" s="100">
        <f t="shared" si="69"/>
        <v>0</v>
      </c>
      <c r="G190" s="100">
        <v>0</v>
      </c>
      <c r="I190" s="100">
        <v>0</v>
      </c>
      <c r="K190" s="100">
        <f t="shared" si="70"/>
        <v>0</v>
      </c>
      <c r="M190" s="100">
        <f t="shared" si="71"/>
        <v>0</v>
      </c>
      <c r="O190" s="100">
        <f t="shared" si="72"/>
        <v>0</v>
      </c>
    </row>
    <row r="191" spans="1:15" s="27" customFormat="1" ht="42.75" hidden="1" customHeight="1" x14ac:dyDescent="0.5">
      <c r="A191" s="96" t="s">
        <v>212</v>
      </c>
      <c r="B191" s="99" t="s">
        <v>371</v>
      </c>
      <c r="C191" s="100">
        <f>'Comp YTD 2020-2019 '!C96</f>
        <v>28.69</v>
      </c>
      <c r="D191" s="100">
        <v>0</v>
      </c>
      <c r="E191" s="100">
        <f t="shared" si="69"/>
        <v>-28.69</v>
      </c>
      <c r="G191" s="100">
        <v>0</v>
      </c>
      <c r="I191" s="100">
        <v>0</v>
      </c>
      <c r="K191" s="100">
        <f t="shared" si="70"/>
        <v>0</v>
      </c>
      <c r="M191" s="100">
        <f t="shared" si="71"/>
        <v>-28.69</v>
      </c>
      <c r="O191" s="100">
        <f t="shared" si="72"/>
        <v>-28.69</v>
      </c>
    </row>
    <row r="192" spans="1:15" s="27" customFormat="1" ht="42.75" hidden="1" customHeight="1" x14ac:dyDescent="0.5">
      <c r="A192" s="96" t="s">
        <v>212</v>
      </c>
      <c r="B192" s="99" t="s">
        <v>256</v>
      </c>
      <c r="C192" s="100">
        <f>'Comp YTD 2020-2019 '!C97</f>
        <v>0</v>
      </c>
      <c r="D192" s="100">
        <v>0</v>
      </c>
      <c r="E192" s="100">
        <f t="shared" si="69"/>
        <v>0</v>
      </c>
      <c r="G192" s="100">
        <v>0</v>
      </c>
      <c r="I192" s="100">
        <v>0</v>
      </c>
      <c r="K192" s="100">
        <f t="shared" si="70"/>
        <v>0</v>
      </c>
      <c r="M192" s="100">
        <f t="shared" si="71"/>
        <v>0</v>
      </c>
      <c r="O192" s="100">
        <f t="shared" si="72"/>
        <v>0</v>
      </c>
    </row>
    <row r="193" spans="1:15" s="27" customFormat="1" ht="42.75" customHeight="1" x14ac:dyDescent="0.5">
      <c r="A193" s="96" t="s">
        <v>212</v>
      </c>
      <c r="B193" s="99" t="s">
        <v>257</v>
      </c>
      <c r="C193" s="100">
        <f>'Comp YTD 2020-2019 '!C98</f>
        <v>0</v>
      </c>
      <c r="D193" s="100">
        <f>BPM!P78</f>
        <v>4760.0199999999995</v>
      </c>
      <c r="E193" s="100">
        <f t="shared" si="69"/>
        <v>4760.0199999999995</v>
      </c>
      <c r="G193" s="100">
        <f>BPM!Q78</f>
        <v>7140.03</v>
      </c>
      <c r="I193" s="100">
        <f>BPM!R78</f>
        <v>7140.03</v>
      </c>
      <c r="K193" s="100">
        <f t="shared" si="70"/>
        <v>2380.0100000000002</v>
      </c>
      <c r="M193" s="100">
        <f t="shared" si="71"/>
        <v>7140.03</v>
      </c>
      <c r="O193" s="100">
        <f t="shared" si="72"/>
        <v>4760.0199999999995</v>
      </c>
    </row>
    <row r="194" spans="1:15" s="27" customFormat="1" ht="42.75" hidden="1" customHeight="1" x14ac:dyDescent="0.5">
      <c r="A194" s="96" t="s">
        <v>212</v>
      </c>
      <c r="B194" s="99" t="s">
        <v>258</v>
      </c>
      <c r="C194" s="100">
        <f>'Comp YTD 2020-2019 '!C99</f>
        <v>0</v>
      </c>
      <c r="D194" s="100">
        <v>0</v>
      </c>
      <c r="E194" s="100">
        <f t="shared" si="69"/>
        <v>0</v>
      </c>
      <c r="G194" s="100">
        <v>0</v>
      </c>
      <c r="I194" s="100">
        <v>0</v>
      </c>
      <c r="K194" s="100">
        <f t="shared" si="70"/>
        <v>0</v>
      </c>
      <c r="M194" s="100">
        <f t="shared" si="71"/>
        <v>0</v>
      </c>
      <c r="O194" s="100">
        <f t="shared" si="72"/>
        <v>0</v>
      </c>
    </row>
    <row r="195" spans="1:15" s="27" customFormat="1" ht="42.75" hidden="1" customHeight="1" x14ac:dyDescent="0.5">
      <c r="A195" s="96" t="s">
        <v>212</v>
      </c>
      <c r="B195" s="99" t="s">
        <v>259</v>
      </c>
      <c r="C195" s="100">
        <f>'Comp YTD 2020-2019 '!C100</f>
        <v>0</v>
      </c>
      <c r="D195" s="100">
        <v>0</v>
      </c>
      <c r="E195" s="100">
        <f t="shared" si="69"/>
        <v>0</v>
      </c>
      <c r="G195" s="100">
        <v>0</v>
      </c>
      <c r="I195" s="100">
        <v>0</v>
      </c>
      <c r="K195" s="100">
        <f t="shared" si="70"/>
        <v>0</v>
      </c>
      <c r="M195" s="100">
        <f t="shared" si="71"/>
        <v>0</v>
      </c>
      <c r="O195" s="100">
        <f t="shared" si="72"/>
        <v>0</v>
      </c>
    </row>
    <row r="196" spans="1:15" s="27" customFormat="1" ht="42.75" customHeight="1" x14ac:dyDescent="0.5">
      <c r="A196" s="96" t="s">
        <v>212</v>
      </c>
      <c r="B196" s="97" t="s">
        <v>261</v>
      </c>
      <c r="C196" s="101">
        <f>SUM(C176:C195)</f>
        <v>4384.3799999999992</v>
      </c>
      <c r="D196" s="101">
        <f>SUM(D176:D195)</f>
        <v>48771.993333333332</v>
      </c>
      <c r="E196" s="101">
        <f>SUM(E176:E195)</f>
        <v>44387.613333333335</v>
      </c>
      <c r="G196" s="101">
        <f>SUM(G176:G195)</f>
        <v>73157.989999999991</v>
      </c>
      <c r="I196" s="101">
        <f>SUM(I176:I195)</f>
        <v>87909.52</v>
      </c>
      <c r="K196" s="101">
        <f>SUM(K176:K195)</f>
        <v>24385.996666666666</v>
      </c>
      <c r="M196" s="101">
        <f>SUM(M176:M195)</f>
        <v>68773.61</v>
      </c>
      <c r="O196" s="101">
        <f>SUM(O176:O195)</f>
        <v>44387.613333333335</v>
      </c>
    </row>
    <row r="197" spans="1:15" s="27" customFormat="1" ht="42.75" customHeight="1" x14ac:dyDescent="0.5">
      <c r="A197" s="96" t="s">
        <v>212</v>
      </c>
      <c r="B197" s="99"/>
      <c r="C197" s="100"/>
      <c r="D197" s="100"/>
      <c r="E197" s="100"/>
      <c r="G197" s="100"/>
      <c r="I197" s="100"/>
      <c r="K197" s="100"/>
      <c r="M197" s="100"/>
      <c r="O197" s="100"/>
    </row>
    <row r="198" spans="1:15" s="27" customFormat="1" ht="42.75" customHeight="1" thickBot="1" x14ac:dyDescent="0.55000000000000004">
      <c r="A198" s="96" t="s">
        <v>212</v>
      </c>
      <c r="B198" s="97" t="s">
        <v>262</v>
      </c>
      <c r="C198" s="102">
        <f t="shared" ref="C198:O198" si="73">C148+C173+C196</f>
        <v>94368.349999999991</v>
      </c>
      <c r="D198" s="102">
        <f t="shared" si="73"/>
        <v>659144.79333333333</v>
      </c>
      <c r="E198" s="102">
        <f t="shared" si="73"/>
        <v>564776.44333333336</v>
      </c>
      <c r="G198" s="102">
        <f t="shared" si="73"/>
        <v>988717.19</v>
      </c>
      <c r="I198" s="102">
        <f t="shared" si="73"/>
        <v>1021978.9999999999</v>
      </c>
      <c r="K198" s="102">
        <f t="shared" si="73"/>
        <v>329572.39666666667</v>
      </c>
      <c r="M198" s="102">
        <f t="shared" si="73"/>
        <v>894348.84000000008</v>
      </c>
      <c r="O198" s="102">
        <f t="shared" si="73"/>
        <v>564776.44333333336</v>
      </c>
    </row>
    <row r="199" spans="1:15" s="27" customFormat="1" ht="42.75" customHeight="1" x14ac:dyDescent="0.5">
      <c r="A199" s="96" t="s">
        <v>212</v>
      </c>
      <c r="B199" s="99"/>
      <c r="C199" s="100"/>
      <c r="D199" s="100"/>
      <c r="E199" s="100"/>
      <c r="G199" s="100"/>
      <c r="I199" s="100"/>
      <c r="K199" s="100"/>
      <c r="M199" s="100"/>
      <c r="O199" s="100"/>
    </row>
    <row r="200" spans="1:15" s="27" customFormat="1" ht="42.75" customHeight="1" x14ac:dyDescent="0.5">
      <c r="A200" s="96" t="s">
        <v>212</v>
      </c>
      <c r="B200" s="97" t="s">
        <v>454</v>
      </c>
      <c r="C200" s="100"/>
      <c r="D200" s="100"/>
      <c r="E200" s="100"/>
      <c r="G200" s="100"/>
      <c r="I200" s="100"/>
      <c r="K200" s="100"/>
      <c r="M200" s="100"/>
      <c r="O200" s="100"/>
    </row>
    <row r="201" spans="1:15" s="27" customFormat="1" ht="42.75" hidden="1" customHeight="1" x14ac:dyDescent="0.5">
      <c r="A201" s="96" t="s">
        <v>212</v>
      </c>
      <c r="B201" s="99" t="s">
        <v>265</v>
      </c>
      <c r="C201" s="100">
        <f>'Comp YTD 2020-2019 '!C106</f>
        <v>0</v>
      </c>
      <c r="D201" s="100">
        <v>0</v>
      </c>
      <c r="E201" s="100">
        <f>D201-C201</f>
        <v>0</v>
      </c>
      <c r="G201" s="100">
        <v>0</v>
      </c>
      <c r="I201" s="100">
        <v>0</v>
      </c>
      <c r="K201" s="100">
        <f t="shared" ref="K201" si="74">G201-D201</f>
        <v>0</v>
      </c>
      <c r="M201" s="100">
        <f t="shared" ref="M201" si="75">G201-C201</f>
        <v>0</v>
      </c>
      <c r="O201" s="100">
        <f>M201-K201</f>
        <v>0</v>
      </c>
    </row>
    <row r="202" spans="1:15" s="27" customFormat="1" ht="42.75" hidden="1" customHeight="1" x14ac:dyDescent="0.5">
      <c r="A202" s="96" t="s">
        <v>212</v>
      </c>
      <c r="B202" s="99" t="s">
        <v>266</v>
      </c>
      <c r="C202" s="100">
        <f>'Comp YTD 2020-2019 '!C107</f>
        <v>0</v>
      </c>
      <c r="D202" s="100">
        <v>0</v>
      </c>
      <c r="E202" s="100">
        <f t="shared" ref="E202:E213" si="76">D202-C202</f>
        <v>0</v>
      </c>
      <c r="G202" s="100">
        <v>0</v>
      </c>
      <c r="I202" s="100">
        <v>0</v>
      </c>
      <c r="K202" s="100">
        <f t="shared" ref="K202:K212" si="77">G202-D202</f>
        <v>0</v>
      </c>
      <c r="M202" s="100">
        <f t="shared" ref="M202:M213" si="78">G202-C202</f>
        <v>0</v>
      </c>
      <c r="O202" s="100">
        <f t="shared" ref="O202:O213" si="79">M202-K202</f>
        <v>0</v>
      </c>
    </row>
    <row r="203" spans="1:15" s="27" customFormat="1" ht="42.75" hidden="1" customHeight="1" x14ac:dyDescent="0.5">
      <c r="A203" s="96" t="s">
        <v>212</v>
      </c>
      <c r="B203" s="99" t="s">
        <v>324</v>
      </c>
      <c r="C203" s="100">
        <f>'Comp YTD 2020-2019 '!C108</f>
        <v>0</v>
      </c>
      <c r="D203" s="100">
        <v>0</v>
      </c>
      <c r="E203" s="100">
        <f t="shared" si="76"/>
        <v>0</v>
      </c>
      <c r="G203" s="100">
        <v>0</v>
      </c>
      <c r="I203" s="100">
        <v>0</v>
      </c>
      <c r="K203" s="100">
        <f t="shared" si="77"/>
        <v>0</v>
      </c>
      <c r="M203" s="100">
        <f t="shared" si="78"/>
        <v>0</v>
      </c>
      <c r="O203" s="100">
        <f t="shared" si="79"/>
        <v>0</v>
      </c>
    </row>
    <row r="204" spans="1:15" s="27" customFormat="1" ht="42.75" customHeight="1" x14ac:dyDescent="0.5">
      <c r="A204" s="96" t="s">
        <v>212</v>
      </c>
      <c r="B204" s="99" t="s">
        <v>380</v>
      </c>
      <c r="C204" s="100">
        <f>'Comp YTD 2020-2019 '!C109</f>
        <v>-2821.87</v>
      </c>
      <c r="D204" s="100">
        <f>-BPM!P83</f>
        <v>-38798.973333333335</v>
      </c>
      <c r="E204" s="100">
        <f t="shared" si="76"/>
        <v>-35977.103333333333</v>
      </c>
      <c r="G204" s="100">
        <f>-BPM!Q83</f>
        <v>-58198.46</v>
      </c>
      <c r="I204" s="100">
        <f>-BPM!R83</f>
        <v>-58198.46</v>
      </c>
      <c r="K204" s="100">
        <f t="shared" si="77"/>
        <v>-19399.486666666664</v>
      </c>
      <c r="M204" s="100">
        <f t="shared" si="78"/>
        <v>-55376.59</v>
      </c>
      <c r="O204" s="100">
        <f t="shared" si="79"/>
        <v>-35977.103333333333</v>
      </c>
    </row>
    <row r="205" spans="1:15" s="27" customFormat="1" ht="42.75" hidden="1" customHeight="1" x14ac:dyDescent="0.5">
      <c r="A205" s="96" t="s">
        <v>212</v>
      </c>
      <c r="B205" s="99" t="s">
        <v>267</v>
      </c>
      <c r="C205" s="100">
        <f>'Comp YTD 2020-2019 '!C110</f>
        <v>0</v>
      </c>
      <c r="D205" s="100">
        <v>0</v>
      </c>
      <c r="E205" s="100">
        <f t="shared" si="76"/>
        <v>0</v>
      </c>
      <c r="G205" s="100">
        <v>0</v>
      </c>
      <c r="I205" s="100">
        <v>0</v>
      </c>
      <c r="K205" s="100">
        <f t="shared" si="77"/>
        <v>0</v>
      </c>
      <c r="M205" s="100">
        <f t="shared" si="78"/>
        <v>0</v>
      </c>
      <c r="O205" s="100">
        <f t="shared" si="79"/>
        <v>0</v>
      </c>
    </row>
    <row r="206" spans="1:15" s="27" customFormat="1" ht="42.75" customHeight="1" x14ac:dyDescent="0.5">
      <c r="A206" s="96" t="s">
        <v>212</v>
      </c>
      <c r="B206" s="99" t="s">
        <v>268</v>
      </c>
      <c r="C206" s="100">
        <f>'Comp YTD 2020-2019 '!C111</f>
        <v>723.33</v>
      </c>
      <c r="D206" s="100">
        <f>-BPM!P84</f>
        <v>9329.8133333333335</v>
      </c>
      <c r="E206" s="100">
        <f t="shared" si="76"/>
        <v>8606.4833333333336</v>
      </c>
      <c r="G206" s="100">
        <f>-BPM!Q84</f>
        <v>13994.72</v>
      </c>
      <c r="I206" s="100">
        <f>-BPM!R84</f>
        <v>13994.72</v>
      </c>
      <c r="K206" s="100">
        <f t="shared" si="77"/>
        <v>4664.9066666666658</v>
      </c>
      <c r="M206" s="100">
        <f t="shared" si="78"/>
        <v>13271.39</v>
      </c>
      <c r="O206" s="100">
        <f t="shared" si="79"/>
        <v>8606.4833333333336</v>
      </c>
    </row>
    <row r="207" spans="1:15" s="27" customFormat="1" ht="42.75" customHeight="1" x14ac:dyDescent="0.5">
      <c r="A207" s="96" t="s">
        <v>212</v>
      </c>
      <c r="B207" s="99" t="s">
        <v>269</v>
      </c>
      <c r="C207" s="100">
        <f>'Comp YTD 2020-2019 '!C112</f>
        <v>0</v>
      </c>
      <c r="D207" s="100">
        <v>0</v>
      </c>
      <c r="E207" s="100">
        <f t="shared" si="76"/>
        <v>0</v>
      </c>
      <c r="G207" s="100">
        <v>0</v>
      </c>
      <c r="I207" s="100">
        <v>0</v>
      </c>
      <c r="K207" s="100">
        <f t="shared" si="77"/>
        <v>0</v>
      </c>
      <c r="M207" s="100">
        <f t="shared" si="78"/>
        <v>0</v>
      </c>
      <c r="O207" s="100">
        <f t="shared" si="79"/>
        <v>0</v>
      </c>
    </row>
    <row r="208" spans="1:15" s="27" customFormat="1" ht="42.75" customHeight="1" x14ac:dyDescent="0.5">
      <c r="A208" s="96" t="s">
        <v>212</v>
      </c>
      <c r="B208" s="99" t="s">
        <v>270</v>
      </c>
      <c r="C208" s="100">
        <f>'Comp YTD 2020-2019 '!C114</f>
        <v>0</v>
      </c>
      <c r="D208" s="100">
        <v>0</v>
      </c>
      <c r="E208" s="100">
        <f t="shared" si="76"/>
        <v>0</v>
      </c>
      <c r="G208" s="100">
        <v>0</v>
      </c>
      <c r="I208" s="100">
        <v>0</v>
      </c>
      <c r="K208" s="100">
        <f t="shared" si="77"/>
        <v>0</v>
      </c>
      <c r="M208" s="100">
        <f t="shared" si="78"/>
        <v>0</v>
      </c>
      <c r="O208" s="100">
        <f t="shared" si="79"/>
        <v>0</v>
      </c>
    </row>
    <row r="209" spans="1:15" s="27" customFormat="1" ht="42.75" hidden="1" customHeight="1" x14ac:dyDescent="0.5">
      <c r="A209" s="96" t="s">
        <v>212</v>
      </c>
      <c r="B209" s="99" t="s">
        <v>395</v>
      </c>
      <c r="C209" s="100">
        <f>'Comp YTD 2020-2019 '!C116</f>
        <v>0</v>
      </c>
      <c r="D209" s="100">
        <v>0</v>
      </c>
      <c r="E209" s="100">
        <f t="shared" si="76"/>
        <v>0</v>
      </c>
      <c r="G209" s="100">
        <v>0</v>
      </c>
      <c r="I209" s="100">
        <v>0</v>
      </c>
      <c r="K209" s="100">
        <f t="shared" si="77"/>
        <v>0</v>
      </c>
      <c r="M209" s="100">
        <f t="shared" si="78"/>
        <v>0</v>
      </c>
      <c r="O209" s="100">
        <f t="shared" si="79"/>
        <v>0</v>
      </c>
    </row>
    <row r="210" spans="1:15" s="27" customFormat="1" ht="42.75" hidden="1" customHeight="1" x14ac:dyDescent="0.5">
      <c r="A210" s="96" t="s">
        <v>212</v>
      </c>
      <c r="B210" s="99" t="s">
        <v>430</v>
      </c>
      <c r="C210" s="100">
        <f>'Comp YTD 2020-2019 '!C117</f>
        <v>0</v>
      </c>
      <c r="D210" s="100">
        <v>0</v>
      </c>
      <c r="E210" s="100">
        <f t="shared" si="76"/>
        <v>0</v>
      </c>
      <c r="G210" s="100">
        <v>0</v>
      </c>
      <c r="I210" s="100">
        <v>0</v>
      </c>
      <c r="K210" s="100">
        <f t="shared" si="77"/>
        <v>0</v>
      </c>
      <c r="M210" s="100">
        <f t="shared" si="78"/>
        <v>0</v>
      </c>
      <c r="O210" s="100">
        <f t="shared" si="79"/>
        <v>0</v>
      </c>
    </row>
    <row r="211" spans="1:15" s="27" customFormat="1" ht="42.75" hidden="1" customHeight="1" x14ac:dyDescent="0.5">
      <c r="A211" s="96" t="s">
        <v>212</v>
      </c>
      <c r="B211" s="99" t="s">
        <v>431</v>
      </c>
      <c r="C211" s="100">
        <f>'Comp YTD 2020-2019 '!C118</f>
        <v>0</v>
      </c>
      <c r="D211" s="100">
        <v>0</v>
      </c>
      <c r="E211" s="100">
        <f t="shared" si="76"/>
        <v>0</v>
      </c>
      <c r="G211" s="100">
        <v>0</v>
      </c>
      <c r="I211" s="100">
        <v>0</v>
      </c>
      <c r="K211" s="100">
        <f t="shared" si="77"/>
        <v>0</v>
      </c>
      <c r="M211" s="100">
        <f t="shared" si="78"/>
        <v>0</v>
      </c>
      <c r="O211" s="100">
        <f t="shared" si="79"/>
        <v>0</v>
      </c>
    </row>
    <row r="212" spans="1:15" s="27" customFormat="1" ht="42.75" hidden="1" customHeight="1" x14ac:dyDescent="0.5">
      <c r="A212" s="96" t="s">
        <v>212</v>
      </c>
      <c r="B212" s="99" t="s">
        <v>396</v>
      </c>
      <c r="C212" s="100">
        <f>'Comp YTD 2020-2019 '!C119</f>
        <v>0</v>
      </c>
      <c r="D212" s="100">
        <v>0</v>
      </c>
      <c r="E212" s="100">
        <f t="shared" si="76"/>
        <v>0</v>
      </c>
      <c r="G212" s="100">
        <v>0</v>
      </c>
      <c r="I212" s="100">
        <v>0</v>
      </c>
      <c r="K212" s="100">
        <f t="shared" si="77"/>
        <v>0</v>
      </c>
      <c r="M212" s="100">
        <f t="shared" si="78"/>
        <v>0</v>
      </c>
      <c r="O212" s="100">
        <f t="shared" si="79"/>
        <v>0</v>
      </c>
    </row>
    <row r="213" spans="1:15" s="27" customFormat="1" ht="42.75" hidden="1" customHeight="1" x14ac:dyDescent="0.5">
      <c r="A213" s="96" t="s">
        <v>212</v>
      </c>
      <c r="B213" s="99" t="s">
        <v>441</v>
      </c>
      <c r="C213" s="100">
        <f>'Comp YTD 2020-2019 '!C120</f>
        <v>0</v>
      </c>
      <c r="D213" s="100">
        <v>0</v>
      </c>
      <c r="E213" s="100">
        <f t="shared" si="76"/>
        <v>0</v>
      </c>
      <c r="G213" s="100">
        <v>0</v>
      </c>
      <c r="I213" s="100">
        <v>0</v>
      </c>
      <c r="K213" s="100">
        <f>G213-D213</f>
        <v>0</v>
      </c>
      <c r="M213" s="100">
        <f t="shared" si="78"/>
        <v>0</v>
      </c>
      <c r="O213" s="100">
        <f t="shared" si="79"/>
        <v>0</v>
      </c>
    </row>
    <row r="214" spans="1:15" s="27" customFormat="1" ht="42.75" customHeight="1" x14ac:dyDescent="0.5">
      <c r="A214" s="96" t="s">
        <v>212</v>
      </c>
      <c r="B214" s="97" t="s">
        <v>455</v>
      </c>
      <c r="C214" s="101">
        <f t="shared" ref="C214:E214" si="80">SUM(C201:C213)</f>
        <v>-2098.54</v>
      </c>
      <c r="D214" s="101">
        <f t="shared" si="80"/>
        <v>-29469.160000000003</v>
      </c>
      <c r="E214" s="101">
        <f t="shared" si="80"/>
        <v>-27370.62</v>
      </c>
      <c r="G214" s="101">
        <f>SUM(G201:G213)</f>
        <v>-44203.74</v>
      </c>
      <c r="I214" s="101">
        <f>SUM(I201:I213)</f>
        <v>-44203.74</v>
      </c>
      <c r="K214" s="101">
        <f>SUM(K201:K213)</f>
        <v>-14734.579999999998</v>
      </c>
      <c r="M214" s="101">
        <f>SUM(M201:M213)</f>
        <v>-42105.2</v>
      </c>
      <c r="O214" s="101">
        <f>SUM(O201:O213)</f>
        <v>-27370.62</v>
      </c>
    </row>
    <row r="215" spans="1:15" s="27" customFormat="1" ht="42.75" customHeight="1" x14ac:dyDescent="0.5">
      <c r="A215" s="96" t="s">
        <v>212</v>
      </c>
      <c r="B215" s="97"/>
      <c r="C215" s="100"/>
      <c r="D215" s="100"/>
      <c r="E215" s="100"/>
      <c r="G215" s="100"/>
      <c r="I215" s="100"/>
      <c r="K215" s="100"/>
      <c r="M215" s="100"/>
      <c r="O215" s="100"/>
    </row>
    <row r="216" spans="1:15" s="27" customFormat="1" ht="42.75" customHeight="1" thickBot="1" x14ac:dyDescent="0.55000000000000004">
      <c r="A216" s="96" t="s">
        <v>212</v>
      </c>
      <c r="B216" s="97" t="s">
        <v>264</v>
      </c>
      <c r="C216" s="103">
        <f t="shared" ref="C216" si="81">C133-C198+C214</f>
        <v>-36995.599999999024</v>
      </c>
      <c r="D216" s="103">
        <f>D133-D198+D214</f>
        <v>167819.14000000784</v>
      </c>
      <c r="E216" s="103">
        <f>E133-E198+E214</f>
        <v>204814.74000000686</v>
      </c>
      <c r="G216" s="103">
        <f>G133-G198+G214</f>
        <v>251728.71000000066</v>
      </c>
      <c r="I216" s="103">
        <f>I133-I198+I214</f>
        <v>218466.90000000072</v>
      </c>
      <c r="K216" s="103">
        <f>K133-K198+K214</f>
        <v>83909.570000003921</v>
      </c>
      <c r="M216" s="103">
        <f>M133-M198+M214</f>
        <v>288724.30999999394</v>
      </c>
      <c r="O216" s="103">
        <f>-M216+K216</f>
        <v>-204814.73999999004</v>
      </c>
    </row>
    <row r="217" spans="1:15" ht="15.75" thickTop="1" x14ac:dyDescent="0.25"/>
    <row r="218" spans="1:15" x14ac:dyDescent="0.25">
      <c r="C218" s="2"/>
      <c r="D218" s="2"/>
      <c r="E218" s="2"/>
      <c r="G218" s="2"/>
      <c r="I218" s="2"/>
      <c r="K218" s="2"/>
      <c r="M218" s="2"/>
      <c r="O218" s="2"/>
    </row>
    <row r="219" spans="1:15" s="27" customFormat="1" ht="42.75" customHeight="1" x14ac:dyDescent="0.5">
      <c r="A219" s="104" t="s">
        <v>211</v>
      </c>
      <c r="B219" s="105" t="s">
        <v>60</v>
      </c>
      <c r="C219" s="106"/>
      <c r="D219" s="106"/>
      <c r="E219" s="106"/>
      <c r="G219" s="106"/>
      <c r="I219" s="106"/>
      <c r="K219" s="106"/>
      <c r="M219" s="106"/>
      <c r="O219" s="91"/>
    </row>
    <row r="220" spans="1:15" s="27" customFormat="1" ht="42.75" hidden="1" customHeight="1" x14ac:dyDescent="0.5">
      <c r="A220" s="104" t="s">
        <v>211</v>
      </c>
      <c r="B220" s="107" t="s">
        <v>215</v>
      </c>
      <c r="C220" s="91">
        <f>'Comp YTD 2020-2019 '!D12</f>
        <v>0</v>
      </c>
      <c r="D220" s="91">
        <f>CNT!P332+CNT!P333+CNT!P344</f>
        <v>0</v>
      </c>
      <c r="E220" s="91">
        <f>D220-C220</f>
        <v>0</v>
      </c>
      <c r="G220" s="91">
        <f>DEP!Q326+DEP!Q327+DEP!Q338</f>
        <v>0</v>
      </c>
      <c r="I220" s="91">
        <f>DEP!U326+DEP!U327+DEP!U338</f>
        <v>0</v>
      </c>
      <c r="K220" s="91">
        <f t="shared" ref="K220" si="82">G220-D220</f>
        <v>0</v>
      </c>
      <c r="M220" s="91">
        <f t="shared" ref="M220" si="83">G220-C220</f>
        <v>0</v>
      </c>
      <c r="O220" s="91">
        <f>M220-K220</f>
        <v>0</v>
      </c>
    </row>
    <row r="221" spans="1:15" s="27" customFormat="1" ht="42.75" hidden="1" customHeight="1" x14ac:dyDescent="0.5">
      <c r="A221" s="104" t="s">
        <v>211</v>
      </c>
      <c r="B221" s="107" t="s">
        <v>216</v>
      </c>
      <c r="C221" s="91">
        <f>'Comp YTD 2020-2019 '!D13</f>
        <v>0</v>
      </c>
      <c r="D221" s="91">
        <f>CNT!P334+CNT!P345</f>
        <v>0</v>
      </c>
      <c r="E221" s="91">
        <f>D221-C221</f>
        <v>0</v>
      </c>
      <c r="G221" s="91">
        <f>DEP!Q328+DEP!Q339</f>
        <v>0</v>
      </c>
      <c r="I221" s="91">
        <f>DEP!U328+DEP!U339</f>
        <v>0</v>
      </c>
      <c r="K221" s="91">
        <f t="shared" ref="K221:K225" si="84">G221-D221</f>
        <v>0</v>
      </c>
      <c r="M221" s="91">
        <f t="shared" ref="M221:M225" si="85">G221-C221</f>
        <v>0</v>
      </c>
      <c r="O221" s="91">
        <f t="shared" ref="O221:O226" si="86">M221-K221</f>
        <v>0</v>
      </c>
    </row>
    <row r="222" spans="1:15" s="27" customFormat="1" ht="42.75" hidden="1" customHeight="1" x14ac:dyDescent="0.5">
      <c r="A222" s="104" t="s">
        <v>211</v>
      </c>
      <c r="B222" s="107" t="s">
        <v>217</v>
      </c>
      <c r="C222" s="91">
        <f>'Comp YTD 2020-2019 '!D14</f>
        <v>0</v>
      </c>
      <c r="D222" s="91">
        <f>CNT!P335+CNT!P346</f>
        <v>0</v>
      </c>
      <c r="E222" s="91">
        <f t="shared" ref="E222:E224" si="87">D222-C222</f>
        <v>0</v>
      </c>
      <c r="G222" s="91">
        <f>DEP!Q329+DEP!Q340</f>
        <v>0</v>
      </c>
      <c r="I222" s="91">
        <f>DEP!U329+DEP!U340</f>
        <v>0</v>
      </c>
      <c r="K222" s="91">
        <f t="shared" si="84"/>
        <v>0</v>
      </c>
      <c r="M222" s="91">
        <f t="shared" si="85"/>
        <v>0</v>
      </c>
      <c r="O222" s="91">
        <f t="shared" si="86"/>
        <v>0</v>
      </c>
    </row>
    <row r="223" spans="1:15" s="27" customFormat="1" ht="42.75" hidden="1" customHeight="1" x14ac:dyDescent="0.5">
      <c r="A223" s="104" t="s">
        <v>211</v>
      </c>
      <c r="B223" s="107" t="s">
        <v>414</v>
      </c>
      <c r="C223" s="91">
        <f>'Comp YTD 2020-2019 '!D15</f>
        <v>0</v>
      </c>
      <c r="D223" s="91">
        <f>CNT!P336+CNT!P347</f>
        <v>0</v>
      </c>
      <c r="E223" s="91">
        <f t="shared" si="87"/>
        <v>0</v>
      </c>
      <c r="G223" s="91">
        <f>DEP!Q330+DEP!Q341</f>
        <v>0</v>
      </c>
      <c r="I223" s="91">
        <f>DEP!U330+DEP!U341</f>
        <v>0</v>
      </c>
      <c r="K223" s="91">
        <f t="shared" si="84"/>
        <v>0</v>
      </c>
      <c r="M223" s="91">
        <f t="shared" si="85"/>
        <v>0</v>
      </c>
      <c r="O223" s="91">
        <f t="shared" si="86"/>
        <v>0</v>
      </c>
    </row>
    <row r="224" spans="1:15" s="27" customFormat="1" ht="42.75" hidden="1" customHeight="1" x14ac:dyDescent="0.5">
      <c r="A224" s="104" t="s">
        <v>211</v>
      </c>
      <c r="B224" s="107" t="s">
        <v>218</v>
      </c>
      <c r="C224" s="91">
        <f>'Comp YTD 2020-2019 '!D16</f>
        <v>0</v>
      </c>
      <c r="D224" s="91">
        <f>CNT!P340+CNT!P350</f>
        <v>0</v>
      </c>
      <c r="E224" s="91">
        <f t="shared" si="87"/>
        <v>0</v>
      </c>
      <c r="G224" s="91">
        <f>DEP!Q334+DEP!Q344</f>
        <v>0</v>
      </c>
      <c r="I224" s="91">
        <f>DEP!U334+DEP!U344</f>
        <v>0</v>
      </c>
      <c r="K224" s="91">
        <f t="shared" si="84"/>
        <v>0</v>
      </c>
      <c r="M224" s="91">
        <f t="shared" si="85"/>
        <v>0</v>
      </c>
      <c r="O224" s="91">
        <f t="shared" si="86"/>
        <v>0</v>
      </c>
    </row>
    <row r="225" spans="1:15" s="27" customFormat="1" ht="42.75" hidden="1" customHeight="1" x14ac:dyDescent="0.5">
      <c r="A225" s="104" t="s">
        <v>211</v>
      </c>
      <c r="B225" s="107" t="s">
        <v>219</v>
      </c>
      <c r="C225" s="91">
        <f>'Comp YTD 2020-2019 '!D17</f>
        <v>0</v>
      </c>
      <c r="D225" s="91">
        <f>CNT!P351+CNT!P352+CNT!P353+CNT!P354</f>
        <v>0</v>
      </c>
      <c r="E225" s="91">
        <f>D225-C225</f>
        <v>0</v>
      </c>
      <c r="G225" s="91">
        <f>DEP!Q345+DEP!Q346+DEP!Q347+DEP!Q348</f>
        <v>0</v>
      </c>
      <c r="I225" s="91">
        <f>DEP!U345+DEP!U346+DEP!U347+DEP!U348</f>
        <v>0</v>
      </c>
      <c r="K225" s="91">
        <f t="shared" si="84"/>
        <v>0</v>
      </c>
      <c r="M225" s="91">
        <f t="shared" si="85"/>
        <v>0</v>
      </c>
      <c r="O225" s="91">
        <f t="shared" si="86"/>
        <v>0</v>
      </c>
    </row>
    <row r="226" spans="1:15" s="27" customFormat="1" ht="42.75" customHeight="1" x14ac:dyDescent="0.5">
      <c r="A226" s="104" t="s">
        <v>211</v>
      </c>
      <c r="B226" s="107" t="s">
        <v>220</v>
      </c>
      <c r="C226" s="91">
        <f>'Comp YTD 2020-2019 '!D18</f>
        <v>549853.75999999989</v>
      </c>
      <c r="D226" s="91">
        <f>DEP!P17</f>
        <v>2715544.4925000002</v>
      </c>
      <c r="E226" s="91">
        <f>D226-C226</f>
        <v>2165690.7325000004</v>
      </c>
      <c r="G226" s="91">
        <f>DEP!Q17</f>
        <v>3620725.9899999998</v>
      </c>
      <c r="I226" s="91">
        <f>DEP!R17</f>
        <v>3620725.9899999998</v>
      </c>
      <c r="K226" s="91">
        <f>G226-D226</f>
        <v>905181.49749999959</v>
      </c>
      <c r="M226" s="91">
        <f>G226-C226</f>
        <v>3070872.23</v>
      </c>
      <c r="O226" s="91">
        <f t="shared" si="86"/>
        <v>2165690.7325000004</v>
      </c>
    </row>
    <row r="227" spans="1:15" s="27" customFormat="1" ht="42.75" customHeight="1" x14ac:dyDescent="0.5">
      <c r="A227" s="104" t="s">
        <v>211</v>
      </c>
      <c r="B227" s="105" t="s">
        <v>221</v>
      </c>
      <c r="C227" s="108">
        <f>SUM(C220:C226)</f>
        <v>549853.75999999989</v>
      </c>
      <c r="D227" s="108">
        <f>SUM(D220:D226)</f>
        <v>2715544.4925000002</v>
      </c>
      <c r="E227" s="108">
        <f>SUM(E220:E226)</f>
        <v>2165690.7325000004</v>
      </c>
      <c r="G227" s="108">
        <f>SUM(G219:G226)</f>
        <v>3620725.9899999998</v>
      </c>
      <c r="I227" s="108">
        <f>SUM(I219:I226)</f>
        <v>3620725.9899999998</v>
      </c>
      <c r="K227" s="108">
        <f>SUM(K219:K226)</f>
        <v>905181.49749999959</v>
      </c>
      <c r="M227" s="108">
        <f>SUM(M219:M226)</f>
        <v>3070872.23</v>
      </c>
      <c r="O227" s="108">
        <f>SUM(O219:O226)</f>
        <v>2165690.7325000004</v>
      </c>
    </row>
    <row r="228" spans="1:15" s="27" customFormat="1" ht="42.75" customHeight="1" x14ac:dyDescent="0.5">
      <c r="A228" s="104" t="s">
        <v>211</v>
      </c>
      <c r="B228" s="107"/>
      <c r="C228" s="91"/>
      <c r="D228" s="91"/>
      <c r="E228" s="91"/>
      <c r="G228" s="91"/>
      <c r="I228" s="91"/>
      <c r="K228" s="91"/>
      <c r="M228" s="91"/>
      <c r="O228" s="91"/>
    </row>
    <row r="229" spans="1:15" s="27" customFormat="1" ht="42.75" customHeight="1" x14ac:dyDescent="0.5">
      <c r="A229" s="104" t="s">
        <v>211</v>
      </c>
      <c r="B229" s="105" t="s">
        <v>206</v>
      </c>
      <c r="C229" s="91"/>
      <c r="D229" s="91"/>
      <c r="E229" s="91"/>
      <c r="G229" s="91"/>
      <c r="I229" s="91"/>
      <c r="K229" s="91"/>
      <c r="M229" s="91"/>
      <c r="O229" s="91"/>
    </row>
    <row r="230" spans="1:15" s="27" customFormat="1" ht="42.75" hidden="1" customHeight="1" x14ac:dyDescent="0.5">
      <c r="A230" s="104" t="s">
        <v>211</v>
      </c>
      <c r="B230" s="107" t="s">
        <v>215</v>
      </c>
      <c r="C230" s="91">
        <f>'Comp YTD 2020-2019 '!D22</f>
        <v>0</v>
      </c>
      <c r="D230" s="91">
        <f>CNT!P359+CNT!P364+CNT!P376+CNT!P380+CNT!P381+CNT!P385+CNT!P389+CNT!P396</f>
        <v>0</v>
      </c>
      <c r="E230" s="91">
        <f>D230-C230</f>
        <v>0</v>
      </c>
      <c r="G230" s="91">
        <f>DEP!Q353+DEP!Q358+DEP!Q370+DEP!Q374+DEP!Q375+DEP!Q379+DEP!Q383+DEP!Q390</f>
        <v>0</v>
      </c>
      <c r="I230" s="91">
        <f>DEP!R353+DEP!R358+DEP!R370+DEP!R374+DEP!R375+DEP!R379+DEP!R383+DEP!R390</f>
        <v>0</v>
      </c>
      <c r="K230" s="91">
        <f t="shared" ref="K230" si="88">G230-D230</f>
        <v>0</v>
      </c>
      <c r="M230" s="91">
        <f t="shared" ref="M230" si="89">G230-C230</f>
        <v>0</v>
      </c>
      <c r="O230" s="91">
        <f>M230-K230</f>
        <v>0</v>
      </c>
    </row>
    <row r="231" spans="1:15" s="27" customFormat="1" ht="42.75" hidden="1" customHeight="1" x14ac:dyDescent="0.5">
      <c r="A231" s="104" t="s">
        <v>211</v>
      </c>
      <c r="B231" s="107" t="s">
        <v>216</v>
      </c>
      <c r="C231" s="91">
        <f>'Comp YTD 2020-2019 '!D23</f>
        <v>0</v>
      </c>
      <c r="D231" s="91">
        <f>CNT!P360+CNT!P365+CNT!P377+CNT!P382+CNT!P386+CNT!P390+CNT!P397+CNT!P393</f>
        <v>0</v>
      </c>
      <c r="E231" s="91">
        <f t="shared" ref="E231:E236" si="90">D231-C231</f>
        <v>0</v>
      </c>
      <c r="G231" s="91">
        <f>DEP!Q354+DEP!Q359+DEP!Q371+DEP!Q376+DEP!Q380+DEP!Q384+DEP!Q391+DEP!Q387</f>
        <v>0</v>
      </c>
      <c r="I231" s="91">
        <f>DEP!R354+DEP!R359+DEP!R371+DEP!R376+DEP!R380+DEP!R384+DEP!R391+DEP!R387</f>
        <v>0</v>
      </c>
      <c r="K231" s="91">
        <f t="shared" ref="K231:K236" si="91">G231-D231</f>
        <v>0</v>
      </c>
      <c r="M231" s="91">
        <f t="shared" ref="M231:M236" si="92">G231-C231</f>
        <v>0</v>
      </c>
      <c r="O231" s="91">
        <f t="shared" ref="O231:O236" si="93">M231-K231</f>
        <v>0</v>
      </c>
    </row>
    <row r="232" spans="1:15" s="27" customFormat="1" ht="42.75" hidden="1" customHeight="1" x14ac:dyDescent="0.5">
      <c r="A232" s="104" t="s">
        <v>211</v>
      </c>
      <c r="B232" s="107" t="s">
        <v>217</v>
      </c>
      <c r="C232" s="91">
        <f>'Comp YTD 2020-2019 '!D24</f>
        <v>0</v>
      </c>
      <c r="D232" s="91">
        <f>CNT!P361+CNT!P366+CNT!P378+CNT!P383+CNT!P387+CNT!P391+CNT!P398+CNT!P395</f>
        <v>0</v>
      </c>
      <c r="E232" s="91">
        <f t="shared" si="90"/>
        <v>0</v>
      </c>
      <c r="G232" s="91">
        <f>DEP!Q355+DEP!Q360+DEP!Q372+DEP!Q377+DEP!Q381+DEP!Q385+DEP!Q392+DEP!Q389</f>
        <v>0</v>
      </c>
      <c r="I232" s="91">
        <f>DEP!R355+DEP!R360+DEP!R372+DEP!R377+DEP!R381+DEP!R385+DEP!R392+DEP!R389</f>
        <v>0</v>
      </c>
      <c r="K232" s="91">
        <f t="shared" si="91"/>
        <v>0</v>
      </c>
      <c r="M232" s="91">
        <f t="shared" si="92"/>
        <v>0</v>
      </c>
      <c r="O232" s="91">
        <f t="shared" si="93"/>
        <v>0</v>
      </c>
    </row>
    <row r="233" spans="1:15" s="27" customFormat="1" ht="42.75" hidden="1" customHeight="1" x14ac:dyDescent="0.5">
      <c r="A233" s="104" t="s">
        <v>211</v>
      </c>
      <c r="B233" s="107" t="s">
        <v>414</v>
      </c>
      <c r="C233" s="91">
        <f>'Comp YTD 2020-2019 '!D25</f>
        <v>0</v>
      </c>
      <c r="D233" s="91">
        <f>CNT!P362+CNT!P367+CNT!P379+CNT!P384+CNT!P388+CNT!P392+CNT!P399+CNT!P400</f>
        <v>0</v>
      </c>
      <c r="E233" s="91">
        <f t="shared" si="90"/>
        <v>0</v>
      </c>
      <c r="G233" s="91">
        <f>DEP!Q356+DEP!Q361+DEP!Q373+DEP!Q378+DEP!Q382+DEP!Q386+DEP!Q393+DEP!Q394</f>
        <v>0</v>
      </c>
      <c r="I233" s="91">
        <f>DEP!R356+DEP!R361+DEP!R373+DEP!R378+DEP!R382+DEP!R386+DEP!R393+DEP!R394</f>
        <v>0</v>
      </c>
      <c r="K233" s="91">
        <f t="shared" si="91"/>
        <v>0</v>
      </c>
      <c r="M233" s="91">
        <f t="shared" si="92"/>
        <v>0</v>
      </c>
      <c r="O233" s="91">
        <f t="shared" si="93"/>
        <v>0</v>
      </c>
    </row>
    <row r="234" spans="1:15" s="27" customFormat="1" ht="42.75" hidden="1" customHeight="1" x14ac:dyDescent="0.5">
      <c r="A234" s="104" t="s">
        <v>211</v>
      </c>
      <c r="B234" s="107" t="s">
        <v>218</v>
      </c>
      <c r="C234" s="91">
        <f>'Comp YTD 2020-2019 '!D26</f>
        <v>0</v>
      </c>
      <c r="D234" s="91">
        <f>CNT!P363+CNT!P370+CNT!P394+CNT!P405</f>
        <v>0</v>
      </c>
      <c r="E234" s="91">
        <f t="shared" si="90"/>
        <v>0</v>
      </c>
      <c r="G234" s="91">
        <f>DEP!Q357+DEP!Q364+DEP!Q388+DEP!Q399</f>
        <v>0</v>
      </c>
      <c r="I234" s="91">
        <f>DEP!R357+DEP!R364+DEP!R388+DEP!R399</f>
        <v>0</v>
      </c>
      <c r="K234" s="91">
        <f t="shared" si="91"/>
        <v>0</v>
      </c>
      <c r="M234" s="91">
        <f t="shared" si="92"/>
        <v>0</v>
      </c>
      <c r="O234" s="91">
        <f t="shared" si="93"/>
        <v>0</v>
      </c>
    </row>
    <row r="235" spans="1:15" s="27" customFormat="1" ht="42.75" hidden="1" customHeight="1" x14ac:dyDescent="0.5">
      <c r="A235" s="104" t="s">
        <v>211</v>
      </c>
      <c r="B235" s="107" t="s">
        <v>219</v>
      </c>
      <c r="C235" s="91">
        <f>'Comp YTD 2020-2019 '!D27</f>
        <v>0</v>
      </c>
      <c r="D235" s="91">
        <f>CNT!P416+CNT!P417+CNT!P418+CNT!P419+CNT!P420+CNT!P421+CNT!P422+CNT!P423+CNT!P424</f>
        <v>0</v>
      </c>
      <c r="E235" s="91">
        <f t="shared" si="90"/>
        <v>0</v>
      </c>
      <c r="G235" s="91">
        <f>DEP!Q410+DEP!Q411+DEP!Q412+DEP!Q413+DEP!Q414+DEP!Q415+DEP!Q416+DEP!Q417+DEP!Q418</f>
        <v>0</v>
      </c>
      <c r="I235" s="91">
        <f>DEP!R410+DEP!R411+DEP!R412+DEP!R413+DEP!R414+DEP!R415+DEP!R416+DEP!R417+DEP!R418</f>
        <v>0</v>
      </c>
      <c r="K235" s="91">
        <f t="shared" si="91"/>
        <v>0</v>
      </c>
      <c r="M235" s="91">
        <f t="shared" si="92"/>
        <v>0</v>
      </c>
      <c r="O235" s="91">
        <f t="shared" si="93"/>
        <v>0</v>
      </c>
    </row>
    <row r="236" spans="1:15" s="27" customFormat="1" ht="42.75" customHeight="1" x14ac:dyDescent="0.5">
      <c r="A236" s="104" t="s">
        <v>211</v>
      </c>
      <c r="B236" s="107" t="s">
        <v>220</v>
      </c>
      <c r="C236" s="91">
        <f>'Comp YTD 2020-2019 '!D28</f>
        <v>29243.75</v>
      </c>
      <c r="D236" s="91">
        <f>DEP!P23</f>
        <v>389870.85750000004</v>
      </c>
      <c r="E236" s="91">
        <f t="shared" si="90"/>
        <v>360627.10750000004</v>
      </c>
      <c r="G236" s="91">
        <f>DEP!Q23</f>
        <v>519827.81000000006</v>
      </c>
      <c r="I236" s="91">
        <f>DEP!R23</f>
        <v>519827.81000000006</v>
      </c>
      <c r="K236" s="91">
        <f t="shared" si="91"/>
        <v>129956.95250000001</v>
      </c>
      <c r="M236" s="91">
        <f t="shared" si="92"/>
        <v>490584.06000000006</v>
      </c>
      <c r="O236" s="91">
        <f t="shared" si="93"/>
        <v>360627.10750000004</v>
      </c>
    </row>
    <row r="237" spans="1:15" s="27" customFormat="1" ht="42.75" customHeight="1" x14ac:dyDescent="0.5">
      <c r="A237" s="104" t="s">
        <v>211</v>
      </c>
      <c r="B237" s="105" t="s">
        <v>222</v>
      </c>
      <c r="C237" s="108">
        <f t="shared" ref="C237" si="94">SUM(C230:C236)</f>
        <v>29243.75</v>
      </c>
      <c r="D237" s="108">
        <f>SUM(D230:D236)</f>
        <v>389870.85750000004</v>
      </c>
      <c r="E237" s="108">
        <f>SUM(E230:E236)</f>
        <v>360627.10750000004</v>
      </c>
      <c r="G237" s="108">
        <f>SUM(G230:G236)</f>
        <v>519827.81000000006</v>
      </c>
      <c r="I237" s="108">
        <f>SUM(I230:I236)</f>
        <v>519827.81000000006</v>
      </c>
      <c r="K237" s="108">
        <f>SUM(K230:K236)</f>
        <v>129956.95250000001</v>
      </c>
      <c r="M237" s="108">
        <f>SUM(M230:M236)</f>
        <v>490584.06000000006</v>
      </c>
      <c r="O237" s="108">
        <f>SUM(O230:O236)</f>
        <v>360627.10750000004</v>
      </c>
    </row>
    <row r="238" spans="1:15" s="27" customFormat="1" ht="42.75" customHeight="1" x14ac:dyDescent="0.5">
      <c r="A238" s="104" t="s">
        <v>211</v>
      </c>
      <c r="B238" s="107"/>
      <c r="C238" s="91"/>
      <c r="D238" s="91"/>
      <c r="E238" s="91"/>
      <c r="G238" s="91"/>
      <c r="I238" s="91"/>
      <c r="K238" s="91"/>
      <c r="M238" s="91"/>
      <c r="O238" s="91"/>
    </row>
    <row r="239" spans="1:15" s="27" customFormat="1" ht="42.75" customHeight="1" thickBot="1" x14ac:dyDescent="0.55000000000000004">
      <c r="A239" s="104" t="s">
        <v>211</v>
      </c>
      <c r="B239" s="105" t="s">
        <v>209</v>
      </c>
      <c r="C239" s="109">
        <f>C227-C237</f>
        <v>520610.00999999989</v>
      </c>
      <c r="D239" s="109">
        <f>D227-D237</f>
        <v>2325673.6350000002</v>
      </c>
      <c r="E239" s="109">
        <f>C239-D239</f>
        <v>-1805063.6250000005</v>
      </c>
      <c r="G239" s="109">
        <f>G227-G237</f>
        <v>3100898.1799999997</v>
      </c>
      <c r="I239" s="109">
        <f>I227-I237</f>
        <v>3100898.1799999997</v>
      </c>
      <c r="K239" s="109">
        <f>K227-K237</f>
        <v>775224.54499999958</v>
      </c>
      <c r="M239" s="109">
        <f>M227-M237</f>
        <v>2580288.17</v>
      </c>
      <c r="O239" s="109">
        <f>-(K239-M239)</f>
        <v>1805063.6250000005</v>
      </c>
    </row>
    <row r="240" spans="1:15" s="27" customFormat="1" ht="42.75" customHeight="1" x14ac:dyDescent="0.5">
      <c r="A240" s="104" t="s">
        <v>211</v>
      </c>
      <c r="B240" s="107"/>
      <c r="C240" s="91"/>
      <c r="D240" s="91"/>
      <c r="E240" s="91"/>
      <c r="G240" s="91"/>
      <c r="I240" s="91"/>
      <c r="K240" s="91"/>
      <c r="M240" s="91"/>
      <c r="O240" s="91"/>
    </row>
    <row r="241" spans="1:15" s="27" customFormat="1" ht="42.75" customHeight="1" x14ac:dyDescent="0.5">
      <c r="A241" s="104" t="s">
        <v>211</v>
      </c>
      <c r="B241" s="105" t="s">
        <v>207</v>
      </c>
      <c r="C241" s="91"/>
      <c r="D241" s="91"/>
      <c r="E241" s="91"/>
      <c r="G241" s="91"/>
      <c r="I241" s="91"/>
      <c r="K241" s="91"/>
      <c r="M241" s="91"/>
      <c r="O241" s="91"/>
    </row>
    <row r="242" spans="1:15" s="27" customFormat="1" ht="42.75" customHeight="1" x14ac:dyDescent="0.5">
      <c r="A242" s="104" t="s">
        <v>211</v>
      </c>
      <c r="B242" s="107"/>
      <c r="C242" s="91"/>
      <c r="D242" s="91"/>
      <c r="E242" s="91"/>
      <c r="G242" s="91"/>
      <c r="I242" s="91"/>
      <c r="K242" s="91"/>
      <c r="M242" s="91"/>
      <c r="O242" s="91"/>
    </row>
    <row r="243" spans="1:15" s="27" customFormat="1" ht="42.75" customHeight="1" x14ac:dyDescent="0.5">
      <c r="A243" s="104" t="s">
        <v>211</v>
      </c>
      <c r="B243" s="105" t="s">
        <v>223</v>
      </c>
      <c r="C243" s="91"/>
      <c r="D243" s="91"/>
      <c r="E243" s="91"/>
      <c r="G243" s="91"/>
      <c r="I243" s="91"/>
      <c r="K243" s="91"/>
      <c r="M243" s="91"/>
      <c r="O243" s="91"/>
    </row>
    <row r="244" spans="1:15" s="27" customFormat="1" ht="42.75" customHeight="1" x14ac:dyDescent="0.5">
      <c r="A244" s="104" t="s">
        <v>211</v>
      </c>
      <c r="B244" s="107" t="s">
        <v>224</v>
      </c>
      <c r="C244" s="91">
        <f>'Comp YTD 2020-2019 '!D37</f>
        <v>76501.41</v>
      </c>
      <c r="D244" s="91">
        <f>DEP!P29</f>
        <v>648000</v>
      </c>
      <c r="E244" s="91">
        <f>D244-C244</f>
        <v>571498.59</v>
      </c>
      <c r="G244" s="91">
        <f>DEP!Q29</f>
        <v>864000</v>
      </c>
      <c r="I244" s="91">
        <f>DEP!R29</f>
        <v>848837.41</v>
      </c>
      <c r="K244" s="91">
        <f t="shared" ref="K244" si="95">G244-D244</f>
        <v>216000</v>
      </c>
      <c r="M244" s="91">
        <f>G244-C244</f>
        <v>787498.59</v>
      </c>
      <c r="O244" s="91">
        <f>M244-K244</f>
        <v>571498.59</v>
      </c>
    </row>
    <row r="245" spans="1:15" s="27" customFormat="1" ht="42.75" customHeight="1" x14ac:dyDescent="0.5">
      <c r="A245" s="104" t="s">
        <v>211</v>
      </c>
      <c r="B245" s="107" t="s">
        <v>531</v>
      </c>
      <c r="C245" s="91">
        <f>'Comp YTD 2020-2019 '!D38</f>
        <v>5762.5</v>
      </c>
      <c r="D245" s="91">
        <f>DEP!P30</f>
        <v>33356.25</v>
      </c>
      <c r="E245" s="91">
        <f t="shared" ref="E245:E253" si="96">D245-C245</f>
        <v>27593.75</v>
      </c>
      <c r="G245" s="91">
        <f>DEP!Q30</f>
        <v>44475</v>
      </c>
      <c r="I245" s="91">
        <f>DEP!R30</f>
        <v>0</v>
      </c>
      <c r="K245" s="91">
        <f t="shared" ref="K245:K253" si="97">G245-D245</f>
        <v>11118.75</v>
      </c>
      <c r="M245" s="91">
        <f t="shared" ref="M245:M253" si="98">G245-C245</f>
        <v>38712.5</v>
      </c>
      <c r="O245" s="91">
        <f t="shared" ref="O245:O253" si="99">M245-K245</f>
        <v>27593.75</v>
      </c>
    </row>
    <row r="246" spans="1:15" s="27" customFormat="1" ht="42.75" customHeight="1" x14ac:dyDescent="0.5">
      <c r="A246" s="104" t="s">
        <v>211</v>
      </c>
      <c r="B246" s="107" t="s">
        <v>225</v>
      </c>
      <c r="C246" s="91">
        <f>'Comp YTD 2020-2019 '!D39</f>
        <v>391.96</v>
      </c>
      <c r="D246" s="91">
        <v>0</v>
      </c>
      <c r="E246" s="91">
        <f t="shared" si="96"/>
        <v>-391.96</v>
      </c>
      <c r="G246" s="91">
        <v>0</v>
      </c>
      <c r="I246" s="91">
        <v>0</v>
      </c>
      <c r="K246" s="91">
        <f t="shared" si="97"/>
        <v>0</v>
      </c>
      <c r="M246" s="91">
        <f t="shared" si="98"/>
        <v>-391.96</v>
      </c>
      <c r="O246" s="91">
        <f t="shared" si="99"/>
        <v>-391.96</v>
      </c>
    </row>
    <row r="247" spans="1:15" s="27" customFormat="1" ht="42.75" customHeight="1" x14ac:dyDescent="0.5">
      <c r="A247" s="104" t="s">
        <v>211</v>
      </c>
      <c r="B247" s="107" t="s">
        <v>226</v>
      </c>
      <c r="C247" s="91">
        <f>'Comp YTD 2020-2019 '!D40</f>
        <v>8780.4699999999993</v>
      </c>
      <c r="D247" s="91">
        <f>DEP!P32</f>
        <v>49301.257500000007</v>
      </c>
      <c r="E247" s="91">
        <f t="shared" si="96"/>
        <v>40520.787500000006</v>
      </c>
      <c r="G247" s="91">
        <f>DEP!Q32</f>
        <v>65735.010000000009</v>
      </c>
      <c r="I247" s="91">
        <f>DEP!R32</f>
        <v>65735.010000000009</v>
      </c>
      <c r="K247" s="91">
        <f>G247-D247</f>
        <v>16433.752500000002</v>
      </c>
      <c r="M247" s="91">
        <f>G247-C247</f>
        <v>56954.540000000008</v>
      </c>
      <c r="O247" s="91">
        <f t="shared" si="99"/>
        <v>40520.787500000006</v>
      </c>
    </row>
    <row r="248" spans="1:15" s="27" customFormat="1" ht="42.75" customHeight="1" x14ac:dyDescent="0.5">
      <c r="A248" s="104" t="s">
        <v>211</v>
      </c>
      <c r="B248" s="107" t="s">
        <v>227</v>
      </c>
      <c r="C248" s="91">
        <f>'Comp YTD 2020-2019 '!D41</f>
        <v>11183.14</v>
      </c>
      <c r="D248" s="91">
        <f>DEP!P33</f>
        <v>83250</v>
      </c>
      <c r="E248" s="91">
        <f t="shared" si="96"/>
        <v>72066.86</v>
      </c>
      <c r="G248" s="91">
        <f>DEP!Q33</f>
        <v>111000</v>
      </c>
      <c r="I248" s="91">
        <f>DEP!R33</f>
        <v>100999.13</v>
      </c>
      <c r="K248" s="91">
        <f t="shared" si="97"/>
        <v>27750</v>
      </c>
      <c r="M248" s="91">
        <f t="shared" si="98"/>
        <v>99816.86</v>
      </c>
      <c r="O248" s="91">
        <f t="shared" si="99"/>
        <v>72066.86</v>
      </c>
    </row>
    <row r="249" spans="1:15" s="27" customFormat="1" ht="42.75" customHeight="1" x14ac:dyDescent="0.5">
      <c r="A249" s="104" t="s">
        <v>211</v>
      </c>
      <c r="B249" s="107" t="s">
        <v>228</v>
      </c>
      <c r="C249" s="91">
        <f>'Comp YTD 2020-2019 '!D42</f>
        <v>1371.92</v>
      </c>
      <c r="D249" s="91">
        <f>DEP!P34</f>
        <v>9450</v>
      </c>
      <c r="E249" s="91">
        <f t="shared" si="96"/>
        <v>8078.08</v>
      </c>
      <c r="G249" s="91">
        <f>DEP!Q34</f>
        <v>12600</v>
      </c>
      <c r="I249" s="91">
        <f>DEP!R34</f>
        <v>4711.1099999999997</v>
      </c>
      <c r="K249" s="91">
        <f t="shared" si="97"/>
        <v>3150</v>
      </c>
      <c r="M249" s="91">
        <f t="shared" si="98"/>
        <v>11228.08</v>
      </c>
      <c r="O249" s="91">
        <f t="shared" si="99"/>
        <v>8078.08</v>
      </c>
    </row>
    <row r="250" spans="1:15" s="27" customFormat="1" ht="42.75" customHeight="1" x14ac:dyDescent="0.5">
      <c r="A250" s="104" t="s">
        <v>211</v>
      </c>
      <c r="B250" s="107" t="s">
        <v>229</v>
      </c>
      <c r="C250" s="91">
        <f>'Comp YTD 2020-2019 '!D43</f>
        <v>3114.88</v>
      </c>
      <c r="D250" s="91">
        <f>DEP!P35</f>
        <v>23400</v>
      </c>
      <c r="E250" s="91">
        <f t="shared" si="96"/>
        <v>20285.12</v>
      </c>
      <c r="G250" s="91">
        <f>DEP!Q35</f>
        <v>31200</v>
      </c>
      <c r="I250" s="91">
        <f>DEP!R35</f>
        <v>21975.360000000001</v>
      </c>
      <c r="K250" s="91">
        <f t="shared" si="97"/>
        <v>7800</v>
      </c>
      <c r="M250" s="91">
        <f t="shared" si="98"/>
        <v>28085.119999999999</v>
      </c>
      <c r="O250" s="91">
        <f t="shared" si="99"/>
        <v>20285.12</v>
      </c>
    </row>
    <row r="251" spans="1:15" s="27" customFormat="1" ht="42.75" customHeight="1" x14ac:dyDescent="0.5">
      <c r="A251" s="104" t="s">
        <v>211</v>
      </c>
      <c r="B251" s="107" t="s">
        <v>305</v>
      </c>
      <c r="C251" s="91">
        <f>'Comp YTD 2020-2019 '!D44</f>
        <v>234.2</v>
      </c>
      <c r="D251" s="91">
        <f>DEP!P36</f>
        <v>1585.0050000000001</v>
      </c>
      <c r="E251" s="91">
        <f t="shared" si="96"/>
        <v>1350.8050000000001</v>
      </c>
      <c r="G251" s="91">
        <f>DEP!Q36</f>
        <v>2113.34</v>
      </c>
      <c r="I251" s="91">
        <f>DEP!R36</f>
        <v>2113.34</v>
      </c>
      <c r="K251" s="91">
        <f t="shared" si="97"/>
        <v>528.33500000000004</v>
      </c>
      <c r="M251" s="91">
        <f t="shared" si="98"/>
        <v>1879.14</v>
      </c>
      <c r="O251" s="91">
        <f t="shared" si="99"/>
        <v>1350.8050000000001</v>
      </c>
    </row>
    <row r="252" spans="1:15" s="27" customFormat="1" ht="42.75" customHeight="1" x14ac:dyDescent="0.5">
      <c r="A252" s="104" t="s">
        <v>211</v>
      </c>
      <c r="B252" s="107" t="s">
        <v>230</v>
      </c>
      <c r="C252" s="91">
        <f>'Comp YTD 2020-2019 '!D45</f>
        <v>0</v>
      </c>
      <c r="D252" s="91">
        <v>0</v>
      </c>
      <c r="E252" s="91">
        <f t="shared" si="96"/>
        <v>0</v>
      </c>
      <c r="G252" s="91">
        <v>0</v>
      </c>
      <c r="I252" s="91">
        <v>0</v>
      </c>
      <c r="K252" s="91">
        <f t="shared" si="97"/>
        <v>0</v>
      </c>
      <c r="M252" s="91">
        <f t="shared" si="98"/>
        <v>0</v>
      </c>
      <c r="O252" s="91">
        <f t="shared" si="99"/>
        <v>0</v>
      </c>
    </row>
    <row r="253" spans="1:15" s="27" customFormat="1" ht="42.75" customHeight="1" x14ac:dyDescent="0.5">
      <c r="A253" s="104" t="s">
        <v>211</v>
      </c>
      <c r="B253" s="107" t="s">
        <v>244</v>
      </c>
      <c r="C253" s="91">
        <f>'Comp YTD 2020-2019 '!D46</f>
        <v>2203.0500000000002</v>
      </c>
      <c r="D253" s="91">
        <f>DEP!P37</f>
        <v>11371.635</v>
      </c>
      <c r="E253" s="91">
        <f t="shared" si="96"/>
        <v>9168.5849999999991</v>
      </c>
      <c r="G253" s="91">
        <f>DEP!Q37</f>
        <v>15162.18</v>
      </c>
      <c r="I253" s="91">
        <f>DEP!R37</f>
        <v>15162.18</v>
      </c>
      <c r="K253" s="91">
        <f t="shared" si="97"/>
        <v>3790.5450000000001</v>
      </c>
      <c r="M253" s="91">
        <f t="shared" si="98"/>
        <v>12959.130000000001</v>
      </c>
      <c r="O253" s="91">
        <f t="shared" si="99"/>
        <v>9168.5850000000009</v>
      </c>
    </row>
    <row r="254" spans="1:15" s="27" customFormat="1" ht="42.75" customHeight="1" x14ac:dyDescent="0.5">
      <c r="A254" s="104" t="s">
        <v>211</v>
      </c>
      <c r="B254" s="105" t="s">
        <v>231</v>
      </c>
      <c r="C254" s="108">
        <f>SUM(C244:C253)</f>
        <v>109543.53000000001</v>
      </c>
      <c r="D254" s="108">
        <f t="shared" ref="D254:E254" si="100">SUM(D244:D253)</f>
        <v>859714.14750000008</v>
      </c>
      <c r="E254" s="108">
        <f t="shared" si="100"/>
        <v>750170.61749999993</v>
      </c>
      <c r="G254" s="108">
        <f>SUM(G244:G253)</f>
        <v>1146285.53</v>
      </c>
      <c r="I254" s="108">
        <f>SUM(I244:I253)</f>
        <v>1059533.54</v>
      </c>
      <c r="K254" s="108">
        <f>SUM(K244:K253)</f>
        <v>286571.38250000001</v>
      </c>
      <c r="M254" s="108">
        <f>SUM(M244:M253)</f>
        <v>1036742</v>
      </c>
      <c r="O254" s="108">
        <f>SUM(O244:O253)</f>
        <v>750170.61749999993</v>
      </c>
    </row>
    <row r="255" spans="1:15" s="27" customFormat="1" ht="42.75" customHeight="1" x14ac:dyDescent="0.5">
      <c r="A255" s="104" t="s">
        <v>211</v>
      </c>
      <c r="B255" s="107"/>
      <c r="C255" s="91"/>
      <c r="D255" s="91"/>
      <c r="E255" s="91"/>
      <c r="G255" s="91"/>
      <c r="I255" s="91"/>
      <c r="K255" s="91"/>
      <c r="M255" s="91"/>
      <c r="O255" s="91"/>
    </row>
    <row r="256" spans="1:15" s="27" customFormat="1" ht="42.75" customHeight="1" x14ac:dyDescent="0.5">
      <c r="A256" s="104" t="s">
        <v>211</v>
      </c>
      <c r="B256" s="105" t="s">
        <v>477</v>
      </c>
      <c r="C256" s="91"/>
      <c r="D256" s="91"/>
      <c r="E256" s="91"/>
      <c r="G256" s="91"/>
      <c r="I256" s="91"/>
      <c r="K256" s="91"/>
      <c r="M256" s="91"/>
      <c r="O256" s="91"/>
    </row>
    <row r="257" spans="1:15" s="27" customFormat="1" ht="42.75" customHeight="1" x14ac:dyDescent="0.5">
      <c r="A257" s="104" t="s">
        <v>211</v>
      </c>
      <c r="B257" s="107" t="s">
        <v>232</v>
      </c>
      <c r="C257" s="91">
        <f>'Comp YTD 2020-2019 '!D50</f>
        <v>37500</v>
      </c>
      <c r="D257" s="91">
        <f>DEP!P42</f>
        <v>337500</v>
      </c>
      <c r="E257" s="91">
        <f>D257-C257</f>
        <v>300000</v>
      </c>
      <c r="G257" s="91">
        <f>DEP!Q42</f>
        <v>450000</v>
      </c>
      <c r="I257" s="91">
        <f>DEP!R42</f>
        <v>450000</v>
      </c>
      <c r="K257" s="91">
        <f t="shared" ref="K257" si="101">G257-D257</f>
        <v>112500</v>
      </c>
      <c r="M257" s="91">
        <f t="shared" ref="M257" si="102">G257-C257</f>
        <v>412500</v>
      </c>
      <c r="O257" s="91">
        <f>M257-K257</f>
        <v>300000</v>
      </c>
    </row>
    <row r="258" spans="1:15" s="27" customFormat="1" ht="42.75" customHeight="1" x14ac:dyDescent="0.5">
      <c r="A258" s="104" t="s">
        <v>211</v>
      </c>
      <c r="B258" s="107" t="s">
        <v>233</v>
      </c>
      <c r="C258" s="91">
        <f>'Comp YTD 2020-2019 '!D51</f>
        <v>-313.72000000000003</v>
      </c>
      <c r="D258" s="91">
        <f>DEP!P43</f>
        <v>24816.747000000007</v>
      </c>
      <c r="E258" s="91">
        <f t="shared" ref="E258:E278" si="103">D258-C258</f>
        <v>25130.467000000008</v>
      </c>
      <c r="G258" s="91">
        <f>DEP!Q43</f>
        <v>33088.996000000006</v>
      </c>
      <c r="I258" s="91">
        <f>DEP!R43</f>
        <v>82722.490000000005</v>
      </c>
      <c r="K258" s="91">
        <f t="shared" ref="K258:K278" si="104">G258-D258</f>
        <v>8272.2489999999998</v>
      </c>
      <c r="M258" s="91">
        <f t="shared" ref="M258:M278" si="105">G258-C258</f>
        <v>33402.716000000008</v>
      </c>
      <c r="O258" s="91">
        <f t="shared" ref="O258:O278" si="106">M258-K258</f>
        <v>25130.467000000008</v>
      </c>
    </row>
    <row r="259" spans="1:15" s="27" customFormat="1" ht="42.75" hidden="1" customHeight="1" x14ac:dyDescent="0.5">
      <c r="A259" s="104" t="s">
        <v>211</v>
      </c>
      <c r="B259" s="107" t="s">
        <v>234</v>
      </c>
      <c r="C259" s="91">
        <f>'Comp YTD 2020-2019 '!D52</f>
        <v>1874.76</v>
      </c>
      <c r="D259" s="91">
        <v>0</v>
      </c>
      <c r="E259" s="91">
        <f t="shared" si="103"/>
        <v>-1874.76</v>
      </c>
      <c r="G259" s="91">
        <v>0</v>
      </c>
      <c r="I259" s="91">
        <v>0</v>
      </c>
      <c r="K259" s="91">
        <f t="shared" si="104"/>
        <v>0</v>
      </c>
      <c r="M259" s="91">
        <f t="shared" si="105"/>
        <v>-1874.76</v>
      </c>
      <c r="O259" s="91">
        <f t="shared" si="106"/>
        <v>-1874.76</v>
      </c>
    </row>
    <row r="260" spans="1:15" s="27" customFormat="1" ht="42.75" hidden="1" customHeight="1" x14ac:dyDescent="0.5">
      <c r="A260" s="104" t="s">
        <v>211</v>
      </c>
      <c r="B260" s="107" t="s">
        <v>333</v>
      </c>
      <c r="C260" s="91">
        <f>'Comp YTD 2020-2019 '!D53</f>
        <v>107.64</v>
      </c>
      <c r="D260" s="91">
        <v>0</v>
      </c>
      <c r="E260" s="91">
        <f t="shared" si="103"/>
        <v>-107.64</v>
      </c>
      <c r="G260" s="91">
        <v>0</v>
      </c>
      <c r="I260" s="91">
        <v>0</v>
      </c>
      <c r="K260" s="91">
        <f t="shared" si="104"/>
        <v>0</v>
      </c>
      <c r="M260" s="91">
        <f t="shared" si="105"/>
        <v>-107.64</v>
      </c>
      <c r="O260" s="91">
        <f t="shared" si="106"/>
        <v>-107.64</v>
      </c>
    </row>
    <row r="261" spans="1:15" s="27" customFormat="1" ht="42.75" customHeight="1" x14ac:dyDescent="0.5">
      <c r="A261" s="104" t="s">
        <v>211</v>
      </c>
      <c r="B261" s="107" t="s">
        <v>288</v>
      </c>
      <c r="C261" s="91">
        <f>'Comp YTD 2020-2019 '!D54</f>
        <v>434</v>
      </c>
      <c r="D261" s="91">
        <f>DEP!P45</f>
        <v>1350</v>
      </c>
      <c r="E261" s="91">
        <f t="shared" si="103"/>
        <v>916</v>
      </c>
      <c r="G261" s="91">
        <f>DEP!Q45</f>
        <v>1800</v>
      </c>
      <c r="I261" s="91">
        <f>DEP!R45</f>
        <v>1800</v>
      </c>
      <c r="K261" s="91">
        <f t="shared" si="104"/>
        <v>450</v>
      </c>
      <c r="M261" s="91">
        <f t="shared" si="105"/>
        <v>1366</v>
      </c>
      <c r="O261" s="91">
        <f t="shared" si="106"/>
        <v>916</v>
      </c>
    </row>
    <row r="262" spans="1:15" s="27" customFormat="1" ht="42.75" customHeight="1" x14ac:dyDescent="0.5">
      <c r="A262" s="104" t="s">
        <v>211</v>
      </c>
      <c r="B262" s="107" t="s">
        <v>437</v>
      </c>
      <c r="C262" s="91">
        <f>'Comp YTD 2020-2019 '!D55</f>
        <v>2100</v>
      </c>
      <c r="D262" s="91">
        <f>DEP!P46</f>
        <v>21756.9</v>
      </c>
      <c r="E262" s="91">
        <f t="shared" si="103"/>
        <v>19656.900000000001</v>
      </c>
      <c r="G262" s="91">
        <f>DEP!Q46</f>
        <v>29009.200000000001</v>
      </c>
      <c r="I262" s="91">
        <f>DEP!R46</f>
        <v>29009.200000000001</v>
      </c>
      <c r="K262" s="91">
        <f t="shared" si="104"/>
        <v>7252.2999999999993</v>
      </c>
      <c r="M262" s="91">
        <f t="shared" si="105"/>
        <v>26909.200000000001</v>
      </c>
      <c r="O262" s="91">
        <f t="shared" si="106"/>
        <v>19656.900000000001</v>
      </c>
    </row>
    <row r="263" spans="1:15" s="27" customFormat="1" ht="42.75" customHeight="1" x14ac:dyDescent="0.5">
      <c r="A263" s="104" t="s">
        <v>211</v>
      </c>
      <c r="B263" s="107" t="s">
        <v>370</v>
      </c>
      <c r="C263" s="91">
        <f>'Comp YTD 2020-2019 '!D56</f>
        <v>2407.6799999999998</v>
      </c>
      <c r="D263" s="91">
        <f>DEP!P47</f>
        <v>34523.272499999999</v>
      </c>
      <c r="E263" s="91">
        <f t="shared" si="103"/>
        <v>32115.592499999999</v>
      </c>
      <c r="G263" s="91">
        <f>DEP!Q47</f>
        <v>46031.03</v>
      </c>
      <c r="I263" s="91">
        <f>DEP!R47</f>
        <v>46031.03</v>
      </c>
      <c r="K263" s="91">
        <f t="shared" si="104"/>
        <v>11507.7575</v>
      </c>
      <c r="M263" s="91">
        <f t="shared" si="105"/>
        <v>43623.35</v>
      </c>
      <c r="O263" s="91">
        <f t="shared" si="106"/>
        <v>32115.592499999999</v>
      </c>
    </row>
    <row r="264" spans="1:15" s="27" customFormat="1" ht="42.75" hidden="1" customHeight="1" x14ac:dyDescent="0.5">
      <c r="A264" s="104" t="s">
        <v>211</v>
      </c>
      <c r="B264" s="107" t="s">
        <v>368</v>
      </c>
      <c r="C264" s="91">
        <f>'Comp YTD 2020-2019 '!D57</f>
        <v>0</v>
      </c>
      <c r="D264" s="91">
        <v>0</v>
      </c>
      <c r="E264" s="91">
        <f t="shared" si="103"/>
        <v>0</v>
      </c>
      <c r="G264" s="91">
        <v>0</v>
      </c>
      <c r="I264" s="91">
        <v>0</v>
      </c>
      <c r="K264" s="91">
        <f t="shared" si="104"/>
        <v>0</v>
      </c>
      <c r="M264" s="91">
        <f t="shared" si="105"/>
        <v>0</v>
      </c>
      <c r="O264" s="91">
        <f t="shared" si="106"/>
        <v>0</v>
      </c>
    </row>
    <row r="265" spans="1:15" s="27" customFormat="1" ht="42.75" customHeight="1" x14ac:dyDescent="0.5">
      <c r="A265" s="104" t="s">
        <v>211</v>
      </c>
      <c r="B265" s="107" t="s">
        <v>237</v>
      </c>
      <c r="C265" s="91">
        <f>'Comp YTD 2020-2019 '!D58</f>
        <v>6012.93</v>
      </c>
      <c r="D265" s="91">
        <f>DEP!P48</f>
        <v>60930</v>
      </c>
      <c r="E265" s="91">
        <f t="shared" si="103"/>
        <v>54917.07</v>
      </c>
      <c r="G265" s="91">
        <f>DEP!Q48</f>
        <v>81240</v>
      </c>
      <c r="I265" s="91">
        <f>DEP!R48</f>
        <v>62935.24000000002</v>
      </c>
      <c r="K265" s="91">
        <f t="shared" si="104"/>
        <v>20310</v>
      </c>
      <c r="M265" s="91">
        <f t="shared" si="105"/>
        <v>75227.070000000007</v>
      </c>
      <c r="O265" s="91">
        <f t="shared" si="106"/>
        <v>54917.070000000007</v>
      </c>
    </row>
    <row r="266" spans="1:15" s="27" customFormat="1" ht="42.75" customHeight="1" x14ac:dyDescent="0.5">
      <c r="A266" s="104" t="s">
        <v>211</v>
      </c>
      <c r="B266" s="107" t="s">
        <v>238</v>
      </c>
      <c r="C266" s="91">
        <f>'Comp YTD 2020-2019 '!D59</f>
        <v>410.94</v>
      </c>
      <c r="D266" s="91">
        <f>DEP!P50</f>
        <v>10777.162499999999</v>
      </c>
      <c r="E266" s="91">
        <f t="shared" si="103"/>
        <v>10366.222499999998</v>
      </c>
      <c r="G266" s="91">
        <f>DEP!Q50</f>
        <v>14369.55</v>
      </c>
      <c r="I266" s="91">
        <f>DEP!R50</f>
        <v>14369.55</v>
      </c>
      <c r="K266" s="91">
        <f t="shared" si="104"/>
        <v>3592.3875000000007</v>
      </c>
      <c r="M266" s="91">
        <f t="shared" si="105"/>
        <v>13958.609999999999</v>
      </c>
      <c r="O266" s="91">
        <f t="shared" si="106"/>
        <v>10366.222499999998</v>
      </c>
    </row>
    <row r="267" spans="1:15" s="27" customFormat="1" ht="42.75" customHeight="1" x14ac:dyDescent="0.5">
      <c r="A267" s="104" t="s">
        <v>211</v>
      </c>
      <c r="B267" s="107" t="s">
        <v>236</v>
      </c>
      <c r="C267" s="91">
        <f>'Comp YTD 2020-2019 '!D60</f>
        <v>22656.26</v>
      </c>
      <c r="D267" s="91">
        <f>DEP!P51</f>
        <v>225900</v>
      </c>
      <c r="E267" s="91">
        <f t="shared" si="103"/>
        <v>203243.74</v>
      </c>
      <c r="G267" s="91">
        <f>DEP!Q51</f>
        <v>301200</v>
      </c>
      <c r="I267" s="91">
        <f>DEP!R51</f>
        <v>217684.57</v>
      </c>
      <c r="K267" s="91">
        <f t="shared" si="104"/>
        <v>75300</v>
      </c>
      <c r="M267" s="91">
        <f t="shared" si="105"/>
        <v>278543.74</v>
      </c>
      <c r="O267" s="91">
        <f t="shared" si="106"/>
        <v>203243.74</v>
      </c>
    </row>
    <row r="268" spans="1:15" s="27" customFormat="1" ht="42.75" customHeight="1" x14ac:dyDescent="0.5">
      <c r="A268" s="104" t="s">
        <v>211</v>
      </c>
      <c r="B268" s="107" t="s">
        <v>350</v>
      </c>
      <c r="C268" s="91">
        <f>'Comp YTD 2020-2019 '!D61</f>
        <v>0</v>
      </c>
      <c r="D268" s="91">
        <f>DEP!P76</f>
        <v>336.75</v>
      </c>
      <c r="E268" s="91">
        <f t="shared" si="103"/>
        <v>336.75</v>
      </c>
      <c r="G268" s="91">
        <f>DEP!Q76</f>
        <v>449</v>
      </c>
      <c r="I268" s="91">
        <f>DEP!R76</f>
        <v>449</v>
      </c>
      <c r="K268" s="91">
        <f t="shared" si="104"/>
        <v>112.25</v>
      </c>
      <c r="M268" s="91">
        <f t="shared" si="105"/>
        <v>449</v>
      </c>
      <c r="O268" s="91">
        <f t="shared" si="106"/>
        <v>336.75</v>
      </c>
    </row>
    <row r="269" spans="1:15" s="27" customFormat="1" ht="42.75" customHeight="1" x14ac:dyDescent="0.5">
      <c r="A269" s="104" t="s">
        <v>211</v>
      </c>
      <c r="B269" s="107" t="s">
        <v>353</v>
      </c>
      <c r="C269" s="91">
        <f>'Comp YTD 2020-2019 '!D62</f>
        <v>0</v>
      </c>
      <c r="D269" s="91">
        <v>0</v>
      </c>
      <c r="E269" s="91">
        <f t="shared" si="103"/>
        <v>0</v>
      </c>
      <c r="G269" s="91">
        <v>0</v>
      </c>
      <c r="I269" s="91">
        <v>0</v>
      </c>
      <c r="K269" s="91">
        <f t="shared" si="104"/>
        <v>0</v>
      </c>
      <c r="M269" s="91">
        <f t="shared" si="105"/>
        <v>0</v>
      </c>
      <c r="O269" s="91">
        <f t="shared" si="106"/>
        <v>0</v>
      </c>
    </row>
    <row r="270" spans="1:15" s="27" customFormat="1" ht="42.75" customHeight="1" x14ac:dyDescent="0.5">
      <c r="A270" s="104" t="s">
        <v>211</v>
      </c>
      <c r="B270" s="107" t="s">
        <v>239</v>
      </c>
      <c r="C270" s="91">
        <f>'Comp YTD 2020-2019 '!D63</f>
        <v>400.57</v>
      </c>
      <c r="D270" s="91">
        <f>DEP!P52</f>
        <v>298.77</v>
      </c>
      <c r="E270" s="91">
        <f t="shared" si="103"/>
        <v>-101.80000000000001</v>
      </c>
      <c r="G270" s="91">
        <f>DEP!Q52</f>
        <v>398.36</v>
      </c>
      <c r="I270" s="91">
        <f>DEP!R52</f>
        <v>398.36</v>
      </c>
      <c r="K270" s="91">
        <f t="shared" si="104"/>
        <v>99.590000000000032</v>
      </c>
      <c r="M270" s="91">
        <f t="shared" si="105"/>
        <v>-2.2099999999999795</v>
      </c>
      <c r="O270" s="91">
        <f t="shared" si="106"/>
        <v>-101.80000000000001</v>
      </c>
    </row>
    <row r="271" spans="1:15" s="27" customFormat="1" ht="42.75" customHeight="1" x14ac:dyDescent="0.5">
      <c r="A271" s="104" t="s">
        <v>211</v>
      </c>
      <c r="B271" s="107" t="s">
        <v>240</v>
      </c>
      <c r="C271" s="91">
        <f>'Comp YTD 2020-2019 '!D64</f>
        <v>0</v>
      </c>
      <c r="D271" s="91">
        <f>DEP!P55</f>
        <v>3338.7224999999994</v>
      </c>
      <c r="E271" s="91">
        <f t="shared" si="103"/>
        <v>3338.7224999999994</v>
      </c>
      <c r="G271" s="91">
        <f>DEP!Q55</f>
        <v>4451.6299999999992</v>
      </c>
      <c r="I271" s="91">
        <f>DEP!R55</f>
        <v>4451.6299999999992</v>
      </c>
      <c r="K271" s="91">
        <f t="shared" si="104"/>
        <v>1112.9074999999998</v>
      </c>
      <c r="M271" s="91">
        <f t="shared" si="105"/>
        <v>4451.6299999999992</v>
      </c>
      <c r="O271" s="91">
        <f t="shared" si="106"/>
        <v>3338.7224999999994</v>
      </c>
    </row>
    <row r="272" spans="1:15" s="27" customFormat="1" ht="42.75" hidden="1" customHeight="1" x14ac:dyDescent="0.5">
      <c r="A272" s="104" t="s">
        <v>211</v>
      </c>
      <c r="B272" s="107" t="s">
        <v>241</v>
      </c>
      <c r="C272" s="91">
        <v>0</v>
      </c>
      <c r="D272" s="91">
        <v>0</v>
      </c>
      <c r="E272" s="91">
        <f t="shared" si="103"/>
        <v>0</v>
      </c>
      <c r="G272" s="91">
        <v>0</v>
      </c>
      <c r="I272" s="91">
        <v>0</v>
      </c>
      <c r="K272" s="91">
        <f t="shared" si="104"/>
        <v>0</v>
      </c>
      <c r="M272" s="91">
        <f t="shared" si="105"/>
        <v>0</v>
      </c>
      <c r="O272" s="91">
        <f t="shared" si="106"/>
        <v>0</v>
      </c>
    </row>
    <row r="273" spans="1:15" s="27" customFormat="1" ht="42.75" customHeight="1" x14ac:dyDescent="0.5">
      <c r="A273" s="104" t="s">
        <v>211</v>
      </c>
      <c r="B273" s="107" t="s">
        <v>242</v>
      </c>
      <c r="C273" s="91">
        <f>'Comp YTD 2020-2019 '!D65</f>
        <v>13371.27</v>
      </c>
      <c r="D273" s="91">
        <f>DEP!P56</f>
        <v>94636.117499999993</v>
      </c>
      <c r="E273" s="91">
        <f t="shared" si="103"/>
        <v>81264.847499999989</v>
      </c>
      <c r="G273" s="91">
        <f>DEP!Q56</f>
        <v>126181.48999999999</v>
      </c>
      <c r="I273" s="91">
        <f>DEP!R56</f>
        <v>126181.48999999999</v>
      </c>
      <c r="K273" s="91">
        <f t="shared" si="104"/>
        <v>31545.372499999998</v>
      </c>
      <c r="M273" s="91">
        <f t="shared" si="105"/>
        <v>112810.21999999999</v>
      </c>
      <c r="O273" s="91">
        <f t="shared" si="106"/>
        <v>81264.847499999989</v>
      </c>
    </row>
    <row r="274" spans="1:15" s="27" customFormat="1" ht="42.75" customHeight="1" x14ac:dyDescent="0.5">
      <c r="A274" s="104" t="s">
        <v>211</v>
      </c>
      <c r="B274" s="107" t="s">
        <v>252</v>
      </c>
      <c r="C274" s="91">
        <f>'Comp YTD 2020-2019 '!D67</f>
        <v>0</v>
      </c>
      <c r="D274" s="91">
        <v>0</v>
      </c>
      <c r="E274" s="91">
        <f t="shared" si="103"/>
        <v>0</v>
      </c>
      <c r="G274" s="91">
        <v>0</v>
      </c>
      <c r="I274" s="91">
        <v>0</v>
      </c>
      <c r="K274" s="91">
        <f t="shared" si="104"/>
        <v>0</v>
      </c>
      <c r="M274" s="91">
        <f t="shared" si="105"/>
        <v>0</v>
      </c>
      <c r="O274" s="91">
        <f t="shared" si="106"/>
        <v>0</v>
      </c>
    </row>
    <row r="275" spans="1:15" s="27" customFormat="1" ht="42.75" customHeight="1" x14ac:dyDescent="0.5">
      <c r="A275" s="104" t="s">
        <v>211</v>
      </c>
      <c r="B275" s="107" t="s">
        <v>245</v>
      </c>
      <c r="C275" s="91">
        <f>'Comp YTD 2020-2019 '!D68</f>
        <v>1362.18</v>
      </c>
      <c r="D275" s="91">
        <f>DEP!P58</f>
        <v>14091.157499999996</v>
      </c>
      <c r="E275" s="91">
        <f t="shared" si="103"/>
        <v>12728.977499999995</v>
      </c>
      <c r="G275" s="91">
        <f>DEP!Q58</f>
        <v>18788.209999999995</v>
      </c>
      <c r="I275" s="91">
        <f>DEP!R58</f>
        <v>18788.209999999995</v>
      </c>
      <c r="K275" s="91">
        <f t="shared" si="104"/>
        <v>4697.0524999999998</v>
      </c>
      <c r="M275" s="91">
        <f t="shared" si="105"/>
        <v>17426.029999999995</v>
      </c>
      <c r="O275" s="91">
        <f t="shared" si="106"/>
        <v>12728.977499999995</v>
      </c>
    </row>
    <row r="276" spans="1:15" s="27" customFormat="1" ht="42.75" customHeight="1" x14ac:dyDescent="0.5">
      <c r="A276" s="104" t="s">
        <v>211</v>
      </c>
      <c r="B276" s="107" t="s">
        <v>246</v>
      </c>
      <c r="C276" s="91">
        <f>'Comp YTD 2020-2019 '!D69</f>
        <v>7052.04</v>
      </c>
      <c r="D276" s="91">
        <f>DEP!P54</f>
        <v>65632.319999999992</v>
      </c>
      <c r="E276" s="91">
        <f t="shared" si="103"/>
        <v>58580.279999999992</v>
      </c>
      <c r="G276" s="91">
        <f>DEP!Q54</f>
        <v>87509.759999999995</v>
      </c>
      <c r="I276" s="91">
        <f>DEP!R54</f>
        <v>87509.759999999995</v>
      </c>
      <c r="K276" s="91">
        <f t="shared" si="104"/>
        <v>21877.440000000002</v>
      </c>
      <c r="M276" s="91">
        <f t="shared" si="105"/>
        <v>80457.72</v>
      </c>
      <c r="O276" s="91">
        <f t="shared" si="106"/>
        <v>58580.28</v>
      </c>
    </row>
    <row r="277" spans="1:15" s="27" customFormat="1" ht="42.75" customHeight="1" x14ac:dyDescent="0.5">
      <c r="A277" s="104" t="s">
        <v>211</v>
      </c>
      <c r="B277" s="107" t="s">
        <v>362</v>
      </c>
      <c r="C277" s="91">
        <f>'Comp YTD 2020-2019 '!D70</f>
        <v>0</v>
      </c>
      <c r="D277" s="91">
        <f>DEP!P59</f>
        <v>5607.6975000000002</v>
      </c>
      <c r="E277" s="91">
        <f t="shared" si="103"/>
        <v>5607.6975000000002</v>
      </c>
      <c r="G277" s="91">
        <f>DEP!Q59</f>
        <v>7476.93</v>
      </c>
      <c r="I277" s="91">
        <f>DEP!R59</f>
        <v>7476.93</v>
      </c>
      <c r="K277" s="91">
        <f t="shared" si="104"/>
        <v>1869.2325000000001</v>
      </c>
      <c r="M277" s="91">
        <f t="shared" si="105"/>
        <v>7476.93</v>
      </c>
      <c r="O277" s="91">
        <f t="shared" si="106"/>
        <v>5607.6975000000002</v>
      </c>
    </row>
    <row r="278" spans="1:15" s="27" customFormat="1" ht="42.75" customHeight="1" x14ac:dyDescent="0.5">
      <c r="A278" s="104" t="s">
        <v>211</v>
      </c>
      <c r="B278" s="107" t="s">
        <v>363</v>
      </c>
      <c r="C278" s="91">
        <f>'Comp YTD 2020-2019 '!D71</f>
        <v>328.78</v>
      </c>
      <c r="D278" s="91">
        <f>DEP!P60</f>
        <v>14400</v>
      </c>
      <c r="E278" s="91">
        <f t="shared" si="103"/>
        <v>14071.22</v>
      </c>
      <c r="G278" s="91">
        <f>DEP!Q60</f>
        <v>19200</v>
      </c>
      <c r="I278" s="91">
        <f>DEP!R60</f>
        <v>10196.419999999998</v>
      </c>
      <c r="K278" s="91">
        <f t="shared" si="104"/>
        <v>4800</v>
      </c>
      <c r="M278" s="91">
        <f t="shared" si="105"/>
        <v>18871.22</v>
      </c>
      <c r="O278" s="91">
        <f t="shared" si="106"/>
        <v>14071.220000000001</v>
      </c>
    </row>
    <row r="279" spans="1:15" s="27" customFormat="1" ht="42.75" customHeight="1" x14ac:dyDescent="0.5">
      <c r="A279" s="104" t="s">
        <v>211</v>
      </c>
      <c r="B279" s="105" t="s">
        <v>247</v>
      </c>
      <c r="C279" s="108">
        <f>SUM(C257:C278)</f>
        <v>95705.33</v>
      </c>
      <c r="D279" s="108">
        <f t="shared" ref="D279" si="107">SUM(D257:D278)</f>
        <v>915895.61699999997</v>
      </c>
      <c r="E279" s="108">
        <f t="shared" ref="E279" si="108">SUM(E257:E278)</f>
        <v>820190.28700000001</v>
      </c>
      <c r="G279" s="108">
        <f>SUM(G257:G278)</f>
        <v>1221194.156</v>
      </c>
      <c r="I279" s="108">
        <f>SUM(I257:I278)</f>
        <v>1160003.8799999999</v>
      </c>
      <c r="K279" s="108">
        <f>SUM(K257:K278)</f>
        <v>305298.53899999999</v>
      </c>
      <c r="M279" s="108">
        <f>SUM(M257:M278)</f>
        <v>1125488.8259999999</v>
      </c>
      <c r="O279" s="108">
        <f>SUM(O257:O278)</f>
        <v>820190.28700000001</v>
      </c>
    </row>
    <row r="280" spans="1:15" s="27" customFormat="1" ht="42.75" customHeight="1" x14ac:dyDescent="0.5">
      <c r="A280" s="104" t="s">
        <v>211</v>
      </c>
      <c r="B280" s="107"/>
      <c r="C280" s="91"/>
      <c r="D280" s="91"/>
      <c r="E280" s="91"/>
      <c r="G280" s="91"/>
      <c r="I280" s="91"/>
      <c r="K280" s="91"/>
      <c r="M280" s="91"/>
      <c r="O280" s="91"/>
    </row>
    <row r="281" spans="1:15" s="27" customFormat="1" ht="42.75" customHeight="1" x14ac:dyDescent="0.5">
      <c r="A281" s="104" t="s">
        <v>211</v>
      </c>
      <c r="B281" s="105" t="s">
        <v>248</v>
      </c>
      <c r="C281" s="91"/>
      <c r="D281" s="91"/>
      <c r="E281" s="91"/>
      <c r="G281" s="91"/>
      <c r="I281" s="91"/>
      <c r="K281" s="91"/>
      <c r="M281" s="91"/>
      <c r="O281" s="91"/>
    </row>
    <row r="282" spans="1:15" s="27" customFormat="1" ht="42.75" customHeight="1" x14ac:dyDescent="0.5">
      <c r="A282" s="104" t="s">
        <v>211</v>
      </c>
      <c r="B282" s="107" t="s">
        <v>249</v>
      </c>
      <c r="C282" s="91">
        <f>'Comp YTD 2020-2019 '!D81</f>
        <v>208.24</v>
      </c>
      <c r="D282" s="91">
        <f>DEP!P64</f>
        <v>1372.5374999999999</v>
      </c>
      <c r="E282" s="91">
        <f>D282-C282</f>
        <v>1164.2974999999999</v>
      </c>
      <c r="G282" s="91">
        <f>DEP!Q64</f>
        <v>1830.05</v>
      </c>
      <c r="I282" s="91">
        <f>DEP!R64</f>
        <v>1830.05</v>
      </c>
      <c r="K282" s="91">
        <f t="shared" ref="K282" si="109">G282-D282</f>
        <v>457.51250000000005</v>
      </c>
      <c r="M282" s="91">
        <f t="shared" ref="M282" si="110">G282-C282</f>
        <v>1621.81</v>
      </c>
      <c r="O282" s="91">
        <f>M282-K282</f>
        <v>1164.2974999999999</v>
      </c>
    </row>
    <row r="283" spans="1:15" s="27" customFormat="1" ht="42.75" customHeight="1" x14ac:dyDescent="0.5">
      <c r="A283" s="104" t="s">
        <v>211</v>
      </c>
      <c r="B283" s="107" t="s">
        <v>385</v>
      </c>
      <c r="C283" s="91">
        <f>'Comp YTD 2020-2019 '!D82</f>
        <v>0</v>
      </c>
      <c r="D283" s="91">
        <v>0</v>
      </c>
      <c r="E283" s="91">
        <f t="shared" ref="E283:E301" si="111">D283-C283</f>
        <v>0</v>
      </c>
      <c r="G283" s="91">
        <v>0</v>
      </c>
      <c r="I283" s="91">
        <v>0</v>
      </c>
      <c r="K283" s="91">
        <f t="shared" ref="K283:K301" si="112">G283-D283</f>
        <v>0</v>
      </c>
      <c r="M283" s="91">
        <f t="shared" ref="M283:M301" si="113">G283-C283</f>
        <v>0</v>
      </c>
      <c r="O283" s="91">
        <f t="shared" ref="O283:O301" si="114">M283-K283</f>
        <v>0</v>
      </c>
    </row>
    <row r="284" spans="1:15" s="27" customFormat="1" ht="42.75" hidden="1" customHeight="1" x14ac:dyDescent="0.5">
      <c r="A284" s="104" t="s">
        <v>211</v>
      </c>
      <c r="B284" s="107" t="s">
        <v>533</v>
      </c>
      <c r="C284" s="91">
        <f>'Comp YTD 2020-2019 '!D83</f>
        <v>0</v>
      </c>
      <c r="D284" s="91">
        <v>0</v>
      </c>
      <c r="E284" s="91">
        <f t="shared" si="111"/>
        <v>0</v>
      </c>
      <c r="G284" s="91">
        <v>0</v>
      </c>
      <c r="I284" s="91">
        <v>0</v>
      </c>
      <c r="K284" s="91">
        <f t="shared" si="112"/>
        <v>0</v>
      </c>
      <c r="M284" s="91">
        <f t="shared" si="113"/>
        <v>0</v>
      </c>
      <c r="O284" s="91">
        <f t="shared" si="114"/>
        <v>0</v>
      </c>
    </row>
    <row r="285" spans="1:15" s="27" customFormat="1" ht="42.75" customHeight="1" x14ac:dyDescent="0.5">
      <c r="A285" s="104" t="s">
        <v>211</v>
      </c>
      <c r="B285" s="107" t="s">
        <v>250</v>
      </c>
      <c r="C285" s="91">
        <f>'Comp YTD 2020-2019 '!D84</f>
        <v>213.42</v>
      </c>
      <c r="D285" s="91">
        <f>DEP!P65</f>
        <v>3282.0862499999998</v>
      </c>
      <c r="E285" s="91">
        <f t="shared" si="111"/>
        <v>3068.6662499999998</v>
      </c>
      <c r="G285" s="91">
        <f>DEP!Q65</f>
        <v>4376.1149999999998</v>
      </c>
      <c r="I285" s="91">
        <f>DEP!R65</f>
        <v>8752.2300000000014</v>
      </c>
      <c r="K285" s="91">
        <f t="shared" si="112"/>
        <v>1094.0287499999999</v>
      </c>
      <c r="M285" s="91">
        <f t="shared" si="113"/>
        <v>4162.6949999999997</v>
      </c>
      <c r="O285" s="91">
        <f t="shared" si="114"/>
        <v>3068.6662499999998</v>
      </c>
    </row>
    <row r="286" spans="1:15" s="27" customFormat="1" ht="42.75" hidden="1" customHeight="1" x14ac:dyDescent="0.5">
      <c r="A286" s="104" t="s">
        <v>211</v>
      </c>
      <c r="B286" s="107" t="s">
        <v>357</v>
      </c>
      <c r="C286" s="91">
        <f>'Comp YTD 2020-2019 '!D85</f>
        <v>0</v>
      </c>
      <c r="D286" s="91">
        <v>0</v>
      </c>
      <c r="E286" s="91">
        <f t="shared" si="111"/>
        <v>0</v>
      </c>
      <c r="G286" s="91">
        <v>0</v>
      </c>
      <c r="I286" s="91">
        <v>0</v>
      </c>
      <c r="K286" s="91">
        <f t="shared" si="112"/>
        <v>0</v>
      </c>
      <c r="M286" s="91">
        <f t="shared" si="113"/>
        <v>0</v>
      </c>
      <c r="O286" s="91">
        <f t="shared" si="114"/>
        <v>0</v>
      </c>
    </row>
    <row r="287" spans="1:15" s="27" customFormat="1" ht="42.75" customHeight="1" x14ac:dyDescent="0.5">
      <c r="A287" s="104" t="s">
        <v>211</v>
      </c>
      <c r="B287" s="107" t="s">
        <v>251</v>
      </c>
      <c r="C287" s="91">
        <f>'Comp YTD 2020-2019 '!D86</f>
        <v>0</v>
      </c>
      <c r="D287" s="91">
        <f>DEP!P75</f>
        <v>6924.4274999999998</v>
      </c>
      <c r="E287" s="91">
        <f t="shared" si="111"/>
        <v>6924.4274999999998</v>
      </c>
      <c r="G287" s="91">
        <f>DEP!Q75</f>
        <v>9232.57</v>
      </c>
      <c r="I287" s="91">
        <f>DEP!R75</f>
        <v>9232.57</v>
      </c>
      <c r="K287" s="91">
        <f t="shared" si="112"/>
        <v>2308.1424999999999</v>
      </c>
      <c r="M287" s="91">
        <f t="shared" si="113"/>
        <v>9232.57</v>
      </c>
      <c r="O287" s="91">
        <f t="shared" si="114"/>
        <v>6924.4274999999998</v>
      </c>
    </row>
    <row r="288" spans="1:15" s="27" customFormat="1" ht="42.75" customHeight="1" x14ac:dyDescent="0.5">
      <c r="A288" s="104" t="s">
        <v>211</v>
      </c>
      <c r="B288" s="107" t="s">
        <v>354</v>
      </c>
      <c r="C288" s="91">
        <f>'Comp YTD 2020-2019 '!D87</f>
        <v>3250</v>
      </c>
      <c r="D288" s="91">
        <f>DEP!P69</f>
        <v>29250</v>
      </c>
      <c r="E288" s="91">
        <f t="shared" si="111"/>
        <v>26000</v>
      </c>
      <c r="G288" s="91">
        <f>DEP!Q69</f>
        <v>39000</v>
      </c>
      <c r="I288" s="91">
        <f>DEP!R69</f>
        <v>50400</v>
      </c>
      <c r="K288" s="91">
        <f t="shared" si="112"/>
        <v>9750</v>
      </c>
      <c r="M288" s="91">
        <f t="shared" si="113"/>
        <v>35750</v>
      </c>
      <c r="O288" s="91">
        <f t="shared" si="114"/>
        <v>26000</v>
      </c>
    </row>
    <row r="289" spans="1:15" s="27" customFormat="1" ht="42.75" customHeight="1" x14ac:dyDescent="0.5">
      <c r="A289" s="104" t="s">
        <v>211</v>
      </c>
      <c r="B289" s="107" t="s">
        <v>355</v>
      </c>
      <c r="C289" s="91">
        <f>'Comp YTD 2020-2019 '!D88</f>
        <v>2250</v>
      </c>
      <c r="D289" s="91">
        <f>DEP!P70</f>
        <v>20250</v>
      </c>
      <c r="E289" s="91">
        <f t="shared" si="111"/>
        <v>18000</v>
      </c>
      <c r="G289" s="91">
        <f>DEP!Q70</f>
        <v>27000</v>
      </c>
      <c r="I289" s="91">
        <f>DEP!R70</f>
        <v>27000</v>
      </c>
      <c r="K289" s="91">
        <f t="shared" si="112"/>
        <v>6750</v>
      </c>
      <c r="M289" s="91">
        <f t="shared" si="113"/>
        <v>24750</v>
      </c>
      <c r="O289" s="91">
        <f t="shared" si="114"/>
        <v>18000</v>
      </c>
    </row>
    <row r="290" spans="1:15" s="27" customFormat="1" ht="42.75" customHeight="1" x14ac:dyDescent="0.5">
      <c r="A290" s="104" t="s">
        <v>211</v>
      </c>
      <c r="B290" s="107" t="s">
        <v>356</v>
      </c>
      <c r="C290" s="91">
        <f>'Comp YTD 2020-2019 '!D89</f>
        <v>333.33</v>
      </c>
      <c r="D290" s="91">
        <f>DEP!P68</f>
        <v>9000</v>
      </c>
      <c r="E290" s="91">
        <f t="shared" si="111"/>
        <v>8666.67</v>
      </c>
      <c r="G290" s="91">
        <f>DEP!Q68</f>
        <v>12000</v>
      </c>
      <c r="I290" s="91">
        <f>DEP!R68</f>
        <v>16848.52</v>
      </c>
      <c r="K290" s="91">
        <f t="shared" si="112"/>
        <v>3000</v>
      </c>
      <c r="M290" s="91">
        <f t="shared" si="113"/>
        <v>11666.67</v>
      </c>
      <c r="O290" s="91">
        <f t="shared" si="114"/>
        <v>8666.67</v>
      </c>
    </row>
    <row r="291" spans="1:15" s="27" customFormat="1" ht="42.75" customHeight="1" x14ac:dyDescent="0.5">
      <c r="A291" s="104" t="s">
        <v>211</v>
      </c>
      <c r="B291" s="107" t="s">
        <v>394</v>
      </c>
      <c r="C291" s="91">
        <f>'Comp YTD 2020-2019 '!D90</f>
        <v>0</v>
      </c>
      <c r="D291" s="91">
        <f>DEP!P72</f>
        <v>0</v>
      </c>
      <c r="E291" s="91">
        <f t="shared" si="111"/>
        <v>0</v>
      </c>
      <c r="G291" s="91">
        <f>DEP!Q72</f>
        <v>0</v>
      </c>
      <c r="I291" s="91">
        <f>DEP!R72</f>
        <v>12978.179999999997</v>
      </c>
      <c r="K291" s="91">
        <f t="shared" si="112"/>
        <v>0</v>
      </c>
      <c r="M291" s="91">
        <f t="shared" si="113"/>
        <v>0</v>
      </c>
      <c r="O291" s="91">
        <f t="shared" si="114"/>
        <v>0</v>
      </c>
    </row>
    <row r="292" spans="1:15" s="27" customFormat="1" ht="42.75" customHeight="1" x14ac:dyDescent="0.5">
      <c r="A292" s="104" t="s">
        <v>211</v>
      </c>
      <c r="B292" s="107" t="s">
        <v>383</v>
      </c>
      <c r="C292" s="91">
        <f>'Comp YTD 2020-2019 '!D91</f>
        <v>791.67</v>
      </c>
      <c r="D292" s="91">
        <f>DEP!P71</f>
        <v>6468.7724999999991</v>
      </c>
      <c r="E292" s="91">
        <f t="shared" si="111"/>
        <v>5677.1024999999991</v>
      </c>
      <c r="G292" s="91">
        <f>DEP!Q71</f>
        <v>8625.0299999999988</v>
      </c>
      <c r="I292" s="91">
        <f>DEP!R71</f>
        <v>8625.0299999999988</v>
      </c>
      <c r="K292" s="91">
        <f t="shared" si="112"/>
        <v>2156.2574999999997</v>
      </c>
      <c r="M292" s="91">
        <f t="shared" si="113"/>
        <v>7833.3599999999988</v>
      </c>
      <c r="O292" s="91">
        <f t="shared" si="114"/>
        <v>5677.1024999999991</v>
      </c>
    </row>
    <row r="293" spans="1:15" s="27" customFormat="1" ht="42.75" customHeight="1" x14ac:dyDescent="0.5">
      <c r="A293" s="104" t="s">
        <v>211</v>
      </c>
      <c r="B293" s="107" t="s">
        <v>253</v>
      </c>
      <c r="C293" s="91">
        <f>'Comp YTD 2020-2019 '!D92</f>
        <v>0</v>
      </c>
      <c r="D293" s="91">
        <f>DEP!P67</f>
        <v>750</v>
      </c>
      <c r="E293" s="91">
        <f t="shared" si="111"/>
        <v>750</v>
      </c>
      <c r="G293" s="91">
        <f>DEP!Q67</f>
        <v>1000</v>
      </c>
      <c r="I293" s="91">
        <f>DEP!R67</f>
        <v>62543.58</v>
      </c>
      <c r="K293" s="91">
        <f t="shared" si="112"/>
        <v>250</v>
      </c>
      <c r="M293" s="91">
        <f t="shared" si="113"/>
        <v>1000</v>
      </c>
      <c r="O293" s="91">
        <f t="shared" si="114"/>
        <v>750</v>
      </c>
    </row>
    <row r="294" spans="1:15" s="27" customFormat="1" ht="42.75" customHeight="1" x14ac:dyDescent="0.5">
      <c r="A294" s="104" t="s">
        <v>211</v>
      </c>
      <c r="B294" s="107" t="s">
        <v>254</v>
      </c>
      <c r="C294" s="91">
        <f>'Comp YTD 2020-2019 '!D93</f>
        <v>225</v>
      </c>
      <c r="D294" s="91">
        <f>DEP!P77</f>
        <v>1858.125</v>
      </c>
      <c r="E294" s="91">
        <f t="shared" si="111"/>
        <v>1633.125</v>
      </c>
      <c r="G294" s="91">
        <f>DEP!Q77</f>
        <v>2477.5</v>
      </c>
      <c r="I294" s="91">
        <f>DEP!R77</f>
        <v>2477.5</v>
      </c>
      <c r="K294" s="91">
        <f t="shared" si="112"/>
        <v>619.375</v>
      </c>
      <c r="M294" s="91">
        <f t="shared" si="113"/>
        <v>2252.5</v>
      </c>
      <c r="O294" s="91">
        <f t="shared" si="114"/>
        <v>1633.125</v>
      </c>
    </row>
    <row r="295" spans="1:15" s="27" customFormat="1" ht="42.75" customHeight="1" x14ac:dyDescent="0.5">
      <c r="A295" s="104" t="s">
        <v>211</v>
      </c>
      <c r="B295" s="107" t="s">
        <v>255</v>
      </c>
      <c r="C295" s="91">
        <f>'Comp YTD 2020-2019 '!D94</f>
        <v>0</v>
      </c>
      <c r="D295" s="91">
        <f>DEP!P74</f>
        <v>6495.2550000000001</v>
      </c>
      <c r="E295" s="91">
        <f t="shared" si="111"/>
        <v>6495.2550000000001</v>
      </c>
      <c r="G295" s="91">
        <f>DEP!Q74</f>
        <v>8660.34</v>
      </c>
      <c r="I295" s="91">
        <f>DEP!R74</f>
        <v>8660.34</v>
      </c>
      <c r="K295" s="91">
        <f t="shared" si="112"/>
        <v>2165.085</v>
      </c>
      <c r="M295" s="91">
        <f t="shared" si="113"/>
        <v>8660.34</v>
      </c>
      <c r="O295" s="91">
        <f t="shared" si="114"/>
        <v>6495.2550000000001</v>
      </c>
    </row>
    <row r="296" spans="1:15" s="27" customFormat="1" ht="42.75" customHeight="1" x14ac:dyDescent="0.5">
      <c r="A296" s="104" t="s">
        <v>211</v>
      </c>
      <c r="B296" s="107" t="s">
        <v>292</v>
      </c>
      <c r="C296" s="91">
        <f>'Comp YTD 2020-2019 '!D95</f>
        <v>0</v>
      </c>
      <c r="D296" s="91">
        <f>DEP!P66</f>
        <v>3982.9425000000001</v>
      </c>
      <c r="E296" s="91">
        <f t="shared" si="111"/>
        <v>3982.9425000000001</v>
      </c>
      <c r="G296" s="91">
        <f>DEP!Q66</f>
        <v>5310.59</v>
      </c>
      <c r="I296" s="91">
        <f>DEP!R66</f>
        <v>5310.59</v>
      </c>
      <c r="K296" s="91">
        <f t="shared" si="112"/>
        <v>1327.6475</v>
      </c>
      <c r="M296" s="91">
        <f t="shared" si="113"/>
        <v>5310.59</v>
      </c>
      <c r="O296" s="91">
        <f t="shared" si="114"/>
        <v>3982.9425000000001</v>
      </c>
    </row>
    <row r="297" spans="1:15" s="27" customFormat="1" ht="42.75" hidden="1" customHeight="1" x14ac:dyDescent="0.5">
      <c r="A297" s="104" t="s">
        <v>211</v>
      </c>
      <c r="B297" s="107" t="s">
        <v>371</v>
      </c>
      <c r="C297" s="91">
        <f>'Comp YTD 2020-2019 '!D96</f>
        <v>0</v>
      </c>
      <c r="D297" s="91">
        <v>0</v>
      </c>
      <c r="E297" s="91">
        <f t="shared" si="111"/>
        <v>0</v>
      </c>
      <c r="G297" s="91">
        <v>0</v>
      </c>
      <c r="I297" s="91">
        <v>0</v>
      </c>
      <c r="K297" s="91">
        <f t="shared" si="112"/>
        <v>0</v>
      </c>
      <c r="M297" s="91">
        <f t="shared" si="113"/>
        <v>0</v>
      </c>
      <c r="O297" s="91">
        <f t="shared" si="114"/>
        <v>0</v>
      </c>
    </row>
    <row r="298" spans="1:15" s="27" customFormat="1" ht="42.75" customHeight="1" x14ac:dyDescent="0.5">
      <c r="A298" s="104" t="s">
        <v>211</v>
      </c>
      <c r="B298" s="107" t="s">
        <v>256</v>
      </c>
      <c r="C298" s="91">
        <f>'Comp YTD 2020-2019 '!D97</f>
        <v>0</v>
      </c>
      <c r="D298" s="91">
        <f>DEP!P73</f>
        <v>5018.204999999999</v>
      </c>
      <c r="E298" s="91">
        <f t="shared" si="111"/>
        <v>5018.204999999999</v>
      </c>
      <c r="G298" s="91">
        <f>DEP!Q73</f>
        <v>6690.94</v>
      </c>
      <c r="I298" s="91">
        <f>DEP!R73</f>
        <v>6690.94</v>
      </c>
      <c r="K298" s="91">
        <f t="shared" si="112"/>
        <v>1672.7350000000006</v>
      </c>
      <c r="M298" s="91">
        <f t="shared" si="113"/>
        <v>6690.94</v>
      </c>
      <c r="O298" s="91">
        <f t="shared" si="114"/>
        <v>5018.204999999999</v>
      </c>
    </row>
    <row r="299" spans="1:15" s="27" customFormat="1" ht="42.75" hidden="1" customHeight="1" x14ac:dyDescent="0.5">
      <c r="A299" s="104" t="s">
        <v>211</v>
      </c>
      <c r="B299" s="107" t="s">
        <v>257</v>
      </c>
      <c r="C299" s="91">
        <f>'Comp YTD 2020-2019 '!D98</f>
        <v>35</v>
      </c>
      <c r="D299" s="91">
        <v>0</v>
      </c>
      <c r="E299" s="91">
        <f t="shared" si="111"/>
        <v>-35</v>
      </c>
      <c r="G299" s="91">
        <v>0</v>
      </c>
      <c r="I299" s="91">
        <v>0</v>
      </c>
      <c r="K299" s="91">
        <f t="shared" si="112"/>
        <v>0</v>
      </c>
      <c r="M299" s="91">
        <f t="shared" si="113"/>
        <v>-35</v>
      </c>
      <c r="O299" s="91">
        <f t="shared" si="114"/>
        <v>-35</v>
      </c>
    </row>
    <row r="300" spans="1:15" s="27" customFormat="1" ht="42.75" customHeight="1" x14ac:dyDescent="0.5">
      <c r="A300" s="104" t="s">
        <v>211</v>
      </c>
      <c r="B300" s="107" t="s">
        <v>258</v>
      </c>
      <c r="C300" s="91">
        <f>'Comp YTD 2020-2019 '!D99</f>
        <v>0</v>
      </c>
      <c r="D300" s="91">
        <v>0</v>
      </c>
      <c r="E300" s="91">
        <f t="shared" si="111"/>
        <v>0</v>
      </c>
      <c r="G300" s="91">
        <v>0</v>
      </c>
      <c r="I300" s="91">
        <v>0</v>
      </c>
      <c r="K300" s="91">
        <f t="shared" si="112"/>
        <v>0</v>
      </c>
      <c r="M300" s="91">
        <f t="shared" si="113"/>
        <v>0</v>
      </c>
      <c r="O300" s="91">
        <f t="shared" si="114"/>
        <v>0</v>
      </c>
    </row>
    <row r="301" spans="1:15" s="27" customFormat="1" ht="42.75" hidden="1" customHeight="1" x14ac:dyDescent="0.5">
      <c r="A301" s="104" t="s">
        <v>211</v>
      </c>
      <c r="B301" s="107" t="s">
        <v>259</v>
      </c>
      <c r="C301" s="91">
        <f>'Comp YTD 2020-2019 '!D100</f>
        <v>0</v>
      </c>
      <c r="D301" s="91">
        <v>0</v>
      </c>
      <c r="E301" s="91">
        <f t="shared" si="111"/>
        <v>0</v>
      </c>
      <c r="G301" s="91">
        <v>0</v>
      </c>
      <c r="I301" s="91">
        <v>0</v>
      </c>
      <c r="K301" s="91">
        <f t="shared" si="112"/>
        <v>0</v>
      </c>
      <c r="M301" s="91">
        <f t="shared" si="113"/>
        <v>0</v>
      </c>
      <c r="O301" s="91">
        <f t="shared" si="114"/>
        <v>0</v>
      </c>
    </row>
    <row r="302" spans="1:15" s="27" customFormat="1" ht="42.75" customHeight="1" x14ac:dyDescent="0.5">
      <c r="A302" s="104" t="s">
        <v>211</v>
      </c>
      <c r="B302" s="105" t="s">
        <v>261</v>
      </c>
      <c r="C302" s="108">
        <f>SUM(C282:C301)</f>
        <v>7306.66</v>
      </c>
      <c r="D302" s="108">
        <f>SUM(D282:D301)</f>
        <v>94652.351250000022</v>
      </c>
      <c r="E302" s="108">
        <f>SUM(E282:E301)</f>
        <v>87345.691250000003</v>
      </c>
      <c r="G302" s="108">
        <f>SUM(G282:G301)</f>
        <v>126203.13499999999</v>
      </c>
      <c r="I302" s="108">
        <f>SUM(I282:I301)</f>
        <v>221349.53000000003</v>
      </c>
      <c r="K302" s="108">
        <f>SUM(K282:K301)</f>
        <v>31550.783749999999</v>
      </c>
      <c r="M302" s="108">
        <f>SUM(M282:M301)</f>
        <v>118896.47499999999</v>
      </c>
      <c r="O302" s="108">
        <f>SUM(O282:O301)</f>
        <v>87345.691250000003</v>
      </c>
    </row>
    <row r="303" spans="1:15" s="27" customFormat="1" ht="42.75" customHeight="1" x14ac:dyDescent="0.5">
      <c r="A303" s="104" t="s">
        <v>211</v>
      </c>
      <c r="B303" s="107"/>
      <c r="C303" s="91"/>
      <c r="D303" s="91"/>
      <c r="E303" s="91"/>
      <c r="G303" s="91"/>
      <c r="I303" s="91"/>
      <c r="K303" s="91"/>
      <c r="M303" s="91"/>
      <c r="O303" s="91"/>
    </row>
    <row r="304" spans="1:15" s="27" customFormat="1" ht="42.75" customHeight="1" thickBot="1" x14ac:dyDescent="0.55000000000000004">
      <c r="A304" s="104" t="s">
        <v>211</v>
      </c>
      <c r="B304" s="105" t="s">
        <v>262</v>
      </c>
      <c r="C304" s="109">
        <f t="shared" ref="C304:M304" si="115">C254+C279+C302</f>
        <v>212555.52000000002</v>
      </c>
      <c r="D304" s="109">
        <f t="shared" si="115"/>
        <v>1870262.1157500001</v>
      </c>
      <c r="E304" s="109">
        <f t="shared" si="115"/>
        <v>1657706.5957499999</v>
      </c>
      <c r="G304" s="109">
        <f t="shared" si="115"/>
        <v>2493682.8209999995</v>
      </c>
      <c r="I304" s="109">
        <f t="shared" si="115"/>
        <v>2440886.9500000002</v>
      </c>
      <c r="K304" s="109">
        <f t="shared" si="115"/>
        <v>623420.70524999988</v>
      </c>
      <c r="M304" s="109">
        <f t="shared" si="115"/>
        <v>2281127.301</v>
      </c>
      <c r="O304" s="109">
        <f>O254+O279+O302</f>
        <v>1657706.5957499999</v>
      </c>
    </row>
    <row r="305" spans="1:15" s="27" customFormat="1" ht="42.75" customHeight="1" x14ac:dyDescent="0.5">
      <c r="A305" s="104" t="s">
        <v>211</v>
      </c>
      <c r="B305" s="107"/>
      <c r="C305" s="91"/>
      <c r="D305" s="91"/>
      <c r="E305" s="91"/>
      <c r="G305" s="91"/>
      <c r="I305" s="91"/>
      <c r="K305" s="91"/>
      <c r="M305" s="91"/>
      <c r="O305" s="91"/>
    </row>
    <row r="306" spans="1:15" s="27" customFormat="1" ht="42.75" customHeight="1" x14ac:dyDescent="0.5">
      <c r="A306" s="104" t="s">
        <v>211</v>
      </c>
      <c r="B306" s="105" t="s">
        <v>454</v>
      </c>
      <c r="C306" s="91"/>
      <c r="D306" s="91"/>
      <c r="E306" s="91"/>
      <c r="G306" s="91"/>
      <c r="I306" s="91"/>
      <c r="K306" s="91"/>
      <c r="M306" s="91"/>
      <c r="O306" s="91"/>
    </row>
    <row r="307" spans="1:15" s="27" customFormat="1" ht="42.75" customHeight="1" x14ac:dyDescent="0.5">
      <c r="A307" s="104" t="s">
        <v>211</v>
      </c>
      <c r="B307" s="107" t="s">
        <v>265</v>
      </c>
      <c r="C307" s="91">
        <f>'Comp YTD 2020-2019 '!D106</f>
        <v>12500</v>
      </c>
      <c r="D307" s="91">
        <f>DEP!P83</f>
        <v>112500</v>
      </c>
      <c r="E307" s="91">
        <f>D307-C307</f>
        <v>100000</v>
      </c>
      <c r="G307" s="91">
        <f>DEP!Q83</f>
        <v>150000</v>
      </c>
      <c r="I307" s="91">
        <f>DEP!R83</f>
        <v>150000</v>
      </c>
      <c r="K307" s="91">
        <f>G307-D307</f>
        <v>37500</v>
      </c>
      <c r="M307" s="91">
        <f>G307-C307</f>
        <v>137500</v>
      </c>
      <c r="O307" s="91">
        <f>M307-K307</f>
        <v>100000</v>
      </c>
    </row>
    <row r="308" spans="1:15" s="27" customFormat="1" ht="42.75" hidden="1" customHeight="1" x14ac:dyDescent="0.5">
      <c r="A308" s="104" t="s">
        <v>211</v>
      </c>
      <c r="B308" s="107" t="s">
        <v>266</v>
      </c>
      <c r="C308" s="91">
        <f>'Comp YTD 2020-2019 '!D107</f>
        <v>0</v>
      </c>
      <c r="D308" s="91">
        <v>0</v>
      </c>
      <c r="E308" s="91">
        <f t="shared" ref="E308:E319" si="116">D308-C308</f>
        <v>0</v>
      </c>
      <c r="G308" s="91">
        <v>0</v>
      </c>
      <c r="I308" s="91">
        <v>0</v>
      </c>
      <c r="K308" s="91">
        <f t="shared" ref="K308:K319" si="117">G308-D308</f>
        <v>0</v>
      </c>
      <c r="M308" s="91">
        <f t="shared" ref="M308:M319" si="118">G308-C308</f>
        <v>0</v>
      </c>
      <c r="O308" s="91">
        <f t="shared" ref="O308:O319" si="119">M308-K308</f>
        <v>0</v>
      </c>
    </row>
    <row r="309" spans="1:15" s="27" customFormat="1" ht="42.75" hidden="1" customHeight="1" x14ac:dyDescent="0.5">
      <c r="A309" s="104" t="s">
        <v>211</v>
      </c>
      <c r="B309" s="107" t="s">
        <v>324</v>
      </c>
      <c r="C309" s="91">
        <f>'Comp YTD 2020-2019 '!D108</f>
        <v>0</v>
      </c>
      <c r="D309" s="91">
        <v>0</v>
      </c>
      <c r="E309" s="91">
        <f t="shared" si="116"/>
        <v>0</v>
      </c>
      <c r="G309" s="91">
        <v>0</v>
      </c>
      <c r="I309" s="91">
        <v>0</v>
      </c>
      <c r="K309" s="91">
        <f t="shared" si="117"/>
        <v>0</v>
      </c>
      <c r="M309" s="91">
        <f t="shared" si="118"/>
        <v>0</v>
      </c>
      <c r="O309" s="91">
        <f t="shared" si="119"/>
        <v>0</v>
      </c>
    </row>
    <row r="310" spans="1:15" s="27" customFormat="1" ht="42.75" hidden="1" customHeight="1" x14ac:dyDescent="0.5">
      <c r="A310" s="104" t="s">
        <v>211</v>
      </c>
      <c r="B310" s="107" t="s">
        <v>380</v>
      </c>
      <c r="C310" s="91">
        <f>'Comp YTD 2020-2019 '!D109</f>
        <v>0</v>
      </c>
      <c r="D310" s="91">
        <v>0</v>
      </c>
      <c r="E310" s="91">
        <f t="shared" si="116"/>
        <v>0</v>
      </c>
      <c r="G310" s="91">
        <v>0</v>
      </c>
      <c r="I310" s="91">
        <v>0</v>
      </c>
      <c r="K310" s="91">
        <f t="shared" si="117"/>
        <v>0</v>
      </c>
      <c r="M310" s="91">
        <f t="shared" si="118"/>
        <v>0</v>
      </c>
      <c r="O310" s="91">
        <f t="shared" si="119"/>
        <v>0</v>
      </c>
    </row>
    <row r="311" spans="1:15" s="27" customFormat="1" ht="42.75" hidden="1" customHeight="1" x14ac:dyDescent="0.5">
      <c r="A311" s="104" t="s">
        <v>211</v>
      </c>
      <c r="B311" s="107" t="s">
        <v>267</v>
      </c>
      <c r="C311" s="91">
        <f>'Comp YTD 2020-2019 '!D110</f>
        <v>1036.44</v>
      </c>
      <c r="D311" s="91">
        <v>0</v>
      </c>
      <c r="E311" s="91">
        <f t="shared" si="116"/>
        <v>-1036.44</v>
      </c>
      <c r="G311" s="91">
        <v>0</v>
      </c>
      <c r="I311" s="91">
        <v>0</v>
      </c>
      <c r="K311" s="91">
        <f t="shared" si="117"/>
        <v>0</v>
      </c>
      <c r="M311" s="91">
        <f t="shared" si="118"/>
        <v>-1036.44</v>
      </c>
      <c r="O311" s="91">
        <f t="shared" si="119"/>
        <v>-1036.44</v>
      </c>
    </row>
    <row r="312" spans="1:15" s="27" customFormat="1" ht="42.75" customHeight="1" x14ac:dyDescent="0.5">
      <c r="A312" s="104" t="s">
        <v>211</v>
      </c>
      <c r="B312" s="107" t="s">
        <v>268</v>
      </c>
      <c r="C312" s="91">
        <f>'Comp YTD 2020-2019 '!D111</f>
        <v>14725</v>
      </c>
      <c r="D312" s="91">
        <f>DEP!P85</f>
        <v>26089.117499999997</v>
      </c>
      <c r="E312" s="91">
        <f t="shared" si="116"/>
        <v>11364.117499999997</v>
      </c>
      <c r="G312" s="91">
        <f>DEP!Q85</f>
        <v>34785.49</v>
      </c>
      <c r="I312" s="91">
        <f>DEP!R85</f>
        <v>34785.49</v>
      </c>
      <c r="K312" s="91">
        <f>G312-D312</f>
        <v>8696.3725000000013</v>
      </c>
      <c r="M312" s="91">
        <f>G312-C312</f>
        <v>20060.489999999998</v>
      </c>
      <c r="O312" s="91">
        <f>M312-K312</f>
        <v>11364.117499999997</v>
      </c>
    </row>
    <row r="313" spans="1:15" s="27" customFormat="1" ht="42.75" customHeight="1" x14ac:dyDescent="0.5">
      <c r="A313" s="104" t="s">
        <v>211</v>
      </c>
      <c r="B313" s="107" t="s">
        <v>269</v>
      </c>
      <c r="C313" s="91">
        <f>'Comp YTD 2020-2019 '!D112</f>
        <v>0</v>
      </c>
      <c r="D313" s="91">
        <v>0</v>
      </c>
      <c r="E313" s="91">
        <f t="shared" si="116"/>
        <v>0</v>
      </c>
      <c r="G313" s="91">
        <v>0</v>
      </c>
      <c r="I313" s="91">
        <v>0</v>
      </c>
      <c r="K313" s="91">
        <f t="shared" si="117"/>
        <v>0</v>
      </c>
      <c r="M313" s="91">
        <f t="shared" si="118"/>
        <v>0</v>
      </c>
      <c r="O313" s="91">
        <f t="shared" si="119"/>
        <v>0</v>
      </c>
    </row>
    <row r="314" spans="1:15" s="27" customFormat="1" ht="42.75" hidden="1" customHeight="1" x14ac:dyDescent="0.5">
      <c r="A314" s="104" t="s">
        <v>211</v>
      </c>
      <c r="B314" s="107" t="s">
        <v>270</v>
      </c>
      <c r="C314" s="91">
        <f>'Comp YTD 2020-2019 '!D114</f>
        <v>0</v>
      </c>
      <c r="D314" s="91">
        <v>0</v>
      </c>
      <c r="E314" s="91">
        <f t="shared" si="116"/>
        <v>0</v>
      </c>
      <c r="G314" s="91">
        <v>0</v>
      </c>
      <c r="I314" s="91">
        <v>0</v>
      </c>
      <c r="K314" s="91">
        <f t="shared" si="117"/>
        <v>0</v>
      </c>
      <c r="M314" s="91">
        <f t="shared" si="118"/>
        <v>0</v>
      </c>
      <c r="O314" s="91">
        <f t="shared" si="119"/>
        <v>0</v>
      </c>
    </row>
    <row r="315" spans="1:15" s="27" customFormat="1" ht="42.75" hidden="1" customHeight="1" x14ac:dyDescent="0.5">
      <c r="A315" s="104" t="s">
        <v>211</v>
      </c>
      <c r="B315" s="107" t="s">
        <v>395</v>
      </c>
      <c r="C315" s="91">
        <f>'Comp YTD 2020-2019 '!D116</f>
        <v>0</v>
      </c>
      <c r="D315" s="91">
        <v>0</v>
      </c>
      <c r="E315" s="91">
        <f t="shared" si="116"/>
        <v>0</v>
      </c>
      <c r="G315" s="91">
        <v>0</v>
      </c>
      <c r="I315" s="91">
        <v>0</v>
      </c>
      <c r="K315" s="91">
        <f t="shared" si="117"/>
        <v>0</v>
      </c>
      <c r="M315" s="91">
        <f t="shared" si="118"/>
        <v>0</v>
      </c>
      <c r="O315" s="91">
        <f t="shared" si="119"/>
        <v>0</v>
      </c>
    </row>
    <row r="316" spans="1:15" s="27" customFormat="1" ht="42.75" hidden="1" customHeight="1" x14ac:dyDescent="0.5">
      <c r="A316" s="104" t="s">
        <v>211</v>
      </c>
      <c r="B316" s="107" t="s">
        <v>430</v>
      </c>
      <c r="C316" s="91">
        <f>'Comp YTD 2020-2019 '!D117</f>
        <v>0</v>
      </c>
      <c r="D316" s="91">
        <v>0</v>
      </c>
      <c r="E316" s="91">
        <f t="shared" si="116"/>
        <v>0</v>
      </c>
      <c r="G316" s="91">
        <v>0</v>
      </c>
      <c r="I316" s="91">
        <v>0</v>
      </c>
      <c r="K316" s="91">
        <f t="shared" si="117"/>
        <v>0</v>
      </c>
      <c r="M316" s="91">
        <f t="shared" si="118"/>
        <v>0</v>
      </c>
      <c r="O316" s="91">
        <f t="shared" si="119"/>
        <v>0</v>
      </c>
    </row>
    <row r="317" spans="1:15" s="27" customFormat="1" ht="42.75" hidden="1" customHeight="1" x14ac:dyDescent="0.5">
      <c r="A317" s="104" t="s">
        <v>211</v>
      </c>
      <c r="B317" s="107" t="s">
        <v>431</v>
      </c>
      <c r="C317" s="91">
        <f>'Comp YTD 2020-2019 '!D118</f>
        <v>0</v>
      </c>
      <c r="D317" s="91">
        <v>0</v>
      </c>
      <c r="E317" s="91">
        <f t="shared" si="116"/>
        <v>0</v>
      </c>
      <c r="G317" s="91">
        <v>0</v>
      </c>
      <c r="I317" s="91">
        <v>0</v>
      </c>
      <c r="K317" s="91">
        <f t="shared" si="117"/>
        <v>0</v>
      </c>
      <c r="M317" s="91">
        <f t="shared" si="118"/>
        <v>0</v>
      </c>
      <c r="O317" s="91">
        <f t="shared" si="119"/>
        <v>0</v>
      </c>
    </row>
    <row r="318" spans="1:15" s="27" customFormat="1" ht="42.75" hidden="1" customHeight="1" x14ac:dyDescent="0.5">
      <c r="A318" s="104" t="s">
        <v>211</v>
      </c>
      <c r="B318" s="107" t="s">
        <v>396</v>
      </c>
      <c r="C318" s="91">
        <f>'Comp YTD 2020-2019 '!D119</f>
        <v>0</v>
      </c>
      <c r="D318" s="91">
        <v>0</v>
      </c>
      <c r="E318" s="91">
        <f t="shared" si="116"/>
        <v>0</v>
      </c>
      <c r="G318" s="91">
        <v>0</v>
      </c>
      <c r="I318" s="91">
        <v>0</v>
      </c>
      <c r="K318" s="91">
        <f t="shared" si="117"/>
        <v>0</v>
      </c>
      <c r="M318" s="91">
        <f t="shared" si="118"/>
        <v>0</v>
      </c>
      <c r="O318" s="91">
        <f t="shared" si="119"/>
        <v>0</v>
      </c>
    </row>
    <row r="319" spans="1:15" s="27" customFormat="1" ht="42.75" hidden="1" customHeight="1" x14ac:dyDescent="0.5">
      <c r="A319" s="104" t="s">
        <v>211</v>
      </c>
      <c r="B319" s="107" t="s">
        <v>441</v>
      </c>
      <c r="C319" s="91">
        <f>'Comp YTD 2020-2019 '!D120</f>
        <v>0</v>
      </c>
      <c r="D319" s="91">
        <v>0</v>
      </c>
      <c r="E319" s="91">
        <f t="shared" si="116"/>
        <v>0</v>
      </c>
      <c r="G319" s="91">
        <v>0</v>
      </c>
      <c r="I319" s="91">
        <v>0</v>
      </c>
      <c r="K319" s="91">
        <f t="shared" si="117"/>
        <v>0</v>
      </c>
      <c r="M319" s="91">
        <f t="shared" si="118"/>
        <v>0</v>
      </c>
      <c r="O319" s="91">
        <f t="shared" si="119"/>
        <v>0</v>
      </c>
    </row>
    <row r="320" spans="1:15" s="27" customFormat="1" ht="42.75" customHeight="1" x14ac:dyDescent="0.5">
      <c r="A320" s="104" t="s">
        <v>211</v>
      </c>
      <c r="B320" s="105" t="s">
        <v>455</v>
      </c>
      <c r="C320" s="108">
        <f t="shared" ref="C320:E320" si="120">SUM(C307:C319)</f>
        <v>28261.440000000002</v>
      </c>
      <c r="D320" s="108">
        <f>SUM(D307:D319)</f>
        <v>138589.11749999999</v>
      </c>
      <c r="E320" s="108">
        <f t="shared" si="120"/>
        <v>110327.67749999999</v>
      </c>
      <c r="G320" s="108">
        <f>SUM(G307:G319)</f>
        <v>184785.49</v>
      </c>
      <c r="I320" s="108">
        <f>SUM(I307:I319)</f>
        <v>184785.49</v>
      </c>
      <c r="K320" s="108">
        <f>SUM(K307:K319)</f>
        <v>46196.372499999998</v>
      </c>
      <c r="M320" s="108">
        <f>SUM(M307:M319)</f>
        <v>156524.04999999999</v>
      </c>
      <c r="O320" s="108">
        <f>SUM(O307:O319)</f>
        <v>110327.67749999999</v>
      </c>
    </row>
    <row r="321" spans="1:15" s="27" customFormat="1" ht="42.75" customHeight="1" x14ac:dyDescent="0.5">
      <c r="A321" s="104" t="s">
        <v>211</v>
      </c>
      <c r="B321" s="105"/>
      <c r="C321" s="91"/>
      <c r="D321" s="91"/>
      <c r="E321" s="91"/>
      <c r="G321" s="91"/>
      <c r="I321" s="91"/>
      <c r="K321" s="91"/>
      <c r="M321" s="91"/>
      <c r="O321" s="91"/>
    </row>
    <row r="322" spans="1:15" s="27" customFormat="1" ht="42.75" customHeight="1" thickBot="1" x14ac:dyDescent="0.55000000000000004">
      <c r="A322" s="104" t="s">
        <v>211</v>
      </c>
      <c r="B322" s="105" t="s">
        <v>264</v>
      </c>
      <c r="C322" s="110">
        <f t="shared" ref="C322:D322" si="121">C239-C304+C320</f>
        <v>336315.92999999988</v>
      </c>
      <c r="D322" s="110">
        <f t="shared" si="121"/>
        <v>594000.63675000006</v>
      </c>
      <c r="E322" s="110">
        <f>E239-E304+E320</f>
        <v>-3352442.5432500001</v>
      </c>
      <c r="G322" s="110">
        <f>G239-G304+G320</f>
        <v>792000.84900000016</v>
      </c>
      <c r="I322" s="110">
        <f>I239-I304+I320</f>
        <v>844796.71999999951</v>
      </c>
      <c r="K322" s="110">
        <f>K239-K304+K320</f>
        <v>198000.21224999969</v>
      </c>
      <c r="M322" s="110">
        <f>M239-M304+M320</f>
        <v>455684.91899999994</v>
      </c>
      <c r="O322" s="110">
        <f>O239+O304-O320</f>
        <v>3352442.5432500001</v>
      </c>
    </row>
    <row r="323" spans="1:15" ht="15.75" thickTop="1" x14ac:dyDescent="0.25">
      <c r="D323" s="9"/>
      <c r="G323" s="9"/>
      <c r="I323" s="9"/>
      <c r="K323" s="9"/>
      <c r="M323" s="9"/>
      <c r="O323" s="9"/>
    </row>
    <row r="324" spans="1:15" s="27" customFormat="1" ht="42.75" customHeight="1" x14ac:dyDescent="0.5">
      <c r="A324" s="111" t="s">
        <v>214</v>
      </c>
      <c r="B324" s="112" t="s">
        <v>60</v>
      </c>
      <c r="C324" s="113"/>
      <c r="D324" s="113"/>
      <c r="E324" s="113"/>
      <c r="G324" s="113"/>
      <c r="I324" s="113"/>
      <c r="K324" s="113"/>
      <c r="M324" s="113"/>
      <c r="O324" s="113"/>
    </row>
    <row r="325" spans="1:15" s="27" customFormat="1" ht="42.75" hidden="1" customHeight="1" x14ac:dyDescent="0.5">
      <c r="A325" s="111" t="s">
        <v>214</v>
      </c>
      <c r="B325" s="114" t="s">
        <v>215</v>
      </c>
      <c r="C325" s="115">
        <f>'Comp YTD 2020-2019 '!F12</f>
        <v>0</v>
      </c>
      <c r="D325" s="115">
        <v>0</v>
      </c>
      <c r="E325" s="115">
        <f>D325-C325</f>
        <v>0</v>
      </c>
      <c r="G325" s="115">
        <v>0</v>
      </c>
      <c r="I325" s="115">
        <v>0</v>
      </c>
      <c r="K325" s="115">
        <f t="shared" ref="K325" si="122">G325-D325</f>
        <v>0</v>
      </c>
      <c r="M325" s="115">
        <f t="shared" ref="M325" si="123">G325-C325</f>
        <v>0</v>
      </c>
      <c r="O325" s="115">
        <f>M325-K325</f>
        <v>0</v>
      </c>
    </row>
    <row r="326" spans="1:15" s="27" customFormat="1" ht="42.75" hidden="1" customHeight="1" x14ac:dyDescent="0.5">
      <c r="A326" s="111" t="s">
        <v>214</v>
      </c>
      <c r="B326" s="114" t="s">
        <v>216</v>
      </c>
      <c r="C326" s="115">
        <f>'Comp YTD 2020-2019 '!F13</f>
        <v>0</v>
      </c>
      <c r="D326" s="115">
        <v>0</v>
      </c>
      <c r="E326" s="115">
        <f t="shared" ref="E326:E331" si="124">D326-C326</f>
        <v>0</v>
      </c>
      <c r="G326" s="115">
        <v>0</v>
      </c>
      <c r="I326" s="115">
        <v>0</v>
      </c>
      <c r="K326" s="115">
        <f t="shared" ref="K326:K331" si="125">G326-D326</f>
        <v>0</v>
      </c>
      <c r="M326" s="115">
        <f t="shared" ref="M326:M331" si="126">G326-C326</f>
        <v>0</v>
      </c>
      <c r="O326" s="115">
        <f t="shared" ref="O326:O331" si="127">M326-K326</f>
        <v>0</v>
      </c>
    </row>
    <row r="327" spans="1:15" s="27" customFormat="1" ht="42.75" hidden="1" customHeight="1" x14ac:dyDescent="0.5">
      <c r="A327" s="111" t="s">
        <v>214</v>
      </c>
      <c r="B327" s="114" t="s">
        <v>217</v>
      </c>
      <c r="C327" s="115">
        <f>'Comp YTD 2020-2019 '!F14</f>
        <v>0</v>
      </c>
      <c r="D327" s="115">
        <v>0</v>
      </c>
      <c r="E327" s="115">
        <f t="shared" si="124"/>
        <v>0</v>
      </c>
      <c r="G327" s="115">
        <v>0</v>
      </c>
      <c r="I327" s="115">
        <v>0</v>
      </c>
      <c r="K327" s="115">
        <f t="shared" si="125"/>
        <v>0</v>
      </c>
      <c r="M327" s="115">
        <f t="shared" si="126"/>
        <v>0</v>
      </c>
      <c r="O327" s="115">
        <f t="shared" si="127"/>
        <v>0</v>
      </c>
    </row>
    <row r="328" spans="1:15" s="27" customFormat="1" ht="42.75" hidden="1" customHeight="1" x14ac:dyDescent="0.5">
      <c r="A328" s="111" t="s">
        <v>214</v>
      </c>
      <c r="B328" s="114" t="s">
        <v>414</v>
      </c>
      <c r="C328" s="115">
        <f>'Comp YTD 2020-2019 '!F15</f>
        <v>0</v>
      </c>
      <c r="D328" s="115">
        <v>0</v>
      </c>
      <c r="E328" s="115">
        <f t="shared" si="124"/>
        <v>0</v>
      </c>
      <c r="G328" s="115">
        <v>0</v>
      </c>
      <c r="I328" s="115">
        <v>0</v>
      </c>
      <c r="K328" s="115">
        <f t="shared" si="125"/>
        <v>0</v>
      </c>
      <c r="M328" s="115">
        <f t="shared" si="126"/>
        <v>0</v>
      </c>
      <c r="O328" s="115">
        <f t="shared" si="127"/>
        <v>0</v>
      </c>
    </row>
    <row r="329" spans="1:15" s="27" customFormat="1" ht="42.75" hidden="1" customHeight="1" x14ac:dyDescent="0.5">
      <c r="A329" s="111" t="s">
        <v>214</v>
      </c>
      <c r="B329" s="114" t="s">
        <v>218</v>
      </c>
      <c r="C329" s="115">
        <f>'Comp YTD 2020-2019 '!F16</f>
        <v>0</v>
      </c>
      <c r="D329" s="115">
        <v>0</v>
      </c>
      <c r="E329" s="115">
        <f t="shared" si="124"/>
        <v>0</v>
      </c>
      <c r="G329" s="115">
        <v>0</v>
      </c>
      <c r="I329" s="115">
        <v>0</v>
      </c>
      <c r="K329" s="115">
        <f t="shared" si="125"/>
        <v>0</v>
      </c>
      <c r="M329" s="115">
        <f t="shared" si="126"/>
        <v>0</v>
      </c>
      <c r="O329" s="115">
        <f t="shared" si="127"/>
        <v>0</v>
      </c>
    </row>
    <row r="330" spans="1:15" s="27" customFormat="1" ht="42.75" hidden="1" customHeight="1" x14ac:dyDescent="0.5">
      <c r="A330" s="111" t="s">
        <v>214</v>
      </c>
      <c r="B330" s="114" t="s">
        <v>219</v>
      </c>
      <c r="C330" s="115">
        <f>'Comp YTD 2020-2019 '!F17</f>
        <v>0</v>
      </c>
      <c r="D330" s="115">
        <v>0</v>
      </c>
      <c r="E330" s="115">
        <f t="shared" si="124"/>
        <v>0</v>
      </c>
      <c r="G330" s="115">
        <v>0</v>
      </c>
      <c r="I330" s="115">
        <v>0</v>
      </c>
      <c r="K330" s="115">
        <f t="shared" si="125"/>
        <v>0</v>
      </c>
      <c r="M330" s="115">
        <f t="shared" si="126"/>
        <v>0</v>
      </c>
      <c r="O330" s="115">
        <f t="shared" si="127"/>
        <v>0</v>
      </c>
    </row>
    <row r="331" spans="1:15" s="27" customFormat="1" ht="42.75" customHeight="1" x14ac:dyDescent="0.5">
      <c r="A331" s="111" t="s">
        <v>214</v>
      </c>
      <c r="B331" s="114" t="s">
        <v>220</v>
      </c>
      <c r="C331" s="115">
        <f>'Comp YTD 2020-2019 '!F18</f>
        <v>139825.37</v>
      </c>
      <c r="D331" s="115">
        <f>'BSC (Dome)'!P14</f>
        <v>594652.90500000003</v>
      </c>
      <c r="E331" s="115">
        <f t="shared" si="124"/>
        <v>454827.53500000003</v>
      </c>
      <c r="G331" s="115">
        <f>'BSC (Dome)'!Q14</f>
        <v>792870.54000000015</v>
      </c>
      <c r="I331" s="115">
        <f>'BSC (Dome)'!R14</f>
        <v>792870.54000000015</v>
      </c>
      <c r="K331" s="115">
        <f t="shared" si="125"/>
        <v>198217.63500000013</v>
      </c>
      <c r="M331" s="115">
        <f t="shared" si="126"/>
        <v>653045.17000000016</v>
      </c>
      <c r="O331" s="115">
        <f t="shared" si="127"/>
        <v>454827.53500000003</v>
      </c>
    </row>
    <row r="332" spans="1:15" s="27" customFormat="1" ht="42.75" customHeight="1" x14ac:dyDescent="0.5">
      <c r="A332" s="111" t="s">
        <v>214</v>
      </c>
      <c r="B332" s="112" t="s">
        <v>221</v>
      </c>
      <c r="C332" s="116">
        <f>SUM(C325:C331)</f>
        <v>139825.37</v>
      </c>
      <c r="D332" s="116">
        <f>SUM(D325:D331)</f>
        <v>594652.90500000003</v>
      </c>
      <c r="E332" s="116">
        <f>SUM(E325:E331)</f>
        <v>454827.53500000003</v>
      </c>
      <c r="G332" s="116">
        <f>SUM(G325:G331)</f>
        <v>792870.54000000015</v>
      </c>
      <c r="I332" s="116">
        <f>SUM(I325:I331)</f>
        <v>792870.54000000015</v>
      </c>
      <c r="K332" s="116">
        <f>SUM(K325:K331)</f>
        <v>198217.63500000013</v>
      </c>
      <c r="M332" s="116">
        <f>SUM(M325:M331)</f>
        <v>653045.17000000016</v>
      </c>
      <c r="O332" s="116">
        <f>SUM(O325:O331)</f>
        <v>454827.53500000003</v>
      </c>
    </row>
    <row r="333" spans="1:15" s="27" customFormat="1" ht="42.75" customHeight="1" x14ac:dyDescent="0.5">
      <c r="A333" s="111" t="s">
        <v>214</v>
      </c>
      <c r="B333" s="114"/>
      <c r="C333" s="115"/>
      <c r="D333" s="115"/>
      <c r="E333" s="115"/>
      <c r="G333" s="115"/>
      <c r="I333" s="115"/>
      <c r="K333" s="115"/>
      <c r="M333" s="115"/>
      <c r="O333" s="115"/>
    </row>
    <row r="334" spans="1:15" s="27" customFormat="1" ht="42.75" customHeight="1" x14ac:dyDescent="0.5">
      <c r="A334" s="111" t="s">
        <v>214</v>
      </c>
      <c r="B334" s="112" t="s">
        <v>206</v>
      </c>
      <c r="C334" s="115"/>
      <c r="D334" s="115"/>
      <c r="E334" s="115"/>
      <c r="G334" s="115"/>
      <c r="I334" s="115"/>
      <c r="K334" s="115"/>
      <c r="M334" s="115"/>
      <c r="O334" s="115"/>
    </row>
    <row r="335" spans="1:15" s="27" customFormat="1" ht="42.75" hidden="1" customHeight="1" x14ac:dyDescent="0.5">
      <c r="A335" s="111" t="s">
        <v>214</v>
      </c>
      <c r="B335" s="114" t="s">
        <v>215</v>
      </c>
      <c r="C335" s="115">
        <f>'Comp YTD 2020-2019 '!F22</f>
        <v>0</v>
      </c>
      <c r="D335" s="115">
        <v>0</v>
      </c>
      <c r="E335" s="115">
        <f>D335-C335</f>
        <v>0</v>
      </c>
      <c r="G335" s="115">
        <v>0</v>
      </c>
      <c r="I335" s="115">
        <v>0</v>
      </c>
      <c r="K335" s="115">
        <f t="shared" ref="K335" si="128">G335-D335</f>
        <v>0</v>
      </c>
      <c r="M335" s="115">
        <f t="shared" ref="M335" si="129">G335-C335</f>
        <v>0</v>
      </c>
      <c r="O335" s="115">
        <f>M335-K335</f>
        <v>0</v>
      </c>
    </row>
    <row r="336" spans="1:15" s="27" customFormat="1" ht="42.75" hidden="1" customHeight="1" x14ac:dyDescent="0.5">
      <c r="A336" s="111" t="s">
        <v>214</v>
      </c>
      <c r="B336" s="114" t="s">
        <v>216</v>
      </c>
      <c r="C336" s="115">
        <f>'Comp YTD 2020-2019 '!F23</f>
        <v>0</v>
      </c>
      <c r="D336" s="115">
        <v>0</v>
      </c>
      <c r="E336" s="115">
        <f t="shared" ref="E336:E341" si="130">D336-C336</f>
        <v>0</v>
      </c>
      <c r="G336" s="115">
        <v>0</v>
      </c>
      <c r="I336" s="115">
        <v>0</v>
      </c>
      <c r="K336" s="115">
        <f t="shared" ref="K336:K341" si="131">G336-D336</f>
        <v>0</v>
      </c>
      <c r="M336" s="115">
        <f t="shared" ref="M336:M341" si="132">G336-C336</f>
        <v>0</v>
      </c>
      <c r="O336" s="115">
        <f t="shared" ref="O336:O341" si="133">M336-K336</f>
        <v>0</v>
      </c>
    </row>
    <row r="337" spans="1:15" s="27" customFormat="1" ht="42.75" hidden="1" customHeight="1" x14ac:dyDescent="0.5">
      <c r="A337" s="111" t="s">
        <v>214</v>
      </c>
      <c r="B337" s="114" t="s">
        <v>217</v>
      </c>
      <c r="C337" s="115">
        <f>'Comp YTD 2020-2019 '!F24</f>
        <v>0</v>
      </c>
      <c r="D337" s="115">
        <v>0</v>
      </c>
      <c r="E337" s="115">
        <f t="shared" si="130"/>
        <v>0</v>
      </c>
      <c r="G337" s="115">
        <v>0</v>
      </c>
      <c r="I337" s="115">
        <v>0</v>
      </c>
      <c r="K337" s="115">
        <f t="shared" si="131"/>
        <v>0</v>
      </c>
      <c r="M337" s="115">
        <f t="shared" si="132"/>
        <v>0</v>
      </c>
      <c r="O337" s="115">
        <f t="shared" si="133"/>
        <v>0</v>
      </c>
    </row>
    <row r="338" spans="1:15" s="27" customFormat="1" ht="42.75" hidden="1" customHeight="1" x14ac:dyDescent="0.5">
      <c r="A338" s="111" t="s">
        <v>214</v>
      </c>
      <c r="B338" s="114" t="s">
        <v>414</v>
      </c>
      <c r="C338" s="115">
        <f>'Comp YTD 2020-2019 '!F25</f>
        <v>0</v>
      </c>
      <c r="D338" s="115">
        <v>0</v>
      </c>
      <c r="E338" s="115">
        <f t="shared" si="130"/>
        <v>0</v>
      </c>
      <c r="G338" s="115">
        <v>0</v>
      </c>
      <c r="I338" s="115">
        <v>0</v>
      </c>
      <c r="K338" s="115">
        <f t="shared" si="131"/>
        <v>0</v>
      </c>
      <c r="M338" s="115">
        <f t="shared" si="132"/>
        <v>0</v>
      </c>
      <c r="O338" s="115">
        <f t="shared" si="133"/>
        <v>0</v>
      </c>
    </row>
    <row r="339" spans="1:15" s="27" customFormat="1" ht="42.75" hidden="1" customHeight="1" x14ac:dyDescent="0.5">
      <c r="A339" s="111" t="s">
        <v>214</v>
      </c>
      <c r="B339" s="114" t="s">
        <v>218</v>
      </c>
      <c r="C339" s="115">
        <f>'Comp YTD 2020-2019 '!F26</f>
        <v>0</v>
      </c>
      <c r="D339" s="115">
        <v>0</v>
      </c>
      <c r="E339" s="115">
        <f t="shared" si="130"/>
        <v>0</v>
      </c>
      <c r="G339" s="115">
        <v>0</v>
      </c>
      <c r="I339" s="115">
        <v>0</v>
      </c>
      <c r="K339" s="115">
        <f t="shared" si="131"/>
        <v>0</v>
      </c>
      <c r="M339" s="115">
        <f t="shared" si="132"/>
        <v>0</v>
      </c>
      <c r="O339" s="115">
        <f t="shared" si="133"/>
        <v>0</v>
      </c>
    </row>
    <row r="340" spans="1:15" s="27" customFormat="1" ht="42.75" hidden="1" customHeight="1" x14ac:dyDescent="0.5">
      <c r="A340" s="111" t="s">
        <v>214</v>
      </c>
      <c r="B340" s="114" t="s">
        <v>219</v>
      </c>
      <c r="C340" s="115">
        <f>'Comp YTD 2020-2019 '!F27</f>
        <v>0</v>
      </c>
      <c r="D340" s="115">
        <v>0</v>
      </c>
      <c r="E340" s="115">
        <f t="shared" si="130"/>
        <v>0</v>
      </c>
      <c r="G340" s="115">
        <v>0</v>
      </c>
      <c r="I340" s="115">
        <v>0</v>
      </c>
      <c r="K340" s="115">
        <f t="shared" si="131"/>
        <v>0</v>
      </c>
      <c r="M340" s="115">
        <f t="shared" si="132"/>
        <v>0</v>
      </c>
      <c r="O340" s="115">
        <f t="shared" si="133"/>
        <v>0</v>
      </c>
    </row>
    <row r="341" spans="1:15" s="27" customFormat="1" ht="42.75" customHeight="1" x14ac:dyDescent="0.5">
      <c r="A341" s="111" t="s">
        <v>214</v>
      </c>
      <c r="B341" s="114" t="s">
        <v>220</v>
      </c>
      <c r="C341" s="115">
        <f>'Comp YTD 2020-2019 '!F28</f>
        <v>550.32000000000005</v>
      </c>
      <c r="D341" s="115">
        <f>'BSC (Dome)'!P18</f>
        <v>1447.0574999999999</v>
      </c>
      <c r="E341" s="115">
        <f t="shared" si="130"/>
        <v>896.73749999999984</v>
      </c>
      <c r="G341" s="115">
        <f>'BSC (Dome)'!Q18</f>
        <v>1929.4099999999999</v>
      </c>
      <c r="I341" s="115">
        <f>'BSC (Dome)'!R18</f>
        <v>1929.4099999999999</v>
      </c>
      <c r="K341" s="115">
        <f t="shared" si="131"/>
        <v>482.35249999999996</v>
      </c>
      <c r="M341" s="115">
        <f t="shared" si="132"/>
        <v>1379.0899999999997</v>
      </c>
      <c r="O341" s="115">
        <f t="shared" si="133"/>
        <v>896.73749999999973</v>
      </c>
    </row>
    <row r="342" spans="1:15" s="27" customFormat="1" ht="42.75" customHeight="1" x14ac:dyDescent="0.5">
      <c r="A342" s="111" t="s">
        <v>214</v>
      </c>
      <c r="B342" s="112" t="s">
        <v>222</v>
      </c>
      <c r="C342" s="116">
        <f t="shared" ref="C342" si="134">SUM(C335:C341)</f>
        <v>550.32000000000005</v>
      </c>
      <c r="D342" s="116">
        <f>SUM(D335:D341)</f>
        <v>1447.0574999999999</v>
      </c>
      <c r="E342" s="116">
        <f>SUM(E335:E341)</f>
        <v>896.73749999999984</v>
      </c>
      <c r="G342" s="116">
        <f>SUM(G335:G341)</f>
        <v>1929.4099999999999</v>
      </c>
      <c r="I342" s="116">
        <f>SUM(I335:I341)</f>
        <v>1929.4099999999999</v>
      </c>
      <c r="K342" s="116">
        <f>SUM(K335:K341)</f>
        <v>482.35249999999996</v>
      </c>
      <c r="M342" s="116">
        <f>SUM(M335:M341)</f>
        <v>1379.0899999999997</v>
      </c>
      <c r="O342" s="116">
        <f>SUM(O335:O341)</f>
        <v>896.73749999999973</v>
      </c>
    </row>
    <row r="343" spans="1:15" s="27" customFormat="1" ht="42.75" customHeight="1" x14ac:dyDescent="0.5">
      <c r="A343" s="111" t="s">
        <v>214</v>
      </c>
      <c r="B343" s="114"/>
      <c r="C343" s="115"/>
      <c r="D343" s="115"/>
      <c r="E343" s="115"/>
      <c r="G343" s="115"/>
      <c r="I343" s="115"/>
      <c r="K343" s="115"/>
      <c r="M343" s="115"/>
      <c r="O343" s="115"/>
    </row>
    <row r="344" spans="1:15" s="27" customFormat="1" ht="42.75" customHeight="1" thickBot="1" x14ac:dyDescent="0.55000000000000004">
      <c r="A344" s="111" t="s">
        <v>214</v>
      </c>
      <c r="B344" s="112" t="s">
        <v>209</v>
      </c>
      <c r="C344" s="117">
        <f>C332-C342</f>
        <v>139275.04999999999</v>
      </c>
      <c r="D344" s="117">
        <f>D332-D342</f>
        <v>593205.84750000003</v>
      </c>
      <c r="E344" s="117">
        <f>C344-D344</f>
        <v>-453930.79750000004</v>
      </c>
      <c r="G344" s="117">
        <f>G332-G342</f>
        <v>790941.13000000012</v>
      </c>
      <c r="I344" s="117">
        <f>I332-I342</f>
        <v>790941.13000000012</v>
      </c>
      <c r="K344" s="117">
        <f>K332-K342</f>
        <v>197735.28250000012</v>
      </c>
      <c r="M344" s="117">
        <f>M332-M342</f>
        <v>651666.08000000019</v>
      </c>
      <c r="O344" s="117">
        <f>(M344-K344)</f>
        <v>453930.7975000001</v>
      </c>
    </row>
    <row r="345" spans="1:15" s="27" customFormat="1" ht="42.75" customHeight="1" x14ac:dyDescent="0.5">
      <c r="A345" s="111" t="s">
        <v>214</v>
      </c>
      <c r="B345" s="114"/>
      <c r="C345" s="115"/>
      <c r="D345" s="115"/>
      <c r="E345" s="115"/>
      <c r="G345" s="115"/>
      <c r="I345" s="115"/>
      <c r="K345" s="115"/>
      <c r="M345" s="115"/>
      <c r="O345" s="115"/>
    </row>
    <row r="346" spans="1:15" s="27" customFormat="1" ht="42.75" customHeight="1" x14ac:dyDescent="0.5">
      <c r="A346" s="111" t="s">
        <v>214</v>
      </c>
      <c r="B346" s="112" t="s">
        <v>207</v>
      </c>
      <c r="C346" s="115"/>
      <c r="D346" s="115"/>
      <c r="E346" s="115"/>
      <c r="G346" s="115"/>
      <c r="I346" s="115"/>
      <c r="K346" s="115"/>
      <c r="M346" s="115"/>
      <c r="O346" s="115"/>
    </row>
    <row r="347" spans="1:15" s="27" customFormat="1" ht="42.75" customHeight="1" x14ac:dyDescent="0.5">
      <c r="A347" s="111" t="s">
        <v>214</v>
      </c>
      <c r="B347" s="114"/>
      <c r="C347" s="115"/>
      <c r="D347" s="115"/>
      <c r="E347" s="115"/>
      <c r="G347" s="115"/>
      <c r="I347" s="115"/>
      <c r="K347" s="115"/>
      <c r="M347" s="115"/>
      <c r="O347" s="115"/>
    </row>
    <row r="348" spans="1:15" s="27" customFormat="1" ht="42.75" customHeight="1" x14ac:dyDescent="0.5">
      <c r="A348" s="111" t="s">
        <v>214</v>
      </c>
      <c r="B348" s="112" t="s">
        <v>223</v>
      </c>
      <c r="C348" s="115"/>
      <c r="D348" s="115"/>
      <c r="E348" s="115"/>
      <c r="G348" s="115"/>
      <c r="I348" s="115"/>
      <c r="K348" s="115"/>
      <c r="M348" s="115"/>
      <c r="O348" s="115"/>
    </row>
    <row r="349" spans="1:15" s="27" customFormat="1" ht="42.75" customHeight="1" x14ac:dyDescent="0.5">
      <c r="A349" s="111" t="s">
        <v>214</v>
      </c>
      <c r="B349" s="114" t="s">
        <v>224</v>
      </c>
      <c r="C349" s="115">
        <f>'Comp YTD 2020-2019 '!F37</f>
        <v>44741.8</v>
      </c>
      <c r="D349" s="115">
        <f>'BSC (Dome)'!P24+'BSC (Dome)'!P32</f>
        <v>235829.96999999997</v>
      </c>
      <c r="E349" s="115">
        <f>D349-C349</f>
        <v>191088.16999999998</v>
      </c>
      <c r="G349" s="115">
        <f>'BSC (Dome)'!Q24+'BSC (Dome)'!Q32</f>
        <v>314439.95999999996</v>
      </c>
      <c r="I349" s="115">
        <f>'BSC (Dome)'!R24+'BSC (Dome)'!R32</f>
        <v>314439.95999999996</v>
      </c>
      <c r="K349" s="115">
        <f t="shared" ref="K349" si="135">G349-D349</f>
        <v>78609.989999999991</v>
      </c>
      <c r="M349" s="115">
        <f t="shared" ref="M349" si="136">G349-C349</f>
        <v>269698.15999999997</v>
      </c>
      <c r="O349" s="115">
        <f>M349-K349</f>
        <v>191088.16999999998</v>
      </c>
    </row>
    <row r="350" spans="1:15" s="27" customFormat="1" ht="42.75" customHeight="1" x14ac:dyDescent="0.5">
      <c r="A350" s="111" t="s">
        <v>214</v>
      </c>
      <c r="B350" s="114" t="s">
        <v>531</v>
      </c>
      <c r="C350" s="115">
        <f>'Comp YTD 2020-2019 '!F38</f>
        <v>0</v>
      </c>
      <c r="D350" s="115">
        <f>'BSC (Dome)'!P25</f>
        <v>4404.375</v>
      </c>
      <c r="E350" s="115">
        <f t="shared" ref="E350:E358" si="137">D350-C350</f>
        <v>4404.375</v>
      </c>
      <c r="G350" s="115">
        <f>'BSC (Dome)'!Q25</f>
        <v>5872.5</v>
      </c>
      <c r="I350" s="115">
        <f>'BSC (Dome)'!R25</f>
        <v>5872.5</v>
      </c>
      <c r="K350" s="115">
        <f t="shared" ref="K350:K357" si="138">G350-D350</f>
        <v>1468.125</v>
      </c>
      <c r="M350" s="115">
        <f t="shared" ref="M350:M357" si="139">G350-C350</f>
        <v>5872.5</v>
      </c>
      <c r="O350" s="115">
        <f t="shared" ref="O350:O358" si="140">M350-K350</f>
        <v>4404.375</v>
      </c>
    </row>
    <row r="351" spans="1:15" s="27" customFormat="1" ht="42.75" hidden="1" customHeight="1" x14ac:dyDescent="0.5">
      <c r="A351" s="111" t="s">
        <v>214</v>
      </c>
      <c r="B351" s="114" t="s">
        <v>225</v>
      </c>
      <c r="C351" s="115">
        <f>'Comp YTD 2020-2019 '!F39</f>
        <v>0</v>
      </c>
      <c r="D351" s="115">
        <v>0</v>
      </c>
      <c r="E351" s="115">
        <f t="shared" si="137"/>
        <v>0</v>
      </c>
      <c r="G351" s="115">
        <v>0</v>
      </c>
      <c r="I351" s="115">
        <v>0</v>
      </c>
      <c r="K351" s="115">
        <f t="shared" si="138"/>
        <v>0</v>
      </c>
      <c r="M351" s="115">
        <f t="shared" si="139"/>
        <v>0</v>
      </c>
      <c r="O351" s="115">
        <f t="shared" si="140"/>
        <v>0</v>
      </c>
    </row>
    <row r="352" spans="1:15" s="27" customFormat="1" ht="42.75" customHeight="1" x14ac:dyDescent="0.5">
      <c r="A352" s="111" t="s">
        <v>214</v>
      </c>
      <c r="B352" s="114" t="s">
        <v>226</v>
      </c>
      <c r="C352" s="115">
        <f>'Comp YTD 2020-2019 '!F40</f>
        <v>3798.44</v>
      </c>
      <c r="D352" s="115">
        <f>'BSC (Dome)'!P26</f>
        <v>15688.710000000003</v>
      </c>
      <c r="E352" s="115">
        <f t="shared" si="137"/>
        <v>11890.270000000002</v>
      </c>
      <c r="G352" s="115">
        <f>'BSC (Dome)'!Q26</f>
        <v>20918.280000000002</v>
      </c>
      <c r="I352" s="115">
        <f>'BSC (Dome)'!R26</f>
        <v>20918.280000000002</v>
      </c>
      <c r="K352" s="115">
        <f t="shared" si="138"/>
        <v>5229.57</v>
      </c>
      <c r="M352" s="115">
        <f t="shared" si="139"/>
        <v>17119.840000000004</v>
      </c>
      <c r="O352" s="115">
        <f t="shared" si="140"/>
        <v>11890.270000000004</v>
      </c>
    </row>
    <row r="353" spans="1:15" s="27" customFormat="1" ht="42.75" customHeight="1" x14ac:dyDescent="0.5">
      <c r="A353" s="111" t="s">
        <v>214</v>
      </c>
      <c r="B353" s="114" t="s">
        <v>227</v>
      </c>
      <c r="C353" s="115">
        <f>'Comp YTD 2020-2019 '!F41</f>
        <v>5213.25</v>
      </c>
      <c r="D353" s="115">
        <f>'BSC (Dome)'!P27</f>
        <v>44129.16</v>
      </c>
      <c r="E353" s="115">
        <f t="shared" si="137"/>
        <v>38915.910000000003</v>
      </c>
      <c r="G353" s="115">
        <f>'BSC (Dome)'!Q27</f>
        <v>58838.880000000005</v>
      </c>
      <c r="I353" s="115">
        <f>'BSC (Dome)'!R27</f>
        <v>58838.880000000005</v>
      </c>
      <c r="K353" s="115">
        <f t="shared" si="138"/>
        <v>14709.720000000001</v>
      </c>
      <c r="M353" s="115">
        <f t="shared" si="139"/>
        <v>53625.630000000005</v>
      </c>
      <c r="O353" s="115">
        <f t="shared" si="140"/>
        <v>38915.910000000003</v>
      </c>
    </row>
    <row r="354" spans="1:15" s="27" customFormat="1" ht="42.75" customHeight="1" x14ac:dyDescent="0.5">
      <c r="A354" s="111" t="s">
        <v>214</v>
      </c>
      <c r="B354" s="114" t="s">
        <v>228</v>
      </c>
      <c r="C354" s="115">
        <f>'Comp YTD 2020-2019 '!F42</f>
        <v>341.94</v>
      </c>
      <c r="D354" s="115">
        <f>'BSC (Dome)'!P28</f>
        <v>2803.1850000000004</v>
      </c>
      <c r="E354" s="115">
        <f t="shared" si="137"/>
        <v>2461.2450000000003</v>
      </c>
      <c r="G354" s="115">
        <f>'BSC (Dome)'!Q28</f>
        <v>3737.5800000000004</v>
      </c>
      <c r="I354" s="115">
        <f>'BSC (Dome)'!R28</f>
        <v>3737.5800000000004</v>
      </c>
      <c r="K354" s="115">
        <f t="shared" si="138"/>
        <v>934.39499999999998</v>
      </c>
      <c r="M354" s="115">
        <f t="shared" si="139"/>
        <v>3395.6400000000003</v>
      </c>
      <c r="O354" s="115">
        <f t="shared" si="140"/>
        <v>2461.2450000000003</v>
      </c>
    </row>
    <row r="355" spans="1:15" s="27" customFormat="1" ht="42.75" customHeight="1" x14ac:dyDescent="0.5">
      <c r="A355" s="111" t="s">
        <v>214</v>
      </c>
      <c r="B355" s="114" t="s">
        <v>229</v>
      </c>
      <c r="C355" s="115">
        <f>'Comp YTD 2020-2019 '!F43</f>
        <v>500</v>
      </c>
      <c r="D355" s="115">
        <f>'BSC (Dome)'!P30</f>
        <v>4515.7050000000008</v>
      </c>
      <c r="E355" s="115">
        <f t="shared" si="137"/>
        <v>4015.7050000000008</v>
      </c>
      <c r="G355" s="115">
        <f>'BSC (Dome)'!Q29</f>
        <v>1278.52</v>
      </c>
      <c r="I355" s="115">
        <f>'BSC (Dome)'!R29</f>
        <v>1278.52</v>
      </c>
      <c r="K355" s="115">
        <f t="shared" si="138"/>
        <v>-3237.1850000000009</v>
      </c>
      <c r="M355" s="115">
        <f t="shared" si="139"/>
        <v>778.52</v>
      </c>
      <c r="O355" s="115">
        <f t="shared" si="140"/>
        <v>4015.7050000000008</v>
      </c>
    </row>
    <row r="356" spans="1:15" s="27" customFormat="1" ht="42.75" customHeight="1" x14ac:dyDescent="0.5">
      <c r="A356" s="111" t="s">
        <v>214</v>
      </c>
      <c r="B356" s="114" t="s">
        <v>305</v>
      </c>
      <c r="C356" s="115">
        <f>'Comp YTD 2020-2019 '!F44</f>
        <v>174.32</v>
      </c>
      <c r="D356" s="115">
        <f>'BSC (Dome)'!P29</f>
        <v>958.89</v>
      </c>
      <c r="E356" s="115">
        <f t="shared" si="137"/>
        <v>784.56999999999994</v>
      </c>
      <c r="G356" s="115">
        <f>'BSC (Dome)'!Q30</f>
        <v>6020.9400000000005</v>
      </c>
      <c r="I356" s="115">
        <f>'BSC (Dome)'!R30</f>
        <v>6020.9400000000005</v>
      </c>
      <c r="K356" s="115">
        <f t="shared" si="138"/>
        <v>5062.05</v>
      </c>
      <c r="M356" s="115">
        <f t="shared" si="139"/>
        <v>5846.6200000000008</v>
      </c>
      <c r="O356" s="115">
        <f t="shared" si="140"/>
        <v>784.57000000000062</v>
      </c>
    </row>
    <row r="357" spans="1:15" s="27" customFormat="1" ht="42.75" customHeight="1" x14ac:dyDescent="0.5">
      <c r="A357" s="111" t="s">
        <v>214</v>
      </c>
      <c r="B357" s="114" t="s">
        <v>230</v>
      </c>
      <c r="C357" s="115">
        <f>'Comp YTD 2020-2019 '!F45</f>
        <v>0</v>
      </c>
      <c r="D357" s="115">
        <f>'BSC (Dome)'!P31</f>
        <v>1181.6624999999999</v>
      </c>
      <c r="E357" s="115">
        <f t="shared" si="137"/>
        <v>1181.6624999999999</v>
      </c>
      <c r="G357" s="115">
        <f>'BSC (Dome)'!Q31</f>
        <v>1575.55</v>
      </c>
      <c r="I357" s="115">
        <f>'BSC (Dome)'!R31</f>
        <v>1575.55</v>
      </c>
      <c r="K357" s="115">
        <f t="shared" si="138"/>
        <v>393.88750000000005</v>
      </c>
      <c r="M357" s="115">
        <f t="shared" si="139"/>
        <v>1575.55</v>
      </c>
      <c r="O357" s="115">
        <f t="shared" si="140"/>
        <v>1181.6624999999999</v>
      </c>
    </row>
    <row r="358" spans="1:15" s="27" customFormat="1" ht="42.75" hidden="1" customHeight="1" x14ac:dyDescent="0.5">
      <c r="A358" s="111" t="s">
        <v>214</v>
      </c>
      <c r="B358" s="114" t="s">
        <v>244</v>
      </c>
      <c r="C358" s="115">
        <f>'Comp YTD 2020-2019 '!F46</f>
        <v>0</v>
      </c>
      <c r="D358" s="115">
        <v>0</v>
      </c>
      <c r="E358" s="115">
        <f t="shared" si="137"/>
        <v>0</v>
      </c>
      <c r="G358" s="115">
        <v>0</v>
      </c>
      <c r="I358" s="115">
        <v>0</v>
      </c>
      <c r="K358" s="115">
        <f>G358-D358</f>
        <v>0</v>
      </c>
      <c r="M358" s="115">
        <f>G358-C358</f>
        <v>0</v>
      </c>
      <c r="O358" s="115">
        <f t="shared" si="140"/>
        <v>0</v>
      </c>
    </row>
    <row r="359" spans="1:15" s="27" customFormat="1" ht="42.75" customHeight="1" x14ac:dyDescent="0.5">
      <c r="A359" s="111" t="s">
        <v>214</v>
      </c>
      <c r="B359" s="112" t="s">
        <v>231</v>
      </c>
      <c r="C359" s="116">
        <f>SUM(C349:C358)</f>
        <v>54769.750000000007</v>
      </c>
      <c r="D359" s="116">
        <f t="shared" ref="D359:E359" si="141">SUM(D349:D358)</f>
        <v>309511.65749999997</v>
      </c>
      <c r="E359" s="116">
        <f t="shared" si="141"/>
        <v>254741.90749999997</v>
      </c>
      <c r="G359" s="116">
        <f>SUM(G349:G358)</f>
        <v>412682.21</v>
      </c>
      <c r="I359" s="116">
        <f>SUM(I349:I358)</f>
        <v>412682.21</v>
      </c>
      <c r="K359" s="116">
        <f>SUM(K349:K358)</f>
        <v>103170.55250000001</v>
      </c>
      <c r="M359" s="116">
        <f>SUM(M349:M358)</f>
        <v>357912.46</v>
      </c>
      <c r="O359" s="116">
        <f>SUM(O349:O358)</f>
        <v>254741.9075</v>
      </c>
    </row>
    <row r="360" spans="1:15" s="27" customFormat="1" ht="42.75" customHeight="1" x14ac:dyDescent="0.5">
      <c r="A360" s="111" t="s">
        <v>214</v>
      </c>
      <c r="B360" s="114"/>
      <c r="C360" s="115"/>
      <c r="D360" s="115"/>
      <c r="E360" s="115"/>
      <c r="G360" s="115"/>
      <c r="I360" s="115"/>
      <c r="K360" s="115"/>
      <c r="M360" s="115"/>
      <c r="O360" s="115"/>
    </row>
    <row r="361" spans="1:15" s="27" customFormat="1" ht="42.75" customHeight="1" x14ac:dyDescent="0.5">
      <c r="A361" s="111" t="s">
        <v>214</v>
      </c>
      <c r="B361" s="112" t="s">
        <v>477</v>
      </c>
      <c r="C361" s="115"/>
      <c r="D361" s="115"/>
      <c r="E361" s="115"/>
      <c r="G361" s="115"/>
      <c r="I361" s="115"/>
      <c r="K361" s="115"/>
      <c r="M361" s="115"/>
      <c r="O361" s="115"/>
    </row>
    <row r="362" spans="1:15" s="27" customFormat="1" ht="42.75" customHeight="1" x14ac:dyDescent="0.5">
      <c r="A362" s="111" t="s">
        <v>214</v>
      </c>
      <c r="B362" s="114" t="s">
        <v>232</v>
      </c>
      <c r="C362" s="115">
        <f>'Comp YTD 2020-2019 '!F50</f>
        <v>1000</v>
      </c>
      <c r="D362" s="115">
        <f>'BSC (Dome)'!P36</f>
        <v>9000</v>
      </c>
      <c r="E362" s="115">
        <f>D362-C362</f>
        <v>8000</v>
      </c>
      <c r="G362" s="115">
        <f>'BSC (Dome)'!Q36</f>
        <v>12000</v>
      </c>
      <c r="I362" s="115">
        <f>'BSC (Dome)'!R36</f>
        <v>12000</v>
      </c>
      <c r="K362" s="115">
        <f t="shared" ref="K362" si="142">G362-D362</f>
        <v>3000</v>
      </c>
      <c r="M362" s="115">
        <f t="shared" ref="M362" si="143">G362-C362</f>
        <v>11000</v>
      </c>
      <c r="O362" s="115">
        <f>M362-K362</f>
        <v>8000</v>
      </c>
    </row>
    <row r="363" spans="1:15" s="27" customFormat="1" ht="42.75" customHeight="1" x14ac:dyDescent="0.5">
      <c r="A363" s="111" t="s">
        <v>214</v>
      </c>
      <c r="B363" s="114" t="s">
        <v>233</v>
      </c>
      <c r="C363" s="115">
        <f>'Comp YTD 2020-2019 '!F51</f>
        <v>883.5</v>
      </c>
      <c r="D363" s="115">
        <f>'BSC (Dome)'!P38</f>
        <v>5338.125</v>
      </c>
      <c r="E363" s="115">
        <f t="shared" ref="E363:E383" si="144">D363-C363</f>
        <v>4454.625</v>
      </c>
      <c r="G363" s="115">
        <f>'BSC (Dome)'!Q38</f>
        <v>7117.5</v>
      </c>
      <c r="I363" s="115">
        <f>'BSC (Dome)'!R38</f>
        <v>7117.5</v>
      </c>
      <c r="K363" s="115">
        <f t="shared" ref="K363:K383" si="145">G363-D363</f>
        <v>1779.375</v>
      </c>
      <c r="M363" s="115">
        <f t="shared" ref="M363:M383" si="146">G363-C363</f>
        <v>6234</v>
      </c>
      <c r="O363" s="115">
        <f t="shared" ref="O363:O383" si="147">M363-K363</f>
        <v>4454.625</v>
      </c>
    </row>
    <row r="364" spans="1:15" s="27" customFormat="1" ht="42.75" customHeight="1" x14ac:dyDescent="0.5">
      <c r="A364" s="111" t="s">
        <v>214</v>
      </c>
      <c r="B364" s="114" t="s">
        <v>234</v>
      </c>
      <c r="C364" s="115">
        <f>'Comp YTD 2020-2019 '!F52</f>
        <v>12511.96</v>
      </c>
      <c r="D364" s="115">
        <f>'BSC (Dome)'!P37</f>
        <v>55827.277500000011</v>
      </c>
      <c r="E364" s="115">
        <f t="shared" si="144"/>
        <v>43315.317500000012</v>
      </c>
      <c r="G364" s="115">
        <f>'BSC (Dome)'!Q37</f>
        <v>74436.37000000001</v>
      </c>
      <c r="I364" s="115">
        <f>'BSC (Dome)'!R37</f>
        <v>74436.37000000001</v>
      </c>
      <c r="K364" s="115">
        <f t="shared" si="145"/>
        <v>18609.092499999999</v>
      </c>
      <c r="M364" s="115">
        <f t="shared" si="146"/>
        <v>61924.410000000011</v>
      </c>
      <c r="O364" s="115">
        <f t="shared" si="147"/>
        <v>43315.317500000012</v>
      </c>
    </row>
    <row r="365" spans="1:15" s="27" customFormat="1" ht="42.75" customHeight="1" x14ac:dyDescent="0.5">
      <c r="A365" s="111" t="s">
        <v>214</v>
      </c>
      <c r="B365" s="114" t="s">
        <v>333</v>
      </c>
      <c r="C365" s="115">
        <f>'Comp YTD 2020-2019 '!F53</f>
        <v>0</v>
      </c>
      <c r="D365" s="115">
        <f>'BSC (Dome)'!P39</f>
        <v>1665.825</v>
      </c>
      <c r="E365" s="115">
        <f t="shared" si="144"/>
        <v>1665.825</v>
      </c>
      <c r="G365" s="115">
        <f>'BSC (Dome)'!Q39</f>
        <v>2221.1</v>
      </c>
      <c r="I365" s="115">
        <f>'BSC (Dome)'!R39</f>
        <v>2221.1</v>
      </c>
      <c r="K365" s="115">
        <f t="shared" si="145"/>
        <v>555.27499999999986</v>
      </c>
      <c r="M365" s="115">
        <f t="shared" si="146"/>
        <v>2221.1</v>
      </c>
      <c r="O365" s="115">
        <f t="shared" si="147"/>
        <v>1665.825</v>
      </c>
    </row>
    <row r="366" spans="1:15" s="27" customFormat="1" ht="42.75" customHeight="1" x14ac:dyDescent="0.5">
      <c r="A366" s="111" t="s">
        <v>214</v>
      </c>
      <c r="B366" s="114" t="s">
        <v>288</v>
      </c>
      <c r="C366" s="115">
        <f>'Comp YTD 2020-2019 '!F54</f>
        <v>954.58</v>
      </c>
      <c r="D366" s="115">
        <f>'BSC (Dome)'!P40</f>
        <v>5994.6525000000001</v>
      </c>
      <c r="E366" s="115">
        <f t="shared" si="144"/>
        <v>5040.0725000000002</v>
      </c>
      <c r="G366" s="115">
        <f>'BSC (Dome)'!Q40</f>
        <v>7992.87</v>
      </c>
      <c r="I366" s="115">
        <f>'BSC (Dome)'!R40</f>
        <v>7992.87</v>
      </c>
      <c r="K366" s="115">
        <f t="shared" si="145"/>
        <v>1998.2174999999997</v>
      </c>
      <c r="M366" s="115">
        <f t="shared" si="146"/>
        <v>7038.29</v>
      </c>
      <c r="O366" s="115">
        <f t="shared" si="147"/>
        <v>5040.0725000000002</v>
      </c>
    </row>
    <row r="367" spans="1:15" s="27" customFormat="1" ht="42.75" hidden="1" customHeight="1" x14ac:dyDescent="0.5">
      <c r="A367" s="111" t="s">
        <v>214</v>
      </c>
      <c r="B367" s="114" t="s">
        <v>437</v>
      </c>
      <c r="C367" s="115">
        <f>'Comp YTD 2020-2019 '!F55</f>
        <v>0</v>
      </c>
      <c r="D367" s="115">
        <f>'BSC (Dome)'!P41</f>
        <v>0</v>
      </c>
      <c r="E367" s="115">
        <f t="shared" si="144"/>
        <v>0</v>
      </c>
      <c r="G367" s="115">
        <f>'BSC (Dome)'!Q41</f>
        <v>0</v>
      </c>
      <c r="I367" s="115">
        <f>'BSC (Dome)'!R41</f>
        <v>0</v>
      </c>
      <c r="K367" s="115">
        <f t="shared" si="145"/>
        <v>0</v>
      </c>
      <c r="M367" s="115">
        <f t="shared" si="146"/>
        <v>0</v>
      </c>
      <c r="O367" s="115">
        <f t="shared" si="147"/>
        <v>0</v>
      </c>
    </row>
    <row r="368" spans="1:15" s="27" customFormat="1" ht="42.75" customHeight="1" x14ac:dyDescent="0.5">
      <c r="A368" s="111" t="s">
        <v>214</v>
      </c>
      <c r="B368" s="114" t="s">
        <v>370</v>
      </c>
      <c r="C368" s="115">
        <f>'Comp YTD 2020-2019 '!F56</f>
        <v>597.65</v>
      </c>
      <c r="D368" s="115">
        <f>'BSC (Dome)'!P42</f>
        <v>8594.73</v>
      </c>
      <c r="E368" s="115">
        <f t="shared" si="144"/>
        <v>7997.08</v>
      </c>
      <c r="G368" s="115">
        <f>'BSC (Dome)'!Q42</f>
        <v>11459.64</v>
      </c>
      <c r="I368" s="115">
        <f>'BSC (Dome)'!R42</f>
        <v>11459.64</v>
      </c>
      <c r="K368" s="115">
        <f t="shared" si="145"/>
        <v>2864.91</v>
      </c>
      <c r="M368" s="115">
        <f t="shared" si="146"/>
        <v>10861.99</v>
      </c>
      <c r="O368" s="115">
        <f t="shared" si="147"/>
        <v>7997.08</v>
      </c>
    </row>
    <row r="369" spans="1:15" s="27" customFormat="1" ht="42.75" customHeight="1" x14ac:dyDescent="0.5">
      <c r="A369" s="111" t="s">
        <v>214</v>
      </c>
      <c r="B369" s="114" t="s">
        <v>368</v>
      </c>
      <c r="C369" s="115">
        <f>'Comp YTD 2020-2019 '!F57</f>
        <v>1728.62</v>
      </c>
      <c r="D369" s="115">
        <f>'BSC (Dome)'!P43+'BSC (Dome)'!P49</f>
        <v>11980.5975</v>
      </c>
      <c r="E369" s="115">
        <f t="shared" si="144"/>
        <v>10251.977500000001</v>
      </c>
      <c r="G369" s="115">
        <f>'BSC (Dome)'!Q43+'BSC (Dome)'!Q49</f>
        <v>15974.13</v>
      </c>
      <c r="I369" s="115">
        <f>'BSC (Dome)'!R43+'BSC (Dome)'!R49</f>
        <v>15974.13</v>
      </c>
      <c r="K369" s="115">
        <f t="shared" si="145"/>
        <v>3993.5324999999993</v>
      </c>
      <c r="M369" s="115">
        <f t="shared" si="146"/>
        <v>14245.509999999998</v>
      </c>
      <c r="O369" s="115">
        <f t="shared" si="147"/>
        <v>10251.977499999999</v>
      </c>
    </row>
    <row r="370" spans="1:15" s="27" customFormat="1" ht="42.75" customHeight="1" x14ac:dyDescent="0.5">
      <c r="A370" s="111" t="s">
        <v>214</v>
      </c>
      <c r="B370" s="114" t="s">
        <v>237</v>
      </c>
      <c r="C370" s="115">
        <f>'Comp YTD 2020-2019 '!F58</f>
        <v>231.72</v>
      </c>
      <c r="D370" s="115">
        <f>'BSC (Dome)'!P45</f>
        <v>554.75249999999994</v>
      </c>
      <c r="E370" s="115">
        <f t="shared" si="144"/>
        <v>323.03249999999991</v>
      </c>
      <c r="G370" s="115">
        <f>'BSC (Dome)'!Q45</f>
        <v>739.67</v>
      </c>
      <c r="I370" s="115">
        <f>'BSC (Dome)'!R45</f>
        <v>739.67</v>
      </c>
      <c r="K370" s="115">
        <f t="shared" si="145"/>
        <v>184.91750000000002</v>
      </c>
      <c r="M370" s="115">
        <f t="shared" si="146"/>
        <v>507.94999999999993</v>
      </c>
      <c r="O370" s="115">
        <f t="shared" si="147"/>
        <v>323.03249999999991</v>
      </c>
    </row>
    <row r="371" spans="1:15" s="27" customFormat="1" ht="42.75" hidden="1" customHeight="1" x14ac:dyDescent="0.5">
      <c r="A371" s="111" t="s">
        <v>214</v>
      </c>
      <c r="B371" s="114" t="s">
        <v>238</v>
      </c>
      <c r="C371" s="115">
        <f>'Comp YTD 2020-2019 '!F59</f>
        <v>0</v>
      </c>
      <c r="D371" s="115">
        <f>'BSC (Dome)'!P46</f>
        <v>0</v>
      </c>
      <c r="E371" s="115">
        <f t="shared" si="144"/>
        <v>0</v>
      </c>
      <c r="G371" s="115">
        <f>'BSC (Dome)'!Q46</f>
        <v>0</v>
      </c>
      <c r="I371" s="115">
        <f>'BSC (Dome)'!R46</f>
        <v>0</v>
      </c>
      <c r="K371" s="115">
        <f t="shared" si="145"/>
        <v>0</v>
      </c>
      <c r="M371" s="115">
        <f t="shared" si="146"/>
        <v>0</v>
      </c>
      <c r="O371" s="115">
        <f t="shared" si="147"/>
        <v>0</v>
      </c>
    </row>
    <row r="372" spans="1:15" s="27" customFormat="1" ht="42.75" customHeight="1" x14ac:dyDescent="0.5">
      <c r="A372" s="111" t="s">
        <v>214</v>
      </c>
      <c r="B372" s="114" t="s">
        <v>236</v>
      </c>
      <c r="C372" s="115">
        <f>'Comp YTD 2020-2019 '!F60</f>
        <v>2648.59</v>
      </c>
      <c r="D372" s="115">
        <f>'BSC (Dome)'!P47</f>
        <v>21944.497499999998</v>
      </c>
      <c r="E372" s="115">
        <f t="shared" si="144"/>
        <v>19295.907499999998</v>
      </c>
      <c r="G372" s="115">
        <f>'BSC (Dome)'!Q47</f>
        <v>29259.329999999998</v>
      </c>
      <c r="I372" s="115">
        <f>'BSC (Dome)'!R47</f>
        <v>29259.329999999998</v>
      </c>
      <c r="K372" s="115">
        <f t="shared" si="145"/>
        <v>7314.8325000000004</v>
      </c>
      <c r="M372" s="115">
        <f t="shared" si="146"/>
        <v>26610.739999999998</v>
      </c>
      <c r="O372" s="115">
        <f t="shared" si="147"/>
        <v>19295.907499999998</v>
      </c>
    </row>
    <row r="373" spans="1:15" s="27" customFormat="1" ht="42.75" customHeight="1" x14ac:dyDescent="0.5">
      <c r="A373" s="111" t="s">
        <v>214</v>
      </c>
      <c r="B373" s="114" t="s">
        <v>350</v>
      </c>
      <c r="C373" s="115">
        <f>'Comp YTD 2020-2019 '!F67</f>
        <v>110</v>
      </c>
      <c r="D373" s="115">
        <f>'BSC (Dome)'!P48</f>
        <v>1248.75</v>
      </c>
      <c r="E373" s="115">
        <f t="shared" si="144"/>
        <v>1138.75</v>
      </c>
      <c r="G373" s="115">
        <f>'BSC (Dome)'!Q48</f>
        <v>1665</v>
      </c>
      <c r="I373" s="115">
        <f>'BSC (Dome)'!R48</f>
        <v>1665</v>
      </c>
      <c r="K373" s="115">
        <f t="shared" si="145"/>
        <v>416.25</v>
      </c>
      <c r="M373" s="115">
        <f t="shared" si="146"/>
        <v>1555</v>
      </c>
      <c r="O373" s="115">
        <f t="shared" si="147"/>
        <v>1138.75</v>
      </c>
    </row>
    <row r="374" spans="1:15" s="27" customFormat="1" ht="42.75" customHeight="1" x14ac:dyDescent="0.5">
      <c r="A374" s="111" t="s">
        <v>214</v>
      </c>
      <c r="B374" s="114" t="s">
        <v>353</v>
      </c>
      <c r="C374" s="115">
        <f>'Comp YTD 2020-2019 '!F61</f>
        <v>4672.5</v>
      </c>
      <c r="D374" s="115">
        <f>'BSC (Dome)'!P44</f>
        <v>14905.484999999997</v>
      </c>
      <c r="E374" s="115">
        <f t="shared" si="144"/>
        <v>10232.984999999997</v>
      </c>
      <c r="G374" s="115">
        <f>'BSC (Dome)'!Q44</f>
        <v>19873.979999999996</v>
      </c>
      <c r="I374" s="115">
        <f>'BSC (Dome)'!R44</f>
        <v>19873.979999999996</v>
      </c>
      <c r="K374" s="115">
        <f t="shared" si="145"/>
        <v>4968.494999999999</v>
      </c>
      <c r="M374" s="115">
        <f t="shared" si="146"/>
        <v>15201.479999999996</v>
      </c>
      <c r="O374" s="115">
        <f t="shared" si="147"/>
        <v>10232.984999999997</v>
      </c>
    </row>
    <row r="375" spans="1:15" s="27" customFormat="1" ht="42.75" customHeight="1" x14ac:dyDescent="0.5">
      <c r="A375" s="111" t="s">
        <v>214</v>
      </c>
      <c r="B375" s="114" t="s">
        <v>239</v>
      </c>
      <c r="C375" s="115">
        <f>'Comp YTD 2020-2019 '!F63</f>
        <v>0</v>
      </c>
      <c r="D375" s="115">
        <f>'BSC (Dome)'!P50</f>
        <v>1063.1325000000002</v>
      </c>
      <c r="E375" s="115">
        <f t="shared" si="144"/>
        <v>1063.1325000000002</v>
      </c>
      <c r="G375" s="115">
        <f>'BSC (Dome)'!Q50</f>
        <v>1417.5100000000002</v>
      </c>
      <c r="I375" s="115">
        <f>'BSC (Dome)'!R50</f>
        <v>1417.5100000000002</v>
      </c>
      <c r="K375" s="115">
        <f t="shared" si="145"/>
        <v>354.37750000000005</v>
      </c>
      <c r="M375" s="115">
        <f t="shared" si="146"/>
        <v>1417.5100000000002</v>
      </c>
      <c r="O375" s="115">
        <f t="shared" si="147"/>
        <v>1063.1325000000002</v>
      </c>
    </row>
    <row r="376" spans="1:15" s="27" customFormat="1" ht="42.75" hidden="1" customHeight="1" x14ac:dyDescent="0.5">
      <c r="A376" s="111" t="s">
        <v>214</v>
      </c>
      <c r="B376" s="114" t="s">
        <v>240</v>
      </c>
      <c r="C376" s="115">
        <f>'Comp YTD 2020-2019 '!F64</f>
        <v>0</v>
      </c>
      <c r="D376" s="115">
        <f>'BSC (Dome)'!P52</f>
        <v>0</v>
      </c>
      <c r="E376" s="115">
        <f t="shared" si="144"/>
        <v>0</v>
      </c>
      <c r="G376" s="115">
        <f>'BSC (Dome)'!Q52</f>
        <v>0</v>
      </c>
      <c r="I376" s="115">
        <f>'BSC (Dome)'!R52</f>
        <v>0</v>
      </c>
      <c r="K376" s="115">
        <f t="shared" si="145"/>
        <v>0</v>
      </c>
      <c r="M376" s="115">
        <f t="shared" si="146"/>
        <v>0</v>
      </c>
      <c r="O376" s="115">
        <f t="shared" si="147"/>
        <v>0</v>
      </c>
    </row>
    <row r="377" spans="1:15" s="27" customFormat="1" ht="42.75" customHeight="1" x14ac:dyDescent="0.5">
      <c r="A377" s="111" t="s">
        <v>214</v>
      </c>
      <c r="B377" s="114" t="s">
        <v>241</v>
      </c>
      <c r="C377" s="115">
        <v>0</v>
      </c>
      <c r="D377" s="115">
        <f>'BSC (Dome)'!P52</f>
        <v>0</v>
      </c>
      <c r="E377" s="115">
        <f t="shared" si="144"/>
        <v>0</v>
      </c>
      <c r="G377" s="115">
        <f>'BSC (Dome)'!Q52</f>
        <v>0</v>
      </c>
      <c r="I377" s="115">
        <f>'BSC (Dome)'!R52</f>
        <v>0</v>
      </c>
      <c r="K377" s="115">
        <f t="shared" si="145"/>
        <v>0</v>
      </c>
      <c r="M377" s="115">
        <f t="shared" si="146"/>
        <v>0</v>
      </c>
      <c r="O377" s="115">
        <f t="shared" si="147"/>
        <v>0</v>
      </c>
    </row>
    <row r="378" spans="1:15" s="27" customFormat="1" ht="42.75" customHeight="1" x14ac:dyDescent="0.5">
      <c r="A378" s="111" t="s">
        <v>214</v>
      </c>
      <c r="B378" s="114" t="s">
        <v>242</v>
      </c>
      <c r="C378" s="115">
        <f>'Comp YTD 2020-2019 '!F65</f>
        <v>8414.0300000000007</v>
      </c>
      <c r="D378" s="115">
        <f>'BSC (Dome)'!P53</f>
        <v>83006.242500000008</v>
      </c>
      <c r="E378" s="115">
        <f t="shared" si="144"/>
        <v>74592.212500000009</v>
      </c>
      <c r="G378" s="115">
        <f>'BSC (Dome)'!Q53</f>
        <v>110674.99</v>
      </c>
      <c r="I378" s="115">
        <f>'BSC (Dome)'!R53</f>
        <v>110674.99</v>
      </c>
      <c r="K378" s="115">
        <f t="shared" si="145"/>
        <v>27668.747499999998</v>
      </c>
      <c r="M378" s="115">
        <f t="shared" si="146"/>
        <v>102260.96</v>
      </c>
      <c r="O378" s="115">
        <f t="shared" si="147"/>
        <v>74592.212500000009</v>
      </c>
    </row>
    <row r="379" spans="1:15" s="27" customFormat="1" ht="42.75" customHeight="1" x14ac:dyDescent="0.5">
      <c r="A379" s="111" t="s">
        <v>214</v>
      </c>
      <c r="B379" s="114" t="s">
        <v>252</v>
      </c>
      <c r="C379" s="115">
        <f>'Comp YTD 2020-2019 '!F66</f>
        <v>0</v>
      </c>
      <c r="D379" s="115">
        <f>'BSC (Dome)'!P54</f>
        <v>0</v>
      </c>
      <c r="E379" s="115">
        <f t="shared" si="144"/>
        <v>0</v>
      </c>
      <c r="G379" s="115">
        <f>'BSC (Dome)'!Q54</f>
        <v>0</v>
      </c>
      <c r="I379" s="115">
        <f>'BSC (Dome)'!R54</f>
        <v>0</v>
      </c>
      <c r="K379" s="115">
        <f t="shared" si="145"/>
        <v>0</v>
      </c>
      <c r="M379" s="115">
        <f t="shared" si="146"/>
        <v>0</v>
      </c>
      <c r="O379" s="115">
        <f t="shared" si="147"/>
        <v>0</v>
      </c>
    </row>
    <row r="380" spans="1:15" s="27" customFormat="1" ht="42.75" hidden="1" customHeight="1" x14ac:dyDescent="0.5">
      <c r="A380" s="111" t="s">
        <v>214</v>
      </c>
      <c r="B380" s="114" t="s">
        <v>245</v>
      </c>
      <c r="C380" s="115">
        <f>'Comp YTD 2020-2019 '!F68</f>
        <v>0</v>
      </c>
      <c r="D380" s="115">
        <f>'BSC (Dome)'!P54</f>
        <v>0</v>
      </c>
      <c r="E380" s="115">
        <f t="shared" si="144"/>
        <v>0</v>
      </c>
      <c r="G380" s="115">
        <f>'BSC (Dome)'!Q54</f>
        <v>0</v>
      </c>
      <c r="I380" s="115">
        <f>'BSC (Dome)'!R54</f>
        <v>0</v>
      </c>
      <c r="K380" s="115">
        <f t="shared" si="145"/>
        <v>0</v>
      </c>
      <c r="M380" s="115">
        <f t="shared" si="146"/>
        <v>0</v>
      </c>
      <c r="O380" s="115">
        <f t="shared" si="147"/>
        <v>0</v>
      </c>
    </row>
    <row r="381" spans="1:15" s="27" customFormat="1" ht="42.75" hidden="1" customHeight="1" x14ac:dyDescent="0.5">
      <c r="A381" s="111" t="s">
        <v>214</v>
      </c>
      <c r="B381" s="114" t="s">
        <v>246</v>
      </c>
      <c r="C381" s="115">
        <f>'Comp YTD 2020-2019 '!F69</f>
        <v>0</v>
      </c>
      <c r="D381" s="115">
        <f>'BSC (Dome)'!P51</f>
        <v>0</v>
      </c>
      <c r="E381" s="115">
        <f t="shared" si="144"/>
        <v>0</v>
      </c>
      <c r="G381" s="115">
        <f>'BSC (Dome)'!Q51</f>
        <v>0</v>
      </c>
      <c r="I381" s="115">
        <f>'BSC (Dome)'!R51</f>
        <v>0</v>
      </c>
      <c r="K381" s="115">
        <f t="shared" si="145"/>
        <v>0</v>
      </c>
      <c r="M381" s="115">
        <f t="shared" si="146"/>
        <v>0</v>
      </c>
      <c r="O381" s="115">
        <f t="shared" si="147"/>
        <v>0</v>
      </c>
    </row>
    <row r="382" spans="1:15" s="27" customFormat="1" ht="42.75" customHeight="1" x14ac:dyDescent="0.5">
      <c r="A382" s="111" t="s">
        <v>214</v>
      </c>
      <c r="B382" s="114" t="s">
        <v>362</v>
      </c>
      <c r="C382" s="115">
        <f>'Comp YTD 2020-2019 '!F70</f>
        <v>0</v>
      </c>
      <c r="D382" s="115">
        <f>'BSC (Dome)'!P55</f>
        <v>1779.5925</v>
      </c>
      <c r="E382" s="115">
        <f t="shared" si="144"/>
        <v>1779.5925</v>
      </c>
      <c r="G382" s="115">
        <f>'BSC (Dome)'!Q55</f>
        <v>2372.79</v>
      </c>
      <c r="I382" s="115">
        <f>'BSC (Dome)'!R55</f>
        <v>2372.79</v>
      </c>
      <c r="K382" s="115">
        <f t="shared" si="145"/>
        <v>593.19749999999999</v>
      </c>
      <c r="M382" s="115">
        <f t="shared" si="146"/>
        <v>2372.79</v>
      </c>
      <c r="O382" s="115">
        <f t="shared" si="147"/>
        <v>1779.5925</v>
      </c>
    </row>
    <row r="383" spans="1:15" s="27" customFormat="1" ht="42.75" customHeight="1" x14ac:dyDescent="0.5">
      <c r="A383" s="111" t="s">
        <v>214</v>
      </c>
      <c r="B383" s="114" t="s">
        <v>363</v>
      </c>
      <c r="C383" s="115">
        <f>'Comp YTD 2020-2019 '!F71</f>
        <v>823.61</v>
      </c>
      <c r="D383" s="115">
        <f>'BSC (Dome)'!P56</f>
        <v>4966.6499999999996</v>
      </c>
      <c r="E383" s="115">
        <f t="shared" si="144"/>
        <v>4143.04</v>
      </c>
      <c r="G383" s="115">
        <f>'BSC (Dome)'!Q56</f>
        <v>6622.1999999999989</v>
      </c>
      <c r="I383" s="115">
        <f>'BSC (Dome)'!R56</f>
        <v>6622.1999999999989</v>
      </c>
      <c r="K383" s="115">
        <f t="shared" si="145"/>
        <v>1655.5499999999993</v>
      </c>
      <c r="M383" s="115">
        <f t="shared" si="146"/>
        <v>5798.5899999999992</v>
      </c>
      <c r="O383" s="115">
        <f t="shared" si="147"/>
        <v>4143.04</v>
      </c>
    </row>
    <row r="384" spans="1:15" s="27" customFormat="1" ht="42.75" customHeight="1" x14ac:dyDescent="0.5">
      <c r="A384" s="111" t="s">
        <v>214</v>
      </c>
      <c r="B384" s="112" t="s">
        <v>247</v>
      </c>
      <c r="C384" s="116">
        <f>SUM(C362:C383)</f>
        <v>34576.76</v>
      </c>
      <c r="D384" s="116">
        <f t="shared" ref="D384" si="148">SUM(D362:D383)</f>
        <v>227870.31</v>
      </c>
      <c r="E384" s="116">
        <f>SUM(E362:E383)</f>
        <v>193293.55000000005</v>
      </c>
      <c r="G384" s="116">
        <f>SUM(G362:G383)</f>
        <v>303827.08</v>
      </c>
      <c r="I384" s="116">
        <f>SUM(I362:I383)</f>
        <v>303827.08</v>
      </c>
      <c r="K384" s="116">
        <f>SUM(K362:K383)</f>
        <v>75956.76999999999</v>
      </c>
      <c r="M384" s="116">
        <f>SUM(M362:M383)</f>
        <v>269250.32</v>
      </c>
      <c r="O384" s="116">
        <f>SUM(O362:O383)</f>
        <v>193293.55000000005</v>
      </c>
    </row>
    <row r="385" spans="1:15" s="27" customFormat="1" ht="42.75" customHeight="1" x14ac:dyDescent="0.5">
      <c r="A385" s="111" t="s">
        <v>214</v>
      </c>
      <c r="B385" s="114"/>
      <c r="C385" s="115"/>
      <c r="D385" s="115"/>
      <c r="E385" s="115"/>
      <c r="G385" s="115"/>
      <c r="I385" s="115"/>
      <c r="K385" s="115"/>
      <c r="M385" s="115"/>
      <c r="O385" s="115"/>
    </row>
    <row r="386" spans="1:15" s="27" customFormat="1" ht="42.75" customHeight="1" x14ac:dyDescent="0.5">
      <c r="A386" s="111" t="s">
        <v>214</v>
      </c>
      <c r="B386" s="112" t="s">
        <v>248</v>
      </c>
      <c r="C386" s="115"/>
      <c r="D386" s="115"/>
      <c r="E386" s="115"/>
      <c r="G386" s="115"/>
      <c r="I386" s="115"/>
      <c r="K386" s="115"/>
      <c r="M386" s="115"/>
      <c r="O386" s="115"/>
    </row>
    <row r="387" spans="1:15" s="27" customFormat="1" ht="42.75" customHeight="1" x14ac:dyDescent="0.5">
      <c r="A387" s="111" t="s">
        <v>214</v>
      </c>
      <c r="B387" s="114" t="s">
        <v>249</v>
      </c>
      <c r="C387" s="115">
        <f>'Comp YTD 2020-2019 '!F81</f>
        <v>509.71</v>
      </c>
      <c r="D387" s="115">
        <f>'BSC (Dome)'!P60</f>
        <v>2798.19</v>
      </c>
      <c r="E387" s="115">
        <f>D387-C387</f>
        <v>2288.48</v>
      </c>
      <c r="G387" s="115">
        <f>'BSC (Dome)'!Q60</f>
        <v>3730.92</v>
      </c>
      <c r="I387" s="115">
        <f>'BSC (Dome)'!R60</f>
        <v>3730.92</v>
      </c>
      <c r="K387" s="115">
        <f t="shared" ref="K387" si="149">G387-D387</f>
        <v>932.73</v>
      </c>
      <c r="M387" s="115">
        <f t="shared" ref="M387" si="150">G387-C387</f>
        <v>3221.21</v>
      </c>
      <c r="O387" s="115">
        <f>M387-K387</f>
        <v>2288.48</v>
      </c>
    </row>
    <row r="388" spans="1:15" s="27" customFormat="1" ht="42.75" hidden="1" customHeight="1" x14ac:dyDescent="0.5">
      <c r="A388" s="111" t="s">
        <v>214</v>
      </c>
      <c r="B388" s="114" t="s">
        <v>385</v>
      </c>
      <c r="C388" s="115">
        <f>'Comp YTD 2020-2019 '!F82</f>
        <v>0</v>
      </c>
      <c r="D388" s="115">
        <v>0</v>
      </c>
      <c r="E388" s="115">
        <f t="shared" ref="E388:E406" si="151">D388-C388</f>
        <v>0</v>
      </c>
      <c r="G388" s="115">
        <v>0</v>
      </c>
      <c r="I388" s="115">
        <v>0</v>
      </c>
      <c r="K388" s="115">
        <f t="shared" ref="K388:K406" si="152">G388-D388</f>
        <v>0</v>
      </c>
      <c r="M388" s="115">
        <f t="shared" ref="M388:M406" si="153">G388-C388</f>
        <v>0</v>
      </c>
      <c r="O388" s="115">
        <f t="shared" ref="O388:O406" si="154">M388-K388</f>
        <v>0</v>
      </c>
    </row>
    <row r="389" spans="1:15" s="27" customFormat="1" ht="42.75" hidden="1" customHeight="1" x14ac:dyDescent="0.5">
      <c r="A389" s="111" t="s">
        <v>214</v>
      </c>
      <c r="B389" s="114" t="s">
        <v>533</v>
      </c>
      <c r="C389" s="115">
        <f>'Comp YTD 2020-2019 '!F83</f>
        <v>0</v>
      </c>
      <c r="D389" s="115">
        <v>0</v>
      </c>
      <c r="E389" s="115">
        <f t="shared" si="151"/>
        <v>0</v>
      </c>
      <c r="G389" s="115">
        <v>0</v>
      </c>
      <c r="I389" s="115">
        <v>0</v>
      </c>
      <c r="K389" s="115">
        <f t="shared" si="152"/>
        <v>0</v>
      </c>
      <c r="M389" s="115">
        <f t="shared" si="153"/>
        <v>0</v>
      </c>
      <c r="O389" s="115">
        <f t="shared" si="154"/>
        <v>0</v>
      </c>
    </row>
    <row r="390" spans="1:15" s="27" customFormat="1" ht="42.75" customHeight="1" x14ac:dyDescent="0.5">
      <c r="A390" s="111" t="s">
        <v>214</v>
      </c>
      <c r="B390" s="114" t="s">
        <v>250</v>
      </c>
      <c r="C390" s="115">
        <f>'Comp YTD 2020-2019 '!F84</f>
        <v>0</v>
      </c>
      <c r="D390" s="115">
        <f>'BSC (Dome)'!P61</f>
        <v>2579.3024999999993</v>
      </c>
      <c r="E390" s="115">
        <f t="shared" si="151"/>
        <v>2579.3024999999993</v>
      </c>
      <c r="G390" s="115">
        <f>'BSC (Dome)'!Q61</f>
        <v>3439.0699999999993</v>
      </c>
      <c r="I390" s="115">
        <f>'BSC (Dome)'!R61</f>
        <v>3439.0699999999993</v>
      </c>
      <c r="K390" s="115">
        <f t="shared" si="152"/>
        <v>859.76749999999993</v>
      </c>
      <c r="M390" s="115">
        <f t="shared" si="153"/>
        <v>3439.0699999999993</v>
      </c>
      <c r="O390" s="115">
        <f t="shared" si="154"/>
        <v>2579.3024999999993</v>
      </c>
    </row>
    <row r="391" spans="1:15" s="27" customFormat="1" ht="42.75" customHeight="1" x14ac:dyDescent="0.5">
      <c r="A391" s="111" t="s">
        <v>214</v>
      </c>
      <c r="B391" s="114" t="s">
        <v>357</v>
      </c>
      <c r="C391" s="115">
        <f>'Comp YTD 2020-2019 '!F85</f>
        <v>995.74</v>
      </c>
      <c r="D391" s="115">
        <f>'BSC (Dome)'!P62</f>
        <v>3588.6675</v>
      </c>
      <c r="E391" s="115">
        <f t="shared" si="151"/>
        <v>2592.9274999999998</v>
      </c>
      <c r="G391" s="115">
        <f>'BSC (Dome)'!Q62</f>
        <v>4784.8900000000003</v>
      </c>
      <c r="I391" s="115">
        <f>'BSC (Dome)'!R62</f>
        <v>4784.8900000000003</v>
      </c>
      <c r="K391" s="115">
        <f t="shared" si="152"/>
        <v>1196.2225000000003</v>
      </c>
      <c r="M391" s="115">
        <f t="shared" si="153"/>
        <v>3789.1500000000005</v>
      </c>
      <c r="O391" s="115">
        <f t="shared" si="154"/>
        <v>2592.9275000000002</v>
      </c>
    </row>
    <row r="392" spans="1:15" s="27" customFormat="1" ht="42.75" customHeight="1" x14ac:dyDescent="0.5">
      <c r="A392" s="111" t="s">
        <v>214</v>
      </c>
      <c r="B392" s="114" t="s">
        <v>251</v>
      </c>
      <c r="C392" s="115">
        <f>'Comp YTD 2020-2019 '!F86</f>
        <v>89.68</v>
      </c>
      <c r="D392" s="115">
        <f>'BSC (Dome)'!P66</f>
        <v>801.15</v>
      </c>
      <c r="E392" s="115">
        <f t="shared" si="151"/>
        <v>711.47</v>
      </c>
      <c r="G392" s="115">
        <f>'BSC (Dome)'!Q66</f>
        <v>1068.2</v>
      </c>
      <c r="I392" s="115">
        <f>'BSC (Dome)'!R66</f>
        <v>1068.2</v>
      </c>
      <c r="K392" s="115">
        <f t="shared" si="152"/>
        <v>267.05000000000007</v>
      </c>
      <c r="M392" s="115">
        <f t="shared" si="153"/>
        <v>978.52</v>
      </c>
      <c r="O392" s="115">
        <f t="shared" si="154"/>
        <v>711.46999999999991</v>
      </c>
    </row>
    <row r="393" spans="1:15" s="27" customFormat="1" ht="42.75" customHeight="1" x14ac:dyDescent="0.5">
      <c r="A393" s="111" t="s">
        <v>214</v>
      </c>
      <c r="B393" s="114" t="s">
        <v>354</v>
      </c>
      <c r="C393" s="115">
        <f>'Comp YTD 2020-2019 '!F87</f>
        <v>250</v>
      </c>
      <c r="D393" s="115">
        <f>'BSC (Dome)'!P67</f>
        <v>1800</v>
      </c>
      <c r="E393" s="115">
        <f t="shared" si="151"/>
        <v>1550</v>
      </c>
      <c r="G393" s="115">
        <f>'BSC (Dome)'!Q67</f>
        <v>2400</v>
      </c>
      <c r="I393" s="115">
        <f>'BSC (Dome)'!R67</f>
        <v>5375</v>
      </c>
      <c r="K393" s="115">
        <f t="shared" si="152"/>
        <v>600</v>
      </c>
      <c r="M393" s="115">
        <f t="shared" si="153"/>
        <v>2150</v>
      </c>
      <c r="O393" s="115">
        <f t="shared" si="154"/>
        <v>1550</v>
      </c>
    </row>
    <row r="394" spans="1:15" s="27" customFormat="1" ht="42.75" customHeight="1" x14ac:dyDescent="0.5">
      <c r="A394" s="111" t="s">
        <v>214</v>
      </c>
      <c r="B394" s="114" t="s">
        <v>355</v>
      </c>
      <c r="C394" s="115">
        <f>'Comp YTD 2020-2019 '!F88</f>
        <v>1500</v>
      </c>
      <c r="D394" s="115">
        <f>'BSC (Dome)'!P68</f>
        <v>13500</v>
      </c>
      <c r="E394" s="115">
        <f t="shared" si="151"/>
        <v>12000</v>
      </c>
      <c r="G394" s="115">
        <f>'BSC (Dome)'!Q68</f>
        <v>18000</v>
      </c>
      <c r="I394" s="115">
        <f>'BSC (Dome)'!R68</f>
        <v>18000</v>
      </c>
      <c r="K394" s="115">
        <f t="shared" si="152"/>
        <v>4500</v>
      </c>
      <c r="M394" s="115">
        <f t="shared" si="153"/>
        <v>16500</v>
      </c>
      <c r="O394" s="115">
        <f t="shared" si="154"/>
        <v>12000</v>
      </c>
    </row>
    <row r="395" spans="1:15" s="27" customFormat="1" ht="42.75" hidden="1" customHeight="1" x14ac:dyDescent="0.5">
      <c r="A395" s="111" t="s">
        <v>214</v>
      </c>
      <c r="B395" s="114" t="s">
        <v>356</v>
      </c>
      <c r="C395" s="115">
        <f>'Comp YTD 2020-2019 '!F89</f>
        <v>0</v>
      </c>
      <c r="D395" s="115">
        <f>'BSC (Dome)'!P69</f>
        <v>0</v>
      </c>
      <c r="E395" s="115">
        <f t="shared" si="151"/>
        <v>0</v>
      </c>
      <c r="G395" s="115">
        <f>'BSC (Dome)'!Q69</f>
        <v>0</v>
      </c>
      <c r="I395" s="115">
        <f>'BSC (Dome)'!R69</f>
        <v>0</v>
      </c>
      <c r="K395" s="115">
        <f t="shared" si="152"/>
        <v>0</v>
      </c>
      <c r="M395" s="115">
        <f t="shared" si="153"/>
        <v>0</v>
      </c>
      <c r="O395" s="115">
        <f t="shared" si="154"/>
        <v>0</v>
      </c>
    </row>
    <row r="396" spans="1:15" s="27" customFormat="1" ht="42.75" hidden="1" customHeight="1" x14ac:dyDescent="0.5">
      <c r="A396" s="111" t="s">
        <v>214</v>
      </c>
      <c r="B396" s="114" t="s">
        <v>394</v>
      </c>
      <c r="C396" s="115">
        <f>'Comp YTD 2020-2019 '!F90</f>
        <v>0</v>
      </c>
      <c r="D396" s="115">
        <v>0</v>
      </c>
      <c r="E396" s="115">
        <f t="shared" si="151"/>
        <v>0</v>
      </c>
      <c r="G396" s="115">
        <v>0</v>
      </c>
      <c r="I396" s="115">
        <v>0</v>
      </c>
      <c r="K396" s="115">
        <f t="shared" si="152"/>
        <v>0</v>
      </c>
      <c r="M396" s="115">
        <f t="shared" si="153"/>
        <v>0</v>
      </c>
      <c r="O396" s="115">
        <f t="shared" si="154"/>
        <v>0</v>
      </c>
    </row>
    <row r="397" spans="1:15" s="27" customFormat="1" ht="42.75" hidden="1" customHeight="1" x14ac:dyDescent="0.5">
      <c r="A397" s="111" t="s">
        <v>214</v>
      </c>
      <c r="B397" s="114" t="s">
        <v>383</v>
      </c>
      <c r="C397" s="115">
        <f>'Comp YTD 2020-2019 '!F91</f>
        <v>0</v>
      </c>
      <c r="D397" s="115">
        <v>0</v>
      </c>
      <c r="E397" s="115">
        <f t="shared" si="151"/>
        <v>0</v>
      </c>
      <c r="G397" s="115">
        <v>0</v>
      </c>
      <c r="I397" s="115">
        <v>0</v>
      </c>
      <c r="K397" s="115">
        <f t="shared" si="152"/>
        <v>0</v>
      </c>
      <c r="M397" s="115">
        <f t="shared" si="153"/>
        <v>0</v>
      </c>
      <c r="O397" s="115">
        <f t="shared" si="154"/>
        <v>0</v>
      </c>
    </row>
    <row r="398" spans="1:15" s="27" customFormat="1" ht="42.75" customHeight="1" x14ac:dyDescent="0.5">
      <c r="A398" s="111" t="s">
        <v>214</v>
      </c>
      <c r="B398" s="114" t="s">
        <v>253</v>
      </c>
      <c r="C398" s="115">
        <f>'Comp YTD 2020-2019 '!F92</f>
        <v>1277.1500000000001</v>
      </c>
      <c r="D398" s="115">
        <f>'BSC (Dome)'!P64</f>
        <v>1294.8974999999998</v>
      </c>
      <c r="E398" s="115">
        <f t="shared" si="151"/>
        <v>17.747499999999718</v>
      </c>
      <c r="G398" s="115">
        <f>'BSC (Dome)'!Q64</f>
        <v>1726.5299999999995</v>
      </c>
      <c r="I398" s="115">
        <f>'BSC (Dome)'!R64</f>
        <v>1726.5299999999995</v>
      </c>
      <c r="K398" s="115">
        <f t="shared" si="152"/>
        <v>431.63249999999971</v>
      </c>
      <c r="M398" s="115">
        <f t="shared" si="153"/>
        <v>449.37999999999943</v>
      </c>
      <c r="O398" s="115">
        <f t="shared" si="154"/>
        <v>17.747499999999718</v>
      </c>
    </row>
    <row r="399" spans="1:15" s="27" customFormat="1" ht="42.75" customHeight="1" x14ac:dyDescent="0.5">
      <c r="A399" s="111" t="s">
        <v>214</v>
      </c>
      <c r="B399" s="114" t="s">
        <v>254</v>
      </c>
      <c r="C399" s="115">
        <f>'Comp YTD 2020-2019 '!F93</f>
        <v>0</v>
      </c>
      <c r="D399" s="115">
        <f>'BSC (Dome)'!P70</f>
        <v>481.5</v>
      </c>
      <c r="E399" s="115">
        <f t="shared" si="151"/>
        <v>481.5</v>
      </c>
      <c r="G399" s="115">
        <f>'BSC (Dome)'!Q70</f>
        <v>642</v>
      </c>
      <c r="I399" s="115">
        <f>'BSC (Dome)'!R70</f>
        <v>642</v>
      </c>
      <c r="K399" s="115">
        <f t="shared" si="152"/>
        <v>160.5</v>
      </c>
      <c r="M399" s="115">
        <f t="shared" si="153"/>
        <v>642</v>
      </c>
      <c r="O399" s="115">
        <f t="shared" si="154"/>
        <v>481.5</v>
      </c>
    </row>
    <row r="400" spans="1:15" s="27" customFormat="1" ht="42.75" hidden="1" customHeight="1" x14ac:dyDescent="0.5">
      <c r="A400" s="111" t="s">
        <v>214</v>
      </c>
      <c r="B400" s="114" t="s">
        <v>255</v>
      </c>
      <c r="C400" s="115">
        <f>'Comp YTD 2020-2019 '!F94</f>
        <v>0</v>
      </c>
      <c r="D400" s="115">
        <v>0</v>
      </c>
      <c r="E400" s="115">
        <f t="shared" si="151"/>
        <v>0</v>
      </c>
      <c r="G400" s="115">
        <v>0</v>
      </c>
      <c r="I400" s="115">
        <v>0</v>
      </c>
      <c r="K400" s="115">
        <f t="shared" si="152"/>
        <v>0</v>
      </c>
      <c r="M400" s="115">
        <f t="shared" si="153"/>
        <v>0</v>
      </c>
      <c r="O400" s="115">
        <f t="shared" si="154"/>
        <v>0</v>
      </c>
    </row>
    <row r="401" spans="1:15" s="27" customFormat="1" ht="42.75" customHeight="1" x14ac:dyDescent="0.5">
      <c r="A401" s="111" t="s">
        <v>214</v>
      </c>
      <c r="B401" s="114" t="s">
        <v>292</v>
      </c>
      <c r="C401" s="115">
        <f>'Comp YTD 2020-2019 '!F95</f>
        <v>0</v>
      </c>
      <c r="D401" s="115">
        <f>'BSC (Dome)'!P63</f>
        <v>1950</v>
      </c>
      <c r="E401" s="115">
        <f t="shared" si="151"/>
        <v>1950</v>
      </c>
      <c r="G401" s="115">
        <f>'BSC (Dome)'!Q63</f>
        <v>2600</v>
      </c>
      <c r="I401" s="115">
        <f>'BSC (Dome)'!R63</f>
        <v>2600</v>
      </c>
      <c r="K401" s="115">
        <f t="shared" si="152"/>
        <v>650</v>
      </c>
      <c r="M401" s="115">
        <f t="shared" si="153"/>
        <v>2600</v>
      </c>
      <c r="O401" s="115">
        <f t="shared" si="154"/>
        <v>1950</v>
      </c>
    </row>
    <row r="402" spans="1:15" s="27" customFormat="1" ht="42.75" customHeight="1" x14ac:dyDescent="0.5">
      <c r="A402" s="111" t="s">
        <v>214</v>
      </c>
      <c r="B402" s="114" t="s">
        <v>371</v>
      </c>
      <c r="C402" s="115">
        <f>'Comp YTD 2020-2019 '!F96</f>
        <v>0</v>
      </c>
      <c r="D402" s="115">
        <f>'BSC (Dome)'!P65</f>
        <v>10520.550000000001</v>
      </c>
      <c r="E402" s="115">
        <f t="shared" si="151"/>
        <v>10520.550000000001</v>
      </c>
      <c r="G402" s="115">
        <f>'BSC (Dome)'!Q65</f>
        <v>14027.4</v>
      </c>
      <c r="I402" s="115">
        <f>'BSC (Dome)'!R65</f>
        <v>14027.4</v>
      </c>
      <c r="K402" s="115">
        <f t="shared" si="152"/>
        <v>3506.8499999999985</v>
      </c>
      <c r="M402" s="115">
        <f t="shared" si="153"/>
        <v>14027.4</v>
      </c>
      <c r="O402" s="115">
        <f t="shared" si="154"/>
        <v>10520.550000000001</v>
      </c>
    </row>
    <row r="403" spans="1:15" s="27" customFormat="1" ht="42.75" hidden="1" customHeight="1" x14ac:dyDescent="0.5">
      <c r="A403" s="111" t="s">
        <v>214</v>
      </c>
      <c r="B403" s="114" t="s">
        <v>256</v>
      </c>
      <c r="C403" s="115">
        <f>'Comp YTD 2020-2019 '!F97</f>
        <v>0</v>
      </c>
      <c r="D403" s="115">
        <v>0</v>
      </c>
      <c r="E403" s="115">
        <f t="shared" si="151"/>
        <v>0</v>
      </c>
      <c r="G403" s="115">
        <v>0</v>
      </c>
      <c r="I403" s="115">
        <v>0</v>
      </c>
      <c r="K403" s="115">
        <f t="shared" si="152"/>
        <v>0</v>
      </c>
      <c r="M403" s="115">
        <f t="shared" si="153"/>
        <v>0</v>
      </c>
      <c r="O403" s="115">
        <f t="shared" si="154"/>
        <v>0</v>
      </c>
    </row>
    <row r="404" spans="1:15" s="27" customFormat="1" ht="42.75" hidden="1" customHeight="1" x14ac:dyDescent="0.5">
      <c r="A404" s="111" t="s">
        <v>214</v>
      </c>
      <c r="B404" s="114" t="s">
        <v>257</v>
      </c>
      <c r="C404" s="115">
        <f>'Comp YTD 2020-2019 '!F98</f>
        <v>0</v>
      </c>
      <c r="D404" s="115">
        <v>0</v>
      </c>
      <c r="E404" s="115">
        <f t="shared" si="151"/>
        <v>0</v>
      </c>
      <c r="G404" s="115">
        <v>0</v>
      </c>
      <c r="I404" s="115">
        <v>0</v>
      </c>
      <c r="K404" s="115">
        <f t="shared" si="152"/>
        <v>0</v>
      </c>
      <c r="M404" s="115">
        <f t="shared" si="153"/>
        <v>0</v>
      </c>
      <c r="O404" s="115">
        <f t="shared" si="154"/>
        <v>0</v>
      </c>
    </row>
    <row r="405" spans="1:15" s="27" customFormat="1" ht="42.75" hidden="1" customHeight="1" x14ac:dyDescent="0.5">
      <c r="A405" s="111" t="s">
        <v>214</v>
      </c>
      <c r="B405" s="114" t="s">
        <v>258</v>
      </c>
      <c r="C405" s="115">
        <f>'Comp YTD 2020-2019 '!F99</f>
        <v>0</v>
      </c>
      <c r="D405" s="115">
        <v>0</v>
      </c>
      <c r="E405" s="115">
        <f t="shared" si="151"/>
        <v>0</v>
      </c>
      <c r="G405" s="115">
        <v>0</v>
      </c>
      <c r="I405" s="115">
        <v>0</v>
      </c>
      <c r="K405" s="115">
        <f t="shared" si="152"/>
        <v>0</v>
      </c>
      <c r="M405" s="115">
        <f t="shared" si="153"/>
        <v>0</v>
      </c>
      <c r="O405" s="115">
        <f t="shared" si="154"/>
        <v>0</v>
      </c>
    </row>
    <row r="406" spans="1:15" s="27" customFormat="1" ht="42.75" hidden="1" customHeight="1" x14ac:dyDescent="0.5">
      <c r="A406" s="111" t="s">
        <v>214</v>
      </c>
      <c r="B406" s="114" t="s">
        <v>259</v>
      </c>
      <c r="C406" s="115">
        <f>'Comp YTD 2020-2019 '!F100</f>
        <v>0</v>
      </c>
      <c r="D406" s="115">
        <v>0</v>
      </c>
      <c r="E406" s="115">
        <f t="shared" si="151"/>
        <v>0</v>
      </c>
      <c r="G406" s="115">
        <v>0</v>
      </c>
      <c r="I406" s="115">
        <v>0</v>
      </c>
      <c r="K406" s="115">
        <f t="shared" si="152"/>
        <v>0</v>
      </c>
      <c r="M406" s="115">
        <f t="shared" si="153"/>
        <v>0</v>
      </c>
      <c r="O406" s="115">
        <f t="shared" si="154"/>
        <v>0</v>
      </c>
    </row>
    <row r="407" spans="1:15" s="27" customFormat="1" ht="42.75" customHeight="1" x14ac:dyDescent="0.5">
      <c r="A407" s="111" t="s">
        <v>214</v>
      </c>
      <c r="B407" s="112" t="s">
        <v>261</v>
      </c>
      <c r="C407" s="116">
        <f>SUM(C387:C406)</f>
        <v>4622.2800000000007</v>
      </c>
      <c r="D407" s="116">
        <f>SUM(D387:D406)</f>
        <v>39314.2575</v>
      </c>
      <c r="E407" s="116">
        <f>SUM(E387:E406)</f>
        <v>34691.977500000001</v>
      </c>
      <c r="G407" s="116">
        <f>SUM(G387:G406)</f>
        <v>52419.01</v>
      </c>
      <c r="I407" s="116">
        <f>SUM(I387:I406)</f>
        <v>55394.01</v>
      </c>
      <c r="K407" s="116">
        <f>SUM(K387:K406)</f>
        <v>13104.752499999999</v>
      </c>
      <c r="M407" s="116">
        <f>SUM(M387:M406)</f>
        <v>47796.73</v>
      </c>
      <c r="O407" s="116">
        <f>SUM(O387:O406)</f>
        <v>34691.977500000001</v>
      </c>
    </row>
    <row r="408" spans="1:15" s="27" customFormat="1" ht="42.75" customHeight="1" x14ac:dyDescent="0.5">
      <c r="A408" s="111" t="s">
        <v>214</v>
      </c>
      <c r="B408" s="114"/>
      <c r="C408" s="115"/>
      <c r="D408" s="115"/>
      <c r="E408" s="115"/>
      <c r="G408" s="115"/>
      <c r="I408" s="115"/>
      <c r="K408" s="115"/>
      <c r="M408" s="115"/>
      <c r="O408" s="115"/>
    </row>
    <row r="409" spans="1:15" s="27" customFormat="1" ht="42.75" customHeight="1" thickBot="1" x14ac:dyDescent="0.55000000000000004">
      <c r="A409" s="111" t="s">
        <v>214</v>
      </c>
      <c r="B409" s="112" t="s">
        <v>262</v>
      </c>
      <c r="C409" s="117">
        <f t="shared" ref="C409:E409" si="155">C359+C384+C407</f>
        <v>93968.790000000008</v>
      </c>
      <c r="D409" s="117">
        <f>D359+D384+D407</f>
        <v>576696.22499999998</v>
      </c>
      <c r="E409" s="117">
        <f t="shared" si="155"/>
        <v>482727.435</v>
      </c>
      <c r="G409" s="117">
        <f>G359+G384+G407</f>
        <v>768928.3</v>
      </c>
      <c r="I409" s="117">
        <f>I359+I384+I407</f>
        <v>771903.3</v>
      </c>
      <c r="K409" s="117">
        <f>K359+K384+K407</f>
        <v>192232.07500000001</v>
      </c>
      <c r="M409" s="117">
        <f>M359+M384+M407</f>
        <v>674959.51</v>
      </c>
      <c r="O409" s="117">
        <f>O359+O384+O407</f>
        <v>482727.435</v>
      </c>
    </row>
    <row r="410" spans="1:15" s="27" customFormat="1" ht="42.75" customHeight="1" x14ac:dyDescent="0.5">
      <c r="A410" s="111" t="s">
        <v>214</v>
      </c>
      <c r="B410" s="114"/>
      <c r="C410" s="115"/>
      <c r="D410" s="115"/>
      <c r="E410" s="115"/>
      <c r="G410" s="115"/>
      <c r="I410" s="115"/>
      <c r="K410" s="115"/>
      <c r="M410" s="115"/>
      <c r="O410" s="115"/>
    </row>
    <row r="411" spans="1:15" s="27" customFormat="1" ht="42.75" customHeight="1" x14ac:dyDescent="0.5">
      <c r="A411" s="111" t="s">
        <v>214</v>
      </c>
      <c r="B411" s="112" t="s">
        <v>454</v>
      </c>
      <c r="C411" s="115"/>
      <c r="D411" s="115"/>
      <c r="E411" s="115"/>
      <c r="G411" s="115"/>
      <c r="I411" s="115"/>
      <c r="K411" s="115"/>
      <c r="M411" s="115"/>
      <c r="O411" s="115"/>
    </row>
    <row r="412" spans="1:15" s="27" customFormat="1" ht="42.75" customHeight="1" x14ac:dyDescent="0.5">
      <c r="A412" s="111" t="s">
        <v>214</v>
      </c>
      <c r="B412" s="114" t="s">
        <v>265</v>
      </c>
      <c r="C412" s="115">
        <f>'Comp YTD 2020-2019 '!F106</f>
        <v>5000</v>
      </c>
      <c r="D412" s="115">
        <f>'BSC (Dome)'!P76+'BSC (Dome)'!P77</f>
        <v>48750</v>
      </c>
      <c r="E412" s="115">
        <f>D412-C412</f>
        <v>43750</v>
      </c>
      <c r="G412" s="115">
        <f>'BSC (Dome)'!Q76+'BSC (Dome)'!Q77</f>
        <v>65000</v>
      </c>
      <c r="I412" s="115">
        <f>'BSC (Dome)'!R76+'BSC (Dome)'!R77</f>
        <v>65000</v>
      </c>
      <c r="K412" s="115">
        <f>G412-D412</f>
        <v>16250</v>
      </c>
      <c r="M412" s="115">
        <f t="shared" ref="M412" si="156">G412-C412</f>
        <v>60000</v>
      </c>
      <c r="O412" s="115">
        <f>M412-K412</f>
        <v>43750</v>
      </c>
    </row>
    <row r="413" spans="1:15" s="27" customFormat="1" ht="42.75" hidden="1" customHeight="1" x14ac:dyDescent="0.5">
      <c r="A413" s="111" t="s">
        <v>214</v>
      </c>
      <c r="B413" s="114" t="s">
        <v>266</v>
      </c>
      <c r="C413" s="115">
        <f>'Comp YTD 2020-2019 '!F107</f>
        <v>0</v>
      </c>
      <c r="D413" s="115">
        <v>0</v>
      </c>
      <c r="E413" s="115">
        <f t="shared" ref="E413:E424" si="157">D413-C413</f>
        <v>0</v>
      </c>
      <c r="G413" s="115">
        <v>0</v>
      </c>
      <c r="I413" s="115">
        <v>0</v>
      </c>
      <c r="K413" s="115">
        <f t="shared" ref="K413:K424" si="158">G413-D413</f>
        <v>0</v>
      </c>
      <c r="M413" s="115">
        <f t="shared" ref="M413:M424" si="159">G413-C413</f>
        <v>0</v>
      </c>
      <c r="O413" s="115">
        <f t="shared" ref="O413:O424" si="160">M413-K413</f>
        <v>0</v>
      </c>
    </row>
    <row r="414" spans="1:15" s="27" customFormat="1" ht="42.75" hidden="1" customHeight="1" x14ac:dyDescent="0.5">
      <c r="A414" s="111" t="s">
        <v>214</v>
      </c>
      <c r="B414" s="114" t="s">
        <v>324</v>
      </c>
      <c r="C414" s="115">
        <f>'Comp YTD 2020-2019 '!F108</f>
        <v>0</v>
      </c>
      <c r="D414" s="115">
        <v>0</v>
      </c>
      <c r="E414" s="115">
        <f t="shared" si="157"/>
        <v>0</v>
      </c>
      <c r="G414" s="115">
        <v>0</v>
      </c>
      <c r="I414" s="115">
        <v>0</v>
      </c>
      <c r="K414" s="115">
        <f t="shared" si="158"/>
        <v>0</v>
      </c>
      <c r="M414" s="115">
        <f t="shared" si="159"/>
        <v>0</v>
      </c>
      <c r="O414" s="115">
        <f t="shared" si="160"/>
        <v>0</v>
      </c>
    </row>
    <row r="415" spans="1:15" s="27" customFormat="1" ht="42.75" hidden="1" customHeight="1" x14ac:dyDescent="0.5">
      <c r="A415" s="111" t="s">
        <v>214</v>
      </c>
      <c r="B415" s="114" t="s">
        <v>380</v>
      </c>
      <c r="C415" s="115">
        <f>'Comp YTD 2020-2019 '!F109</f>
        <v>0</v>
      </c>
      <c r="D415" s="115">
        <v>0</v>
      </c>
      <c r="E415" s="115">
        <f t="shared" si="157"/>
        <v>0</v>
      </c>
      <c r="G415" s="115">
        <v>0</v>
      </c>
      <c r="I415" s="115">
        <v>0</v>
      </c>
      <c r="K415" s="115">
        <f t="shared" si="158"/>
        <v>0</v>
      </c>
      <c r="M415" s="115">
        <f t="shared" si="159"/>
        <v>0</v>
      </c>
      <c r="O415" s="115">
        <f t="shared" si="160"/>
        <v>0</v>
      </c>
    </row>
    <row r="416" spans="1:15" s="27" customFormat="1" ht="42.75" hidden="1" customHeight="1" x14ac:dyDescent="0.5">
      <c r="A416" s="111" t="s">
        <v>214</v>
      </c>
      <c r="B416" s="114" t="s">
        <v>267</v>
      </c>
      <c r="C416" s="115">
        <f>'Comp YTD 2020-2019 '!F110</f>
        <v>0</v>
      </c>
      <c r="D416" s="115">
        <v>0</v>
      </c>
      <c r="E416" s="115">
        <f t="shared" si="157"/>
        <v>0</v>
      </c>
      <c r="G416" s="115">
        <v>0</v>
      </c>
      <c r="I416" s="115">
        <v>0</v>
      </c>
      <c r="K416" s="115">
        <f t="shared" si="158"/>
        <v>0</v>
      </c>
      <c r="M416" s="115">
        <f t="shared" si="159"/>
        <v>0</v>
      </c>
      <c r="O416" s="115">
        <f t="shared" si="160"/>
        <v>0</v>
      </c>
    </row>
    <row r="417" spans="1:15" s="27" customFormat="1" ht="42.75" hidden="1" customHeight="1" x14ac:dyDescent="0.5">
      <c r="A417" s="111" t="s">
        <v>214</v>
      </c>
      <c r="B417" s="114" t="s">
        <v>268</v>
      </c>
      <c r="C417" s="115">
        <f>'Comp YTD 2020-2019 '!F111</f>
        <v>645.83000000000004</v>
      </c>
      <c r="D417" s="115">
        <v>0</v>
      </c>
      <c r="E417" s="115">
        <f t="shared" si="157"/>
        <v>-645.83000000000004</v>
      </c>
      <c r="G417" s="115">
        <v>0</v>
      </c>
      <c r="I417" s="115">
        <v>0</v>
      </c>
      <c r="K417" s="115">
        <f t="shared" si="158"/>
        <v>0</v>
      </c>
      <c r="M417" s="115">
        <f t="shared" si="159"/>
        <v>-645.83000000000004</v>
      </c>
      <c r="O417" s="115">
        <f t="shared" si="160"/>
        <v>-645.83000000000004</v>
      </c>
    </row>
    <row r="418" spans="1:15" s="27" customFormat="1" ht="42.75" customHeight="1" x14ac:dyDescent="0.5">
      <c r="A418" s="111" t="s">
        <v>214</v>
      </c>
      <c r="B418" s="114" t="s">
        <v>269</v>
      </c>
      <c r="C418" s="115">
        <f>'Comp YTD 2020-2019 '!F112</f>
        <v>-9311.7000000000007</v>
      </c>
      <c r="D418" s="115">
        <f>'BSC (Dome)'!P80+'BSC (Dome)'!P81</f>
        <v>-86864.625</v>
      </c>
      <c r="E418" s="115">
        <f t="shared" si="157"/>
        <v>-77552.925000000003</v>
      </c>
      <c r="G418" s="115">
        <f>'BSC (Dome)'!Q80+'BSC (Dome)'!Q81</f>
        <v>-115819.5</v>
      </c>
      <c r="I418" s="115">
        <f>'BSC (Dome)'!R80+'BSC (Dome)'!R81</f>
        <v>-115819.5</v>
      </c>
      <c r="K418" s="115">
        <f t="shared" si="158"/>
        <v>-28954.875</v>
      </c>
      <c r="M418" s="115">
        <f t="shared" si="159"/>
        <v>-106507.8</v>
      </c>
      <c r="O418" s="115">
        <f t="shared" si="160"/>
        <v>-77552.925000000003</v>
      </c>
    </row>
    <row r="419" spans="1:15" s="27" customFormat="1" ht="42.75" customHeight="1" x14ac:dyDescent="0.5">
      <c r="A419" s="111" t="s">
        <v>214</v>
      </c>
      <c r="B419" s="114" t="s">
        <v>270</v>
      </c>
      <c r="C419" s="115">
        <f>'Comp YTD 2020-2019 '!F114</f>
        <v>0</v>
      </c>
      <c r="D419" s="115">
        <f>'BSC (Dome)'!P79</f>
        <v>1434.7349999999999</v>
      </c>
      <c r="E419" s="115">
        <f t="shared" si="157"/>
        <v>1434.7349999999999</v>
      </c>
      <c r="G419" s="115">
        <f>'BSC (Dome)'!Q79</f>
        <v>1912.98</v>
      </c>
      <c r="I419" s="115">
        <f>'BSC (Dome)'!R79</f>
        <v>1912.98</v>
      </c>
      <c r="K419" s="115">
        <f t="shared" si="158"/>
        <v>478.24500000000012</v>
      </c>
      <c r="M419" s="115">
        <f t="shared" si="159"/>
        <v>1912.98</v>
      </c>
      <c r="O419" s="115">
        <f t="shared" si="160"/>
        <v>1434.7349999999999</v>
      </c>
    </row>
    <row r="420" spans="1:15" s="27" customFormat="1" ht="42.75" hidden="1" customHeight="1" x14ac:dyDescent="0.5">
      <c r="A420" s="111" t="s">
        <v>214</v>
      </c>
      <c r="B420" s="114" t="s">
        <v>395</v>
      </c>
      <c r="C420" s="115">
        <f>'Comp YTD 2020-2019 '!F116</f>
        <v>0</v>
      </c>
      <c r="D420" s="115">
        <f>CNT!P611</f>
        <v>0</v>
      </c>
      <c r="E420" s="115">
        <f t="shared" si="157"/>
        <v>0</v>
      </c>
      <c r="G420" s="115">
        <f>CNT!Q611</f>
        <v>0</v>
      </c>
      <c r="I420" s="115">
        <f>CNT!R611</f>
        <v>0</v>
      </c>
      <c r="K420" s="115">
        <f t="shared" si="158"/>
        <v>0</v>
      </c>
      <c r="M420" s="115">
        <f t="shared" si="159"/>
        <v>0</v>
      </c>
      <c r="O420" s="115">
        <f t="shared" si="160"/>
        <v>0</v>
      </c>
    </row>
    <row r="421" spans="1:15" s="27" customFormat="1" ht="42.75" hidden="1" customHeight="1" x14ac:dyDescent="0.5">
      <c r="A421" s="111" t="s">
        <v>214</v>
      </c>
      <c r="B421" s="114" t="s">
        <v>430</v>
      </c>
      <c r="C421" s="115">
        <f>'Comp YTD 2020-2019 '!F117</f>
        <v>0</v>
      </c>
      <c r="D421" s="115">
        <f>CNT!P612</f>
        <v>0</v>
      </c>
      <c r="E421" s="115">
        <f t="shared" si="157"/>
        <v>0</v>
      </c>
      <c r="G421" s="115">
        <f>CNT!Q612</f>
        <v>0</v>
      </c>
      <c r="I421" s="115">
        <f>CNT!R612</f>
        <v>0</v>
      </c>
      <c r="K421" s="115">
        <f t="shared" si="158"/>
        <v>0</v>
      </c>
      <c r="M421" s="115">
        <f t="shared" si="159"/>
        <v>0</v>
      </c>
      <c r="O421" s="115">
        <f t="shared" si="160"/>
        <v>0</v>
      </c>
    </row>
    <row r="422" spans="1:15" s="27" customFormat="1" ht="42.75" hidden="1" customHeight="1" x14ac:dyDescent="0.5">
      <c r="A422" s="111" t="s">
        <v>214</v>
      </c>
      <c r="B422" s="114" t="s">
        <v>431</v>
      </c>
      <c r="C422" s="115">
        <f>'Comp YTD 2020-2019 '!F118</f>
        <v>0</v>
      </c>
      <c r="D422" s="115">
        <f>CNT!P614</f>
        <v>0</v>
      </c>
      <c r="E422" s="115">
        <f t="shared" si="157"/>
        <v>0</v>
      </c>
      <c r="G422" s="115">
        <f>CNT!Q614</f>
        <v>0</v>
      </c>
      <c r="I422" s="115">
        <f>CNT!R614</f>
        <v>0</v>
      </c>
      <c r="K422" s="115">
        <f t="shared" si="158"/>
        <v>0</v>
      </c>
      <c r="M422" s="115">
        <f t="shared" si="159"/>
        <v>0</v>
      </c>
      <c r="O422" s="115">
        <f t="shared" si="160"/>
        <v>0</v>
      </c>
    </row>
    <row r="423" spans="1:15" s="27" customFormat="1" ht="42.75" hidden="1" customHeight="1" x14ac:dyDescent="0.5">
      <c r="A423" s="111" t="s">
        <v>214</v>
      </c>
      <c r="B423" s="114" t="s">
        <v>396</v>
      </c>
      <c r="C423" s="115">
        <f>'Comp YTD 2020-2019 '!F119</f>
        <v>0</v>
      </c>
      <c r="D423" s="115">
        <f>CNT!P613</f>
        <v>0</v>
      </c>
      <c r="E423" s="115">
        <f t="shared" si="157"/>
        <v>0</v>
      </c>
      <c r="G423" s="115">
        <f>CNT!Q613</f>
        <v>0</v>
      </c>
      <c r="I423" s="115">
        <f>CNT!R613</f>
        <v>0</v>
      </c>
      <c r="K423" s="115">
        <f t="shared" si="158"/>
        <v>0</v>
      </c>
      <c r="M423" s="115">
        <f t="shared" si="159"/>
        <v>0</v>
      </c>
      <c r="O423" s="115">
        <f t="shared" si="160"/>
        <v>0</v>
      </c>
    </row>
    <row r="424" spans="1:15" s="27" customFormat="1" ht="42.75" hidden="1" customHeight="1" x14ac:dyDescent="0.5">
      <c r="A424" s="111" t="s">
        <v>214</v>
      </c>
      <c r="B424" s="114" t="s">
        <v>441</v>
      </c>
      <c r="C424" s="115">
        <f>'Comp YTD 2020-2019 '!F120</f>
        <v>0</v>
      </c>
      <c r="D424" s="115">
        <f>CNT!P615</f>
        <v>0</v>
      </c>
      <c r="E424" s="115">
        <f t="shared" si="157"/>
        <v>0</v>
      </c>
      <c r="G424" s="115">
        <f>CNT!Q615</f>
        <v>0</v>
      </c>
      <c r="I424" s="115">
        <f>CNT!R615</f>
        <v>0</v>
      </c>
      <c r="K424" s="115">
        <f t="shared" si="158"/>
        <v>0</v>
      </c>
      <c r="M424" s="115">
        <f t="shared" si="159"/>
        <v>0</v>
      </c>
      <c r="O424" s="115">
        <f t="shared" si="160"/>
        <v>0</v>
      </c>
    </row>
    <row r="425" spans="1:15" s="27" customFormat="1" ht="42.75" customHeight="1" x14ac:dyDescent="0.5">
      <c r="A425" s="111" t="s">
        <v>214</v>
      </c>
      <c r="B425" s="112" t="s">
        <v>455</v>
      </c>
      <c r="C425" s="116">
        <f t="shared" ref="C425:E425" si="161">SUM(C412:C424)</f>
        <v>-3665.8700000000008</v>
      </c>
      <c r="D425" s="116">
        <f>SUM(D412:D424)</f>
        <v>-36679.89</v>
      </c>
      <c r="E425" s="116">
        <f t="shared" si="161"/>
        <v>-33014.020000000004</v>
      </c>
      <c r="G425" s="116">
        <f>SUM(G412:G424)</f>
        <v>-48906.52</v>
      </c>
      <c r="I425" s="116">
        <f>SUM(I412:I424)</f>
        <v>-48906.52</v>
      </c>
      <c r="K425" s="116">
        <f>SUM(K412:K424)</f>
        <v>-12226.63</v>
      </c>
      <c r="M425" s="116">
        <f>SUM(M412:M424)</f>
        <v>-45240.65</v>
      </c>
      <c r="O425" s="116">
        <f>SUM(O412:O424)</f>
        <v>-33014.020000000004</v>
      </c>
    </row>
    <row r="426" spans="1:15" s="27" customFormat="1" ht="42.75" customHeight="1" x14ac:dyDescent="0.5">
      <c r="A426" s="111" t="s">
        <v>214</v>
      </c>
      <c r="B426" s="112"/>
      <c r="C426" s="115"/>
      <c r="D426" s="115"/>
      <c r="E426" s="115"/>
      <c r="G426" s="115"/>
      <c r="I426" s="115"/>
      <c r="K426" s="115"/>
      <c r="M426" s="115"/>
      <c r="O426" s="115"/>
    </row>
    <row r="427" spans="1:15" s="27" customFormat="1" ht="42.75" customHeight="1" thickBot="1" x14ac:dyDescent="0.55000000000000004">
      <c r="A427" s="111" t="s">
        <v>214</v>
      </c>
      <c r="B427" s="112" t="s">
        <v>264</v>
      </c>
      <c r="C427" s="118">
        <f t="shared" ref="C427" si="162">C344-C409+C425</f>
        <v>41640.389999999978</v>
      </c>
      <c r="D427" s="118">
        <f>D344-D409+D425</f>
        <v>-20170.267499999944</v>
      </c>
      <c r="E427" s="118">
        <f>E344-E409+E425</f>
        <v>-969672.25250000006</v>
      </c>
      <c r="G427" s="118">
        <f>G344-G409+G425</f>
        <v>-26893.689999999922</v>
      </c>
      <c r="I427" s="118">
        <f>I344-I409+I425</f>
        <v>-29868.689999999922</v>
      </c>
      <c r="K427" s="118">
        <f>K344-K409+K425</f>
        <v>-6723.4224999998933</v>
      </c>
      <c r="M427" s="118">
        <f>M344-M409+M425</f>
        <v>-68534.079999999813</v>
      </c>
      <c r="O427" s="118">
        <f>-(-O344-O409+O425)</f>
        <v>969672.25250000018</v>
      </c>
    </row>
    <row r="428" spans="1:15" ht="15.75" thickTop="1" x14ac:dyDescent="0.25"/>
    <row r="430" spans="1:15" s="27" customFormat="1" ht="42.75" hidden="1" customHeight="1" x14ac:dyDescent="0.5">
      <c r="A430" s="121" t="s">
        <v>213</v>
      </c>
      <c r="B430" s="122" t="s">
        <v>60</v>
      </c>
      <c r="C430" s="123"/>
      <c r="D430" s="123"/>
      <c r="E430" s="123"/>
      <c r="G430" s="123"/>
      <c r="I430" s="123"/>
      <c r="K430" s="123"/>
      <c r="M430" s="123"/>
      <c r="O430" s="123"/>
    </row>
    <row r="431" spans="1:15" s="27" customFormat="1" ht="42.75" hidden="1" customHeight="1" x14ac:dyDescent="0.5">
      <c r="A431" s="121" t="s">
        <v>213</v>
      </c>
      <c r="B431" s="124" t="s">
        <v>215</v>
      </c>
      <c r="C431" s="125">
        <v>0</v>
      </c>
      <c r="D431" s="125">
        <v>0</v>
      </c>
      <c r="E431" s="125">
        <f>D431-C431</f>
        <v>0</v>
      </c>
      <c r="G431" s="125">
        <v>0</v>
      </c>
      <c r="I431" s="125">
        <v>0</v>
      </c>
      <c r="K431" s="125">
        <f t="shared" ref="K431" si="163">G431-D431</f>
        <v>0</v>
      </c>
      <c r="M431" s="125">
        <f t="shared" ref="M431" si="164">G431-C431</f>
        <v>0</v>
      </c>
      <c r="O431" s="125">
        <f>M431-K431</f>
        <v>0</v>
      </c>
    </row>
    <row r="432" spans="1:15" s="27" customFormat="1" ht="42.75" hidden="1" customHeight="1" x14ac:dyDescent="0.5">
      <c r="A432" s="121" t="s">
        <v>213</v>
      </c>
      <c r="B432" s="124" t="s">
        <v>216</v>
      </c>
      <c r="C432" s="125">
        <v>0</v>
      </c>
      <c r="D432" s="125">
        <v>0</v>
      </c>
      <c r="E432" s="125">
        <f t="shared" ref="E432:E437" si="165">D432-C432</f>
        <v>0</v>
      </c>
      <c r="G432" s="125">
        <v>0</v>
      </c>
      <c r="I432" s="125">
        <v>0</v>
      </c>
      <c r="K432" s="125">
        <f t="shared" ref="K432:K437" si="166">G432-D432</f>
        <v>0</v>
      </c>
      <c r="M432" s="125">
        <f t="shared" ref="M432:M437" si="167">G432-C432</f>
        <v>0</v>
      </c>
      <c r="O432" s="125">
        <f t="shared" ref="O432:O437" si="168">M432-K432</f>
        <v>0</v>
      </c>
    </row>
    <row r="433" spans="1:15" s="27" customFormat="1" ht="42.75" hidden="1" customHeight="1" x14ac:dyDescent="0.5">
      <c r="A433" s="121" t="s">
        <v>213</v>
      </c>
      <c r="B433" s="124" t="s">
        <v>217</v>
      </c>
      <c r="C433" s="125">
        <v>0</v>
      </c>
      <c r="D433" s="125">
        <v>0</v>
      </c>
      <c r="E433" s="125">
        <f t="shared" si="165"/>
        <v>0</v>
      </c>
      <c r="G433" s="125">
        <v>0</v>
      </c>
      <c r="I433" s="125">
        <v>0</v>
      </c>
      <c r="K433" s="125">
        <f t="shared" si="166"/>
        <v>0</v>
      </c>
      <c r="M433" s="125">
        <f t="shared" si="167"/>
        <v>0</v>
      </c>
      <c r="O433" s="125">
        <f t="shared" si="168"/>
        <v>0</v>
      </c>
    </row>
    <row r="434" spans="1:15" s="27" customFormat="1" ht="42.75" hidden="1" customHeight="1" x14ac:dyDescent="0.5">
      <c r="A434" s="121" t="s">
        <v>213</v>
      </c>
      <c r="B434" s="124" t="s">
        <v>414</v>
      </c>
      <c r="C434" s="125">
        <v>0</v>
      </c>
      <c r="D434" s="125">
        <v>0</v>
      </c>
      <c r="E434" s="125">
        <f t="shared" si="165"/>
        <v>0</v>
      </c>
      <c r="G434" s="125">
        <v>0</v>
      </c>
      <c r="I434" s="125">
        <v>0</v>
      </c>
      <c r="K434" s="125">
        <f t="shared" si="166"/>
        <v>0</v>
      </c>
      <c r="M434" s="125">
        <f t="shared" si="167"/>
        <v>0</v>
      </c>
      <c r="O434" s="125">
        <f t="shared" si="168"/>
        <v>0</v>
      </c>
    </row>
    <row r="435" spans="1:15" s="27" customFormat="1" ht="42.75" hidden="1" customHeight="1" x14ac:dyDescent="0.5">
      <c r="A435" s="121" t="s">
        <v>213</v>
      </c>
      <c r="B435" s="124" t="s">
        <v>218</v>
      </c>
      <c r="C435" s="125">
        <v>0</v>
      </c>
      <c r="D435" s="125">
        <v>0</v>
      </c>
      <c r="E435" s="125">
        <f t="shared" si="165"/>
        <v>0</v>
      </c>
      <c r="G435" s="125">
        <v>0</v>
      </c>
      <c r="I435" s="125">
        <v>0</v>
      </c>
      <c r="K435" s="125">
        <f t="shared" si="166"/>
        <v>0</v>
      </c>
      <c r="M435" s="125">
        <f t="shared" si="167"/>
        <v>0</v>
      </c>
      <c r="O435" s="125">
        <f t="shared" si="168"/>
        <v>0</v>
      </c>
    </row>
    <row r="436" spans="1:15" s="27" customFormat="1" ht="42.75" hidden="1" customHeight="1" x14ac:dyDescent="0.5">
      <c r="A436" s="121" t="s">
        <v>213</v>
      </c>
      <c r="B436" s="124" t="s">
        <v>219</v>
      </c>
      <c r="C436" s="125">
        <v>0</v>
      </c>
      <c r="D436" s="125">
        <v>0</v>
      </c>
      <c r="E436" s="125">
        <f t="shared" si="165"/>
        <v>0</v>
      </c>
      <c r="G436" s="125">
        <v>0</v>
      </c>
      <c r="I436" s="125">
        <v>0</v>
      </c>
      <c r="K436" s="125">
        <f t="shared" si="166"/>
        <v>0</v>
      </c>
      <c r="M436" s="125">
        <f t="shared" si="167"/>
        <v>0</v>
      </c>
      <c r="O436" s="125">
        <f t="shared" si="168"/>
        <v>0</v>
      </c>
    </row>
    <row r="437" spans="1:15" s="27" customFormat="1" ht="42.75" hidden="1" customHeight="1" x14ac:dyDescent="0.5">
      <c r="A437" s="121" t="s">
        <v>213</v>
      </c>
      <c r="B437" s="124" t="s">
        <v>220</v>
      </c>
      <c r="C437" s="125">
        <v>0</v>
      </c>
      <c r="D437" s="125">
        <v>0</v>
      </c>
      <c r="E437" s="125">
        <f t="shared" si="165"/>
        <v>0</v>
      </c>
      <c r="G437" s="125">
        <v>0</v>
      </c>
      <c r="I437" s="125">
        <v>0</v>
      </c>
      <c r="K437" s="125">
        <f t="shared" si="166"/>
        <v>0</v>
      </c>
      <c r="M437" s="125">
        <f t="shared" si="167"/>
        <v>0</v>
      </c>
      <c r="O437" s="125">
        <f t="shared" si="168"/>
        <v>0</v>
      </c>
    </row>
    <row r="438" spans="1:15" s="27" customFormat="1" ht="42.75" hidden="1" customHeight="1" x14ac:dyDescent="0.5">
      <c r="A438" s="121" t="s">
        <v>213</v>
      </c>
      <c r="B438" s="122" t="s">
        <v>221</v>
      </c>
      <c r="C438" s="126">
        <f>SUM(C431:C437)</f>
        <v>0</v>
      </c>
      <c r="D438" s="126">
        <f>SUM(D431:D437)</f>
        <v>0</v>
      </c>
      <c r="E438" s="126">
        <f>SUM(E431:E437)</f>
        <v>0</v>
      </c>
      <c r="G438" s="126">
        <f>SUM(G431:G437)</f>
        <v>0</v>
      </c>
      <c r="I438" s="126">
        <f>SUM(I431:I437)</f>
        <v>0</v>
      </c>
      <c r="K438" s="126">
        <f>SUM(K431:K437)</f>
        <v>0</v>
      </c>
      <c r="M438" s="126">
        <f>SUM(M431:M437)</f>
        <v>0</v>
      </c>
      <c r="O438" s="126">
        <f>SUM(O431:O437)</f>
        <v>0</v>
      </c>
    </row>
    <row r="439" spans="1:15" s="27" customFormat="1" ht="42.75" hidden="1" customHeight="1" x14ac:dyDescent="0.5">
      <c r="A439" s="121" t="s">
        <v>213</v>
      </c>
      <c r="B439" s="124"/>
      <c r="C439" s="125"/>
      <c r="D439" s="125"/>
      <c r="E439" s="125"/>
      <c r="G439" s="125"/>
      <c r="I439" s="125"/>
      <c r="K439" s="125"/>
      <c r="M439" s="125"/>
      <c r="O439" s="125"/>
    </row>
    <row r="440" spans="1:15" s="27" customFormat="1" ht="42.75" hidden="1" customHeight="1" x14ac:dyDescent="0.5">
      <c r="A440" s="121" t="s">
        <v>213</v>
      </c>
      <c r="B440" s="122" t="s">
        <v>206</v>
      </c>
      <c r="C440" s="125"/>
      <c r="D440" s="125"/>
      <c r="E440" s="125"/>
      <c r="G440" s="125"/>
      <c r="I440" s="125"/>
      <c r="K440" s="125"/>
      <c r="M440" s="125"/>
      <c r="O440" s="125"/>
    </row>
    <row r="441" spans="1:15" s="27" customFormat="1" ht="42.75" hidden="1" customHeight="1" x14ac:dyDescent="0.5">
      <c r="A441" s="121" t="s">
        <v>213</v>
      </c>
      <c r="B441" s="124" t="s">
        <v>215</v>
      </c>
      <c r="C441" s="125">
        <v>0</v>
      </c>
      <c r="D441" s="125">
        <v>0</v>
      </c>
      <c r="E441" s="125">
        <f>D441-C441</f>
        <v>0</v>
      </c>
      <c r="G441" s="125">
        <v>0</v>
      </c>
      <c r="I441" s="125">
        <v>0</v>
      </c>
      <c r="K441" s="125">
        <f t="shared" ref="K441" si="169">G441-D441</f>
        <v>0</v>
      </c>
      <c r="M441" s="125">
        <f t="shared" ref="M441" si="170">G441-C441</f>
        <v>0</v>
      </c>
      <c r="O441" s="125">
        <f>M441-K441</f>
        <v>0</v>
      </c>
    </row>
    <row r="442" spans="1:15" s="27" customFormat="1" ht="42.75" hidden="1" customHeight="1" x14ac:dyDescent="0.5">
      <c r="A442" s="121" t="s">
        <v>213</v>
      </c>
      <c r="B442" s="124" t="s">
        <v>216</v>
      </c>
      <c r="C442" s="125">
        <v>0</v>
      </c>
      <c r="D442" s="125">
        <v>0</v>
      </c>
      <c r="E442" s="125">
        <f t="shared" ref="E442:E447" si="171">D442-C442</f>
        <v>0</v>
      </c>
      <c r="G442" s="125">
        <v>0</v>
      </c>
      <c r="I442" s="125">
        <v>0</v>
      </c>
      <c r="K442" s="125">
        <f t="shared" ref="K442:K447" si="172">G442-D442</f>
        <v>0</v>
      </c>
      <c r="M442" s="125">
        <f t="shared" ref="M442:M447" si="173">G442-C442</f>
        <v>0</v>
      </c>
      <c r="O442" s="125">
        <f t="shared" ref="O442:O447" si="174">M442-K442</f>
        <v>0</v>
      </c>
    </row>
    <row r="443" spans="1:15" s="27" customFormat="1" ht="42.75" hidden="1" customHeight="1" x14ac:dyDescent="0.5">
      <c r="A443" s="121" t="s">
        <v>213</v>
      </c>
      <c r="B443" s="124" t="s">
        <v>217</v>
      </c>
      <c r="C443" s="125">
        <v>0</v>
      </c>
      <c r="D443" s="125">
        <v>0</v>
      </c>
      <c r="E443" s="125">
        <f t="shared" si="171"/>
        <v>0</v>
      </c>
      <c r="G443" s="125">
        <v>0</v>
      </c>
      <c r="I443" s="125">
        <v>0</v>
      </c>
      <c r="K443" s="125">
        <f t="shared" si="172"/>
        <v>0</v>
      </c>
      <c r="M443" s="125">
        <f t="shared" si="173"/>
        <v>0</v>
      </c>
      <c r="O443" s="125">
        <f t="shared" si="174"/>
        <v>0</v>
      </c>
    </row>
    <row r="444" spans="1:15" s="27" customFormat="1" ht="42.75" hidden="1" customHeight="1" x14ac:dyDescent="0.5">
      <c r="A444" s="121" t="s">
        <v>213</v>
      </c>
      <c r="B444" s="124" t="s">
        <v>414</v>
      </c>
      <c r="C444" s="125">
        <v>0</v>
      </c>
      <c r="D444" s="125">
        <v>0</v>
      </c>
      <c r="E444" s="125">
        <f t="shared" si="171"/>
        <v>0</v>
      </c>
      <c r="G444" s="125">
        <v>0</v>
      </c>
      <c r="I444" s="125">
        <v>0</v>
      </c>
      <c r="K444" s="125">
        <f t="shared" si="172"/>
        <v>0</v>
      </c>
      <c r="M444" s="125">
        <f t="shared" si="173"/>
        <v>0</v>
      </c>
      <c r="O444" s="125">
        <f t="shared" si="174"/>
        <v>0</v>
      </c>
    </row>
    <row r="445" spans="1:15" s="27" customFormat="1" ht="42.75" hidden="1" customHeight="1" x14ac:dyDescent="0.5">
      <c r="A445" s="121" t="s">
        <v>213</v>
      </c>
      <c r="B445" s="124" t="s">
        <v>218</v>
      </c>
      <c r="C445" s="125">
        <v>0</v>
      </c>
      <c r="D445" s="125">
        <v>0</v>
      </c>
      <c r="E445" s="125">
        <f t="shared" si="171"/>
        <v>0</v>
      </c>
      <c r="G445" s="125">
        <v>0</v>
      </c>
      <c r="I445" s="125">
        <v>0</v>
      </c>
      <c r="K445" s="125">
        <f t="shared" si="172"/>
        <v>0</v>
      </c>
      <c r="M445" s="125">
        <f t="shared" si="173"/>
        <v>0</v>
      </c>
      <c r="O445" s="125">
        <f t="shared" si="174"/>
        <v>0</v>
      </c>
    </row>
    <row r="446" spans="1:15" s="27" customFormat="1" ht="42.75" hidden="1" customHeight="1" x14ac:dyDescent="0.5">
      <c r="A446" s="121" t="s">
        <v>213</v>
      </c>
      <c r="B446" s="124" t="s">
        <v>219</v>
      </c>
      <c r="C446" s="125">
        <v>0</v>
      </c>
      <c r="D446" s="125">
        <v>0</v>
      </c>
      <c r="E446" s="125">
        <f t="shared" si="171"/>
        <v>0</v>
      </c>
      <c r="G446" s="125">
        <v>0</v>
      </c>
      <c r="I446" s="125">
        <v>0</v>
      </c>
      <c r="K446" s="125">
        <f t="shared" si="172"/>
        <v>0</v>
      </c>
      <c r="M446" s="125">
        <f t="shared" si="173"/>
        <v>0</v>
      </c>
      <c r="O446" s="125">
        <f t="shared" si="174"/>
        <v>0</v>
      </c>
    </row>
    <row r="447" spans="1:15" s="27" customFormat="1" ht="42.75" hidden="1" customHeight="1" x14ac:dyDescent="0.5">
      <c r="A447" s="121" t="s">
        <v>213</v>
      </c>
      <c r="B447" s="124" t="s">
        <v>220</v>
      </c>
      <c r="C447" s="125">
        <v>0</v>
      </c>
      <c r="D447" s="125">
        <v>0</v>
      </c>
      <c r="E447" s="125">
        <f t="shared" si="171"/>
        <v>0</v>
      </c>
      <c r="G447" s="125">
        <v>0</v>
      </c>
      <c r="I447" s="125">
        <v>0</v>
      </c>
      <c r="K447" s="125">
        <f t="shared" si="172"/>
        <v>0</v>
      </c>
      <c r="M447" s="125">
        <f t="shared" si="173"/>
        <v>0</v>
      </c>
      <c r="O447" s="125">
        <f t="shared" si="174"/>
        <v>0</v>
      </c>
    </row>
    <row r="448" spans="1:15" s="27" customFormat="1" ht="42.75" hidden="1" customHeight="1" x14ac:dyDescent="0.5">
      <c r="A448" s="121" t="s">
        <v>213</v>
      </c>
      <c r="B448" s="122" t="s">
        <v>222</v>
      </c>
      <c r="C448" s="126">
        <f t="shared" ref="C448" si="175">SUM(C441:C447)</f>
        <v>0</v>
      </c>
      <c r="D448" s="126">
        <f>SUM(D441:D447)</f>
        <v>0</v>
      </c>
      <c r="E448" s="126">
        <f>SUM(E441:E447)</f>
        <v>0</v>
      </c>
      <c r="G448" s="126">
        <f>SUM(G441:G447)</f>
        <v>0</v>
      </c>
      <c r="I448" s="126">
        <f>SUM(I441:I447)</f>
        <v>0</v>
      </c>
      <c r="K448" s="126">
        <f>SUM(K441:K447)</f>
        <v>0</v>
      </c>
      <c r="M448" s="126">
        <f>SUM(M441:M447)</f>
        <v>0</v>
      </c>
      <c r="O448" s="126">
        <f>SUM(O441:O447)</f>
        <v>0</v>
      </c>
    </row>
    <row r="449" spans="1:15" s="27" customFormat="1" ht="42.75" hidden="1" customHeight="1" x14ac:dyDescent="0.5">
      <c r="A449" s="121" t="s">
        <v>213</v>
      </c>
      <c r="B449" s="124"/>
      <c r="C449" s="125"/>
      <c r="D449" s="125"/>
      <c r="E449" s="125"/>
      <c r="G449" s="125"/>
      <c r="I449" s="125"/>
      <c r="K449" s="125"/>
      <c r="M449" s="125"/>
      <c r="O449" s="125"/>
    </row>
    <row r="450" spans="1:15" s="27" customFormat="1" ht="42.75" hidden="1" customHeight="1" thickBot="1" x14ac:dyDescent="0.55000000000000004">
      <c r="A450" s="121" t="s">
        <v>213</v>
      </c>
      <c r="B450" s="122" t="s">
        <v>209</v>
      </c>
      <c r="C450" s="127">
        <f>C438-C448</f>
        <v>0</v>
      </c>
      <c r="D450" s="127">
        <f>D438-D448</f>
        <v>0</v>
      </c>
      <c r="E450" s="127">
        <f>C450-D450</f>
        <v>0</v>
      </c>
      <c r="G450" s="127">
        <f>G438-G448</f>
        <v>0</v>
      </c>
      <c r="I450" s="127">
        <f>I438-I448</f>
        <v>0</v>
      </c>
      <c r="K450" s="127">
        <f>K438-K448</f>
        <v>0</v>
      </c>
      <c r="M450" s="127">
        <f>M438-M448</f>
        <v>0</v>
      </c>
      <c r="O450" s="127">
        <f>O438-O448</f>
        <v>0</v>
      </c>
    </row>
    <row r="451" spans="1:15" s="27" customFormat="1" ht="42.75" hidden="1" customHeight="1" x14ac:dyDescent="0.5">
      <c r="A451" s="121" t="s">
        <v>213</v>
      </c>
      <c r="B451" s="124"/>
      <c r="C451" s="125"/>
      <c r="D451" s="125"/>
      <c r="E451" s="125"/>
      <c r="G451" s="125"/>
      <c r="I451" s="125"/>
      <c r="K451" s="125"/>
      <c r="M451" s="125"/>
      <c r="O451" s="125"/>
    </row>
    <row r="452" spans="1:15" s="27" customFormat="1" ht="42.75" customHeight="1" x14ac:dyDescent="0.5">
      <c r="A452" s="121" t="s">
        <v>213</v>
      </c>
      <c r="B452" s="122" t="s">
        <v>207</v>
      </c>
      <c r="C452" s="125"/>
      <c r="D452" s="125"/>
      <c r="E452" s="125"/>
      <c r="G452" s="125"/>
      <c r="I452" s="125"/>
      <c r="K452" s="125"/>
      <c r="M452" s="125"/>
      <c r="O452" s="125"/>
    </row>
    <row r="453" spans="1:15" s="27" customFormat="1" ht="42.75" hidden="1" customHeight="1" x14ac:dyDescent="0.5">
      <c r="A453" s="121" t="s">
        <v>213</v>
      </c>
      <c r="B453" s="124"/>
      <c r="C453" s="125"/>
      <c r="D453" s="125"/>
      <c r="E453" s="125"/>
      <c r="G453" s="125"/>
      <c r="I453" s="125"/>
      <c r="K453" s="125"/>
      <c r="M453" s="125"/>
      <c r="O453" s="125"/>
    </row>
    <row r="454" spans="1:15" s="27" customFormat="1" ht="42.75" hidden="1" customHeight="1" x14ac:dyDescent="0.5">
      <c r="A454" s="121" t="s">
        <v>213</v>
      </c>
      <c r="B454" s="122" t="s">
        <v>223</v>
      </c>
      <c r="C454" s="125"/>
      <c r="D454" s="125"/>
      <c r="E454" s="125"/>
      <c r="G454" s="125"/>
      <c r="I454" s="125"/>
      <c r="K454" s="125"/>
      <c r="M454" s="125"/>
      <c r="O454" s="125"/>
    </row>
    <row r="455" spans="1:15" s="27" customFormat="1" ht="42.75" hidden="1" customHeight="1" x14ac:dyDescent="0.5">
      <c r="A455" s="121" t="s">
        <v>213</v>
      </c>
      <c r="B455" s="124" t="s">
        <v>224</v>
      </c>
      <c r="C455" s="125">
        <v>0</v>
      </c>
      <c r="D455" s="125">
        <v>0</v>
      </c>
      <c r="E455" s="125">
        <f>D455-C455</f>
        <v>0</v>
      </c>
      <c r="G455" s="125">
        <v>0</v>
      </c>
      <c r="I455" s="125">
        <v>0</v>
      </c>
      <c r="K455" s="125">
        <f t="shared" ref="K455" si="176">G455-D455</f>
        <v>0</v>
      </c>
      <c r="M455" s="125">
        <f t="shared" ref="M455" si="177">G455-C455</f>
        <v>0</v>
      </c>
      <c r="O455" s="125">
        <f>M455-K455</f>
        <v>0</v>
      </c>
    </row>
    <row r="456" spans="1:15" s="27" customFormat="1" ht="42.75" hidden="1" customHeight="1" x14ac:dyDescent="0.5">
      <c r="A456" s="121" t="s">
        <v>213</v>
      </c>
      <c r="B456" s="124" t="s">
        <v>531</v>
      </c>
      <c r="C456" s="125">
        <v>0</v>
      </c>
      <c r="D456" s="125">
        <v>0</v>
      </c>
      <c r="E456" s="125">
        <f t="shared" ref="E456:E464" si="178">D456-C456</f>
        <v>0</v>
      </c>
      <c r="G456" s="125">
        <v>0</v>
      </c>
      <c r="I456" s="125">
        <v>0</v>
      </c>
      <c r="K456" s="125">
        <f t="shared" ref="K456:K464" si="179">G456-D456</f>
        <v>0</v>
      </c>
      <c r="M456" s="125">
        <f t="shared" ref="M456:M464" si="180">G456-C456</f>
        <v>0</v>
      </c>
      <c r="O456" s="125">
        <f t="shared" ref="O456:O464" si="181">M456-K456</f>
        <v>0</v>
      </c>
    </row>
    <row r="457" spans="1:15" s="27" customFormat="1" ht="42.75" hidden="1" customHeight="1" x14ac:dyDescent="0.5">
      <c r="A457" s="121" t="s">
        <v>213</v>
      </c>
      <c r="B457" s="124" t="s">
        <v>225</v>
      </c>
      <c r="C457" s="125">
        <v>0</v>
      </c>
      <c r="D457" s="125">
        <v>0</v>
      </c>
      <c r="E457" s="125">
        <f t="shared" si="178"/>
        <v>0</v>
      </c>
      <c r="G457" s="125">
        <v>0</v>
      </c>
      <c r="I457" s="125">
        <v>0</v>
      </c>
      <c r="K457" s="125">
        <f t="shared" si="179"/>
        <v>0</v>
      </c>
      <c r="M457" s="125">
        <f t="shared" si="180"/>
        <v>0</v>
      </c>
      <c r="O457" s="125">
        <f t="shared" si="181"/>
        <v>0</v>
      </c>
    </row>
    <row r="458" spans="1:15" s="27" customFormat="1" ht="42.75" hidden="1" customHeight="1" x14ac:dyDescent="0.5">
      <c r="A458" s="121" t="s">
        <v>213</v>
      </c>
      <c r="B458" s="124" t="s">
        <v>226</v>
      </c>
      <c r="C458" s="125">
        <v>0</v>
      </c>
      <c r="D458" s="125">
        <v>0</v>
      </c>
      <c r="E458" s="125">
        <f t="shared" si="178"/>
        <v>0</v>
      </c>
      <c r="G458" s="125">
        <v>0</v>
      </c>
      <c r="I458" s="125">
        <v>0</v>
      </c>
      <c r="K458" s="125">
        <f t="shared" si="179"/>
        <v>0</v>
      </c>
      <c r="M458" s="125">
        <f t="shared" si="180"/>
        <v>0</v>
      </c>
      <c r="O458" s="125">
        <f t="shared" si="181"/>
        <v>0</v>
      </c>
    </row>
    <row r="459" spans="1:15" s="27" customFormat="1" ht="42.75" hidden="1" customHeight="1" x14ac:dyDescent="0.5">
      <c r="A459" s="121" t="s">
        <v>213</v>
      </c>
      <c r="B459" s="124" t="s">
        <v>227</v>
      </c>
      <c r="C459" s="125">
        <v>0</v>
      </c>
      <c r="D459" s="125">
        <v>0</v>
      </c>
      <c r="E459" s="125">
        <f t="shared" si="178"/>
        <v>0</v>
      </c>
      <c r="G459" s="125">
        <v>0</v>
      </c>
      <c r="I459" s="125">
        <v>0</v>
      </c>
      <c r="K459" s="125">
        <f t="shared" si="179"/>
        <v>0</v>
      </c>
      <c r="M459" s="125">
        <f t="shared" si="180"/>
        <v>0</v>
      </c>
      <c r="O459" s="125">
        <f t="shared" si="181"/>
        <v>0</v>
      </c>
    </row>
    <row r="460" spans="1:15" s="27" customFormat="1" ht="42.75" hidden="1" customHeight="1" x14ac:dyDescent="0.5">
      <c r="A460" s="121" t="s">
        <v>213</v>
      </c>
      <c r="B460" s="124" t="s">
        <v>228</v>
      </c>
      <c r="C460" s="125">
        <v>0</v>
      </c>
      <c r="D460" s="125">
        <v>0</v>
      </c>
      <c r="E460" s="125">
        <f t="shared" si="178"/>
        <v>0</v>
      </c>
      <c r="G460" s="125">
        <v>0</v>
      </c>
      <c r="I460" s="125">
        <v>0</v>
      </c>
      <c r="K460" s="125">
        <f t="shared" si="179"/>
        <v>0</v>
      </c>
      <c r="M460" s="125">
        <f t="shared" si="180"/>
        <v>0</v>
      </c>
      <c r="O460" s="125">
        <f t="shared" si="181"/>
        <v>0</v>
      </c>
    </row>
    <row r="461" spans="1:15" s="27" customFormat="1" ht="42.75" hidden="1" customHeight="1" x14ac:dyDescent="0.5">
      <c r="A461" s="121" t="s">
        <v>213</v>
      </c>
      <c r="B461" s="124" t="s">
        <v>229</v>
      </c>
      <c r="C461" s="125">
        <v>0</v>
      </c>
      <c r="D461" s="125">
        <v>0</v>
      </c>
      <c r="E461" s="125">
        <f t="shared" si="178"/>
        <v>0</v>
      </c>
      <c r="G461" s="125">
        <v>0</v>
      </c>
      <c r="I461" s="125">
        <v>0</v>
      </c>
      <c r="K461" s="125">
        <f t="shared" si="179"/>
        <v>0</v>
      </c>
      <c r="M461" s="125">
        <f t="shared" si="180"/>
        <v>0</v>
      </c>
      <c r="O461" s="125">
        <f t="shared" si="181"/>
        <v>0</v>
      </c>
    </row>
    <row r="462" spans="1:15" s="27" customFormat="1" ht="42.75" hidden="1" customHeight="1" x14ac:dyDescent="0.5">
      <c r="A462" s="121" t="s">
        <v>213</v>
      </c>
      <c r="B462" s="124" t="s">
        <v>305</v>
      </c>
      <c r="C462" s="125">
        <v>0</v>
      </c>
      <c r="D462" s="125">
        <v>0</v>
      </c>
      <c r="E462" s="125">
        <f t="shared" si="178"/>
        <v>0</v>
      </c>
      <c r="G462" s="125">
        <v>0</v>
      </c>
      <c r="I462" s="125">
        <v>0</v>
      </c>
      <c r="K462" s="125">
        <f t="shared" si="179"/>
        <v>0</v>
      </c>
      <c r="M462" s="125">
        <f t="shared" si="180"/>
        <v>0</v>
      </c>
      <c r="O462" s="125">
        <f t="shared" si="181"/>
        <v>0</v>
      </c>
    </row>
    <row r="463" spans="1:15" s="27" customFormat="1" ht="42.75" hidden="1" customHeight="1" x14ac:dyDescent="0.5">
      <c r="A463" s="121" t="s">
        <v>213</v>
      </c>
      <c r="B463" s="124" t="s">
        <v>230</v>
      </c>
      <c r="C463" s="125">
        <v>0</v>
      </c>
      <c r="D463" s="125">
        <v>0</v>
      </c>
      <c r="E463" s="125">
        <f t="shared" si="178"/>
        <v>0</v>
      </c>
      <c r="G463" s="125">
        <v>0</v>
      </c>
      <c r="I463" s="125">
        <v>0</v>
      </c>
      <c r="K463" s="125">
        <f t="shared" si="179"/>
        <v>0</v>
      </c>
      <c r="M463" s="125">
        <f t="shared" si="180"/>
        <v>0</v>
      </c>
      <c r="O463" s="125">
        <f t="shared" si="181"/>
        <v>0</v>
      </c>
    </row>
    <row r="464" spans="1:15" s="27" customFormat="1" ht="42.75" hidden="1" customHeight="1" x14ac:dyDescent="0.5">
      <c r="A464" s="121" t="s">
        <v>213</v>
      </c>
      <c r="B464" s="124" t="s">
        <v>244</v>
      </c>
      <c r="C464" s="125">
        <v>0</v>
      </c>
      <c r="D464" s="125">
        <v>0</v>
      </c>
      <c r="E464" s="125">
        <f t="shared" si="178"/>
        <v>0</v>
      </c>
      <c r="G464" s="125">
        <v>0</v>
      </c>
      <c r="I464" s="125">
        <v>0</v>
      </c>
      <c r="K464" s="125">
        <f t="shared" si="179"/>
        <v>0</v>
      </c>
      <c r="M464" s="125">
        <f t="shared" si="180"/>
        <v>0</v>
      </c>
      <c r="O464" s="125">
        <f t="shared" si="181"/>
        <v>0</v>
      </c>
    </row>
    <row r="465" spans="1:15" s="27" customFormat="1" ht="42.75" hidden="1" customHeight="1" x14ac:dyDescent="0.5">
      <c r="A465" s="121" t="s">
        <v>213</v>
      </c>
      <c r="B465" s="122" t="s">
        <v>231</v>
      </c>
      <c r="C465" s="126">
        <f>SUM(C455:C464)</f>
        <v>0</v>
      </c>
      <c r="D465" s="126">
        <f t="shared" ref="D465:E465" si="182">SUM(D455:D464)</f>
        <v>0</v>
      </c>
      <c r="E465" s="126">
        <f t="shared" si="182"/>
        <v>0</v>
      </c>
      <c r="G465" s="126">
        <f>SUM(G455:G464)</f>
        <v>0</v>
      </c>
      <c r="I465" s="126">
        <f>SUM(I455:I464)</f>
        <v>0</v>
      </c>
      <c r="K465" s="126">
        <f>SUM(K455:K464)</f>
        <v>0</v>
      </c>
      <c r="M465" s="126">
        <f>SUM(M455:M464)</f>
        <v>0</v>
      </c>
      <c r="O465" s="126">
        <f>SUM(O455:O464)</f>
        <v>0</v>
      </c>
    </row>
    <row r="466" spans="1:15" s="27" customFormat="1" ht="42.75" hidden="1" customHeight="1" x14ac:dyDescent="0.5">
      <c r="A466" s="121" t="s">
        <v>213</v>
      </c>
      <c r="B466" s="124"/>
      <c r="C466" s="125"/>
      <c r="D466" s="125"/>
      <c r="E466" s="125"/>
      <c r="G466" s="125"/>
      <c r="I466" s="125"/>
      <c r="K466" s="125"/>
      <c r="M466" s="125"/>
      <c r="O466" s="125"/>
    </row>
    <row r="467" spans="1:15" s="27" customFormat="1" ht="42.75" customHeight="1" x14ac:dyDescent="0.5">
      <c r="A467" s="121" t="s">
        <v>213</v>
      </c>
      <c r="B467" s="122" t="s">
        <v>477</v>
      </c>
      <c r="C467" s="125"/>
      <c r="D467" s="125"/>
      <c r="E467" s="125"/>
      <c r="G467" s="125"/>
      <c r="I467" s="125"/>
      <c r="K467" s="125"/>
      <c r="M467" s="125"/>
      <c r="O467" s="125"/>
    </row>
    <row r="468" spans="1:15" s="27" customFormat="1" ht="42.75" hidden="1" customHeight="1" x14ac:dyDescent="0.5">
      <c r="A468" s="121" t="s">
        <v>213</v>
      </c>
      <c r="B468" s="124" t="s">
        <v>232</v>
      </c>
      <c r="C468" s="125">
        <v>0</v>
      </c>
      <c r="D468" s="125">
        <v>0</v>
      </c>
      <c r="E468" s="125">
        <f>D468-C468</f>
        <v>0</v>
      </c>
      <c r="G468" s="125">
        <v>0</v>
      </c>
      <c r="I468" s="125">
        <v>0</v>
      </c>
      <c r="K468" s="125">
        <f t="shared" ref="K468" si="183">G468-D468</f>
        <v>0</v>
      </c>
      <c r="M468" s="125">
        <f t="shared" ref="M468" si="184">G468-C468</f>
        <v>0</v>
      </c>
      <c r="O468" s="125">
        <f>M468-K468</f>
        <v>0</v>
      </c>
    </row>
    <row r="469" spans="1:15" s="27" customFormat="1" ht="42.75" hidden="1" customHeight="1" x14ac:dyDescent="0.5">
      <c r="A469" s="121" t="s">
        <v>213</v>
      </c>
      <c r="B469" s="124" t="s">
        <v>233</v>
      </c>
      <c r="C469" s="125">
        <v>0</v>
      </c>
      <c r="D469" s="125">
        <v>0</v>
      </c>
      <c r="E469" s="125">
        <f t="shared" ref="E469:E489" si="185">D469-C469</f>
        <v>0</v>
      </c>
      <c r="G469" s="125">
        <v>0</v>
      </c>
      <c r="I469" s="125">
        <v>0</v>
      </c>
      <c r="K469" s="125">
        <f t="shared" ref="K469:K489" si="186">G469-D469</f>
        <v>0</v>
      </c>
      <c r="M469" s="125">
        <f t="shared" ref="M469:M489" si="187">G469-C469</f>
        <v>0</v>
      </c>
      <c r="O469" s="125">
        <f t="shared" ref="O469:O489" si="188">M469-K469</f>
        <v>0</v>
      </c>
    </row>
    <row r="470" spans="1:15" s="27" customFormat="1" ht="42.75" hidden="1" customHeight="1" x14ac:dyDescent="0.5">
      <c r="A470" s="121" t="s">
        <v>213</v>
      </c>
      <c r="B470" s="124" t="s">
        <v>234</v>
      </c>
      <c r="C470" s="125">
        <v>0</v>
      </c>
      <c r="D470" s="125">
        <v>0</v>
      </c>
      <c r="E470" s="125">
        <f t="shared" si="185"/>
        <v>0</v>
      </c>
      <c r="G470" s="125">
        <v>0</v>
      </c>
      <c r="I470" s="125">
        <v>0</v>
      </c>
      <c r="K470" s="125">
        <f t="shared" si="186"/>
        <v>0</v>
      </c>
      <c r="M470" s="125">
        <f t="shared" si="187"/>
        <v>0</v>
      </c>
      <c r="O470" s="125">
        <f t="shared" si="188"/>
        <v>0</v>
      </c>
    </row>
    <row r="471" spans="1:15" s="27" customFormat="1" ht="42.75" hidden="1" customHeight="1" x14ac:dyDescent="0.5">
      <c r="A471" s="121" t="s">
        <v>213</v>
      </c>
      <c r="B471" s="124" t="s">
        <v>333</v>
      </c>
      <c r="C471" s="125">
        <v>0</v>
      </c>
      <c r="D471" s="125">
        <v>0</v>
      </c>
      <c r="E471" s="125">
        <f t="shared" si="185"/>
        <v>0</v>
      </c>
      <c r="G471" s="125">
        <v>0</v>
      </c>
      <c r="I471" s="125">
        <v>0</v>
      </c>
      <c r="K471" s="125">
        <f t="shared" si="186"/>
        <v>0</v>
      </c>
      <c r="M471" s="125">
        <f t="shared" si="187"/>
        <v>0</v>
      </c>
      <c r="O471" s="125">
        <f t="shared" si="188"/>
        <v>0</v>
      </c>
    </row>
    <row r="472" spans="1:15" s="27" customFormat="1" ht="42.75" hidden="1" customHeight="1" x14ac:dyDescent="0.5">
      <c r="A472" s="121" t="s">
        <v>213</v>
      </c>
      <c r="B472" s="124" t="s">
        <v>288</v>
      </c>
      <c r="C472" s="125">
        <v>0</v>
      </c>
      <c r="D472" s="125">
        <v>0</v>
      </c>
      <c r="E472" s="125">
        <f t="shared" si="185"/>
        <v>0</v>
      </c>
      <c r="G472" s="125">
        <v>0</v>
      </c>
      <c r="I472" s="125">
        <v>0</v>
      </c>
      <c r="K472" s="125">
        <f t="shared" si="186"/>
        <v>0</v>
      </c>
      <c r="M472" s="125">
        <f t="shared" si="187"/>
        <v>0</v>
      </c>
      <c r="O472" s="125">
        <f t="shared" si="188"/>
        <v>0</v>
      </c>
    </row>
    <row r="473" spans="1:15" s="27" customFormat="1" ht="42.75" hidden="1" customHeight="1" x14ac:dyDescent="0.5">
      <c r="A473" s="121" t="s">
        <v>213</v>
      </c>
      <c r="B473" s="124" t="s">
        <v>437</v>
      </c>
      <c r="C473" s="125">
        <v>0</v>
      </c>
      <c r="D473" s="125">
        <v>0</v>
      </c>
      <c r="E473" s="125">
        <f t="shared" si="185"/>
        <v>0</v>
      </c>
      <c r="G473" s="125">
        <v>0</v>
      </c>
      <c r="I473" s="125">
        <v>0</v>
      </c>
      <c r="K473" s="125">
        <f t="shared" si="186"/>
        <v>0</v>
      </c>
      <c r="M473" s="125">
        <f t="shared" si="187"/>
        <v>0</v>
      </c>
      <c r="O473" s="125">
        <f t="shared" si="188"/>
        <v>0</v>
      </c>
    </row>
    <row r="474" spans="1:15" s="27" customFormat="1" ht="42.75" hidden="1" customHeight="1" x14ac:dyDescent="0.5">
      <c r="A474" s="121" t="s">
        <v>213</v>
      </c>
      <c r="B474" s="124" t="s">
        <v>370</v>
      </c>
      <c r="C474" s="125">
        <v>0</v>
      </c>
      <c r="D474" s="125">
        <v>0</v>
      </c>
      <c r="E474" s="125">
        <f t="shared" si="185"/>
        <v>0</v>
      </c>
      <c r="G474" s="125">
        <v>0</v>
      </c>
      <c r="I474" s="125">
        <v>0</v>
      </c>
      <c r="K474" s="125">
        <f t="shared" si="186"/>
        <v>0</v>
      </c>
      <c r="M474" s="125">
        <f t="shared" si="187"/>
        <v>0</v>
      </c>
      <c r="O474" s="125">
        <f t="shared" si="188"/>
        <v>0</v>
      </c>
    </row>
    <row r="475" spans="1:15" s="27" customFormat="1" ht="42.75" hidden="1" customHeight="1" x14ac:dyDescent="0.5">
      <c r="A475" s="121" t="s">
        <v>213</v>
      </c>
      <c r="B475" s="124" t="s">
        <v>368</v>
      </c>
      <c r="C475" s="125">
        <v>0</v>
      </c>
      <c r="D475" s="125">
        <v>0</v>
      </c>
      <c r="E475" s="125">
        <f t="shared" si="185"/>
        <v>0</v>
      </c>
      <c r="G475" s="125">
        <v>0</v>
      </c>
      <c r="I475" s="125">
        <v>0</v>
      </c>
      <c r="K475" s="125">
        <f t="shared" si="186"/>
        <v>0</v>
      </c>
      <c r="M475" s="125">
        <f t="shared" si="187"/>
        <v>0</v>
      </c>
      <c r="O475" s="125">
        <f t="shared" si="188"/>
        <v>0</v>
      </c>
    </row>
    <row r="476" spans="1:15" s="27" customFormat="1" ht="42.75" hidden="1" customHeight="1" x14ac:dyDescent="0.5">
      <c r="A476" s="121" t="s">
        <v>213</v>
      </c>
      <c r="B476" s="124" t="s">
        <v>237</v>
      </c>
      <c r="C476" s="125">
        <v>0</v>
      </c>
      <c r="D476" s="125">
        <v>0</v>
      </c>
      <c r="E476" s="125">
        <f t="shared" si="185"/>
        <v>0</v>
      </c>
      <c r="G476" s="125">
        <v>0</v>
      </c>
      <c r="I476" s="125">
        <v>0</v>
      </c>
      <c r="K476" s="125">
        <f t="shared" si="186"/>
        <v>0</v>
      </c>
      <c r="M476" s="125">
        <f t="shared" si="187"/>
        <v>0</v>
      </c>
      <c r="O476" s="125">
        <f t="shared" si="188"/>
        <v>0</v>
      </c>
    </row>
    <row r="477" spans="1:15" s="27" customFormat="1" ht="42.75" hidden="1" customHeight="1" x14ac:dyDescent="0.5">
      <c r="A477" s="121" t="s">
        <v>213</v>
      </c>
      <c r="B477" s="124" t="s">
        <v>238</v>
      </c>
      <c r="C477" s="125">
        <v>0</v>
      </c>
      <c r="D477" s="125">
        <v>0</v>
      </c>
      <c r="E477" s="125">
        <f t="shared" si="185"/>
        <v>0</v>
      </c>
      <c r="G477" s="125">
        <v>0</v>
      </c>
      <c r="I477" s="125">
        <v>0</v>
      </c>
      <c r="K477" s="125">
        <f t="shared" si="186"/>
        <v>0</v>
      </c>
      <c r="M477" s="125">
        <f t="shared" si="187"/>
        <v>0</v>
      </c>
      <c r="O477" s="125">
        <f t="shared" si="188"/>
        <v>0</v>
      </c>
    </row>
    <row r="478" spans="1:15" s="27" customFormat="1" ht="42.75" hidden="1" customHeight="1" x14ac:dyDescent="0.5">
      <c r="A478" s="121" t="s">
        <v>213</v>
      </c>
      <c r="B478" s="124" t="s">
        <v>236</v>
      </c>
      <c r="C478" s="125">
        <v>0</v>
      </c>
      <c r="D478" s="125">
        <v>0</v>
      </c>
      <c r="E478" s="125">
        <f t="shared" si="185"/>
        <v>0</v>
      </c>
      <c r="G478" s="125">
        <v>0</v>
      </c>
      <c r="I478" s="125">
        <v>0</v>
      </c>
      <c r="K478" s="125">
        <f t="shared" si="186"/>
        <v>0</v>
      </c>
      <c r="M478" s="125">
        <f t="shared" si="187"/>
        <v>0</v>
      </c>
      <c r="O478" s="125">
        <f t="shared" si="188"/>
        <v>0</v>
      </c>
    </row>
    <row r="479" spans="1:15" s="27" customFormat="1" ht="42.75" customHeight="1" x14ac:dyDescent="0.5">
      <c r="A479" s="121" t="s">
        <v>213</v>
      </c>
      <c r="B479" s="124" t="s">
        <v>350</v>
      </c>
      <c r="C479" s="125">
        <f>'Comp YTD 2020-2019 '!E67</f>
        <v>110</v>
      </c>
      <c r="D479" s="125">
        <f>Lending!P11</f>
        <v>81.75</v>
      </c>
      <c r="E479" s="125">
        <f t="shared" si="185"/>
        <v>-28.25</v>
      </c>
      <c r="G479" s="125">
        <f>Lending!Q11</f>
        <v>109</v>
      </c>
      <c r="I479" s="125">
        <f>Lending!R11</f>
        <v>109</v>
      </c>
      <c r="K479" s="125">
        <f t="shared" si="186"/>
        <v>27.25</v>
      </c>
      <c r="M479" s="125">
        <f t="shared" si="187"/>
        <v>-1</v>
      </c>
      <c r="O479" s="125">
        <f>M479-K479</f>
        <v>-28.25</v>
      </c>
    </row>
    <row r="480" spans="1:15" s="27" customFormat="1" ht="42.75" hidden="1" customHeight="1" x14ac:dyDescent="0.5">
      <c r="A480" s="121" t="s">
        <v>213</v>
      </c>
      <c r="B480" s="124" t="s">
        <v>353</v>
      </c>
      <c r="C480" s="125">
        <v>0</v>
      </c>
      <c r="D480" s="125">
        <v>0</v>
      </c>
      <c r="E480" s="125">
        <f t="shared" si="185"/>
        <v>0</v>
      </c>
      <c r="G480" s="125">
        <v>0</v>
      </c>
      <c r="I480" s="125">
        <v>0</v>
      </c>
      <c r="K480" s="125">
        <f t="shared" si="186"/>
        <v>0</v>
      </c>
      <c r="M480" s="125">
        <f t="shared" si="187"/>
        <v>0</v>
      </c>
      <c r="O480" s="125">
        <f t="shared" si="188"/>
        <v>0</v>
      </c>
    </row>
    <row r="481" spans="1:15" s="27" customFormat="1" ht="42.75" hidden="1" customHeight="1" x14ac:dyDescent="0.5">
      <c r="A481" s="121" t="s">
        <v>213</v>
      </c>
      <c r="B481" s="124" t="s">
        <v>239</v>
      </c>
      <c r="C481" s="125">
        <v>0</v>
      </c>
      <c r="D481" s="125">
        <v>0</v>
      </c>
      <c r="E481" s="125">
        <f t="shared" si="185"/>
        <v>0</v>
      </c>
      <c r="G481" s="125">
        <v>0</v>
      </c>
      <c r="I481" s="125">
        <v>0</v>
      </c>
      <c r="K481" s="125">
        <f t="shared" si="186"/>
        <v>0</v>
      </c>
      <c r="M481" s="125">
        <f t="shared" si="187"/>
        <v>0</v>
      </c>
      <c r="O481" s="125">
        <f t="shared" si="188"/>
        <v>0</v>
      </c>
    </row>
    <row r="482" spans="1:15" s="27" customFormat="1" ht="42.75" hidden="1" customHeight="1" x14ac:dyDescent="0.5">
      <c r="A482" s="121" t="s">
        <v>213</v>
      </c>
      <c r="B482" s="124" t="s">
        <v>240</v>
      </c>
      <c r="C482" s="125">
        <v>0</v>
      </c>
      <c r="D482" s="125">
        <v>0</v>
      </c>
      <c r="E482" s="125">
        <f t="shared" si="185"/>
        <v>0</v>
      </c>
      <c r="G482" s="125">
        <v>0</v>
      </c>
      <c r="I482" s="125">
        <v>0</v>
      </c>
      <c r="K482" s="125">
        <f t="shared" si="186"/>
        <v>0</v>
      </c>
      <c r="M482" s="125">
        <f t="shared" si="187"/>
        <v>0</v>
      </c>
      <c r="O482" s="125">
        <f t="shared" si="188"/>
        <v>0</v>
      </c>
    </row>
    <row r="483" spans="1:15" s="27" customFormat="1" ht="42.75" hidden="1" customHeight="1" x14ac:dyDescent="0.5">
      <c r="A483" s="121" t="s">
        <v>213</v>
      </c>
      <c r="B483" s="124" t="s">
        <v>241</v>
      </c>
      <c r="C483" s="125">
        <v>0</v>
      </c>
      <c r="D483" s="125">
        <v>0</v>
      </c>
      <c r="E483" s="125">
        <f t="shared" si="185"/>
        <v>0</v>
      </c>
      <c r="G483" s="125">
        <v>0</v>
      </c>
      <c r="I483" s="125">
        <v>0</v>
      </c>
      <c r="K483" s="125">
        <f t="shared" si="186"/>
        <v>0</v>
      </c>
      <c r="M483" s="125">
        <f t="shared" si="187"/>
        <v>0</v>
      </c>
      <c r="O483" s="125">
        <f t="shared" si="188"/>
        <v>0</v>
      </c>
    </row>
    <row r="484" spans="1:15" s="27" customFormat="1" ht="42.75" hidden="1" customHeight="1" x14ac:dyDescent="0.5">
      <c r="A484" s="121" t="s">
        <v>213</v>
      </c>
      <c r="B484" s="124" t="s">
        <v>242</v>
      </c>
      <c r="C484" s="125">
        <v>0</v>
      </c>
      <c r="D484" s="125">
        <v>0</v>
      </c>
      <c r="E484" s="125">
        <f t="shared" si="185"/>
        <v>0</v>
      </c>
      <c r="G484" s="125">
        <v>0</v>
      </c>
      <c r="I484" s="125">
        <v>0</v>
      </c>
      <c r="K484" s="125">
        <f t="shared" si="186"/>
        <v>0</v>
      </c>
      <c r="M484" s="125">
        <f t="shared" si="187"/>
        <v>0</v>
      </c>
      <c r="O484" s="125">
        <f t="shared" si="188"/>
        <v>0</v>
      </c>
    </row>
    <row r="485" spans="1:15" s="27" customFormat="1" ht="42.75" hidden="1" customHeight="1" x14ac:dyDescent="0.5">
      <c r="A485" s="121" t="s">
        <v>213</v>
      </c>
      <c r="B485" s="124" t="s">
        <v>252</v>
      </c>
      <c r="C485" s="125">
        <v>0</v>
      </c>
      <c r="D485" s="125">
        <v>0</v>
      </c>
      <c r="E485" s="125">
        <f t="shared" si="185"/>
        <v>0</v>
      </c>
      <c r="G485" s="125">
        <v>0</v>
      </c>
      <c r="I485" s="125">
        <v>0</v>
      </c>
      <c r="K485" s="125">
        <f t="shared" si="186"/>
        <v>0</v>
      </c>
      <c r="M485" s="125">
        <f t="shared" si="187"/>
        <v>0</v>
      </c>
      <c r="O485" s="125">
        <f t="shared" si="188"/>
        <v>0</v>
      </c>
    </row>
    <row r="486" spans="1:15" s="27" customFormat="1" ht="42.75" hidden="1" customHeight="1" x14ac:dyDescent="0.5">
      <c r="A486" s="121" t="s">
        <v>213</v>
      </c>
      <c r="B486" s="124" t="s">
        <v>245</v>
      </c>
      <c r="C486" s="125">
        <v>0</v>
      </c>
      <c r="D486" s="125">
        <v>0</v>
      </c>
      <c r="E486" s="125">
        <f t="shared" si="185"/>
        <v>0</v>
      </c>
      <c r="G486" s="125">
        <v>0</v>
      </c>
      <c r="I486" s="125">
        <v>0</v>
      </c>
      <c r="K486" s="125">
        <f t="shared" si="186"/>
        <v>0</v>
      </c>
      <c r="M486" s="125">
        <f t="shared" si="187"/>
        <v>0</v>
      </c>
      <c r="O486" s="125">
        <f t="shared" si="188"/>
        <v>0</v>
      </c>
    </row>
    <row r="487" spans="1:15" s="27" customFormat="1" ht="42.75" hidden="1" customHeight="1" x14ac:dyDescent="0.5">
      <c r="A487" s="121" t="s">
        <v>213</v>
      </c>
      <c r="B487" s="124" t="s">
        <v>246</v>
      </c>
      <c r="C487" s="125">
        <v>0</v>
      </c>
      <c r="D487" s="125">
        <v>0</v>
      </c>
      <c r="E487" s="125">
        <f t="shared" si="185"/>
        <v>0</v>
      </c>
      <c r="G487" s="125">
        <v>0</v>
      </c>
      <c r="I487" s="125">
        <v>0</v>
      </c>
      <c r="K487" s="125">
        <f t="shared" si="186"/>
        <v>0</v>
      </c>
      <c r="M487" s="125">
        <f t="shared" si="187"/>
        <v>0</v>
      </c>
      <c r="O487" s="125">
        <f t="shared" si="188"/>
        <v>0</v>
      </c>
    </row>
    <row r="488" spans="1:15" s="27" customFormat="1" ht="42.75" hidden="1" customHeight="1" x14ac:dyDescent="0.5">
      <c r="A488" s="121" t="s">
        <v>213</v>
      </c>
      <c r="B488" s="124" t="s">
        <v>362</v>
      </c>
      <c r="C488" s="125">
        <v>0</v>
      </c>
      <c r="D488" s="125">
        <v>0</v>
      </c>
      <c r="E488" s="125">
        <f t="shared" si="185"/>
        <v>0</v>
      </c>
      <c r="G488" s="125">
        <v>0</v>
      </c>
      <c r="I488" s="125">
        <v>0</v>
      </c>
      <c r="K488" s="125">
        <f t="shared" si="186"/>
        <v>0</v>
      </c>
      <c r="M488" s="125">
        <f t="shared" si="187"/>
        <v>0</v>
      </c>
      <c r="O488" s="125">
        <f t="shared" si="188"/>
        <v>0</v>
      </c>
    </row>
    <row r="489" spans="1:15" s="27" customFormat="1" ht="42.75" hidden="1" customHeight="1" x14ac:dyDescent="0.5">
      <c r="A489" s="121" t="s">
        <v>213</v>
      </c>
      <c r="B489" s="124" t="s">
        <v>363</v>
      </c>
      <c r="C489" s="125">
        <v>0</v>
      </c>
      <c r="D489" s="125">
        <v>0</v>
      </c>
      <c r="E489" s="125">
        <f t="shared" si="185"/>
        <v>0</v>
      </c>
      <c r="G489" s="125">
        <v>0</v>
      </c>
      <c r="I489" s="125">
        <v>0</v>
      </c>
      <c r="K489" s="125">
        <f t="shared" si="186"/>
        <v>0</v>
      </c>
      <c r="M489" s="125">
        <f t="shared" si="187"/>
        <v>0</v>
      </c>
      <c r="O489" s="125">
        <f t="shared" si="188"/>
        <v>0</v>
      </c>
    </row>
    <row r="490" spans="1:15" s="27" customFormat="1" ht="42.75" customHeight="1" x14ac:dyDescent="0.5">
      <c r="A490" s="121" t="s">
        <v>213</v>
      </c>
      <c r="B490" s="122" t="s">
        <v>247</v>
      </c>
      <c r="C490" s="126">
        <f>SUM(C468:C489)</f>
        <v>110</v>
      </c>
      <c r="D490" s="126">
        <f t="shared" ref="D490" si="189">SUM(D468:D489)</f>
        <v>81.75</v>
      </c>
      <c r="E490" s="126">
        <f t="shared" ref="E490" si="190">SUM(E468:E489)</f>
        <v>-28.25</v>
      </c>
      <c r="G490" s="126">
        <f>SUM(G468:G489)</f>
        <v>109</v>
      </c>
      <c r="I490" s="126">
        <f>SUM(I468:I489)</f>
        <v>109</v>
      </c>
      <c r="K490" s="126">
        <f>SUM(K468:K489)</f>
        <v>27.25</v>
      </c>
      <c r="M490" s="126">
        <f>SUM(M468:M489)</f>
        <v>-1</v>
      </c>
      <c r="O490" s="126">
        <f>SUM(O468:O489)</f>
        <v>-28.25</v>
      </c>
    </row>
    <row r="491" spans="1:15" s="27" customFormat="1" ht="42.75" customHeight="1" x14ac:dyDescent="0.5">
      <c r="A491" s="121" t="s">
        <v>213</v>
      </c>
      <c r="B491" s="124"/>
      <c r="C491" s="125"/>
      <c r="D491" s="125"/>
      <c r="E491" s="125"/>
      <c r="G491" s="125"/>
      <c r="I491" s="125"/>
      <c r="K491" s="125"/>
      <c r="M491" s="125"/>
      <c r="O491" s="125"/>
    </row>
    <row r="492" spans="1:15" s="27" customFormat="1" ht="42.75" customHeight="1" x14ac:dyDescent="0.5">
      <c r="A492" s="121" t="s">
        <v>213</v>
      </c>
      <c r="B492" s="122" t="s">
        <v>248</v>
      </c>
      <c r="C492" s="125"/>
      <c r="D492" s="125"/>
      <c r="E492" s="125"/>
      <c r="G492" s="125"/>
      <c r="I492" s="125"/>
      <c r="K492" s="125"/>
      <c r="M492" s="125"/>
      <c r="O492" s="125"/>
    </row>
    <row r="493" spans="1:15" s="27" customFormat="1" ht="42.75" hidden="1" customHeight="1" x14ac:dyDescent="0.5">
      <c r="A493" s="121" t="s">
        <v>213</v>
      </c>
      <c r="B493" s="124" t="s">
        <v>249</v>
      </c>
      <c r="C493" s="125">
        <v>0</v>
      </c>
      <c r="D493" s="125">
        <v>0</v>
      </c>
      <c r="E493" s="125">
        <f>D493-C493</f>
        <v>0</v>
      </c>
      <c r="G493" s="125">
        <v>0</v>
      </c>
      <c r="I493" s="125">
        <v>0</v>
      </c>
      <c r="K493" s="125">
        <f t="shared" ref="K493" si="191">G493-D493</f>
        <v>0</v>
      </c>
      <c r="M493" s="125">
        <f t="shared" ref="M493" si="192">G493-C493</f>
        <v>0</v>
      </c>
      <c r="O493" s="125">
        <f>M493-K493</f>
        <v>0</v>
      </c>
    </row>
    <row r="494" spans="1:15" s="27" customFormat="1" ht="42.75" hidden="1" customHeight="1" x14ac:dyDescent="0.5">
      <c r="A494" s="121" t="s">
        <v>213</v>
      </c>
      <c r="B494" s="124" t="s">
        <v>385</v>
      </c>
      <c r="C494" s="125">
        <v>0</v>
      </c>
      <c r="D494" s="125">
        <v>0</v>
      </c>
      <c r="E494" s="125">
        <f t="shared" ref="E494:E512" si="193">D494-C494</f>
        <v>0</v>
      </c>
      <c r="G494" s="125">
        <v>0</v>
      </c>
      <c r="I494" s="125">
        <v>0</v>
      </c>
      <c r="K494" s="125">
        <f t="shared" ref="K494:K512" si="194">G494-D494</f>
        <v>0</v>
      </c>
      <c r="M494" s="125">
        <f t="shared" ref="M494:M512" si="195">G494-C494</f>
        <v>0</v>
      </c>
      <c r="O494" s="125">
        <f t="shared" ref="O494:O512" si="196">M494-K494</f>
        <v>0</v>
      </c>
    </row>
    <row r="495" spans="1:15" s="27" customFormat="1" ht="42.75" customHeight="1" x14ac:dyDescent="0.5">
      <c r="A495" s="121" t="s">
        <v>213</v>
      </c>
      <c r="B495" s="124" t="s">
        <v>533</v>
      </c>
      <c r="C495" s="125">
        <f>'Comp YTD 2020-2019 '!E83</f>
        <v>0</v>
      </c>
      <c r="D495" s="125">
        <f>Lending!P9</f>
        <v>3225</v>
      </c>
      <c r="E495" s="125">
        <f t="shared" si="193"/>
        <v>3225</v>
      </c>
      <c r="G495" s="125">
        <f>Lending!Q9</f>
        <v>4300</v>
      </c>
      <c r="I495" s="125">
        <f>Lending!R9</f>
        <v>4281.26</v>
      </c>
      <c r="K495" s="125">
        <f t="shared" si="194"/>
        <v>1075</v>
      </c>
      <c r="M495" s="125">
        <f t="shared" si="195"/>
        <v>4300</v>
      </c>
      <c r="O495" s="125">
        <f t="shared" si="196"/>
        <v>3225</v>
      </c>
    </row>
    <row r="496" spans="1:15" s="27" customFormat="1" ht="42.75" customHeight="1" x14ac:dyDescent="0.5">
      <c r="A496" s="121" t="s">
        <v>213</v>
      </c>
      <c r="B496" s="124" t="s">
        <v>250</v>
      </c>
      <c r="C496" s="125">
        <f>'Comp YTD 2020-2019 '!E84</f>
        <v>1.99</v>
      </c>
      <c r="D496" s="125">
        <f>Lending!P10</f>
        <v>907.12124999999992</v>
      </c>
      <c r="E496" s="125">
        <f t="shared" si="193"/>
        <v>905.13124999999991</v>
      </c>
      <c r="G496" s="125">
        <f>Lending!Q10</f>
        <v>1209.4949999999999</v>
      </c>
      <c r="I496" s="125">
        <f>Lending!R10</f>
        <v>2418.9900000000002</v>
      </c>
      <c r="K496" s="125">
        <f t="shared" si="194"/>
        <v>302.37374999999997</v>
      </c>
      <c r="M496" s="125">
        <f t="shared" si="195"/>
        <v>1207.5049999999999</v>
      </c>
      <c r="O496" s="125">
        <f t="shared" si="196"/>
        <v>905.13124999999991</v>
      </c>
    </row>
    <row r="497" spans="1:15" s="27" customFormat="1" ht="42.75" hidden="1" customHeight="1" x14ac:dyDescent="0.5">
      <c r="A497" s="121" t="s">
        <v>213</v>
      </c>
      <c r="B497" s="124" t="s">
        <v>357</v>
      </c>
      <c r="C497" s="125">
        <v>0</v>
      </c>
      <c r="D497" s="125">
        <v>0</v>
      </c>
      <c r="E497" s="125">
        <f t="shared" si="193"/>
        <v>0</v>
      </c>
      <c r="G497" s="125">
        <v>0</v>
      </c>
      <c r="I497" s="125">
        <v>0</v>
      </c>
      <c r="K497" s="125">
        <f t="shared" si="194"/>
        <v>0</v>
      </c>
      <c r="M497" s="125">
        <f t="shared" si="195"/>
        <v>0</v>
      </c>
      <c r="O497" s="125">
        <f t="shared" si="196"/>
        <v>0</v>
      </c>
    </row>
    <row r="498" spans="1:15" s="27" customFormat="1" ht="42.75" hidden="1" customHeight="1" x14ac:dyDescent="0.5">
      <c r="A498" s="121" t="s">
        <v>213</v>
      </c>
      <c r="B498" s="124" t="s">
        <v>251</v>
      </c>
      <c r="C498" s="125">
        <v>0</v>
      </c>
      <c r="D498" s="125">
        <v>0</v>
      </c>
      <c r="E498" s="125">
        <f t="shared" si="193"/>
        <v>0</v>
      </c>
      <c r="G498" s="125">
        <v>0</v>
      </c>
      <c r="I498" s="125">
        <v>0</v>
      </c>
      <c r="K498" s="125">
        <f t="shared" si="194"/>
        <v>0</v>
      </c>
      <c r="M498" s="125">
        <f t="shared" si="195"/>
        <v>0</v>
      </c>
      <c r="O498" s="125">
        <f t="shared" si="196"/>
        <v>0</v>
      </c>
    </row>
    <row r="499" spans="1:15" s="27" customFormat="1" ht="42.75" customHeight="1" x14ac:dyDescent="0.5">
      <c r="A499" s="121" t="s">
        <v>213</v>
      </c>
      <c r="B499" s="124" t="s">
        <v>354</v>
      </c>
      <c r="C499" s="125">
        <f>'Comp YTD 2020-2019 '!E87</f>
        <v>250</v>
      </c>
      <c r="D499" s="125">
        <f>Lending!P13</f>
        <v>1440</v>
      </c>
      <c r="E499" s="125">
        <f t="shared" si="193"/>
        <v>1190</v>
      </c>
      <c r="G499" s="125">
        <f>Lending!Q13</f>
        <v>1920</v>
      </c>
      <c r="I499" s="125">
        <f>Lending!R13</f>
        <v>2575.0000000000005</v>
      </c>
      <c r="K499" s="125">
        <f t="shared" si="194"/>
        <v>480</v>
      </c>
      <c r="M499" s="125">
        <f t="shared" si="195"/>
        <v>1670</v>
      </c>
      <c r="O499" s="125">
        <f t="shared" si="196"/>
        <v>1190</v>
      </c>
    </row>
    <row r="500" spans="1:15" s="27" customFormat="1" ht="42.75" hidden="1" customHeight="1" x14ac:dyDescent="0.5">
      <c r="A500" s="121" t="s">
        <v>213</v>
      </c>
      <c r="B500" s="124" t="s">
        <v>355</v>
      </c>
      <c r="C500" s="125">
        <v>0</v>
      </c>
      <c r="D500" s="125">
        <v>0</v>
      </c>
      <c r="E500" s="125">
        <f t="shared" si="193"/>
        <v>0</v>
      </c>
      <c r="G500" s="125">
        <v>0</v>
      </c>
      <c r="I500" s="125">
        <v>0</v>
      </c>
      <c r="K500" s="125">
        <f t="shared" si="194"/>
        <v>0</v>
      </c>
      <c r="M500" s="125">
        <f t="shared" si="195"/>
        <v>0</v>
      </c>
      <c r="O500" s="125">
        <f t="shared" si="196"/>
        <v>0</v>
      </c>
    </row>
    <row r="501" spans="1:15" s="27" customFormat="1" ht="42.75" customHeight="1" x14ac:dyDescent="0.5">
      <c r="A501" s="121" t="s">
        <v>213</v>
      </c>
      <c r="B501" s="124" t="s">
        <v>356</v>
      </c>
      <c r="C501" s="125">
        <f>'Comp YTD 2020-2019 '!E89</f>
        <v>0</v>
      </c>
      <c r="D501" s="125">
        <f>Lending!P12</f>
        <v>0</v>
      </c>
      <c r="E501" s="125">
        <f t="shared" si="193"/>
        <v>0</v>
      </c>
      <c r="G501" s="125">
        <f>Lending!Q12</f>
        <v>0</v>
      </c>
      <c r="I501" s="125">
        <f>Lending!R12</f>
        <v>22500</v>
      </c>
      <c r="K501" s="125">
        <f t="shared" si="194"/>
        <v>0</v>
      </c>
      <c r="M501" s="125">
        <f t="shared" si="195"/>
        <v>0</v>
      </c>
      <c r="O501" s="125">
        <f t="shared" si="196"/>
        <v>0</v>
      </c>
    </row>
    <row r="502" spans="1:15" s="27" customFormat="1" ht="42.75" hidden="1" customHeight="1" x14ac:dyDescent="0.5">
      <c r="A502" s="121" t="s">
        <v>213</v>
      </c>
      <c r="B502" s="124" t="s">
        <v>394</v>
      </c>
      <c r="C502" s="125">
        <v>0</v>
      </c>
      <c r="D502" s="125">
        <v>0</v>
      </c>
      <c r="E502" s="125">
        <f t="shared" si="193"/>
        <v>0</v>
      </c>
      <c r="G502" s="125">
        <v>0</v>
      </c>
      <c r="I502" s="125">
        <v>0</v>
      </c>
      <c r="K502" s="125">
        <f t="shared" si="194"/>
        <v>0</v>
      </c>
      <c r="M502" s="125">
        <f t="shared" si="195"/>
        <v>0</v>
      </c>
      <c r="O502" s="125">
        <f t="shared" si="196"/>
        <v>0</v>
      </c>
    </row>
    <row r="503" spans="1:15" s="27" customFormat="1" ht="42.75" hidden="1" customHeight="1" x14ac:dyDescent="0.5">
      <c r="A503" s="121" t="s">
        <v>213</v>
      </c>
      <c r="B503" s="124" t="s">
        <v>383</v>
      </c>
      <c r="C503" s="125">
        <v>0</v>
      </c>
      <c r="D503" s="125">
        <v>0</v>
      </c>
      <c r="E503" s="125">
        <f t="shared" si="193"/>
        <v>0</v>
      </c>
      <c r="G503" s="125">
        <v>0</v>
      </c>
      <c r="I503" s="125">
        <v>0</v>
      </c>
      <c r="K503" s="125">
        <f t="shared" si="194"/>
        <v>0</v>
      </c>
      <c r="M503" s="125">
        <f t="shared" si="195"/>
        <v>0</v>
      </c>
      <c r="O503" s="125">
        <f t="shared" si="196"/>
        <v>0</v>
      </c>
    </row>
    <row r="504" spans="1:15" s="27" customFormat="1" ht="42.75" hidden="1" customHeight="1" x14ac:dyDescent="0.5">
      <c r="A504" s="121" t="s">
        <v>213</v>
      </c>
      <c r="B504" s="124" t="s">
        <v>253</v>
      </c>
      <c r="C504" s="125">
        <v>0</v>
      </c>
      <c r="D504" s="125">
        <v>0</v>
      </c>
      <c r="E504" s="125">
        <f t="shared" si="193"/>
        <v>0</v>
      </c>
      <c r="G504" s="125">
        <v>0</v>
      </c>
      <c r="I504" s="125">
        <v>0</v>
      </c>
      <c r="K504" s="125">
        <f t="shared" si="194"/>
        <v>0</v>
      </c>
      <c r="M504" s="125">
        <f t="shared" si="195"/>
        <v>0</v>
      </c>
      <c r="O504" s="125">
        <f t="shared" si="196"/>
        <v>0</v>
      </c>
    </row>
    <row r="505" spans="1:15" s="27" customFormat="1" ht="42.75" hidden="1" customHeight="1" x14ac:dyDescent="0.5">
      <c r="A505" s="121" t="s">
        <v>213</v>
      </c>
      <c r="B505" s="124" t="s">
        <v>254</v>
      </c>
      <c r="C505" s="125">
        <v>0</v>
      </c>
      <c r="D505" s="125">
        <v>0</v>
      </c>
      <c r="E505" s="125">
        <f t="shared" si="193"/>
        <v>0</v>
      </c>
      <c r="G505" s="125">
        <v>0</v>
      </c>
      <c r="I505" s="125">
        <v>0</v>
      </c>
      <c r="K505" s="125">
        <f t="shared" si="194"/>
        <v>0</v>
      </c>
      <c r="M505" s="125">
        <f t="shared" si="195"/>
        <v>0</v>
      </c>
      <c r="O505" s="125">
        <f t="shared" si="196"/>
        <v>0</v>
      </c>
    </row>
    <row r="506" spans="1:15" s="27" customFormat="1" ht="42.75" hidden="1" customHeight="1" x14ac:dyDescent="0.5">
      <c r="A506" s="121" t="s">
        <v>213</v>
      </c>
      <c r="B506" s="124" t="s">
        <v>255</v>
      </c>
      <c r="C506" s="125">
        <v>0</v>
      </c>
      <c r="D506" s="125">
        <v>0</v>
      </c>
      <c r="E506" s="125">
        <f t="shared" si="193"/>
        <v>0</v>
      </c>
      <c r="G506" s="125">
        <v>0</v>
      </c>
      <c r="I506" s="125">
        <v>0</v>
      </c>
      <c r="K506" s="125">
        <f t="shared" si="194"/>
        <v>0</v>
      </c>
      <c r="M506" s="125">
        <f t="shared" si="195"/>
        <v>0</v>
      </c>
      <c r="O506" s="125">
        <f t="shared" si="196"/>
        <v>0</v>
      </c>
    </row>
    <row r="507" spans="1:15" s="27" customFormat="1" ht="42.75" hidden="1" customHeight="1" x14ac:dyDescent="0.5">
      <c r="A507" s="121" t="s">
        <v>213</v>
      </c>
      <c r="B507" s="124" t="s">
        <v>292</v>
      </c>
      <c r="C507" s="125">
        <v>0</v>
      </c>
      <c r="D507" s="125">
        <v>0</v>
      </c>
      <c r="E507" s="125">
        <f t="shared" si="193"/>
        <v>0</v>
      </c>
      <c r="G507" s="125">
        <v>0</v>
      </c>
      <c r="I507" s="125">
        <v>0</v>
      </c>
      <c r="K507" s="125">
        <f t="shared" si="194"/>
        <v>0</v>
      </c>
      <c r="M507" s="125">
        <f t="shared" si="195"/>
        <v>0</v>
      </c>
      <c r="O507" s="125">
        <f t="shared" si="196"/>
        <v>0</v>
      </c>
    </row>
    <row r="508" spans="1:15" s="27" customFormat="1" ht="42.75" hidden="1" customHeight="1" x14ac:dyDescent="0.5">
      <c r="A508" s="121" t="s">
        <v>213</v>
      </c>
      <c r="B508" s="124" t="s">
        <v>371</v>
      </c>
      <c r="C508" s="125">
        <v>0</v>
      </c>
      <c r="D508" s="125">
        <v>0</v>
      </c>
      <c r="E508" s="125">
        <f t="shared" si="193"/>
        <v>0</v>
      </c>
      <c r="G508" s="125">
        <v>0</v>
      </c>
      <c r="I508" s="125">
        <v>0</v>
      </c>
      <c r="K508" s="125">
        <f t="shared" si="194"/>
        <v>0</v>
      </c>
      <c r="M508" s="125">
        <f t="shared" si="195"/>
        <v>0</v>
      </c>
      <c r="O508" s="125">
        <f t="shared" si="196"/>
        <v>0</v>
      </c>
    </row>
    <row r="509" spans="1:15" s="27" customFormat="1" ht="42.75" hidden="1" customHeight="1" x14ac:dyDescent="0.5">
      <c r="A509" s="121" t="s">
        <v>213</v>
      </c>
      <c r="B509" s="124" t="s">
        <v>256</v>
      </c>
      <c r="C509" s="125">
        <v>0</v>
      </c>
      <c r="D509" s="125">
        <v>0</v>
      </c>
      <c r="E509" s="125">
        <f t="shared" si="193"/>
        <v>0</v>
      </c>
      <c r="G509" s="125">
        <v>0</v>
      </c>
      <c r="I509" s="125">
        <v>0</v>
      </c>
      <c r="K509" s="125">
        <f t="shared" si="194"/>
        <v>0</v>
      </c>
      <c r="M509" s="125">
        <f t="shared" si="195"/>
        <v>0</v>
      </c>
      <c r="O509" s="125">
        <f t="shared" si="196"/>
        <v>0</v>
      </c>
    </row>
    <row r="510" spans="1:15" s="27" customFormat="1" ht="42.75" hidden="1" customHeight="1" x14ac:dyDescent="0.5">
      <c r="A510" s="121" t="s">
        <v>213</v>
      </c>
      <c r="B510" s="124" t="s">
        <v>257</v>
      </c>
      <c r="C510" s="125">
        <v>0</v>
      </c>
      <c r="D510" s="125">
        <v>0</v>
      </c>
      <c r="E510" s="125">
        <f t="shared" si="193"/>
        <v>0</v>
      </c>
      <c r="G510" s="125">
        <v>0</v>
      </c>
      <c r="I510" s="125">
        <v>0</v>
      </c>
      <c r="K510" s="125">
        <f t="shared" si="194"/>
        <v>0</v>
      </c>
      <c r="M510" s="125">
        <f t="shared" si="195"/>
        <v>0</v>
      </c>
      <c r="O510" s="125">
        <f t="shared" si="196"/>
        <v>0</v>
      </c>
    </row>
    <row r="511" spans="1:15" s="27" customFormat="1" ht="42.75" hidden="1" customHeight="1" x14ac:dyDescent="0.5">
      <c r="A511" s="121" t="s">
        <v>213</v>
      </c>
      <c r="B511" s="124" t="s">
        <v>258</v>
      </c>
      <c r="C511" s="125">
        <v>0</v>
      </c>
      <c r="D511" s="125">
        <v>0</v>
      </c>
      <c r="E511" s="125">
        <f t="shared" si="193"/>
        <v>0</v>
      </c>
      <c r="G511" s="125">
        <v>0</v>
      </c>
      <c r="I511" s="125">
        <v>0</v>
      </c>
      <c r="K511" s="125">
        <f t="shared" si="194"/>
        <v>0</v>
      </c>
      <c r="M511" s="125">
        <f t="shared" si="195"/>
        <v>0</v>
      </c>
      <c r="O511" s="125">
        <f t="shared" si="196"/>
        <v>0</v>
      </c>
    </row>
    <row r="512" spans="1:15" s="27" customFormat="1" ht="42.75" hidden="1" customHeight="1" x14ac:dyDescent="0.5">
      <c r="A512" s="121" t="s">
        <v>213</v>
      </c>
      <c r="B512" s="124" t="s">
        <v>259</v>
      </c>
      <c r="C512" s="125">
        <v>0</v>
      </c>
      <c r="D512" s="125">
        <v>0</v>
      </c>
      <c r="E512" s="125">
        <f t="shared" si="193"/>
        <v>0</v>
      </c>
      <c r="G512" s="125">
        <v>0</v>
      </c>
      <c r="I512" s="125">
        <v>0</v>
      </c>
      <c r="K512" s="125">
        <f t="shared" si="194"/>
        <v>0</v>
      </c>
      <c r="M512" s="125">
        <f t="shared" si="195"/>
        <v>0</v>
      </c>
      <c r="O512" s="125">
        <f t="shared" si="196"/>
        <v>0</v>
      </c>
    </row>
    <row r="513" spans="1:15" s="27" customFormat="1" ht="42.75" customHeight="1" x14ac:dyDescent="0.5">
      <c r="A513" s="121" t="s">
        <v>213</v>
      </c>
      <c r="B513" s="122" t="s">
        <v>261</v>
      </c>
      <c r="C513" s="126">
        <f>SUM(C493:C512)</f>
        <v>251.99</v>
      </c>
      <c r="D513" s="126">
        <f>SUM(D493:D512)</f>
        <v>5572.1212500000001</v>
      </c>
      <c r="E513" s="126">
        <f>SUM(E493:E512)</f>
        <v>5320.1312500000004</v>
      </c>
      <c r="G513" s="126">
        <f>SUM(G493:G512)</f>
        <v>7429.4949999999999</v>
      </c>
      <c r="I513" s="126">
        <f>SUM(I493:I512)</f>
        <v>31775.25</v>
      </c>
      <c r="K513" s="126">
        <f>SUM(K493:K512)</f>
        <v>1857.37375</v>
      </c>
      <c r="M513" s="126">
        <f>SUM(M493:M512)</f>
        <v>7177.5050000000001</v>
      </c>
      <c r="O513" s="126">
        <f>SUM(O493:O512)</f>
        <v>5320.1312500000004</v>
      </c>
    </row>
    <row r="514" spans="1:15" s="27" customFormat="1" ht="42.75" customHeight="1" x14ac:dyDescent="0.5">
      <c r="A514" s="121" t="s">
        <v>213</v>
      </c>
      <c r="B514" s="124"/>
      <c r="C514" s="125"/>
      <c r="D514" s="125"/>
      <c r="E514" s="125"/>
      <c r="G514" s="125"/>
      <c r="I514" s="125"/>
      <c r="K514" s="125"/>
      <c r="M514" s="125"/>
      <c r="O514" s="125"/>
    </row>
    <row r="515" spans="1:15" s="27" customFormat="1" ht="42.75" customHeight="1" thickBot="1" x14ac:dyDescent="0.55000000000000004">
      <c r="A515" s="121" t="s">
        <v>213</v>
      </c>
      <c r="B515" s="122" t="s">
        <v>262</v>
      </c>
      <c r="C515" s="127">
        <f t="shared" ref="C515:O515" si="197">C465+C490+C513</f>
        <v>361.99</v>
      </c>
      <c r="D515" s="127">
        <f t="shared" si="197"/>
        <v>5653.8712500000001</v>
      </c>
      <c r="E515" s="127">
        <f t="shared" si="197"/>
        <v>5291.8812500000004</v>
      </c>
      <c r="G515" s="127">
        <f t="shared" si="197"/>
        <v>7538.4949999999999</v>
      </c>
      <c r="I515" s="127">
        <f t="shared" si="197"/>
        <v>31884.25</v>
      </c>
      <c r="K515" s="127">
        <f t="shared" si="197"/>
        <v>1884.62375</v>
      </c>
      <c r="M515" s="127">
        <f t="shared" si="197"/>
        <v>7176.5050000000001</v>
      </c>
      <c r="O515" s="127">
        <f t="shared" si="197"/>
        <v>5291.8812500000004</v>
      </c>
    </row>
    <row r="516" spans="1:15" s="27" customFormat="1" ht="42.75" customHeight="1" x14ac:dyDescent="0.5">
      <c r="A516" s="121" t="s">
        <v>213</v>
      </c>
      <c r="B516" s="124"/>
      <c r="C516" s="125"/>
      <c r="D516" s="125"/>
      <c r="E516" s="125"/>
      <c r="G516" s="125"/>
      <c r="I516" s="125"/>
      <c r="K516" s="125"/>
      <c r="M516" s="125"/>
      <c r="O516" s="125"/>
    </row>
    <row r="517" spans="1:15" s="27" customFormat="1" ht="42.75" customHeight="1" x14ac:dyDescent="0.5">
      <c r="A517" s="121" t="s">
        <v>213</v>
      </c>
      <c r="B517" s="122" t="s">
        <v>454</v>
      </c>
      <c r="C517" s="125"/>
      <c r="D517" s="125"/>
      <c r="E517" s="125"/>
      <c r="G517" s="125"/>
      <c r="I517" s="125"/>
      <c r="K517" s="125"/>
      <c r="M517" s="125"/>
      <c r="O517" s="125"/>
    </row>
    <row r="518" spans="1:15" s="27" customFormat="1" ht="42.75" hidden="1" customHeight="1" x14ac:dyDescent="0.5">
      <c r="A518" s="121" t="s">
        <v>213</v>
      </c>
      <c r="B518" s="124" t="s">
        <v>265</v>
      </c>
      <c r="C518" s="125">
        <v>0</v>
      </c>
      <c r="D518" s="125">
        <v>0</v>
      </c>
      <c r="E518" s="125">
        <f>D518-C518</f>
        <v>0</v>
      </c>
      <c r="G518" s="125">
        <v>0</v>
      </c>
      <c r="I518" s="125">
        <v>0</v>
      </c>
      <c r="K518" s="125">
        <f t="shared" ref="K518" si="198">G518-D518</f>
        <v>0</v>
      </c>
      <c r="M518" s="125">
        <f t="shared" ref="M518" si="199">G518-C518</f>
        <v>0</v>
      </c>
      <c r="O518" s="125">
        <f>M518-K518</f>
        <v>0</v>
      </c>
    </row>
    <row r="519" spans="1:15" s="27" customFormat="1" ht="42.75" hidden="1" customHeight="1" x14ac:dyDescent="0.5">
      <c r="A519" s="121" t="s">
        <v>213</v>
      </c>
      <c r="B519" s="124" t="s">
        <v>266</v>
      </c>
      <c r="C519" s="125">
        <v>0</v>
      </c>
      <c r="D519" s="125">
        <v>0</v>
      </c>
      <c r="E519" s="125">
        <f t="shared" ref="E519:E530" si="200">D519-C519</f>
        <v>0</v>
      </c>
      <c r="G519" s="125">
        <v>0</v>
      </c>
      <c r="I519" s="125">
        <v>0</v>
      </c>
      <c r="K519" s="125">
        <f t="shared" ref="K519:K530" si="201">G519-D519</f>
        <v>0</v>
      </c>
      <c r="M519" s="125">
        <f t="shared" ref="M519:M530" si="202">G519-C519</f>
        <v>0</v>
      </c>
      <c r="O519" s="125">
        <f t="shared" ref="O519:O530" si="203">M519-K519</f>
        <v>0</v>
      </c>
    </row>
    <row r="520" spans="1:15" s="27" customFormat="1" ht="42.75" hidden="1" customHeight="1" x14ac:dyDescent="0.5">
      <c r="A520" s="121" t="s">
        <v>213</v>
      </c>
      <c r="B520" s="124" t="s">
        <v>324</v>
      </c>
      <c r="C520" s="125">
        <v>0</v>
      </c>
      <c r="D520" s="125">
        <v>0</v>
      </c>
      <c r="E520" s="125">
        <f t="shared" si="200"/>
        <v>0</v>
      </c>
      <c r="G520" s="125">
        <v>0</v>
      </c>
      <c r="I520" s="125">
        <v>0</v>
      </c>
      <c r="K520" s="125">
        <f t="shared" si="201"/>
        <v>0</v>
      </c>
      <c r="M520" s="125">
        <f t="shared" si="202"/>
        <v>0</v>
      </c>
      <c r="O520" s="125">
        <f t="shared" si="203"/>
        <v>0</v>
      </c>
    </row>
    <row r="521" spans="1:15" s="27" customFormat="1" ht="42.75" hidden="1" customHeight="1" x14ac:dyDescent="0.5">
      <c r="A521" s="121" t="s">
        <v>213</v>
      </c>
      <c r="B521" s="124" t="s">
        <v>380</v>
      </c>
      <c r="C521" s="125">
        <v>0</v>
      </c>
      <c r="D521" s="125">
        <v>0</v>
      </c>
      <c r="E521" s="125">
        <f t="shared" si="200"/>
        <v>0</v>
      </c>
      <c r="G521" s="125">
        <v>0</v>
      </c>
      <c r="I521" s="125">
        <v>0</v>
      </c>
      <c r="K521" s="125">
        <f t="shared" si="201"/>
        <v>0</v>
      </c>
      <c r="M521" s="125">
        <f t="shared" si="202"/>
        <v>0</v>
      </c>
      <c r="O521" s="125">
        <f t="shared" si="203"/>
        <v>0</v>
      </c>
    </row>
    <row r="522" spans="1:15" s="27" customFormat="1" ht="42.75" hidden="1" customHeight="1" x14ac:dyDescent="0.5">
      <c r="A522" s="121" t="s">
        <v>213</v>
      </c>
      <c r="B522" s="124" t="s">
        <v>267</v>
      </c>
      <c r="C522" s="125">
        <v>0</v>
      </c>
      <c r="D522" s="125">
        <v>0</v>
      </c>
      <c r="E522" s="125">
        <f t="shared" si="200"/>
        <v>0</v>
      </c>
      <c r="G522" s="125">
        <v>0</v>
      </c>
      <c r="I522" s="125">
        <v>0</v>
      </c>
      <c r="K522" s="125">
        <f t="shared" si="201"/>
        <v>0</v>
      </c>
      <c r="M522" s="125">
        <f t="shared" si="202"/>
        <v>0</v>
      </c>
      <c r="O522" s="125">
        <f t="shared" si="203"/>
        <v>0</v>
      </c>
    </row>
    <row r="523" spans="1:15" s="27" customFormat="1" ht="42.75" customHeight="1" x14ac:dyDescent="0.5">
      <c r="A523" s="121" t="s">
        <v>213</v>
      </c>
      <c r="B523" s="124" t="s">
        <v>268</v>
      </c>
      <c r="C523" s="125">
        <f>'Comp YTD 2020-2019 '!E111</f>
        <v>5844.62</v>
      </c>
      <c r="D523" s="125">
        <f>Lending!P17</f>
        <v>38946.944999999992</v>
      </c>
      <c r="E523" s="125">
        <f t="shared" si="200"/>
        <v>33102.32499999999</v>
      </c>
      <c r="G523" s="125">
        <f>Lending!Q17</f>
        <v>51929.259999999995</v>
      </c>
      <c r="I523" s="125">
        <f>Lending!R17</f>
        <v>51929.259999999995</v>
      </c>
      <c r="K523" s="125">
        <f t="shared" si="201"/>
        <v>12982.315000000002</v>
      </c>
      <c r="M523" s="125">
        <f t="shared" si="202"/>
        <v>46084.639999999992</v>
      </c>
      <c r="O523" s="125">
        <f t="shared" si="203"/>
        <v>33102.32499999999</v>
      </c>
    </row>
    <row r="524" spans="1:15" s="27" customFormat="1" ht="42.75" customHeight="1" x14ac:dyDescent="0.5">
      <c r="A524" s="121" t="s">
        <v>213</v>
      </c>
      <c r="B524" s="124" t="s">
        <v>269</v>
      </c>
      <c r="C524" s="125">
        <f>'Comp YTD 2020-2019 '!E112</f>
        <v>-1516.72</v>
      </c>
      <c r="D524" s="125">
        <f>Lending!P18</f>
        <v>-4059.1950000000002</v>
      </c>
      <c r="E524" s="125">
        <f>D524-C524</f>
        <v>-2542.4750000000004</v>
      </c>
      <c r="G524" s="125">
        <f>Lending!Q18</f>
        <v>-5412.26</v>
      </c>
      <c r="I524" s="125">
        <f>Lending!R18</f>
        <v>-5412.26</v>
      </c>
      <c r="K524" s="125">
        <f t="shared" si="201"/>
        <v>-1353.0650000000001</v>
      </c>
      <c r="M524" s="125">
        <f t="shared" si="202"/>
        <v>-3895.54</v>
      </c>
      <c r="O524" s="125">
        <f t="shared" si="203"/>
        <v>-2542.4749999999999</v>
      </c>
    </row>
    <row r="525" spans="1:15" s="27" customFormat="1" ht="42.75" hidden="1" customHeight="1" x14ac:dyDescent="0.5">
      <c r="A525" s="121" t="s">
        <v>213</v>
      </c>
      <c r="B525" s="124" t="s">
        <v>270</v>
      </c>
      <c r="C525" s="125">
        <v>0</v>
      </c>
      <c r="D525" s="125">
        <v>0</v>
      </c>
      <c r="E525" s="125">
        <f t="shared" si="200"/>
        <v>0</v>
      </c>
      <c r="G525" s="125">
        <v>0</v>
      </c>
      <c r="I525" s="125">
        <v>0</v>
      </c>
      <c r="K525" s="125">
        <f t="shared" si="201"/>
        <v>0</v>
      </c>
      <c r="M525" s="125">
        <f t="shared" si="202"/>
        <v>0</v>
      </c>
      <c r="O525" s="125">
        <f t="shared" si="203"/>
        <v>0</v>
      </c>
    </row>
    <row r="526" spans="1:15" s="27" customFormat="1" ht="42.75" hidden="1" customHeight="1" x14ac:dyDescent="0.5">
      <c r="A526" s="121" t="s">
        <v>213</v>
      </c>
      <c r="B526" s="124" t="s">
        <v>395</v>
      </c>
      <c r="C526" s="125">
        <v>0</v>
      </c>
      <c r="D526" s="125">
        <v>0</v>
      </c>
      <c r="E526" s="125">
        <f t="shared" si="200"/>
        <v>0</v>
      </c>
      <c r="G526" s="125">
        <v>0</v>
      </c>
      <c r="I526" s="125">
        <v>0</v>
      </c>
      <c r="K526" s="125">
        <f t="shared" si="201"/>
        <v>0</v>
      </c>
      <c r="M526" s="125">
        <f t="shared" si="202"/>
        <v>0</v>
      </c>
      <c r="O526" s="125">
        <f t="shared" si="203"/>
        <v>0</v>
      </c>
    </row>
    <row r="527" spans="1:15" s="27" customFormat="1" ht="42.75" hidden="1" customHeight="1" x14ac:dyDescent="0.5">
      <c r="A527" s="121" t="s">
        <v>213</v>
      </c>
      <c r="B527" s="124" t="s">
        <v>430</v>
      </c>
      <c r="C527" s="125">
        <v>0</v>
      </c>
      <c r="D527" s="125">
        <v>0</v>
      </c>
      <c r="E527" s="125">
        <f>D527-C527</f>
        <v>0</v>
      </c>
      <c r="G527" s="125">
        <v>0</v>
      </c>
      <c r="I527" s="125">
        <v>0</v>
      </c>
      <c r="K527" s="125">
        <f t="shared" si="201"/>
        <v>0</v>
      </c>
      <c r="M527" s="125">
        <f t="shared" si="202"/>
        <v>0</v>
      </c>
      <c r="O527" s="125">
        <f t="shared" si="203"/>
        <v>0</v>
      </c>
    </row>
    <row r="528" spans="1:15" s="27" customFormat="1" ht="42.75" hidden="1" customHeight="1" x14ac:dyDescent="0.5">
      <c r="A528" s="121" t="s">
        <v>213</v>
      </c>
      <c r="B528" s="124" t="s">
        <v>431</v>
      </c>
      <c r="C528" s="125">
        <v>0</v>
      </c>
      <c r="D528" s="125">
        <v>0</v>
      </c>
      <c r="E528" s="125">
        <f t="shared" si="200"/>
        <v>0</v>
      </c>
      <c r="G528" s="125">
        <v>0</v>
      </c>
      <c r="I528" s="125">
        <v>0</v>
      </c>
      <c r="K528" s="125">
        <f t="shared" si="201"/>
        <v>0</v>
      </c>
      <c r="M528" s="125">
        <f t="shared" si="202"/>
        <v>0</v>
      </c>
      <c r="O528" s="125">
        <f t="shared" si="203"/>
        <v>0</v>
      </c>
    </row>
    <row r="529" spans="1:15" s="27" customFormat="1" ht="42.75" hidden="1" customHeight="1" x14ac:dyDescent="0.5">
      <c r="A529" s="121" t="s">
        <v>213</v>
      </c>
      <c r="B529" s="124" t="s">
        <v>396</v>
      </c>
      <c r="C529" s="125">
        <v>0</v>
      </c>
      <c r="D529" s="125">
        <v>0</v>
      </c>
      <c r="E529" s="125">
        <f t="shared" si="200"/>
        <v>0</v>
      </c>
      <c r="G529" s="125">
        <v>0</v>
      </c>
      <c r="I529" s="125">
        <v>0</v>
      </c>
      <c r="K529" s="125">
        <f t="shared" si="201"/>
        <v>0</v>
      </c>
      <c r="M529" s="125">
        <f t="shared" si="202"/>
        <v>0</v>
      </c>
      <c r="O529" s="125">
        <f t="shared" si="203"/>
        <v>0</v>
      </c>
    </row>
    <row r="530" spans="1:15" s="27" customFormat="1" ht="42.75" hidden="1" customHeight="1" x14ac:dyDescent="0.5">
      <c r="A530" s="121" t="s">
        <v>213</v>
      </c>
      <c r="B530" s="124" t="s">
        <v>441</v>
      </c>
      <c r="C530" s="125">
        <v>0</v>
      </c>
      <c r="D530" s="125">
        <v>0</v>
      </c>
      <c r="E530" s="125">
        <f t="shared" si="200"/>
        <v>0</v>
      </c>
      <c r="G530" s="125">
        <v>0</v>
      </c>
      <c r="I530" s="125">
        <v>0</v>
      </c>
      <c r="K530" s="125">
        <f t="shared" si="201"/>
        <v>0</v>
      </c>
      <c r="M530" s="125">
        <f t="shared" si="202"/>
        <v>0</v>
      </c>
      <c r="O530" s="125">
        <f t="shared" si="203"/>
        <v>0</v>
      </c>
    </row>
    <row r="531" spans="1:15" s="27" customFormat="1" ht="42.75" customHeight="1" x14ac:dyDescent="0.5">
      <c r="A531" s="121" t="s">
        <v>213</v>
      </c>
      <c r="B531" s="122" t="s">
        <v>455</v>
      </c>
      <c r="C531" s="126">
        <f t="shared" ref="C531:E531" si="204">SUM(C518:C530)</f>
        <v>4327.8999999999996</v>
      </c>
      <c r="D531" s="126">
        <f t="shared" si="204"/>
        <v>34887.749999999993</v>
      </c>
      <c r="E531" s="126">
        <f t="shared" si="204"/>
        <v>30559.849999999991</v>
      </c>
      <c r="G531" s="126">
        <f>SUM(G518:G530)</f>
        <v>46516.999999999993</v>
      </c>
      <c r="I531" s="126">
        <f>SUM(I518:I530)</f>
        <v>46516.999999999993</v>
      </c>
      <c r="K531" s="126">
        <f>SUM(K518:K530)</f>
        <v>11629.250000000002</v>
      </c>
      <c r="M531" s="126">
        <f>SUM(M518:M530)</f>
        <v>42189.099999999991</v>
      </c>
      <c r="O531" s="126">
        <f>SUM(O518:O530)</f>
        <v>30559.849999999991</v>
      </c>
    </row>
    <row r="532" spans="1:15" s="27" customFormat="1" ht="42.75" customHeight="1" x14ac:dyDescent="0.5">
      <c r="A532" s="121" t="s">
        <v>213</v>
      </c>
      <c r="B532" s="122"/>
      <c r="C532" s="125"/>
      <c r="D532" s="125"/>
      <c r="E532" s="125"/>
      <c r="G532" s="125"/>
      <c r="I532" s="125"/>
      <c r="K532" s="125"/>
      <c r="M532" s="125"/>
      <c r="O532" s="125"/>
    </row>
    <row r="533" spans="1:15" s="27" customFormat="1" ht="42.75" customHeight="1" thickBot="1" x14ac:dyDescent="0.55000000000000004">
      <c r="A533" s="121" t="s">
        <v>213</v>
      </c>
      <c r="B533" s="122" t="s">
        <v>264</v>
      </c>
      <c r="C533" s="128">
        <f t="shared" ref="C533:D533" si="205">C450-C515+C531</f>
        <v>3965.91</v>
      </c>
      <c r="D533" s="128">
        <f t="shared" si="205"/>
        <v>29233.878749999993</v>
      </c>
      <c r="E533" s="128">
        <f>E450-E515+E531</f>
        <v>25267.968749999993</v>
      </c>
      <c r="G533" s="128">
        <f t="shared" ref="G533" si="206">G450-G515+G531</f>
        <v>38978.50499999999</v>
      </c>
      <c r="I533" s="128">
        <f t="shared" ref="I533" si="207">I450-I515+I531</f>
        <v>14632.749999999993</v>
      </c>
      <c r="K533" s="128">
        <f t="shared" ref="K533" si="208">K450-K515+K531</f>
        <v>9744.6262500000012</v>
      </c>
      <c r="M533" s="128">
        <f t="shared" ref="M533" si="209">M450-M515+M531</f>
        <v>35012.594999999994</v>
      </c>
      <c r="O533" s="128">
        <f t="shared" ref="O533" si="210">O450-O515+O531</f>
        <v>25267.968749999993</v>
      </c>
    </row>
    <row r="534" spans="1:15" ht="15.75" thickTop="1" x14ac:dyDescent="0.25"/>
    <row r="536" spans="1:15" s="27" customFormat="1" ht="42.75" hidden="1" customHeight="1" x14ac:dyDescent="0.5">
      <c r="A536" s="111">
        <v>722</v>
      </c>
      <c r="B536" s="112" t="s">
        <v>60</v>
      </c>
      <c r="C536" s="113"/>
      <c r="D536" s="113"/>
      <c r="E536" s="113"/>
      <c r="G536" s="113"/>
      <c r="I536" s="113"/>
      <c r="K536" s="113"/>
      <c r="M536" s="113"/>
      <c r="O536" s="113"/>
    </row>
    <row r="537" spans="1:15" s="27" customFormat="1" ht="42.75" hidden="1" customHeight="1" x14ac:dyDescent="0.5">
      <c r="A537" s="111">
        <v>722</v>
      </c>
      <c r="B537" s="114" t="s">
        <v>215</v>
      </c>
      <c r="C537" s="115">
        <v>0</v>
      </c>
      <c r="D537" s="115">
        <f>CNT!P649+CNT!P650+CNT!P661</f>
        <v>0</v>
      </c>
      <c r="E537" s="115">
        <f>D537-C537</f>
        <v>0</v>
      </c>
      <c r="G537" s="115">
        <v>0</v>
      </c>
      <c r="I537" s="115">
        <v>0</v>
      </c>
      <c r="K537" s="115">
        <f t="shared" ref="K537" si="211">G537-D537</f>
        <v>0</v>
      </c>
      <c r="M537" s="115">
        <f t="shared" ref="M537" si="212">G537-C537</f>
        <v>0</v>
      </c>
      <c r="O537" s="115">
        <f>M537-K537</f>
        <v>0</v>
      </c>
    </row>
    <row r="538" spans="1:15" s="27" customFormat="1" ht="42.75" hidden="1" customHeight="1" x14ac:dyDescent="0.5">
      <c r="A538" s="111">
        <v>722</v>
      </c>
      <c r="B538" s="114" t="s">
        <v>216</v>
      </c>
      <c r="C538" s="115">
        <v>0</v>
      </c>
      <c r="D538" s="115">
        <f>CNT!P651+CNT!P662</f>
        <v>0</v>
      </c>
      <c r="E538" s="115">
        <f t="shared" ref="E538:E543" si="213">D538-C538</f>
        <v>0</v>
      </c>
      <c r="G538" s="115">
        <v>0</v>
      </c>
      <c r="I538" s="115">
        <v>0</v>
      </c>
      <c r="K538" s="115">
        <f t="shared" ref="K538:K543" si="214">G538-D538</f>
        <v>0</v>
      </c>
      <c r="M538" s="115">
        <f t="shared" ref="M538:M543" si="215">G538-C538</f>
        <v>0</v>
      </c>
      <c r="O538" s="115">
        <f t="shared" ref="O538:O543" si="216">M538-K538</f>
        <v>0</v>
      </c>
    </row>
    <row r="539" spans="1:15" s="27" customFormat="1" ht="42.75" hidden="1" customHeight="1" x14ac:dyDescent="0.5">
      <c r="A539" s="111">
        <v>722</v>
      </c>
      <c r="B539" s="114" t="s">
        <v>217</v>
      </c>
      <c r="C539" s="115">
        <v>0</v>
      </c>
      <c r="D539" s="115">
        <f>CNT!P652+CNT!P663</f>
        <v>0</v>
      </c>
      <c r="E539" s="115">
        <f t="shared" si="213"/>
        <v>0</v>
      </c>
      <c r="G539" s="115">
        <v>0</v>
      </c>
      <c r="I539" s="115">
        <v>0</v>
      </c>
      <c r="K539" s="115">
        <f t="shared" si="214"/>
        <v>0</v>
      </c>
      <c r="M539" s="115">
        <f t="shared" si="215"/>
        <v>0</v>
      </c>
      <c r="O539" s="115">
        <f t="shared" si="216"/>
        <v>0</v>
      </c>
    </row>
    <row r="540" spans="1:15" s="27" customFormat="1" ht="42.75" hidden="1" customHeight="1" x14ac:dyDescent="0.5">
      <c r="A540" s="111">
        <v>722</v>
      </c>
      <c r="B540" s="114" t="s">
        <v>414</v>
      </c>
      <c r="C540" s="115">
        <v>0</v>
      </c>
      <c r="D540" s="115">
        <f>CNT!P653+CNT!P664</f>
        <v>0</v>
      </c>
      <c r="E540" s="115">
        <f t="shared" si="213"/>
        <v>0</v>
      </c>
      <c r="G540" s="115">
        <v>0</v>
      </c>
      <c r="I540" s="115">
        <v>0</v>
      </c>
      <c r="K540" s="115">
        <f t="shared" si="214"/>
        <v>0</v>
      </c>
      <c r="M540" s="115">
        <f t="shared" si="215"/>
        <v>0</v>
      </c>
      <c r="O540" s="115">
        <f t="shared" si="216"/>
        <v>0</v>
      </c>
    </row>
    <row r="541" spans="1:15" s="27" customFormat="1" ht="42.75" hidden="1" customHeight="1" x14ac:dyDescent="0.5">
      <c r="A541" s="111">
        <v>722</v>
      </c>
      <c r="B541" s="114" t="s">
        <v>218</v>
      </c>
      <c r="C541" s="115">
        <v>0</v>
      </c>
      <c r="D541" s="115">
        <f>CNT!P657+CNT!P667</f>
        <v>0</v>
      </c>
      <c r="E541" s="115">
        <f t="shared" si="213"/>
        <v>0</v>
      </c>
      <c r="G541" s="115">
        <v>0</v>
      </c>
      <c r="I541" s="115">
        <v>0</v>
      </c>
      <c r="K541" s="115">
        <f t="shared" si="214"/>
        <v>0</v>
      </c>
      <c r="M541" s="115">
        <f t="shared" si="215"/>
        <v>0</v>
      </c>
      <c r="O541" s="115">
        <f t="shared" si="216"/>
        <v>0</v>
      </c>
    </row>
    <row r="542" spans="1:15" s="27" customFormat="1" ht="42.75" hidden="1" customHeight="1" x14ac:dyDescent="0.5">
      <c r="A542" s="111">
        <v>722</v>
      </c>
      <c r="B542" s="114" t="s">
        <v>219</v>
      </c>
      <c r="C542" s="115">
        <v>0</v>
      </c>
      <c r="D542" s="115">
        <f>CNT!P668+CNT!P669+CNT!P670+CNT!P671</f>
        <v>0</v>
      </c>
      <c r="E542" s="115">
        <f t="shared" si="213"/>
        <v>0</v>
      </c>
      <c r="G542" s="115">
        <v>0</v>
      </c>
      <c r="I542" s="115">
        <v>0</v>
      </c>
      <c r="K542" s="115">
        <f t="shared" si="214"/>
        <v>0</v>
      </c>
      <c r="M542" s="115">
        <f t="shared" si="215"/>
        <v>0</v>
      </c>
      <c r="O542" s="115">
        <f t="shared" si="216"/>
        <v>0</v>
      </c>
    </row>
    <row r="543" spans="1:15" s="27" customFormat="1" ht="42.75" hidden="1" customHeight="1" x14ac:dyDescent="0.5">
      <c r="A543" s="111">
        <v>722</v>
      </c>
      <c r="B543" s="114" t="s">
        <v>220</v>
      </c>
      <c r="C543" s="115">
        <v>0</v>
      </c>
      <c r="D543" s="115">
        <f>CNT!P654+CNT!P655+CNT!P656+CNT!P658+CNT!P659+CNT!P660+CNT!P665+CNT!P666</f>
        <v>0</v>
      </c>
      <c r="E543" s="115">
        <f t="shared" si="213"/>
        <v>0</v>
      </c>
      <c r="G543" s="115">
        <v>0</v>
      </c>
      <c r="I543" s="115">
        <v>0</v>
      </c>
      <c r="K543" s="115">
        <f t="shared" si="214"/>
        <v>0</v>
      </c>
      <c r="M543" s="115">
        <f t="shared" si="215"/>
        <v>0</v>
      </c>
      <c r="O543" s="115">
        <f t="shared" si="216"/>
        <v>0</v>
      </c>
    </row>
    <row r="544" spans="1:15" s="27" customFormat="1" ht="42.75" hidden="1" customHeight="1" x14ac:dyDescent="0.5">
      <c r="A544" s="111">
        <v>722</v>
      </c>
      <c r="B544" s="112" t="s">
        <v>221</v>
      </c>
      <c r="C544" s="116">
        <f>SUM(C537:C543)</f>
        <v>0</v>
      </c>
      <c r="D544" s="116">
        <f>SUM(D537:D543)</f>
        <v>0</v>
      </c>
      <c r="E544" s="116">
        <f>SUM(E537:E543)</f>
        <v>0</v>
      </c>
      <c r="G544" s="116">
        <f>SUM(G537:G543)</f>
        <v>0</v>
      </c>
      <c r="I544" s="116">
        <f>SUM(I537:I543)</f>
        <v>0</v>
      </c>
      <c r="K544" s="116">
        <f>SUM(K537:K543)</f>
        <v>0</v>
      </c>
      <c r="M544" s="116">
        <f>SUM(M537:M543)</f>
        <v>0</v>
      </c>
      <c r="O544" s="116">
        <f>SUM(O537:O543)</f>
        <v>0</v>
      </c>
    </row>
    <row r="545" spans="1:15" s="27" customFormat="1" ht="42.75" hidden="1" customHeight="1" x14ac:dyDescent="0.5">
      <c r="A545" s="111">
        <v>722</v>
      </c>
      <c r="B545" s="114"/>
      <c r="C545" s="115"/>
      <c r="D545" s="115"/>
      <c r="E545" s="115"/>
      <c r="G545" s="115"/>
      <c r="I545" s="115"/>
      <c r="K545" s="115"/>
      <c r="M545" s="115"/>
      <c r="O545" s="115"/>
    </row>
    <row r="546" spans="1:15" s="27" customFormat="1" ht="42.75" hidden="1" customHeight="1" x14ac:dyDescent="0.5">
      <c r="A546" s="111">
        <v>722</v>
      </c>
      <c r="B546" s="112" t="s">
        <v>206</v>
      </c>
      <c r="C546" s="115"/>
      <c r="D546" s="115"/>
      <c r="E546" s="115"/>
      <c r="G546" s="115"/>
      <c r="I546" s="115"/>
      <c r="K546" s="115"/>
      <c r="M546" s="115"/>
      <c r="O546" s="115"/>
    </row>
    <row r="547" spans="1:15" s="27" customFormat="1" ht="42.75" hidden="1" customHeight="1" x14ac:dyDescent="0.5">
      <c r="A547" s="111">
        <v>722</v>
      </c>
      <c r="B547" s="114" t="s">
        <v>215</v>
      </c>
      <c r="C547" s="115">
        <v>0</v>
      </c>
      <c r="D547" s="115">
        <f>CNT!P676+CNT!P681+CNT!P693+CNT!P697+CNT!P698+CNT!P702+CNT!P706+CNT!P713</f>
        <v>0</v>
      </c>
      <c r="E547" s="115">
        <f>D547-C547</f>
        <v>0</v>
      </c>
      <c r="G547" s="115">
        <v>0</v>
      </c>
      <c r="I547" s="115">
        <v>0</v>
      </c>
      <c r="K547" s="115">
        <f t="shared" ref="K547" si="217">G547-D547</f>
        <v>0</v>
      </c>
      <c r="M547" s="115">
        <f t="shared" ref="M547" si="218">G547-C547</f>
        <v>0</v>
      </c>
      <c r="O547" s="115">
        <f>M547-K547</f>
        <v>0</v>
      </c>
    </row>
    <row r="548" spans="1:15" s="27" customFormat="1" ht="42.75" hidden="1" customHeight="1" x14ac:dyDescent="0.5">
      <c r="A548" s="111">
        <v>722</v>
      </c>
      <c r="B548" s="114" t="s">
        <v>216</v>
      </c>
      <c r="C548" s="115">
        <v>0</v>
      </c>
      <c r="D548" s="115">
        <f>CNT!P677+CNT!P682+CNT!P694+CNT!P699+CNT!P703+CNT!P707+CNT!P714+CNT!P710</f>
        <v>0</v>
      </c>
      <c r="E548" s="115">
        <f t="shared" ref="E548:E553" si="219">D548-C548</f>
        <v>0</v>
      </c>
      <c r="G548" s="115">
        <v>0</v>
      </c>
      <c r="I548" s="115">
        <v>0</v>
      </c>
      <c r="K548" s="115">
        <f t="shared" ref="K548:K553" si="220">G548-D548</f>
        <v>0</v>
      </c>
      <c r="M548" s="115">
        <f t="shared" ref="M548:M553" si="221">G548-C548</f>
        <v>0</v>
      </c>
      <c r="O548" s="115">
        <f t="shared" ref="O548:O553" si="222">M548-K548</f>
        <v>0</v>
      </c>
    </row>
    <row r="549" spans="1:15" s="27" customFormat="1" ht="42.75" hidden="1" customHeight="1" x14ac:dyDescent="0.5">
      <c r="A549" s="111">
        <v>722</v>
      </c>
      <c r="B549" s="114" t="s">
        <v>217</v>
      </c>
      <c r="C549" s="115">
        <v>0</v>
      </c>
      <c r="D549" s="115">
        <f>CNT!P678+CNT!P683+CNT!P695+CNT!P700+CNT!P704+CNT!P708+CNT!P715+CNT!P712</f>
        <v>0</v>
      </c>
      <c r="E549" s="115">
        <f t="shared" si="219"/>
        <v>0</v>
      </c>
      <c r="G549" s="115">
        <v>0</v>
      </c>
      <c r="I549" s="115">
        <v>0</v>
      </c>
      <c r="K549" s="115">
        <f t="shared" si="220"/>
        <v>0</v>
      </c>
      <c r="M549" s="115">
        <f t="shared" si="221"/>
        <v>0</v>
      </c>
      <c r="O549" s="115">
        <f t="shared" si="222"/>
        <v>0</v>
      </c>
    </row>
    <row r="550" spans="1:15" s="27" customFormat="1" ht="42.75" hidden="1" customHeight="1" x14ac:dyDescent="0.5">
      <c r="A550" s="111">
        <v>722</v>
      </c>
      <c r="B550" s="114" t="s">
        <v>414</v>
      </c>
      <c r="C550" s="115">
        <v>0</v>
      </c>
      <c r="D550" s="115">
        <f>CNT!P679+CNT!P684+CNT!P696+CNT!P701+CNT!P705+CNT!P709+CNT!P716+CNT!P717</f>
        <v>0</v>
      </c>
      <c r="E550" s="115">
        <f t="shared" si="219"/>
        <v>0</v>
      </c>
      <c r="G550" s="115">
        <v>0</v>
      </c>
      <c r="I550" s="115">
        <v>0</v>
      </c>
      <c r="K550" s="115">
        <f t="shared" si="220"/>
        <v>0</v>
      </c>
      <c r="M550" s="115">
        <f t="shared" si="221"/>
        <v>0</v>
      </c>
      <c r="O550" s="115">
        <f t="shared" si="222"/>
        <v>0</v>
      </c>
    </row>
    <row r="551" spans="1:15" s="27" customFormat="1" ht="42.75" hidden="1" customHeight="1" x14ac:dyDescent="0.5">
      <c r="A551" s="111">
        <v>722</v>
      </c>
      <c r="B551" s="114" t="s">
        <v>218</v>
      </c>
      <c r="C551" s="115">
        <v>0</v>
      </c>
      <c r="D551" s="115">
        <f>CNT!P680+CNT!P687+CNT!P711+CNT!P722</f>
        <v>0</v>
      </c>
      <c r="E551" s="115">
        <f t="shared" si="219"/>
        <v>0</v>
      </c>
      <c r="G551" s="115">
        <v>0</v>
      </c>
      <c r="I551" s="115">
        <v>0</v>
      </c>
      <c r="K551" s="115">
        <f t="shared" si="220"/>
        <v>0</v>
      </c>
      <c r="M551" s="115">
        <f t="shared" si="221"/>
        <v>0</v>
      </c>
      <c r="O551" s="115">
        <f t="shared" si="222"/>
        <v>0</v>
      </c>
    </row>
    <row r="552" spans="1:15" s="27" customFormat="1" ht="42.75" hidden="1" customHeight="1" x14ac:dyDescent="0.5">
      <c r="A552" s="111">
        <v>722</v>
      </c>
      <c r="B552" s="114" t="s">
        <v>219</v>
      </c>
      <c r="C552" s="115">
        <v>0</v>
      </c>
      <c r="D552" s="115">
        <f>CNT!P733+CNT!P734+CNT!P735+CNT!P736+CNT!P737+CNT!P738+CNT!P739+CNT!P740+CNT!P741</f>
        <v>0</v>
      </c>
      <c r="E552" s="115">
        <f t="shared" si="219"/>
        <v>0</v>
      </c>
      <c r="G552" s="115">
        <v>0</v>
      </c>
      <c r="I552" s="115">
        <v>0</v>
      </c>
      <c r="K552" s="115">
        <f t="shared" si="220"/>
        <v>0</v>
      </c>
      <c r="M552" s="115">
        <f t="shared" si="221"/>
        <v>0</v>
      </c>
      <c r="O552" s="115">
        <f t="shared" si="222"/>
        <v>0</v>
      </c>
    </row>
    <row r="553" spans="1:15" s="27" customFormat="1" ht="42.75" hidden="1" customHeight="1" x14ac:dyDescent="0.5">
      <c r="A553" s="111">
        <v>722</v>
      </c>
      <c r="B553" s="114" t="s">
        <v>220</v>
      </c>
      <c r="C553" s="115">
        <v>0</v>
      </c>
      <c r="D553" s="115">
        <f>CNT!P674+CNT!P685+CNT!P686+CNT!P688+CNT!P689+CNT!P690+CNT!P691+CNT!P692+CNT!P718+CNT!P719+CNT!P720+CNT!P721+CNT!P723+CNT!P724+CNT!P725+CNT!P726+CNT!P727+CNT!P728+CNT!P729+CNT!P730+CNT!P731+CNT!P732</f>
        <v>0</v>
      </c>
      <c r="E553" s="115">
        <f t="shared" si="219"/>
        <v>0</v>
      </c>
      <c r="G553" s="115">
        <v>0</v>
      </c>
      <c r="I553" s="115">
        <v>0</v>
      </c>
      <c r="K553" s="115">
        <f t="shared" si="220"/>
        <v>0</v>
      </c>
      <c r="M553" s="115">
        <f t="shared" si="221"/>
        <v>0</v>
      </c>
      <c r="O553" s="115">
        <f t="shared" si="222"/>
        <v>0</v>
      </c>
    </row>
    <row r="554" spans="1:15" s="27" customFormat="1" ht="42.75" hidden="1" customHeight="1" x14ac:dyDescent="0.5">
      <c r="A554" s="111">
        <v>722</v>
      </c>
      <c r="B554" s="112" t="s">
        <v>222</v>
      </c>
      <c r="C554" s="116">
        <f t="shared" ref="C554" si="223">SUM(C547:C553)</f>
        <v>0</v>
      </c>
      <c r="D554" s="116">
        <f>SUM(D547:D553)</f>
        <v>0</v>
      </c>
      <c r="E554" s="116">
        <f>SUM(E547:E553)</f>
        <v>0</v>
      </c>
      <c r="G554" s="116">
        <f>SUM(G547:G553)</f>
        <v>0</v>
      </c>
      <c r="I554" s="116">
        <f>SUM(I547:I553)</f>
        <v>0</v>
      </c>
      <c r="K554" s="116">
        <f>SUM(K547:K553)</f>
        <v>0</v>
      </c>
      <c r="M554" s="116">
        <f>SUM(M547:M553)</f>
        <v>0</v>
      </c>
      <c r="O554" s="116">
        <f>SUM(O547:O553)</f>
        <v>0</v>
      </c>
    </row>
    <row r="555" spans="1:15" s="27" customFormat="1" ht="42.75" hidden="1" customHeight="1" x14ac:dyDescent="0.5">
      <c r="A555" s="111">
        <v>722</v>
      </c>
      <c r="B555" s="114"/>
      <c r="C555" s="115"/>
      <c r="D555" s="115">
        <f>D554-CNT!P742</f>
        <v>0</v>
      </c>
      <c r="E555" s="115"/>
      <c r="G555" s="115"/>
      <c r="I555" s="115"/>
      <c r="K555" s="115"/>
      <c r="M555" s="115"/>
      <c r="O555" s="115"/>
    </row>
    <row r="556" spans="1:15" s="27" customFormat="1" ht="42.75" hidden="1" customHeight="1" thickBot="1" x14ac:dyDescent="0.55000000000000004">
      <c r="A556" s="111">
        <v>722</v>
      </c>
      <c r="B556" s="112" t="s">
        <v>209</v>
      </c>
      <c r="C556" s="117">
        <f>C544-C554</f>
        <v>0</v>
      </c>
      <c r="D556" s="117">
        <f>D544-D554</f>
        <v>0</v>
      </c>
      <c r="E556" s="117">
        <f>C556-D556</f>
        <v>0</v>
      </c>
      <c r="G556" s="117">
        <f>G544-G554</f>
        <v>0</v>
      </c>
      <c r="I556" s="117">
        <f>I544-I554</f>
        <v>0</v>
      </c>
      <c r="K556" s="117">
        <f>K544-K554</f>
        <v>0</v>
      </c>
      <c r="M556" s="117">
        <f>M544-M554</f>
        <v>0</v>
      </c>
      <c r="O556" s="117">
        <f>O544-O554</f>
        <v>0</v>
      </c>
    </row>
    <row r="557" spans="1:15" s="27" customFormat="1" ht="42.75" hidden="1" customHeight="1" x14ac:dyDescent="0.5">
      <c r="A557" s="111">
        <v>722</v>
      </c>
      <c r="B557" s="114"/>
      <c r="C557" s="115"/>
      <c r="D557" s="115"/>
      <c r="E557" s="115"/>
      <c r="G557" s="115"/>
      <c r="I557" s="115"/>
      <c r="K557" s="115"/>
      <c r="M557" s="115"/>
      <c r="O557" s="115"/>
    </row>
    <row r="558" spans="1:15" s="27" customFormat="1" ht="42.75" customHeight="1" x14ac:dyDescent="0.5">
      <c r="A558" s="111">
        <v>722</v>
      </c>
      <c r="B558" s="112" t="s">
        <v>207</v>
      </c>
      <c r="C558" s="115"/>
      <c r="D558" s="115"/>
      <c r="E558" s="115"/>
      <c r="G558" s="115"/>
      <c r="I558" s="115"/>
      <c r="K558" s="115"/>
      <c r="M558" s="115"/>
      <c r="O558" s="115"/>
    </row>
    <row r="559" spans="1:15" s="27" customFormat="1" ht="42.75" hidden="1" customHeight="1" x14ac:dyDescent="0.5">
      <c r="A559" s="111">
        <v>722</v>
      </c>
      <c r="B559" s="114"/>
      <c r="C559" s="115"/>
      <c r="D559" s="115"/>
      <c r="E559" s="115"/>
      <c r="G559" s="115"/>
      <c r="I559" s="115"/>
      <c r="K559" s="115"/>
      <c r="M559" s="115"/>
      <c r="O559" s="115"/>
    </row>
    <row r="560" spans="1:15" s="27" customFormat="1" ht="42.75" hidden="1" customHeight="1" x14ac:dyDescent="0.5">
      <c r="A560" s="111">
        <v>722</v>
      </c>
      <c r="B560" s="112" t="s">
        <v>223</v>
      </c>
      <c r="C560" s="115"/>
      <c r="D560" s="115"/>
      <c r="E560" s="115"/>
      <c r="G560" s="115"/>
      <c r="I560" s="115"/>
      <c r="K560" s="115"/>
      <c r="M560" s="115"/>
      <c r="O560" s="115"/>
    </row>
    <row r="561" spans="1:15" s="27" customFormat="1" ht="42.75" hidden="1" customHeight="1" x14ac:dyDescent="0.5">
      <c r="A561" s="111">
        <v>722</v>
      </c>
      <c r="B561" s="114" t="s">
        <v>224</v>
      </c>
      <c r="C561" s="115">
        <v>0</v>
      </c>
      <c r="D561" s="115">
        <f>CNT!P745</f>
        <v>0</v>
      </c>
      <c r="E561" s="115">
        <f>D561-C561</f>
        <v>0</v>
      </c>
      <c r="G561" s="115">
        <v>0</v>
      </c>
      <c r="I561" s="115">
        <v>0</v>
      </c>
      <c r="K561" s="115">
        <f t="shared" ref="K561" si="224">G561-D561</f>
        <v>0</v>
      </c>
      <c r="M561" s="115">
        <f t="shared" ref="M561" si="225">G561-C561</f>
        <v>0</v>
      </c>
      <c r="O561" s="115">
        <f>M561-K561</f>
        <v>0</v>
      </c>
    </row>
    <row r="562" spans="1:15" s="27" customFormat="1" ht="42.75" hidden="1" customHeight="1" x14ac:dyDescent="0.5">
      <c r="A562" s="111">
        <v>722</v>
      </c>
      <c r="B562" s="114" t="s">
        <v>531</v>
      </c>
      <c r="C562" s="115">
        <v>0</v>
      </c>
      <c r="D562" s="115">
        <f>CNT!P746</f>
        <v>0</v>
      </c>
      <c r="E562" s="115">
        <f t="shared" ref="E562:E570" si="226">D562-C562</f>
        <v>0</v>
      </c>
      <c r="G562" s="115">
        <v>0</v>
      </c>
      <c r="I562" s="115">
        <v>0</v>
      </c>
      <c r="K562" s="115">
        <f t="shared" ref="K562:K570" si="227">G562-D562</f>
        <v>0</v>
      </c>
      <c r="M562" s="115">
        <f t="shared" ref="M562:M570" si="228">G562-C562</f>
        <v>0</v>
      </c>
      <c r="O562" s="115">
        <f t="shared" ref="O562:O570" si="229">M562-K562</f>
        <v>0</v>
      </c>
    </row>
    <row r="563" spans="1:15" s="27" customFormat="1" ht="42.75" hidden="1" customHeight="1" x14ac:dyDescent="0.5">
      <c r="A563" s="111">
        <v>722</v>
      </c>
      <c r="B563" s="114" t="s">
        <v>225</v>
      </c>
      <c r="C563" s="115">
        <v>0</v>
      </c>
      <c r="D563" s="115">
        <f>CNT!P747</f>
        <v>0</v>
      </c>
      <c r="E563" s="115">
        <f t="shared" si="226"/>
        <v>0</v>
      </c>
      <c r="G563" s="115">
        <v>0</v>
      </c>
      <c r="I563" s="115">
        <v>0</v>
      </c>
      <c r="K563" s="115">
        <f t="shared" si="227"/>
        <v>0</v>
      </c>
      <c r="M563" s="115">
        <f t="shared" si="228"/>
        <v>0</v>
      </c>
      <c r="O563" s="115">
        <f t="shared" si="229"/>
        <v>0</v>
      </c>
    </row>
    <row r="564" spans="1:15" s="27" customFormat="1" ht="42.75" hidden="1" customHeight="1" x14ac:dyDescent="0.5">
      <c r="A564" s="111">
        <v>722</v>
      </c>
      <c r="B564" s="114" t="s">
        <v>226</v>
      </c>
      <c r="C564" s="115">
        <v>0</v>
      </c>
      <c r="D564" s="115">
        <f>CNT!P748</f>
        <v>0</v>
      </c>
      <c r="E564" s="115">
        <f t="shared" si="226"/>
        <v>0</v>
      </c>
      <c r="G564" s="115">
        <v>0</v>
      </c>
      <c r="I564" s="115">
        <v>0</v>
      </c>
      <c r="K564" s="115">
        <f t="shared" si="227"/>
        <v>0</v>
      </c>
      <c r="M564" s="115">
        <f t="shared" si="228"/>
        <v>0</v>
      </c>
      <c r="O564" s="115">
        <f t="shared" si="229"/>
        <v>0</v>
      </c>
    </row>
    <row r="565" spans="1:15" s="27" customFormat="1" ht="42.75" hidden="1" customHeight="1" x14ac:dyDescent="0.5">
      <c r="A565" s="111">
        <v>722</v>
      </c>
      <c r="B565" s="114" t="s">
        <v>227</v>
      </c>
      <c r="C565" s="115">
        <v>0</v>
      </c>
      <c r="D565" s="115">
        <f>CNT!P749</f>
        <v>0</v>
      </c>
      <c r="E565" s="115">
        <f t="shared" si="226"/>
        <v>0</v>
      </c>
      <c r="G565" s="115">
        <v>0</v>
      </c>
      <c r="I565" s="115">
        <v>0</v>
      </c>
      <c r="K565" s="115">
        <f t="shared" si="227"/>
        <v>0</v>
      </c>
      <c r="M565" s="115">
        <f t="shared" si="228"/>
        <v>0</v>
      </c>
      <c r="O565" s="115">
        <f t="shared" si="229"/>
        <v>0</v>
      </c>
    </row>
    <row r="566" spans="1:15" s="27" customFormat="1" ht="42.75" hidden="1" customHeight="1" x14ac:dyDescent="0.5">
      <c r="A566" s="111">
        <v>722</v>
      </c>
      <c r="B566" s="114" t="s">
        <v>228</v>
      </c>
      <c r="C566" s="115">
        <v>0</v>
      </c>
      <c r="D566" s="115">
        <f>CNT!P750</f>
        <v>0</v>
      </c>
      <c r="E566" s="115">
        <f t="shared" si="226"/>
        <v>0</v>
      </c>
      <c r="G566" s="115">
        <v>0</v>
      </c>
      <c r="I566" s="115">
        <v>0</v>
      </c>
      <c r="K566" s="115">
        <f t="shared" si="227"/>
        <v>0</v>
      </c>
      <c r="M566" s="115">
        <f t="shared" si="228"/>
        <v>0</v>
      </c>
      <c r="O566" s="115">
        <f t="shared" si="229"/>
        <v>0</v>
      </c>
    </row>
    <row r="567" spans="1:15" s="27" customFormat="1" ht="42.75" hidden="1" customHeight="1" x14ac:dyDescent="0.5">
      <c r="A567" s="111">
        <v>722</v>
      </c>
      <c r="B567" s="114" t="s">
        <v>229</v>
      </c>
      <c r="C567" s="115">
        <v>0</v>
      </c>
      <c r="D567" s="115">
        <f>CNT!P751</f>
        <v>0</v>
      </c>
      <c r="E567" s="115">
        <f t="shared" si="226"/>
        <v>0</v>
      </c>
      <c r="G567" s="115">
        <v>0</v>
      </c>
      <c r="I567" s="115">
        <v>0</v>
      </c>
      <c r="K567" s="115">
        <f t="shared" si="227"/>
        <v>0</v>
      </c>
      <c r="M567" s="115">
        <f t="shared" si="228"/>
        <v>0</v>
      </c>
      <c r="O567" s="115">
        <f t="shared" si="229"/>
        <v>0</v>
      </c>
    </row>
    <row r="568" spans="1:15" s="27" customFormat="1" ht="42.75" hidden="1" customHeight="1" x14ac:dyDescent="0.5">
      <c r="A568" s="111">
        <v>722</v>
      </c>
      <c r="B568" s="114" t="s">
        <v>305</v>
      </c>
      <c r="C568" s="115">
        <v>0</v>
      </c>
      <c r="D568" s="115">
        <f>CNT!P752+CNT!P753+CNT!P756</f>
        <v>0</v>
      </c>
      <c r="E568" s="115">
        <f t="shared" si="226"/>
        <v>0</v>
      </c>
      <c r="G568" s="115">
        <v>0</v>
      </c>
      <c r="I568" s="115">
        <v>0</v>
      </c>
      <c r="K568" s="115">
        <f t="shared" si="227"/>
        <v>0</v>
      </c>
      <c r="M568" s="115">
        <f t="shared" si="228"/>
        <v>0</v>
      </c>
      <c r="O568" s="115">
        <f t="shared" si="229"/>
        <v>0</v>
      </c>
    </row>
    <row r="569" spans="1:15" s="27" customFormat="1" ht="42.75" hidden="1" customHeight="1" x14ac:dyDescent="0.5">
      <c r="A569" s="111">
        <v>722</v>
      </c>
      <c r="B569" s="114" t="s">
        <v>230</v>
      </c>
      <c r="C569" s="115">
        <v>0</v>
      </c>
      <c r="D569" s="115">
        <f>CNT!P755+CNT!P754</f>
        <v>0</v>
      </c>
      <c r="E569" s="115">
        <f t="shared" si="226"/>
        <v>0</v>
      </c>
      <c r="G569" s="115">
        <v>0</v>
      </c>
      <c r="I569" s="115">
        <v>0</v>
      </c>
      <c r="K569" s="115">
        <f t="shared" si="227"/>
        <v>0</v>
      </c>
      <c r="M569" s="115">
        <f t="shared" si="228"/>
        <v>0</v>
      </c>
      <c r="O569" s="115">
        <f t="shared" si="229"/>
        <v>0</v>
      </c>
    </row>
    <row r="570" spans="1:15" s="27" customFormat="1" ht="42.75" hidden="1" customHeight="1" x14ac:dyDescent="0.5">
      <c r="A570" s="111">
        <v>722</v>
      </c>
      <c r="B570" s="114" t="s">
        <v>244</v>
      </c>
      <c r="C570" s="115">
        <v>0</v>
      </c>
      <c r="D570" s="115">
        <f>+CNT!P784</f>
        <v>0</v>
      </c>
      <c r="E570" s="115">
        <f t="shared" si="226"/>
        <v>0</v>
      </c>
      <c r="G570" s="115">
        <v>0</v>
      </c>
      <c r="I570" s="115">
        <v>0</v>
      </c>
      <c r="K570" s="115">
        <f t="shared" si="227"/>
        <v>0</v>
      </c>
      <c r="M570" s="115">
        <f t="shared" si="228"/>
        <v>0</v>
      </c>
      <c r="O570" s="115">
        <f t="shared" si="229"/>
        <v>0</v>
      </c>
    </row>
    <row r="571" spans="1:15" s="27" customFormat="1" ht="42.75" hidden="1" customHeight="1" x14ac:dyDescent="0.5">
      <c r="A571" s="111">
        <v>722</v>
      </c>
      <c r="B571" s="112" t="s">
        <v>231</v>
      </c>
      <c r="C571" s="116">
        <f>SUM(C561:C570)</f>
        <v>0</v>
      </c>
      <c r="D571" s="116">
        <f t="shared" ref="D571:E571" si="230">SUM(D561:D570)</f>
        <v>0</v>
      </c>
      <c r="E571" s="116">
        <f t="shared" si="230"/>
        <v>0</v>
      </c>
      <c r="G571" s="116">
        <f>SUM(G561:G570)</f>
        <v>0</v>
      </c>
      <c r="I571" s="116">
        <f>SUM(I561:I570)</f>
        <v>0</v>
      </c>
      <c r="K571" s="116">
        <f>SUM(K561:K570)</f>
        <v>0</v>
      </c>
      <c r="M571" s="116">
        <f>SUM(M561:M570)</f>
        <v>0</v>
      </c>
      <c r="O571" s="116">
        <f>SUM(O561:O570)</f>
        <v>0</v>
      </c>
    </row>
    <row r="572" spans="1:15" s="27" customFormat="1" ht="42.75" customHeight="1" x14ac:dyDescent="0.5">
      <c r="A572" s="111">
        <v>722</v>
      </c>
      <c r="B572" s="114"/>
      <c r="C572" s="115"/>
      <c r="D572" s="115"/>
      <c r="E572" s="115"/>
      <c r="G572" s="115"/>
      <c r="I572" s="115"/>
      <c r="K572" s="115"/>
      <c r="M572" s="115"/>
      <c r="O572" s="115"/>
    </row>
    <row r="573" spans="1:15" s="27" customFormat="1" ht="42.75" customHeight="1" x14ac:dyDescent="0.5">
      <c r="A573" s="111">
        <v>722</v>
      </c>
      <c r="B573" s="112" t="s">
        <v>477</v>
      </c>
      <c r="C573" s="115"/>
      <c r="D573" s="115"/>
      <c r="E573" s="115"/>
      <c r="G573" s="115"/>
      <c r="I573" s="115"/>
      <c r="K573" s="115"/>
      <c r="M573" s="115"/>
      <c r="O573" s="115"/>
    </row>
    <row r="574" spans="1:15" s="27" customFormat="1" ht="42.75" hidden="1" customHeight="1" x14ac:dyDescent="0.5">
      <c r="A574" s="111">
        <v>722</v>
      </c>
      <c r="B574" s="114" t="s">
        <v>232</v>
      </c>
      <c r="C574" s="115">
        <v>0</v>
      </c>
      <c r="D574" s="115">
        <f>CNT!P760+CNT!P759+CNT!P780</f>
        <v>0</v>
      </c>
      <c r="E574" s="115">
        <f>D574-C574</f>
        <v>0</v>
      </c>
      <c r="G574" s="115">
        <v>0</v>
      </c>
      <c r="I574" s="115">
        <v>0</v>
      </c>
      <c r="K574" s="115">
        <f t="shared" ref="K574" si="231">G574-D574</f>
        <v>0</v>
      </c>
      <c r="M574" s="115">
        <f t="shared" ref="M574" si="232">G574-C574</f>
        <v>0</v>
      </c>
      <c r="O574" s="115">
        <f>M574-K574</f>
        <v>0</v>
      </c>
    </row>
    <row r="575" spans="1:15" s="27" customFormat="1" ht="42.75" hidden="1" customHeight="1" x14ac:dyDescent="0.5">
      <c r="A575" s="111">
        <v>722</v>
      </c>
      <c r="B575" s="114" t="s">
        <v>233</v>
      </c>
      <c r="C575" s="115">
        <v>0</v>
      </c>
      <c r="D575" s="115">
        <f>CNT!P761</f>
        <v>0</v>
      </c>
      <c r="E575" s="115">
        <f t="shared" ref="E575:E595" si="233">D575-C575</f>
        <v>0</v>
      </c>
      <c r="G575" s="115">
        <v>0</v>
      </c>
      <c r="I575" s="115">
        <v>0</v>
      </c>
      <c r="K575" s="115">
        <f t="shared" ref="K575:K595" si="234">G575-D575</f>
        <v>0</v>
      </c>
      <c r="M575" s="115">
        <f t="shared" ref="M575:M595" si="235">G575-C575</f>
        <v>0</v>
      </c>
      <c r="O575" s="115">
        <f t="shared" ref="O575:O595" si="236">M575-K575</f>
        <v>0</v>
      </c>
    </row>
    <row r="576" spans="1:15" s="27" customFormat="1" ht="42.75" hidden="1" customHeight="1" x14ac:dyDescent="0.5">
      <c r="A576" s="111">
        <v>722</v>
      </c>
      <c r="B576" s="114" t="s">
        <v>234</v>
      </c>
      <c r="C576" s="115">
        <v>0</v>
      </c>
      <c r="D576" s="115">
        <f>CNT!P762</f>
        <v>0</v>
      </c>
      <c r="E576" s="115">
        <f t="shared" si="233"/>
        <v>0</v>
      </c>
      <c r="G576" s="115">
        <v>0</v>
      </c>
      <c r="I576" s="115">
        <v>0</v>
      </c>
      <c r="K576" s="115">
        <f t="shared" si="234"/>
        <v>0</v>
      </c>
      <c r="M576" s="115">
        <f t="shared" si="235"/>
        <v>0</v>
      </c>
      <c r="O576" s="115">
        <f t="shared" si="236"/>
        <v>0</v>
      </c>
    </row>
    <row r="577" spans="1:15" s="27" customFormat="1" ht="42.75" hidden="1" customHeight="1" x14ac:dyDescent="0.5">
      <c r="A577" s="111">
        <v>722</v>
      </c>
      <c r="B577" s="114" t="s">
        <v>333</v>
      </c>
      <c r="C577" s="115">
        <v>0</v>
      </c>
      <c r="D577" s="115">
        <f>CNT!P763</f>
        <v>0</v>
      </c>
      <c r="E577" s="115">
        <f t="shared" si="233"/>
        <v>0</v>
      </c>
      <c r="G577" s="115">
        <v>0</v>
      </c>
      <c r="I577" s="115">
        <v>0</v>
      </c>
      <c r="K577" s="115">
        <f t="shared" si="234"/>
        <v>0</v>
      </c>
      <c r="M577" s="115">
        <f t="shared" si="235"/>
        <v>0</v>
      </c>
      <c r="O577" s="115">
        <f t="shared" si="236"/>
        <v>0</v>
      </c>
    </row>
    <row r="578" spans="1:15" s="27" customFormat="1" ht="42.75" hidden="1" customHeight="1" x14ac:dyDescent="0.5">
      <c r="A578" s="111">
        <v>722</v>
      </c>
      <c r="B578" s="114" t="s">
        <v>288</v>
      </c>
      <c r="C578" s="115">
        <v>0</v>
      </c>
      <c r="D578" s="115">
        <f>CNT!P764</f>
        <v>0</v>
      </c>
      <c r="E578" s="115">
        <f t="shared" si="233"/>
        <v>0</v>
      </c>
      <c r="G578" s="115">
        <v>0</v>
      </c>
      <c r="I578" s="115">
        <v>0</v>
      </c>
      <c r="K578" s="115">
        <f t="shared" si="234"/>
        <v>0</v>
      </c>
      <c r="M578" s="115">
        <f t="shared" si="235"/>
        <v>0</v>
      </c>
      <c r="O578" s="115">
        <f t="shared" si="236"/>
        <v>0</v>
      </c>
    </row>
    <row r="579" spans="1:15" s="27" customFormat="1" ht="42.75" hidden="1" customHeight="1" x14ac:dyDescent="0.5">
      <c r="A579" s="111">
        <v>722</v>
      </c>
      <c r="B579" s="114" t="s">
        <v>437</v>
      </c>
      <c r="C579" s="115">
        <v>0</v>
      </c>
      <c r="D579" s="115">
        <f>CNT!P765</f>
        <v>0</v>
      </c>
      <c r="E579" s="115">
        <f t="shared" si="233"/>
        <v>0</v>
      </c>
      <c r="G579" s="115">
        <v>0</v>
      </c>
      <c r="I579" s="115">
        <v>0</v>
      </c>
      <c r="K579" s="115">
        <f t="shared" si="234"/>
        <v>0</v>
      </c>
      <c r="M579" s="115">
        <f t="shared" si="235"/>
        <v>0</v>
      </c>
      <c r="O579" s="115">
        <f t="shared" si="236"/>
        <v>0</v>
      </c>
    </row>
    <row r="580" spans="1:15" s="27" customFormat="1" ht="42.75" hidden="1" customHeight="1" x14ac:dyDescent="0.5">
      <c r="A580" s="111">
        <v>722</v>
      </c>
      <c r="B580" s="114" t="s">
        <v>370</v>
      </c>
      <c r="C580" s="115">
        <v>0</v>
      </c>
      <c r="D580" s="115">
        <f>CNT!P766</f>
        <v>0</v>
      </c>
      <c r="E580" s="115">
        <f t="shared" si="233"/>
        <v>0</v>
      </c>
      <c r="G580" s="115">
        <v>0</v>
      </c>
      <c r="I580" s="115">
        <v>0</v>
      </c>
      <c r="K580" s="115">
        <f t="shared" si="234"/>
        <v>0</v>
      </c>
      <c r="M580" s="115">
        <f t="shared" si="235"/>
        <v>0</v>
      </c>
      <c r="O580" s="115">
        <f t="shared" si="236"/>
        <v>0</v>
      </c>
    </row>
    <row r="581" spans="1:15" s="27" customFormat="1" ht="42.75" hidden="1" customHeight="1" x14ac:dyDescent="0.5">
      <c r="A581" s="111">
        <v>722</v>
      </c>
      <c r="B581" s="114" t="s">
        <v>368</v>
      </c>
      <c r="C581" s="115">
        <v>0</v>
      </c>
      <c r="D581" s="115">
        <f>CNT!P777</f>
        <v>0</v>
      </c>
      <c r="E581" s="115">
        <f t="shared" si="233"/>
        <v>0</v>
      </c>
      <c r="G581" s="115">
        <v>0</v>
      </c>
      <c r="I581" s="115">
        <v>0</v>
      </c>
      <c r="K581" s="115">
        <f t="shared" si="234"/>
        <v>0</v>
      </c>
      <c r="M581" s="115">
        <f t="shared" si="235"/>
        <v>0</v>
      </c>
      <c r="O581" s="115">
        <f t="shared" si="236"/>
        <v>0</v>
      </c>
    </row>
    <row r="582" spans="1:15" s="27" customFormat="1" ht="42.75" hidden="1" customHeight="1" x14ac:dyDescent="0.5">
      <c r="A582" s="111">
        <v>722</v>
      </c>
      <c r="B582" s="114" t="s">
        <v>237</v>
      </c>
      <c r="C582" s="115">
        <v>0</v>
      </c>
      <c r="D582" s="115">
        <f>CNT!P767</f>
        <v>0</v>
      </c>
      <c r="E582" s="115">
        <f t="shared" si="233"/>
        <v>0</v>
      </c>
      <c r="G582" s="115">
        <v>0</v>
      </c>
      <c r="I582" s="115">
        <v>0</v>
      </c>
      <c r="K582" s="115">
        <f t="shared" si="234"/>
        <v>0</v>
      </c>
      <c r="M582" s="115">
        <f t="shared" si="235"/>
        <v>0</v>
      </c>
      <c r="O582" s="115">
        <f t="shared" si="236"/>
        <v>0</v>
      </c>
    </row>
    <row r="583" spans="1:15" s="27" customFormat="1" ht="42.75" hidden="1" customHeight="1" x14ac:dyDescent="0.5">
      <c r="A583" s="111">
        <v>722</v>
      </c>
      <c r="B583" s="114" t="s">
        <v>238</v>
      </c>
      <c r="C583" s="115">
        <v>0</v>
      </c>
      <c r="D583" s="115">
        <f>CNT!P768</f>
        <v>0</v>
      </c>
      <c r="E583" s="115">
        <f t="shared" si="233"/>
        <v>0</v>
      </c>
      <c r="G583" s="115">
        <v>0</v>
      </c>
      <c r="I583" s="115">
        <v>0</v>
      </c>
      <c r="K583" s="115">
        <f t="shared" si="234"/>
        <v>0</v>
      </c>
      <c r="M583" s="115">
        <f t="shared" si="235"/>
        <v>0</v>
      </c>
      <c r="O583" s="115">
        <f t="shared" si="236"/>
        <v>0</v>
      </c>
    </row>
    <row r="584" spans="1:15" s="27" customFormat="1" ht="42.75" hidden="1" customHeight="1" x14ac:dyDescent="0.5">
      <c r="A584" s="111">
        <v>722</v>
      </c>
      <c r="B584" s="114" t="s">
        <v>236</v>
      </c>
      <c r="C584" s="115">
        <v>0</v>
      </c>
      <c r="D584" s="115">
        <f>CNT!P769</f>
        <v>0</v>
      </c>
      <c r="E584" s="115">
        <f t="shared" si="233"/>
        <v>0</v>
      </c>
      <c r="G584" s="115">
        <v>0</v>
      </c>
      <c r="I584" s="115">
        <v>0</v>
      </c>
      <c r="K584" s="115">
        <f t="shared" si="234"/>
        <v>0</v>
      </c>
      <c r="M584" s="115">
        <f t="shared" si="235"/>
        <v>0</v>
      </c>
      <c r="O584" s="115">
        <f t="shared" si="236"/>
        <v>0</v>
      </c>
    </row>
    <row r="585" spans="1:15" s="27" customFormat="1" ht="42.75" customHeight="1" x14ac:dyDescent="0.5">
      <c r="A585" s="111">
        <v>722</v>
      </c>
      <c r="B585" s="114" t="s">
        <v>350</v>
      </c>
      <c r="C585" s="115">
        <f>'Comp YTD 2020-2019 '!H67</f>
        <v>0</v>
      </c>
      <c r="D585" s="115">
        <f>'722 Bedford St'!P10</f>
        <v>390</v>
      </c>
      <c r="E585" s="115">
        <f t="shared" si="233"/>
        <v>390</v>
      </c>
      <c r="G585" s="115">
        <f>'722 Bedford St'!Q10</f>
        <v>520</v>
      </c>
      <c r="I585" s="115">
        <f>'722 Bedford St'!R10</f>
        <v>520</v>
      </c>
      <c r="K585" s="115">
        <f t="shared" si="234"/>
        <v>130</v>
      </c>
      <c r="M585" s="115">
        <f t="shared" si="235"/>
        <v>520</v>
      </c>
      <c r="O585" s="115">
        <f t="shared" si="236"/>
        <v>390</v>
      </c>
    </row>
    <row r="586" spans="1:15" s="27" customFormat="1" ht="42.75" hidden="1" customHeight="1" x14ac:dyDescent="0.5">
      <c r="A586" s="111">
        <v>722</v>
      </c>
      <c r="B586" s="114" t="s">
        <v>353</v>
      </c>
      <c r="C586" s="115">
        <f>'Comp YTD 2020-2019 '!B593</f>
        <v>0</v>
      </c>
      <c r="D586" s="115">
        <f>CNT!P812</f>
        <v>0</v>
      </c>
      <c r="E586" s="115">
        <f t="shared" si="233"/>
        <v>0</v>
      </c>
      <c r="G586" s="115">
        <v>0</v>
      </c>
      <c r="I586" s="115">
        <v>0</v>
      </c>
      <c r="K586" s="115">
        <f t="shared" si="234"/>
        <v>0</v>
      </c>
      <c r="M586" s="115">
        <f t="shared" si="235"/>
        <v>0</v>
      </c>
      <c r="O586" s="115">
        <f t="shared" si="236"/>
        <v>0</v>
      </c>
    </row>
    <row r="587" spans="1:15" s="27" customFormat="1" ht="42.75" hidden="1" customHeight="1" x14ac:dyDescent="0.5">
      <c r="A587" s="111">
        <v>722</v>
      </c>
      <c r="B587" s="114" t="s">
        <v>239</v>
      </c>
      <c r="C587" s="115">
        <f>'Comp YTD 2020-2019 '!B594</f>
        <v>0</v>
      </c>
      <c r="D587" s="115">
        <f>CNT!P770</f>
        <v>0</v>
      </c>
      <c r="E587" s="115">
        <f t="shared" si="233"/>
        <v>0</v>
      </c>
      <c r="G587" s="115">
        <v>0</v>
      </c>
      <c r="I587" s="115">
        <v>0</v>
      </c>
      <c r="K587" s="115">
        <f t="shared" si="234"/>
        <v>0</v>
      </c>
      <c r="M587" s="115">
        <f t="shared" si="235"/>
        <v>0</v>
      </c>
      <c r="O587" s="115">
        <f t="shared" si="236"/>
        <v>0</v>
      </c>
    </row>
    <row r="588" spans="1:15" s="27" customFormat="1" ht="42.75" hidden="1" customHeight="1" x14ac:dyDescent="0.5">
      <c r="A588" s="111">
        <v>722</v>
      </c>
      <c r="B588" s="114" t="s">
        <v>240</v>
      </c>
      <c r="C588" s="115">
        <f>'Comp YTD 2020-2019 '!B595</f>
        <v>0</v>
      </c>
      <c r="D588" s="115">
        <f>CNT!P771</f>
        <v>0</v>
      </c>
      <c r="E588" s="115">
        <f t="shared" si="233"/>
        <v>0</v>
      </c>
      <c r="G588" s="115">
        <v>0</v>
      </c>
      <c r="I588" s="115">
        <v>0</v>
      </c>
      <c r="K588" s="115">
        <f t="shared" si="234"/>
        <v>0</v>
      </c>
      <c r="M588" s="115">
        <f t="shared" si="235"/>
        <v>0</v>
      </c>
      <c r="O588" s="115">
        <f t="shared" si="236"/>
        <v>0</v>
      </c>
    </row>
    <row r="589" spans="1:15" s="27" customFormat="1" ht="42.75" hidden="1" customHeight="1" x14ac:dyDescent="0.5">
      <c r="A589" s="111">
        <v>722</v>
      </c>
      <c r="B589" s="114" t="s">
        <v>241</v>
      </c>
      <c r="C589" s="115">
        <f>'Comp YTD 2020-2019 '!B596</f>
        <v>0</v>
      </c>
      <c r="D589" s="115">
        <f>CNT!P773</f>
        <v>0</v>
      </c>
      <c r="E589" s="115">
        <f t="shared" si="233"/>
        <v>0</v>
      </c>
      <c r="G589" s="115">
        <v>0</v>
      </c>
      <c r="I589" s="115">
        <v>0</v>
      </c>
      <c r="K589" s="115">
        <f t="shared" si="234"/>
        <v>0</v>
      </c>
      <c r="M589" s="115">
        <f t="shared" si="235"/>
        <v>0</v>
      </c>
      <c r="O589" s="115">
        <f t="shared" si="236"/>
        <v>0</v>
      </c>
    </row>
    <row r="590" spans="1:15" s="27" customFormat="1" ht="42.75" customHeight="1" x14ac:dyDescent="0.5">
      <c r="A590" s="111">
        <v>722</v>
      </c>
      <c r="B590" s="114" t="s">
        <v>242</v>
      </c>
      <c r="C590" s="115">
        <f>'Comp YTD 2020-2019 '!H65</f>
        <v>14546.42</v>
      </c>
      <c r="D590" s="115">
        <f>'722 Bedford St'!P11</f>
        <v>132625.47000000003</v>
      </c>
      <c r="E590" s="115">
        <f t="shared" si="233"/>
        <v>118079.05000000003</v>
      </c>
      <c r="G590" s="115">
        <f>'722 Bedford St'!R11</f>
        <v>176833.96000000002</v>
      </c>
      <c r="I590" s="115">
        <f>'722 Bedford St'!R11</f>
        <v>176833.96000000002</v>
      </c>
      <c r="K590" s="115">
        <f t="shared" si="234"/>
        <v>44208.489999999991</v>
      </c>
      <c r="M590" s="115">
        <f t="shared" si="235"/>
        <v>162287.54</v>
      </c>
      <c r="O590" s="115">
        <f t="shared" si="236"/>
        <v>118079.05000000002</v>
      </c>
    </row>
    <row r="591" spans="1:15" s="27" customFormat="1" ht="42.75" hidden="1" customHeight="1" x14ac:dyDescent="0.5">
      <c r="A591" s="111">
        <v>722</v>
      </c>
      <c r="B591" s="114" t="s">
        <v>252</v>
      </c>
      <c r="C591" s="115">
        <f>'Comp YTD 2020-2019 '!B598</f>
        <v>0</v>
      </c>
      <c r="D591" s="115">
        <f>CNT!P795</f>
        <v>0</v>
      </c>
      <c r="E591" s="115">
        <f t="shared" si="233"/>
        <v>0</v>
      </c>
      <c r="G591" s="115">
        <v>0</v>
      </c>
      <c r="I591" s="115">
        <v>0</v>
      </c>
      <c r="K591" s="115">
        <f t="shared" si="234"/>
        <v>0</v>
      </c>
      <c r="M591" s="115">
        <f t="shared" si="235"/>
        <v>0</v>
      </c>
      <c r="O591" s="115">
        <f t="shared" si="236"/>
        <v>0</v>
      </c>
    </row>
    <row r="592" spans="1:15" s="27" customFormat="1" ht="42.75" hidden="1" customHeight="1" x14ac:dyDescent="0.5">
      <c r="A592" s="111">
        <v>722</v>
      </c>
      <c r="B592" s="114" t="s">
        <v>245</v>
      </c>
      <c r="C592" s="115">
        <f>'Comp YTD 2020-2019 '!B600</f>
        <v>0</v>
      </c>
      <c r="D592" s="115">
        <f>CNT!P794</f>
        <v>0</v>
      </c>
      <c r="E592" s="115">
        <f t="shared" si="233"/>
        <v>0</v>
      </c>
      <c r="G592" s="115">
        <v>0</v>
      </c>
      <c r="I592" s="115">
        <v>0</v>
      </c>
      <c r="K592" s="115">
        <f t="shared" si="234"/>
        <v>0</v>
      </c>
      <c r="M592" s="115">
        <f t="shared" si="235"/>
        <v>0</v>
      </c>
      <c r="O592" s="115">
        <f t="shared" si="236"/>
        <v>0</v>
      </c>
    </row>
    <row r="593" spans="1:15" s="27" customFormat="1" ht="42.75" hidden="1" customHeight="1" x14ac:dyDescent="0.5">
      <c r="A593" s="111">
        <v>722</v>
      </c>
      <c r="B593" s="114" t="s">
        <v>246</v>
      </c>
      <c r="C593" s="115">
        <f>'Comp YTD 2020-2019 '!B601</f>
        <v>0</v>
      </c>
      <c r="D593" s="115">
        <f>CNT!P772+CNT!P778</f>
        <v>0</v>
      </c>
      <c r="E593" s="115">
        <f t="shared" si="233"/>
        <v>0</v>
      </c>
      <c r="G593" s="115">
        <v>0</v>
      </c>
      <c r="I593" s="115">
        <v>0</v>
      </c>
      <c r="K593" s="115">
        <f t="shared" si="234"/>
        <v>0</v>
      </c>
      <c r="M593" s="115">
        <f t="shared" si="235"/>
        <v>0</v>
      </c>
      <c r="O593" s="115">
        <f t="shared" si="236"/>
        <v>0</v>
      </c>
    </row>
    <row r="594" spans="1:15" s="27" customFormat="1" ht="42.75" hidden="1" customHeight="1" x14ac:dyDescent="0.5">
      <c r="A594" s="111">
        <v>722</v>
      </c>
      <c r="B594" s="114" t="s">
        <v>362</v>
      </c>
      <c r="C594" s="115">
        <f>'Comp YTD 2020-2019 '!B602</f>
        <v>0</v>
      </c>
      <c r="D594" s="115">
        <f>CNT!P775</f>
        <v>0</v>
      </c>
      <c r="E594" s="115">
        <f t="shared" si="233"/>
        <v>0</v>
      </c>
      <c r="G594" s="115">
        <v>0</v>
      </c>
      <c r="I594" s="115">
        <v>0</v>
      </c>
      <c r="K594" s="115">
        <f t="shared" si="234"/>
        <v>0</v>
      </c>
      <c r="M594" s="115">
        <f t="shared" si="235"/>
        <v>0</v>
      </c>
      <c r="O594" s="115">
        <f t="shared" si="236"/>
        <v>0</v>
      </c>
    </row>
    <row r="595" spans="1:15" s="27" customFormat="1" ht="42.75" hidden="1" customHeight="1" x14ac:dyDescent="0.5">
      <c r="A595" s="111">
        <v>722</v>
      </c>
      <c r="B595" s="114" t="s">
        <v>363</v>
      </c>
      <c r="C595" s="115">
        <f>'Comp YTD 2020-2019 '!B603</f>
        <v>0</v>
      </c>
      <c r="D595" s="115">
        <f>CNT!P776</f>
        <v>0</v>
      </c>
      <c r="E595" s="115">
        <f t="shared" si="233"/>
        <v>0</v>
      </c>
      <c r="G595" s="115">
        <v>0</v>
      </c>
      <c r="I595" s="115">
        <v>0</v>
      </c>
      <c r="K595" s="115">
        <f t="shared" si="234"/>
        <v>0</v>
      </c>
      <c r="M595" s="115">
        <f t="shared" si="235"/>
        <v>0</v>
      </c>
      <c r="O595" s="115">
        <f t="shared" si="236"/>
        <v>0</v>
      </c>
    </row>
    <row r="596" spans="1:15" s="27" customFormat="1" ht="42.75" customHeight="1" x14ac:dyDescent="0.5">
      <c r="A596" s="111">
        <v>722</v>
      </c>
      <c r="B596" s="112" t="s">
        <v>247</v>
      </c>
      <c r="C596" s="116">
        <f>SUM(C574:C595)</f>
        <v>14546.42</v>
      </c>
      <c r="D596" s="116">
        <f t="shared" ref="D596" si="237">SUM(D574:D595)</f>
        <v>133015.47000000003</v>
      </c>
      <c r="E596" s="116">
        <f t="shared" ref="E596" si="238">SUM(E574:E595)</f>
        <v>118469.05000000003</v>
      </c>
      <c r="G596" s="116">
        <f>SUM(G574:G595)</f>
        <v>177353.96000000002</v>
      </c>
      <c r="I596" s="116">
        <f>SUM(I574:I595)</f>
        <v>177353.96000000002</v>
      </c>
      <c r="K596" s="116">
        <f>SUM(K574:K595)</f>
        <v>44338.489999999991</v>
      </c>
      <c r="M596" s="116">
        <f>SUM(M574:M595)</f>
        <v>162807.54</v>
      </c>
      <c r="O596" s="116">
        <f>SUM(O574:O595)</f>
        <v>118469.05000000002</v>
      </c>
    </row>
    <row r="597" spans="1:15" s="27" customFormat="1" ht="42.75" customHeight="1" x14ac:dyDescent="0.5">
      <c r="A597" s="111">
        <v>722</v>
      </c>
      <c r="B597" s="114"/>
      <c r="C597" s="115"/>
      <c r="D597" s="115"/>
      <c r="E597" s="115"/>
      <c r="G597" s="115"/>
      <c r="I597" s="115"/>
      <c r="K597" s="115"/>
      <c r="M597" s="115"/>
      <c r="O597" s="115"/>
    </row>
    <row r="598" spans="1:15" s="27" customFormat="1" ht="42.75" customHeight="1" x14ac:dyDescent="0.5">
      <c r="A598" s="111">
        <v>722</v>
      </c>
      <c r="B598" s="112" t="s">
        <v>248</v>
      </c>
      <c r="C598" s="115"/>
      <c r="D598" s="115"/>
      <c r="E598" s="115"/>
      <c r="G598" s="115"/>
      <c r="I598" s="115"/>
      <c r="K598" s="115"/>
      <c r="M598" s="115"/>
      <c r="O598" s="115"/>
    </row>
    <row r="599" spans="1:15" s="27" customFormat="1" ht="42.75" hidden="1" customHeight="1" x14ac:dyDescent="0.5">
      <c r="A599" s="111">
        <v>722</v>
      </c>
      <c r="B599" s="114" t="s">
        <v>249</v>
      </c>
      <c r="C599" s="115">
        <f>'Comp YTD 2020-2019 '!B613</f>
        <v>0</v>
      </c>
      <c r="D599" s="115">
        <f>CNT!P785</f>
        <v>0</v>
      </c>
      <c r="E599" s="115">
        <f>D599-C599</f>
        <v>0</v>
      </c>
      <c r="G599" s="115">
        <v>0</v>
      </c>
      <c r="I599" s="115">
        <v>0</v>
      </c>
      <c r="K599" s="115">
        <f t="shared" ref="K599" si="239">G599-D599</f>
        <v>0</v>
      </c>
      <c r="M599" s="115">
        <f t="shared" ref="M599" si="240">G599-C599</f>
        <v>0</v>
      </c>
      <c r="O599" s="115">
        <f>M599-K599</f>
        <v>0</v>
      </c>
    </row>
    <row r="600" spans="1:15" s="27" customFormat="1" ht="42.75" hidden="1" customHeight="1" x14ac:dyDescent="0.5">
      <c r="A600" s="111">
        <v>722</v>
      </c>
      <c r="B600" s="114" t="s">
        <v>385</v>
      </c>
      <c r="C600" s="115">
        <f>'Comp YTD 2020-2019 '!B614</f>
        <v>0</v>
      </c>
      <c r="D600" s="115">
        <f>CNT!P783</f>
        <v>0</v>
      </c>
      <c r="E600" s="115">
        <f t="shared" ref="E600:E618" si="241">D600-C600</f>
        <v>0</v>
      </c>
      <c r="G600" s="115">
        <v>0</v>
      </c>
      <c r="I600" s="115">
        <v>0</v>
      </c>
      <c r="K600" s="115">
        <f t="shared" ref="K600:K618" si="242">G600-D600</f>
        <v>0</v>
      </c>
      <c r="M600" s="115">
        <f t="shared" ref="M600:M618" si="243">G600-C600</f>
        <v>0</v>
      </c>
      <c r="O600" s="115">
        <f t="shared" ref="O600:O618" si="244">M600-K600</f>
        <v>0</v>
      </c>
    </row>
    <row r="601" spans="1:15" s="27" customFormat="1" ht="42.75" hidden="1" customHeight="1" x14ac:dyDescent="0.5">
      <c r="A601" s="111">
        <v>722</v>
      </c>
      <c r="B601" s="114" t="s">
        <v>533</v>
      </c>
      <c r="C601" s="115">
        <v>0</v>
      </c>
      <c r="D601" s="115">
        <v>0</v>
      </c>
      <c r="E601" s="115">
        <f t="shared" si="241"/>
        <v>0</v>
      </c>
      <c r="G601" s="115">
        <v>0</v>
      </c>
      <c r="I601" s="115">
        <v>0</v>
      </c>
      <c r="K601" s="115">
        <f t="shared" si="242"/>
        <v>0</v>
      </c>
      <c r="M601" s="115">
        <f t="shared" si="243"/>
        <v>0</v>
      </c>
      <c r="O601" s="115">
        <f t="shared" si="244"/>
        <v>0</v>
      </c>
    </row>
    <row r="602" spans="1:15" s="27" customFormat="1" ht="42.75" customHeight="1" x14ac:dyDescent="0.5">
      <c r="A602" s="111">
        <v>722</v>
      </c>
      <c r="B602" s="114" t="s">
        <v>250</v>
      </c>
      <c r="C602" s="115">
        <f>'Comp YTD 2020-2019 '!H84</f>
        <v>0</v>
      </c>
      <c r="D602" s="115">
        <f>'722 Bedford St'!P16</f>
        <v>716.4375</v>
      </c>
      <c r="E602" s="115">
        <f t="shared" si="241"/>
        <v>716.4375</v>
      </c>
      <c r="G602" s="115">
        <f>'722 Bedford St'!Q16</f>
        <v>955.25000000000011</v>
      </c>
      <c r="I602" s="115">
        <f>'722 Bedford St'!R16</f>
        <v>955.25000000000011</v>
      </c>
      <c r="K602" s="115">
        <f t="shared" si="242"/>
        <v>238.81250000000011</v>
      </c>
      <c r="M602" s="115">
        <f t="shared" si="243"/>
        <v>955.25000000000011</v>
      </c>
      <c r="O602" s="115">
        <f t="shared" si="244"/>
        <v>716.4375</v>
      </c>
    </row>
    <row r="603" spans="1:15" s="27" customFormat="1" ht="42.75" hidden="1" customHeight="1" x14ac:dyDescent="0.5">
      <c r="A603" s="111">
        <v>722</v>
      </c>
      <c r="B603" s="114" t="s">
        <v>357</v>
      </c>
      <c r="C603" s="115">
        <f>'Comp YTD 2020-2019 '!B617</f>
        <v>0</v>
      </c>
      <c r="D603" s="115">
        <v>0</v>
      </c>
      <c r="E603" s="115">
        <f t="shared" si="241"/>
        <v>0</v>
      </c>
      <c r="G603" s="115">
        <v>0</v>
      </c>
      <c r="I603" s="115">
        <v>0</v>
      </c>
      <c r="K603" s="115">
        <f t="shared" si="242"/>
        <v>0</v>
      </c>
      <c r="M603" s="115">
        <f t="shared" si="243"/>
        <v>0</v>
      </c>
      <c r="O603" s="115">
        <f t="shared" si="244"/>
        <v>0</v>
      </c>
    </row>
    <row r="604" spans="1:15" s="27" customFormat="1" ht="42.75" hidden="1" customHeight="1" x14ac:dyDescent="0.5">
      <c r="A604" s="111">
        <v>722</v>
      </c>
      <c r="B604" s="114" t="s">
        <v>251</v>
      </c>
      <c r="C604" s="115">
        <f>'Comp YTD 2020-2019 '!B618</f>
        <v>0</v>
      </c>
      <c r="D604" s="115">
        <f>CNT!P788</f>
        <v>0</v>
      </c>
      <c r="E604" s="115">
        <f t="shared" si="241"/>
        <v>0</v>
      </c>
      <c r="G604" s="115">
        <v>0</v>
      </c>
      <c r="I604" s="115">
        <v>0</v>
      </c>
      <c r="K604" s="115">
        <f t="shared" si="242"/>
        <v>0</v>
      </c>
      <c r="M604" s="115">
        <f t="shared" si="243"/>
        <v>0</v>
      </c>
      <c r="O604" s="115">
        <f t="shared" si="244"/>
        <v>0</v>
      </c>
    </row>
    <row r="605" spans="1:15" s="27" customFormat="1" ht="42.75" hidden="1" customHeight="1" x14ac:dyDescent="0.5">
      <c r="A605" s="111">
        <v>722</v>
      </c>
      <c r="B605" s="114" t="s">
        <v>354</v>
      </c>
      <c r="C605" s="115">
        <f>'Comp YTD 2020-2019 '!H87</f>
        <v>333.33</v>
      </c>
      <c r="D605" s="115">
        <f>CNT!P806</f>
        <v>0</v>
      </c>
      <c r="E605" s="115">
        <f t="shared" si="241"/>
        <v>-333.33</v>
      </c>
      <c r="G605" s="115">
        <v>0</v>
      </c>
      <c r="I605" s="115">
        <v>0</v>
      </c>
      <c r="K605" s="115">
        <f t="shared" si="242"/>
        <v>0</v>
      </c>
      <c r="M605" s="115">
        <f t="shared" si="243"/>
        <v>-333.33</v>
      </c>
      <c r="O605" s="115">
        <f t="shared" si="244"/>
        <v>-333.33</v>
      </c>
    </row>
    <row r="606" spans="1:15" s="27" customFormat="1" ht="42.75" customHeight="1" x14ac:dyDescent="0.5">
      <c r="A606" s="111">
        <v>722</v>
      </c>
      <c r="B606" s="114" t="s">
        <v>355</v>
      </c>
      <c r="C606" s="115">
        <f>'Comp YTD 2020-2019 '!B620</f>
        <v>0</v>
      </c>
      <c r="D606" s="115">
        <f>'722 Bedford St'!P15</f>
        <v>1912.5</v>
      </c>
      <c r="E606" s="115">
        <f t="shared" si="241"/>
        <v>1912.5</v>
      </c>
      <c r="G606" s="115">
        <f>'722 Bedford St'!Q15</f>
        <v>2550</v>
      </c>
      <c r="I606" s="115">
        <f>'722 Bedford St'!R15</f>
        <v>2550</v>
      </c>
      <c r="K606" s="115">
        <f t="shared" si="242"/>
        <v>637.5</v>
      </c>
      <c r="M606" s="115">
        <f t="shared" si="243"/>
        <v>2550</v>
      </c>
      <c r="O606" s="115">
        <f t="shared" si="244"/>
        <v>1912.5</v>
      </c>
    </row>
    <row r="607" spans="1:15" s="27" customFormat="1" ht="42.75" hidden="1" customHeight="1" x14ac:dyDescent="0.5">
      <c r="A607" s="111">
        <v>722</v>
      </c>
      <c r="B607" s="114" t="s">
        <v>356</v>
      </c>
      <c r="C607" s="115">
        <f>'Comp YTD 2020-2019 '!B621</f>
        <v>0</v>
      </c>
      <c r="D607" s="115">
        <f>CNT!P805</f>
        <v>0</v>
      </c>
      <c r="E607" s="115">
        <f t="shared" si="241"/>
        <v>0</v>
      </c>
      <c r="G607" s="115">
        <v>0</v>
      </c>
      <c r="I607" s="115">
        <v>0</v>
      </c>
      <c r="K607" s="115">
        <f t="shared" si="242"/>
        <v>0</v>
      </c>
      <c r="M607" s="115">
        <f t="shared" si="243"/>
        <v>0</v>
      </c>
      <c r="O607" s="115">
        <f t="shared" si="244"/>
        <v>0</v>
      </c>
    </row>
    <row r="608" spans="1:15" s="27" customFormat="1" ht="42.75" hidden="1" customHeight="1" x14ac:dyDescent="0.5">
      <c r="A608" s="111">
        <v>722</v>
      </c>
      <c r="B608" s="114" t="s">
        <v>394</v>
      </c>
      <c r="C608" s="115">
        <f>'Comp YTD 2020-2019 '!B622</f>
        <v>0</v>
      </c>
      <c r="D608" s="115">
        <f>CNT!P808</f>
        <v>0</v>
      </c>
      <c r="E608" s="115">
        <f t="shared" si="241"/>
        <v>0</v>
      </c>
      <c r="G608" s="115">
        <v>0</v>
      </c>
      <c r="I608" s="115">
        <v>0</v>
      </c>
      <c r="K608" s="115">
        <f t="shared" si="242"/>
        <v>0</v>
      </c>
      <c r="M608" s="115">
        <f t="shared" si="243"/>
        <v>0</v>
      </c>
      <c r="O608" s="115">
        <f t="shared" si="244"/>
        <v>0</v>
      </c>
    </row>
    <row r="609" spans="1:15" s="27" customFormat="1" ht="42.75" hidden="1" customHeight="1" x14ac:dyDescent="0.5">
      <c r="A609" s="111">
        <v>722</v>
      </c>
      <c r="B609" s="114" t="s">
        <v>383</v>
      </c>
      <c r="C609" s="115">
        <f>'Comp YTD 2020-2019 '!B623</f>
        <v>0</v>
      </c>
      <c r="D609" s="115">
        <v>0</v>
      </c>
      <c r="E609" s="115">
        <f t="shared" si="241"/>
        <v>0</v>
      </c>
      <c r="G609" s="115">
        <v>0</v>
      </c>
      <c r="I609" s="115">
        <v>0</v>
      </c>
      <c r="K609" s="115">
        <f t="shared" si="242"/>
        <v>0</v>
      </c>
      <c r="M609" s="115">
        <f t="shared" si="243"/>
        <v>0</v>
      </c>
      <c r="O609" s="115">
        <f t="shared" si="244"/>
        <v>0</v>
      </c>
    </row>
    <row r="610" spans="1:15" s="27" customFormat="1" ht="42.75" hidden="1" customHeight="1" x14ac:dyDescent="0.5">
      <c r="A610" s="111">
        <v>722</v>
      </c>
      <c r="B610" s="114" t="s">
        <v>253</v>
      </c>
      <c r="C610" s="115">
        <f>'Comp YTD 2020-2019 '!B624</f>
        <v>0</v>
      </c>
      <c r="D610" s="115">
        <f>CNT!P792+CNT!P810</f>
        <v>0</v>
      </c>
      <c r="E610" s="115">
        <f t="shared" si="241"/>
        <v>0</v>
      </c>
      <c r="G610" s="115">
        <v>0</v>
      </c>
      <c r="I610" s="115">
        <v>0</v>
      </c>
      <c r="K610" s="115">
        <f t="shared" si="242"/>
        <v>0</v>
      </c>
      <c r="M610" s="115">
        <f t="shared" si="243"/>
        <v>0</v>
      </c>
      <c r="O610" s="115">
        <f t="shared" si="244"/>
        <v>0</v>
      </c>
    </row>
    <row r="611" spans="1:15" s="27" customFormat="1" ht="42.75" hidden="1" customHeight="1" x14ac:dyDescent="0.5">
      <c r="A611" s="111">
        <v>722</v>
      </c>
      <c r="B611" s="114" t="s">
        <v>254</v>
      </c>
      <c r="C611" s="115">
        <f>'Comp YTD 2020-2019 '!B625</f>
        <v>0</v>
      </c>
      <c r="D611" s="115">
        <f>CNT!P796</f>
        <v>0</v>
      </c>
      <c r="E611" s="115">
        <f t="shared" si="241"/>
        <v>0</v>
      </c>
      <c r="G611" s="115">
        <v>0</v>
      </c>
      <c r="I611" s="115">
        <v>0</v>
      </c>
      <c r="K611" s="115">
        <f t="shared" si="242"/>
        <v>0</v>
      </c>
      <c r="M611" s="115">
        <f t="shared" si="243"/>
        <v>0</v>
      </c>
      <c r="O611" s="115">
        <f t="shared" si="244"/>
        <v>0</v>
      </c>
    </row>
    <row r="612" spans="1:15" s="27" customFormat="1" ht="42.75" hidden="1" customHeight="1" x14ac:dyDescent="0.5">
      <c r="A612" s="111">
        <v>722</v>
      </c>
      <c r="B612" s="114" t="s">
        <v>255</v>
      </c>
      <c r="C612" s="115">
        <f>'Comp YTD 2020-2019 '!B626</f>
        <v>0</v>
      </c>
      <c r="D612" s="115">
        <f>CNT!P797</f>
        <v>0</v>
      </c>
      <c r="E612" s="115">
        <f t="shared" si="241"/>
        <v>0</v>
      </c>
      <c r="G612" s="115">
        <v>0</v>
      </c>
      <c r="I612" s="115">
        <v>0</v>
      </c>
      <c r="K612" s="115">
        <f t="shared" si="242"/>
        <v>0</v>
      </c>
      <c r="M612" s="115">
        <f t="shared" si="243"/>
        <v>0</v>
      </c>
      <c r="O612" s="115">
        <f t="shared" si="244"/>
        <v>0</v>
      </c>
    </row>
    <row r="613" spans="1:15" s="27" customFormat="1" ht="42.75" hidden="1" customHeight="1" x14ac:dyDescent="0.5">
      <c r="A613" s="111">
        <v>722</v>
      </c>
      <c r="B613" s="114" t="s">
        <v>292</v>
      </c>
      <c r="C613" s="115">
        <f>'Comp YTD 2020-2019 '!B627</f>
        <v>0</v>
      </c>
      <c r="D613" s="115">
        <f>CNT!P787</f>
        <v>0</v>
      </c>
      <c r="E613" s="115">
        <f t="shared" si="241"/>
        <v>0</v>
      </c>
      <c r="G613" s="115">
        <v>0</v>
      </c>
      <c r="I613" s="115">
        <v>0</v>
      </c>
      <c r="K613" s="115">
        <f t="shared" si="242"/>
        <v>0</v>
      </c>
      <c r="M613" s="115">
        <f t="shared" si="243"/>
        <v>0</v>
      </c>
      <c r="O613" s="115">
        <f t="shared" si="244"/>
        <v>0</v>
      </c>
    </row>
    <row r="614" spans="1:15" s="27" customFormat="1" ht="42.75" hidden="1" customHeight="1" x14ac:dyDescent="0.5">
      <c r="A614" s="111">
        <v>722</v>
      </c>
      <c r="B614" s="114" t="s">
        <v>371</v>
      </c>
      <c r="C614" s="115">
        <f>'Comp YTD 2020-2019 '!B628</f>
        <v>0</v>
      </c>
      <c r="D614" s="115">
        <f>CNT!P793</f>
        <v>0</v>
      </c>
      <c r="E614" s="115">
        <f t="shared" si="241"/>
        <v>0</v>
      </c>
      <c r="G614" s="115">
        <v>0</v>
      </c>
      <c r="I614" s="115">
        <v>0</v>
      </c>
      <c r="K614" s="115">
        <f t="shared" si="242"/>
        <v>0</v>
      </c>
      <c r="M614" s="115">
        <f t="shared" si="243"/>
        <v>0</v>
      </c>
      <c r="O614" s="115">
        <f t="shared" si="244"/>
        <v>0</v>
      </c>
    </row>
    <row r="615" spans="1:15" s="27" customFormat="1" ht="42.75" hidden="1" customHeight="1" x14ac:dyDescent="0.5">
      <c r="A615" s="111">
        <v>722</v>
      </c>
      <c r="B615" s="114" t="s">
        <v>256</v>
      </c>
      <c r="C615" s="115">
        <f>'Comp YTD 2020-2019 '!B629</f>
        <v>0</v>
      </c>
      <c r="D615" s="115">
        <f>CNT!P799</f>
        <v>0</v>
      </c>
      <c r="E615" s="115">
        <f t="shared" si="241"/>
        <v>0</v>
      </c>
      <c r="G615" s="115">
        <v>0</v>
      </c>
      <c r="I615" s="115">
        <v>0</v>
      </c>
      <c r="K615" s="115">
        <f t="shared" si="242"/>
        <v>0</v>
      </c>
      <c r="M615" s="115">
        <f t="shared" si="243"/>
        <v>0</v>
      </c>
      <c r="O615" s="115">
        <f t="shared" si="244"/>
        <v>0</v>
      </c>
    </row>
    <row r="616" spans="1:15" s="27" customFormat="1" ht="42.75" hidden="1" customHeight="1" x14ac:dyDescent="0.5">
      <c r="A616" s="111">
        <v>722</v>
      </c>
      <c r="B616" s="114" t="s">
        <v>257</v>
      </c>
      <c r="C616" s="115">
        <f>'Comp YTD 2020-2019 '!B630</f>
        <v>0</v>
      </c>
      <c r="D616" s="115">
        <f>CNT!P800+CNT!P811</f>
        <v>0</v>
      </c>
      <c r="E616" s="115">
        <f t="shared" si="241"/>
        <v>0</v>
      </c>
      <c r="G616" s="115">
        <v>0</v>
      </c>
      <c r="I616" s="115">
        <v>0</v>
      </c>
      <c r="K616" s="115">
        <f t="shared" si="242"/>
        <v>0</v>
      </c>
      <c r="M616" s="115">
        <f t="shared" si="243"/>
        <v>0</v>
      </c>
      <c r="O616" s="115">
        <f t="shared" si="244"/>
        <v>0</v>
      </c>
    </row>
    <row r="617" spans="1:15" s="27" customFormat="1" ht="42.75" hidden="1" customHeight="1" x14ac:dyDescent="0.5">
      <c r="A617" s="111">
        <v>722</v>
      </c>
      <c r="B617" s="114" t="s">
        <v>258</v>
      </c>
      <c r="C617" s="115">
        <f>'Comp YTD 2020-2019 '!B631</f>
        <v>0</v>
      </c>
      <c r="D617" s="115">
        <f>CNT!P801</f>
        <v>0</v>
      </c>
      <c r="E617" s="115">
        <f t="shared" si="241"/>
        <v>0</v>
      </c>
      <c r="G617" s="115">
        <v>0</v>
      </c>
      <c r="I617" s="115">
        <v>0</v>
      </c>
      <c r="K617" s="115">
        <f t="shared" si="242"/>
        <v>0</v>
      </c>
      <c r="M617" s="115">
        <f t="shared" si="243"/>
        <v>0</v>
      </c>
      <c r="O617" s="115">
        <f t="shared" si="244"/>
        <v>0</v>
      </c>
    </row>
    <row r="618" spans="1:15" s="27" customFormat="1" ht="42.75" hidden="1" customHeight="1" x14ac:dyDescent="0.5">
      <c r="A618" s="111">
        <v>722</v>
      </c>
      <c r="B618" s="114" t="s">
        <v>259</v>
      </c>
      <c r="C618" s="115">
        <f>'Comp YTD 2020-2019 '!B632</f>
        <v>0</v>
      </c>
      <c r="D618" s="115">
        <f>CNT!P802</f>
        <v>0</v>
      </c>
      <c r="E618" s="115">
        <f t="shared" si="241"/>
        <v>0</v>
      </c>
      <c r="G618" s="115">
        <v>0</v>
      </c>
      <c r="I618" s="115">
        <v>0</v>
      </c>
      <c r="K618" s="115">
        <f t="shared" si="242"/>
        <v>0</v>
      </c>
      <c r="M618" s="115">
        <f t="shared" si="243"/>
        <v>0</v>
      </c>
      <c r="O618" s="115">
        <f t="shared" si="244"/>
        <v>0</v>
      </c>
    </row>
    <row r="619" spans="1:15" s="27" customFormat="1" ht="42.75" customHeight="1" x14ac:dyDescent="0.5">
      <c r="A619" s="111">
        <v>722</v>
      </c>
      <c r="B619" s="112" t="s">
        <v>261</v>
      </c>
      <c r="C619" s="116">
        <f>SUM(C599:C618)</f>
        <v>333.33</v>
      </c>
      <c r="D619" s="116">
        <f>SUM(D599:D618)</f>
        <v>2628.9375</v>
      </c>
      <c r="E619" s="116">
        <f>SUM(E599:E618)</f>
        <v>2295.6075000000001</v>
      </c>
      <c r="G619" s="116">
        <f>SUM(G599:G618)</f>
        <v>3505.25</v>
      </c>
      <c r="I619" s="116">
        <f>SUM(I599:I618)</f>
        <v>3505.25</v>
      </c>
      <c r="K619" s="116">
        <f>SUM(K599:K618)</f>
        <v>876.31250000000011</v>
      </c>
      <c r="M619" s="116">
        <f>SUM(M599:M618)</f>
        <v>3171.92</v>
      </c>
      <c r="O619" s="116">
        <f>SUM(O599:O618)</f>
        <v>2295.6075000000001</v>
      </c>
    </row>
    <row r="620" spans="1:15" s="27" customFormat="1" ht="42.75" customHeight="1" x14ac:dyDescent="0.5">
      <c r="A620" s="111">
        <v>722</v>
      </c>
      <c r="B620" s="114"/>
      <c r="C620" s="115"/>
      <c r="D620" s="115"/>
      <c r="E620" s="115"/>
      <c r="G620" s="115"/>
      <c r="I620" s="115"/>
      <c r="K620" s="115"/>
      <c r="M620" s="115"/>
      <c r="O620" s="115"/>
    </row>
    <row r="621" spans="1:15" s="27" customFormat="1" ht="42.75" customHeight="1" thickBot="1" x14ac:dyDescent="0.55000000000000004">
      <c r="A621" s="111">
        <v>722</v>
      </c>
      <c r="B621" s="112" t="s">
        <v>262</v>
      </c>
      <c r="C621" s="117">
        <f t="shared" ref="C621:E621" si="245">C571+C596+C619</f>
        <v>14879.75</v>
      </c>
      <c r="D621" s="117">
        <f>D571+D596+D619</f>
        <v>135644.40750000003</v>
      </c>
      <c r="E621" s="117">
        <f t="shared" si="245"/>
        <v>120764.65750000003</v>
      </c>
      <c r="G621" s="117">
        <f>G571+G596+G619</f>
        <v>180859.21000000002</v>
      </c>
      <c r="I621" s="117">
        <f>I571+I596+I619</f>
        <v>180859.21000000002</v>
      </c>
      <c r="K621" s="117">
        <f>K571+K596+K619</f>
        <v>45214.802499999991</v>
      </c>
      <c r="M621" s="117">
        <f>M571+M596+M619</f>
        <v>165979.46000000002</v>
      </c>
      <c r="O621" s="117">
        <f>O571+O596+O619</f>
        <v>120764.65750000002</v>
      </c>
    </row>
    <row r="622" spans="1:15" s="27" customFormat="1" ht="42.75" customHeight="1" x14ac:dyDescent="0.5">
      <c r="A622" s="111">
        <v>722</v>
      </c>
      <c r="B622" s="114"/>
      <c r="C622" s="115"/>
      <c r="D622" s="115"/>
      <c r="E622" s="115"/>
      <c r="G622" s="115"/>
      <c r="I622" s="115"/>
      <c r="K622" s="115"/>
      <c r="M622" s="115"/>
      <c r="O622" s="115"/>
    </row>
    <row r="623" spans="1:15" s="27" customFormat="1" ht="42.75" customHeight="1" x14ac:dyDescent="0.5">
      <c r="A623" s="111">
        <v>722</v>
      </c>
      <c r="B623" s="112" t="s">
        <v>454</v>
      </c>
      <c r="C623" s="115"/>
      <c r="D623" s="115"/>
      <c r="E623" s="115"/>
      <c r="G623" s="115"/>
      <c r="I623" s="115"/>
      <c r="K623" s="115"/>
      <c r="M623" s="115"/>
      <c r="O623" s="115"/>
    </row>
    <row r="624" spans="1:15" s="27" customFormat="1" ht="42.75" customHeight="1" x14ac:dyDescent="0.5">
      <c r="A624" s="111">
        <v>722</v>
      </c>
      <c r="B624" s="114" t="s">
        <v>265</v>
      </c>
      <c r="C624" s="115">
        <f>'Comp YTD 2020-2019 '!H106</f>
        <v>32500</v>
      </c>
      <c r="D624" s="115">
        <f>'722 Bedford St'!P22+'722 Bedford St'!P23</f>
        <v>292500</v>
      </c>
      <c r="E624" s="115">
        <f>D624-C624</f>
        <v>260000</v>
      </c>
      <c r="G624" s="115">
        <f>'722 Bedford St'!Q22+'722 Bedford St'!Q23</f>
        <v>390000</v>
      </c>
      <c r="I624" s="115">
        <f>'722 Bedford St'!R22+'722 Bedford St'!R23</f>
        <v>240000</v>
      </c>
      <c r="K624" s="115">
        <f t="shared" ref="K624" si="246">G624-D624</f>
        <v>97500</v>
      </c>
      <c r="M624" s="115">
        <f t="shared" ref="M624" si="247">G624-C624</f>
        <v>357500</v>
      </c>
      <c r="O624" s="115">
        <f>M624-K624</f>
        <v>260000</v>
      </c>
    </row>
    <row r="625" spans="1:15" s="27" customFormat="1" ht="42.75" hidden="1" customHeight="1" x14ac:dyDescent="0.5">
      <c r="A625" s="111">
        <v>722</v>
      </c>
      <c r="B625" s="114" t="s">
        <v>266</v>
      </c>
      <c r="C625" s="115">
        <f>'Comp YTD 2020-2019 '!B639</f>
        <v>0</v>
      </c>
      <c r="D625" s="115">
        <v>0</v>
      </c>
      <c r="E625" s="115">
        <f t="shared" ref="E625:E636" si="248">D625-C625</f>
        <v>0</v>
      </c>
      <c r="G625" s="115">
        <v>0</v>
      </c>
      <c r="I625" s="115">
        <v>0</v>
      </c>
      <c r="K625" s="115">
        <f t="shared" ref="K625:K636" si="249">G625-D625</f>
        <v>0</v>
      </c>
      <c r="M625" s="115">
        <f t="shared" ref="M625:M636" si="250">G625-C625</f>
        <v>0</v>
      </c>
      <c r="O625" s="115">
        <f t="shared" ref="O625:O636" si="251">M625-K625</f>
        <v>0</v>
      </c>
    </row>
    <row r="626" spans="1:15" s="27" customFormat="1" ht="42.75" hidden="1" customHeight="1" x14ac:dyDescent="0.5">
      <c r="A626" s="111">
        <v>722</v>
      </c>
      <c r="B626" s="114" t="s">
        <v>324</v>
      </c>
      <c r="C626" s="115">
        <f>'Comp YTD 2020-2019 '!B640</f>
        <v>0</v>
      </c>
      <c r="D626" s="115">
        <v>0</v>
      </c>
      <c r="E626" s="115">
        <f t="shared" si="248"/>
        <v>0</v>
      </c>
      <c r="G626" s="115">
        <v>0</v>
      </c>
      <c r="I626" s="115">
        <v>0</v>
      </c>
      <c r="K626" s="115">
        <f t="shared" si="249"/>
        <v>0</v>
      </c>
      <c r="M626" s="115">
        <f t="shared" si="250"/>
        <v>0</v>
      </c>
      <c r="O626" s="115">
        <f t="shared" si="251"/>
        <v>0</v>
      </c>
    </row>
    <row r="627" spans="1:15" s="27" customFormat="1" ht="42.75" hidden="1" customHeight="1" x14ac:dyDescent="0.5">
      <c r="A627" s="111">
        <v>722</v>
      </c>
      <c r="B627" s="114" t="s">
        <v>380</v>
      </c>
      <c r="C627" s="115">
        <f>'Comp YTD 2020-2019 '!B641</f>
        <v>0</v>
      </c>
      <c r="D627" s="115">
        <f>CNT!P818</f>
        <v>0</v>
      </c>
      <c r="E627" s="115">
        <f t="shared" si="248"/>
        <v>0</v>
      </c>
      <c r="G627" s="115">
        <v>0</v>
      </c>
      <c r="I627" s="115">
        <v>0</v>
      </c>
      <c r="K627" s="115">
        <f t="shared" si="249"/>
        <v>0</v>
      </c>
      <c r="M627" s="115">
        <f t="shared" si="250"/>
        <v>0</v>
      </c>
      <c r="O627" s="115">
        <f t="shared" si="251"/>
        <v>0</v>
      </c>
    </row>
    <row r="628" spans="1:15" s="27" customFormat="1" ht="42.75" hidden="1" customHeight="1" x14ac:dyDescent="0.5">
      <c r="A628" s="111">
        <v>722</v>
      </c>
      <c r="B628" s="114" t="s">
        <v>267</v>
      </c>
      <c r="C628" s="115">
        <f>'Comp YTD 2020-2019 '!B642</f>
        <v>0</v>
      </c>
      <c r="D628" s="115">
        <f>CNT!P819</f>
        <v>0</v>
      </c>
      <c r="E628" s="115">
        <f t="shared" si="248"/>
        <v>0</v>
      </c>
      <c r="G628" s="115">
        <v>0</v>
      </c>
      <c r="I628" s="115">
        <v>0</v>
      </c>
      <c r="K628" s="115">
        <f t="shared" si="249"/>
        <v>0</v>
      </c>
      <c r="M628" s="115">
        <f t="shared" si="250"/>
        <v>0</v>
      </c>
      <c r="O628" s="115">
        <f t="shared" si="251"/>
        <v>0</v>
      </c>
    </row>
    <row r="629" spans="1:15" s="27" customFormat="1" ht="42.75" hidden="1" customHeight="1" x14ac:dyDescent="0.5">
      <c r="A629" s="111">
        <v>722</v>
      </c>
      <c r="B629" s="114" t="s">
        <v>268</v>
      </c>
      <c r="C629" s="115">
        <f>'Comp YTD 2020-2019 '!B643</f>
        <v>0</v>
      </c>
      <c r="D629" s="115">
        <f>CNT!P820</f>
        <v>0</v>
      </c>
      <c r="E629" s="115">
        <f t="shared" si="248"/>
        <v>0</v>
      </c>
      <c r="G629" s="115">
        <v>0</v>
      </c>
      <c r="I629" s="115">
        <v>0</v>
      </c>
      <c r="K629" s="115">
        <f t="shared" si="249"/>
        <v>0</v>
      </c>
      <c r="M629" s="115">
        <f t="shared" si="250"/>
        <v>0</v>
      </c>
      <c r="O629" s="115">
        <f t="shared" si="251"/>
        <v>0</v>
      </c>
    </row>
    <row r="630" spans="1:15" s="27" customFormat="1" ht="42.75" customHeight="1" x14ac:dyDescent="0.5">
      <c r="A630" s="111">
        <v>722</v>
      </c>
      <c r="B630" s="114" t="s">
        <v>269</v>
      </c>
      <c r="C630" s="115">
        <f>'Comp YTD 2020-2019 '!H112</f>
        <v>0</v>
      </c>
      <c r="D630" s="115">
        <f>'722 Bedford St'!P27</f>
        <v>-117000</v>
      </c>
      <c r="E630" s="115">
        <f t="shared" si="248"/>
        <v>-117000</v>
      </c>
      <c r="G630" s="115">
        <f>'722 Bedford St'!Q27</f>
        <v>-156000</v>
      </c>
      <c r="I630" s="115">
        <f>'722 Bedford St'!R27</f>
        <v>-562.5</v>
      </c>
      <c r="K630" s="115">
        <f t="shared" si="249"/>
        <v>-39000</v>
      </c>
      <c r="M630" s="115">
        <f t="shared" si="250"/>
        <v>-156000</v>
      </c>
      <c r="O630" s="115">
        <f t="shared" si="251"/>
        <v>-117000</v>
      </c>
    </row>
    <row r="631" spans="1:15" s="27" customFormat="1" ht="42.75" hidden="1" customHeight="1" x14ac:dyDescent="0.5">
      <c r="A631" s="111">
        <v>722</v>
      </c>
      <c r="B631" s="114" t="s">
        <v>270</v>
      </c>
      <c r="C631" s="115">
        <f>'Comp YTD 2020-2019 '!B645</f>
        <v>0</v>
      </c>
      <c r="D631" s="115">
        <f>CNT!P822</f>
        <v>0</v>
      </c>
      <c r="E631" s="115">
        <f t="shared" si="248"/>
        <v>0</v>
      </c>
      <c r="G631" s="115">
        <v>0</v>
      </c>
      <c r="I631" s="115">
        <v>0</v>
      </c>
      <c r="K631" s="115">
        <f t="shared" si="249"/>
        <v>0</v>
      </c>
      <c r="M631" s="115">
        <f t="shared" si="250"/>
        <v>0</v>
      </c>
      <c r="O631" s="115">
        <f t="shared" si="251"/>
        <v>0</v>
      </c>
    </row>
    <row r="632" spans="1:15" s="27" customFormat="1" ht="42.75" hidden="1" customHeight="1" x14ac:dyDescent="0.5">
      <c r="A632" s="111">
        <v>722</v>
      </c>
      <c r="B632" s="114" t="s">
        <v>395</v>
      </c>
      <c r="C632" s="115">
        <f>'Comp YTD 2020-2019 '!B646</f>
        <v>0</v>
      </c>
      <c r="D632" s="115">
        <f>CNT!P823</f>
        <v>0</v>
      </c>
      <c r="E632" s="115">
        <f t="shared" si="248"/>
        <v>0</v>
      </c>
      <c r="G632" s="115">
        <v>0</v>
      </c>
      <c r="I632" s="115">
        <v>0</v>
      </c>
      <c r="K632" s="115">
        <f t="shared" si="249"/>
        <v>0</v>
      </c>
      <c r="M632" s="115">
        <f t="shared" si="250"/>
        <v>0</v>
      </c>
      <c r="O632" s="115">
        <f t="shared" si="251"/>
        <v>0</v>
      </c>
    </row>
    <row r="633" spans="1:15" s="27" customFormat="1" ht="42.75" hidden="1" customHeight="1" x14ac:dyDescent="0.5">
      <c r="A633" s="111">
        <v>722</v>
      </c>
      <c r="B633" s="114" t="s">
        <v>430</v>
      </c>
      <c r="C633" s="115">
        <f>'Comp YTD 2020-2019 '!B647</f>
        <v>0</v>
      </c>
      <c r="D633" s="115">
        <f>CNT!P824</f>
        <v>0</v>
      </c>
      <c r="E633" s="115">
        <f t="shared" si="248"/>
        <v>0</v>
      </c>
      <c r="G633" s="115">
        <v>0</v>
      </c>
      <c r="I633" s="115">
        <v>0</v>
      </c>
      <c r="K633" s="115">
        <f t="shared" si="249"/>
        <v>0</v>
      </c>
      <c r="M633" s="115">
        <f t="shared" si="250"/>
        <v>0</v>
      </c>
      <c r="O633" s="115">
        <f t="shared" si="251"/>
        <v>0</v>
      </c>
    </row>
    <row r="634" spans="1:15" s="27" customFormat="1" ht="42.75" hidden="1" customHeight="1" x14ac:dyDescent="0.5">
      <c r="A634" s="111">
        <v>722</v>
      </c>
      <c r="B634" s="114" t="s">
        <v>431</v>
      </c>
      <c r="C634" s="115">
        <f>'Comp YTD 2020-2019 '!B648</f>
        <v>0</v>
      </c>
      <c r="D634" s="115">
        <f>CNT!P826</f>
        <v>0</v>
      </c>
      <c r="E634" s="115">
        <f t="shared" si="248"/>
        <v>0</v>
      </c>
      <c r="G634" s="115">
        <v>0</v>
      </c>
      <c r="I634" s="115">
        <v>0</v>
      </c>
      <c r="K634" s="115">
        <f t="shared" si="249"/>
        <v>0</v>
      </c>
      <c r="M634" s="115">
        <f t="shared" si="250"/>
        <v>0</v>
      </c>
      <c r="O634" s="115">
        <f t="shared" si="251"/>
        <v>0</v>
      </c>
    </row>
    <row r="635" spans="1:15" s="27" customFormat="1" ht="42.75" hidden="1" customHeight="1" x14ac:dyDescent="0.5">
      <c r="A635" s="111">
        <v>722</v>
      </c>
      <c r="B635" s="114" t="s">
        <v>396</v>
      </c>
      <c r="C635" s="115">
        <f>'Comp YTD 2020-2019 '!B649</f>
        <v>0</v>
      </c>
      <c r="D635" s="115">
        <f>CNT!P825</f>
        <v>0</v>
      </c>
      <c r="E635" s="115">
        <f t="shared" si="248"/>
        <v>0</v>
      </c>
      <c r="G635" s="115">
        <v>0</v>
      </c>
      <c r="I635" s="115">
        <v>0</v>
      </c>
      <c r="K635" s="115">
        <f t="shared" si="249"/>
        <v>0</v>
      </c>
      <c r="M635" s="115">
        <f t="shared" si="250"/>
        <v>0</v>
      </c>
      <c r="O635" s="115">
        <f t="shared" si="251"/>
        <v>0</v>
      </c>
    </row>
    <row r="636" spans="1:15" s="27" customFormat="1" ht="42.75" hidden="1" customHeight="1" x14ac:dyDescent="0.5">
      <c r="A636" s="111">
        <v>722</v>
      </c>
      <c r="B636" s="114" t="s">
        <v>441</v>
      </c>
      <c r="C636" s="115">
        <f>'Comp YTD 2020-2019 '!B651</f>
        <v>0</v>
      </c>
      <c r="D636" s="115">
        <f>CNT!P827</f>
        <v>0</v>
      </c>
      <c r="E636" s="115">
        <f t="shared" si="248"/>
        <v>0</v>
      </c>
      <c r="G636" s="115">
        <v>0</v>
      </c>
      <c r="I636" s="115">
        <v>0</v>
      </c>
      <c r="K636" s="115">
        <f t="shared" si="249"/>
        <v>0</v>
      </c>
      <c r="M636" s="115">
        <f t="shared" si="250"/>
        <v>0</v>
      </c>
      <c r="O636" s="115">
        <f t="shared" si="251"/>
        <v>0</v>
      </c>
    </row>
    <row r="637" spans="1:15" s="27" customFormat="1" ht="42.75" customHeight="1" x14ac:dyDescent="0.5">
      <c r="A637" s="111">
        <v>722</v>
      </c>
      <c r="B637" s="112" t="s">
        <v>455</v>
      </c>
      <c r="C637" s="116">
        <f t="shared" ref="C637:E637" si="252">SUM(C624:C636)</f>
        <v>32500</v>
      </c>
      <c r="D637" s="116">
        <f t="shared" si="252"/>
        <v>175500</v>
      </c>
      <c r="E637" s="116">
        <f t="shared" si="252"/>
        <v>143000</v>
      </c>
      <c r="G637" s="116">
        <f>SUM(G624:G636)</f>
        <v>234000</v>
      </c>
      <c r="I637" s="116">
        <f>SUM(I624:I636)</f>
        <v>239437.5</v>
      </c>
      <c r="K637" s="116">
        <f>SUM(K624:K636)</f>
        <v>58500</v>
      </c>
      <c r="M637" s="116">
        <f>SUM(M624:M636)</f>
        <v>201500</v>
      </c>
      <c r="O637" s="116">
        <f>SUM(O624:O636)</f>
        <v>143000</v>
      </c>
    </row>
    <row r="638" spans="1:15" s="27" customFormat="1" ht="42.75" customHeight="1" x14ac:dyDescent="0.5">
      <c r="A638" s="111">
        <v>722</v>
      </c>
      <c r="B638" s="112"/>
      <c r="C638" s="115"/>
      <c r="D638" s="115"/>
      <c r="E638" s="115"/>
      <c r="G638" s="115"/>
      <c r="I638" s="115"/>
      <c r="K638" s="115"/>
      <c r="M638" s="115"/>
      <c r="O638" s="115"/>
    </row>
    <row r="639" spans="1:15" s="27" customFormat="1" ht="42.75" customHeight="1" thickBot="1" x14ac:dyDescent="0.55000000000000004">
      <c r="A639" s="111">
        <v>722</v>
      </c>
      <c r="B639" s="112" t="s">
        <v>264</v>
      </c>
      <c r="C639" s="118">
        <f t="shared" ref="C639:D639" si="253">C556-C621+C637</f>
        <v>17620.25</v>
      </c>
      <c r="D639" s="118">
        <f t="shared" si="253"/>
        <v>39855.59249999997</v>
      </c>
      <c r="E639" s="118">
        <f>E556-E621+E637</f>
        <v>22235.34249999997</v>
      </c>
      <c r="G639" s="118">
        <f t="shared" ref="G639" si="254">G556-G621+G637</f>
        <v>53140.789999999979</v>
      </c>
      <c r="I639" s="118">
        <f t="shared" ref="I639" si="255">I556-I621+I637</f>
        <v>58578.289999999979</v>
      </c>
      <c r="K639" s="118">
        <f t="shared" ref="K639" si="256">K556-K621+K637</f>
        <v>13285.197500000009</v>
      </c>
      <c r="M639" s="118">
        <f t="shared" ref="M639" si="257">M556-M621+M637</f>
        <v>35520.539999999979</v>
      </c>
      <c r="O639" s="118">
        <f t="shared" ref="O639" si="258">O556-O621+O637</f>
        <v>22235.342499999984</v>
      </c>
    </row>
    <row r="640" spans="1:15" ht="15.75" thickTop="1" x14ac:dyDescent="0.25"/>
    <row r="642" spans="1:15" s="27" customFormat="1" ht="42.75" hidden="1" customHeight="1" x14ac:dyDescent="0.5">
      <c r="A642" s="96" t="s">
        <v>401</v>
      </c>
      <c r="B642" s="97" t="s">
        <v>60</v>
      </c>
      <c r="C642" s="98"/>
      <c r="D642" s="98"/>
      <c r="E642" s="98"/>
      <c r="G642" s="98"/>
      <c r="I642" s="98"/>
      <c r="K642" s="98"/>
      <c r="M642" s="98"/>
      <c r="O642" s="98"/>
    </row>
    <row r="643" spans="1:15" s="27" customFormat="1" ht="42.75" hidden="1" customHeight="1" x14ac:dyDescent="0.5">
      <c r="A643" s="96" t="s">
        <v>401</v>
      </c>
      <c r="B643" s="99" t="s">
        <v>215</v>
      </c>
      <c r="C643" s="100">
        <f>'Comp YTD 2020-2019 '!B650</f>
        <v>0</v>
      </c>
      <c r="D643" s="100">
        <f>CNT!P755+CNT!P756+CNT!P767</f>
        <v>0</v>
      </c>
      <c r="E643" s="100">
        <f>D643-C643</f>
        <v>0</v>
      </c>
      <c r="G643" s="100">
        <v>0</v>
      </c>
      <c r="I643" s="100">
        <v>0</v>
      </c>
      <c r="K643" s="100">
        <f t="shared" ref="K643" si="259">G643-D643</f>
        <v>0</v>
      </c>
      <c r="M643" s="100">
        <f t="shared" ref="M643" si="260">G643-C643</f>
        <v>0</v>
      </c>
      <c r="O643" s="100">
        <f>M643-K643</f>
        <v>0</v>
      </c>
    </row>
    <row r="644" spans="1:15" s="27" customFormat="1" ht="42.75" hidden="1" customHeight="1" x14ac:dyDescent="0.5">
      <c r="A644" s="96" t="s">
        <v>401</v>
      </c>
      <c r="B644" s="99" t="s">
        <v>216</v>
      </c>
      <c r="C644" s="100">
        <f>'Comp YTD 2020-2019 '!B651</f>
        <v>0</v>
      </c>
      <c r="D644" s="100">
        <f>CNT!P757+CNT!P768</f>
        <v>0</v>
      </c>
      <c r="E644" s="100">
        <f t="shared" ref="E644:E649" si="261">D644-C644</f>
        <v>0</v>
      </c>
      <c r="G644" s="100">
        <v>0</v>
      </c>
      <c r="I644" s="100">
        <v>0</v>
      </c>
      <c r="K644" s="100">
        <f t="shared" ref="K644:K649" si="262">G644-D644</f>
        <v>0</v>
      </c>
      <c r="M644" s="100">
        <f t="shared" ref="M644:M649" si="263">G644-C644</f>
        <v>0</v>
      </c>
      <c r="O644" s="100">
        <f t="shared" ref="O644:O649" si="264">M644-K644</f>
        <v>0</v>
      </c>
    </row>
    <row r="645" spans="1:15" s="27" customFormat="1" ht="42.75" hidden="1" customHeight="1" x14ac:dyDescent="0.5">
      <c r="A645" s="96" t="s">
        <v>401</v>
      </c>
      <c r="B645" s="99" t="s">
        <v>217</v>
      </c>
      <c r="C645" s="100">
        <f>'Comp YTD 2020-2019 '!B652</f>
        <v>0</v>
      </c>
      <c r="D645" s="100">
        <f>CNT!P758+CNT!P769</f>
        <v>0</v>
      </c>
      <c r="E645" s="100">
        <f t="shared" si="261"/>
        <v>0</v>
      </c>
      <c r="G645" s="100">
        <v>0</v>
      </c>
      <c r="I645" s="100">
        <v>0</v>
      </c>
      <c r="K645" s="100">
        <f t="shared" si="262"/>
        <v>0</v>
      </c>
      <c r="M645" s="100">
        <f t="shared" si="263"/>
        <v>0</v>
      </c>
      <c r="O645" s="100">
        <f t="shared" si="264"/>
        <v>0</v>
      </c>
    </row>
    <row r="646" spans="1:15" s="27" customFormat="1" ht="42.75" hidden="1" customHeight="1" x14ac:dyDescent="0.5">
      <c r="A646" s="96" t="s">
        <v>401</v>
      </c>
      <c r="B646" s="99" t="s">
        <v>414</v>
      </c>
      <c r="C646" s="100">
        <f>'Comp YTD 2020-2019 '!B653</f>
        <v>0</v>
      </c>
      <c r="D646" s="100">
        <f>CNT!P759+CNT!P770</f>
        <v>0</v>
      </c>
      <c r="E646" s="100">
        <f t="shared" si="261"/>
        <v>0</v>
      </c>
      <c r="G646" s="100">
        <v>0</v>
      </c>
      <c r="I646" s="100">
        <v>0</v>
      </c>
      <c r="K646" s="100">
        <f t="shared" si="262"/>
        <v>0</v>
      </c>
      <c r="M646" s="100">
        <f t="shared" si="263"/>
        <v>0</v>
      </c>
      <c r="O646" s="100">
        <f t="shared" si="264"/>
        <v>0</v>
      </c>
    </row>
    <row r="647" spans="1:15" s="27" customFormat="1" ht="42.75" hidden="1" customHeight="1" x14ac:dyDescent="0.5">
      <c r="A647" s="96" t="s">
        <v>401</v>
      </c>
      <c r="B647" s="99" t="s">
        <v>218</v>
      </c>
      <c r="C647" s="100">
        <f>'Comp YTD 2020-2019 '!B654</f>
        <v>0</v>
      </c>
      <c r="D647" s="100">
        <f>CNT!P763+CNT!P773</f>
        <v>0</v>
      </c>
      <c r="E647" s="100">
        <f t="shared" si="261"/>
        <v>0</v>
      </c>
      <c r="G647" s="100">
        <v>0</v>
      </c>
      <c r="I647" s="100">
        <v>0</v>
      </c>
      <c r="K647" s="100">
        <f t="shared" si="262"/>
        <v>0</v>
      </c>
      <c r="M647" s="100">
        <f t="shared" si="263"/>
        <v>0</v>
      </c>
      <c r="O647" s="100">
        <f t="shared" si="264"/>
        <v>0</v>
      </c>
    </row>
    <row r="648" spans="1:15" s="27" customFormat="1" ht="42.75" hidden="1" customHeight="1" x14ac:dyDescent="0.5">
      <c r="A648" s="96" t="s">
        <v>401</v>
      </c>
      <c r="B648" s="99" t="s">
        <v>219</v>
      </c>
      <c r="C648" s="100">
        <f>'Comp YTD 2020-2019 '!B655</f>
        <v>0</v>
      </c>
      <c r="D648" s="100">
        <f>CNT!P774+CNT!P775+CNT!P776+CNT!P777</f>
        <v>0</v>
      </c>
      <c r="E648" s="100">
        <f t="shared" si="261"/>
        <v>0</v>
      </c>
      <c r="G648" s="100">
        <v>0</v>
      </c>
      <c r="I648" s="100">
        <v>0</v>
      </c>
      <c r="K648" s="100">
        <f t="shared" si="262"/>
        <v>0</v>
      </c>
      <c r="M648" s="100">
        <f t="shared" si="263"/>
        <v>0</v>
      </c>
      <c r="O648" s="100">
        <f t="shared" si="264"/>
        <v>0</v>
      </c>
    </row>
    <row r="649" spans="1:15" s="27" customFormat="1" ht="42.75" hidden="1" customHeight="1" x14ac:dyDescent="0.5">
      <c r="A649" s="96" t="s">
        <v>401</v>
      </c>
      <c r="B649" s="99" t="s">
        <v>220</v>
      </c>
      <c r="C649" s="100">
        <f>'Comp YTD 2020-2019 '!B656</f>
        <v>0</v>
      </c>
      <c r="D649" s="100">
        <f>CNT!P760+CNT!P761+CNT!P762+CNT!P764+CNT!P765+CNT!P766+CNT!P771+CNT!P772</f>
        <v>0</v>
      </c>
      <c r="E649" s="100">
        <f t="shared" si="261"/>
        <v>0</v>
      </c>
      <c r="G649" s="100">
        <v>0</v>
      </c>
      <c r="I649" s="100">
        <v>0</v>
      </c>
      <c r="K649" s="100">
        <f t="shared" si="262"/>
        <v>0</v>
      </c>
      <c r="M649" s="100">
        <f t="shared" si="263"/>
        <v>0</v>
      </c>
      <c r="O649" s="100">
        <f t="shared" si="264"/>
        <v>0</v>
      </c>
    </row>
    <row r="650" spans="1:15" s="27" customFormat="1" ht="42.75" hidden="1" customHeight="1" x14ac:dyDescent="0.5">
      <c r="A650" s="96" t="s">
        <v>401</v>
      </c>
      <c r="B650" s="97" t="s">
        <v>221</v>
      </c>
      <c r="C650" s="101">
        <f>SUM(C643:C649)</f>
        <v>0</v>
      </c>
      <c r="D650" s="101">
        <f>SUM(D643:D649)</f>
        <v>0</v>
      </c>
      <c r="E650" s="101">
        <f>SUM(E643:E649)</f>
        <v>0</v>
      </c>
      <c r="G650" s="101">
        <f>SUM(G643:G649)</f>
        <v>0</v>
      </c>
      <c r="I650" s="101">
        <f>SUM(I643:I649)</f>
        <v>0</v>
      </c>
      <c r="K650" s="101">
        <f>SUM(K643:K649)</f>
        <v>0</v>
      </c>
      <c r="M650" s="101">
        <f>SUM(M643:M649)</f>
        <v>0</v>
      </c>
      <c r="O650" s="101">
        <f>SUM(O643:O649)</f>
        <v>0</v>
      </c>
    </row>
    <row r="651" spans="1:15" s="27" customFormat="1" ht="42.75" hidden="1" customHeight="1" x14ac:dyDescent="0.5">
      <c r="A651" s="96" t="s">
        <v>401</v>
      </c>
      <c r="B651" s="99"/>
      <c r="C651" s="100"/>
      <c r="D651" s="100"/>
      <c r="E651" s="100"/>
      <c r="G651" s="100"/>
      <c r="I651" s="100"/>
      <c r="K651" s="100"/>
      <c r="M651" s="100"/>
      <c r="O651" s="100"/>
    </row>
    <row r="652" spans="1:15" s="27" customFormat="1" ht="42.75" hidden="1" customHeight="1" x14ac:dyDescent="0.5">
      <c r="A652" s="96" t="s">
        <v>401</v>
      </c>
      <c r="B652" s="97" t="s">
        <v>206</v>
      </c>
      <c r="C652" s="100"/>
      <c r="D652" s="100"/>
      <c r="E652" s="100"/>
      <c r="G652" s="100"/>
      <c r="I652" s="100"/>
      <c r="K652" s="100"/>
      <c r="M652" s="100"/>
      <c r="O652" s="100"/>
    </row>
    <row r="653" spans="1:15" s="27" customFormat="1" ht="42.75" hidden="1" customHeight="1" x14ac:dyDescent="0.5">
      <c r="A653" s="96" t="s">
        <v>401</v>
      </c>
      <c r="B653" s="99" t="s">
        <v>215</v>
      </c>
      <c r="C653" s="100">
        <f>'Comp YTD 2020-2019 '!B660</f>
        <v>0</v>
      </c>
      <c r="D653" s="100">
        <f>CNT!P782+CNT!P787+CNT!P799+CNT!P803+CNT!P804+CNT!P808+CNT!P812+CNT!P819</f>
        <v>0</v>
      </c>
      <c r="E653" s="100">
        <f>D653-C653</f>
        <v>0</v>
      </c>
      <c r="G653" s="100">
        <v>0</v>
      </c>
      <c r="I653" s="100">
        <v>0</v>
      </c>
      <c r="K653" s="100">
        <f t="shared" ref="K653" si="265">G653-D653</f>
        <v>0</v>
      </c>
      <c r="M653" s="100">
        <f t="shared" ref="M653" si="266">G653-C653</f>
        <v>0</v>
      </c>
      <c r="O653" s="100">
        <f>M653-K653</f>
        <v>0</v>
      </c>
    </row>
    <row r="654" spans="1:15" s="27" customFormat="1" ht="42.75" hidden="1" customHeight="1" x14ac:dyDescent="0.5">
      <c r="A654" s="96" t="s">
        <v>401</v>
      </c>
      <c r="B654" s="99" t="s">
        <v>216</v>
      </c>
      <c r="C654" s="100">
        <f>'Comp YTD 2020-2019 '!B661</f>
        <v>0</v>
      </c>
      <c r="D654" s="100">
        <f>CNT!P783+CNT!P788+CNT!P800+CNT!P805+CNT!P809+CNT!P813+CNT!P820+CNT!P816</f>
        <v>0</v>
      </c>
      <c r="E654" s="100">
        <f t="shared" ref="E654:E659" si="267">D654-C654</f>
        <v>0</v>
      </c>
      <c r="G654" s="100">
        <v>0</v>
      </c>
      <c r="I654" s="100">
        <v>0</v>
      </c>
      <c r="K654" s="100">
        <f t="shared" ref="K654:K659" si="268">G654-D654</f>
        <v>0</v>
      </c>
      <c r="M654" s="100">
        <f t="shared" ref="M654:M659" si="269">G654-C654</f>
        <v>0</v>
      </c>
      <c r="O654" s="100">
        <f t="shared" ref="O654:O659" si="270">M654-K654</f>
        <v>0</v>
      </c>
    </row>
    <row r="655" spans="1:15" s="27" customFormat="1" ht="42.75" hidden="1" customHeight="1" x14ac:dyDescent="0.5">
      <c r="A655" s="96" t="s">
        <v>401</v>
      </c>
      <c r="B655" s="99" t="s">
        <v>217</v>
      </c>
      <c r="C655" s="100">
        <f>'Comp YTD 2020-2019 '!B662</f>
        <v>0</v>
      </c>
      <c r="D655" s="100">
        <f>CNT!P784+CNT!P789+CNT!P801+CNT!P806+CNT!P810+CNT!P814+CNT!P821+CNT!P818</f>
        <v>0</v>
      </c>
      <c r="E655" s="100">
        <f t="shared" si="267"/>
        <v>0</v>
      </c>
      <c r="G655" s="100">
        <v>0</v>
      </c>
      <c r="I655" s="100">
        <v>0</v>
      </c>
      <c r="K655" s="100">
        <f t="shared" si="268"/>
        <v>0</v>
      </c>
      <c r="M655" s="100">
        <f t="shared" si="269"/>
        <v>0</v>
      </c>
      <c r="O655" s="100">
        <f t="shared" si="270"/>
        <v>0</v>
      </c>
    </row>
    <row r="656" spans="1:15" s="27" customFormat="1" ht="42.75" hidden="1" customHeight="1" x14ac:dyDescent="0.5">
      <c r="A656" s="96" t="s">
        <v>401</v>
      </c>
      <c r="B656" s="99" t="s">
        <v>414</v>
      </c>
      <c r="C656" s="100">
        <f>'Comp YTD 2020-2019 '!B663</f>
        <v>0</v>
      </c>
      <c r="D656" s="100">
        <f>CNT!P785+CNT!P790+CNT!P802+CNT!P807+CNT!P811+CNT!P815+CNT!P822+CNT!P823</f>
        <v>0</v>
      </c>
      <c r="E656" s="100">
        <f t="shared" si="267"/>
        <v>0</v>
      </c>
      <c r="G656" s="100">
        <v>0</v>
      </c>
      <c r="I656" s="100">
        <v>0</v>
      </c>
      <c r="K656" s="100">
        <f t="shared" si="268"/>
        <v>0</v>
      </c>
      <c r="M656" s="100">
        <f t="shared" si="269"/>
        <v>0</v>
      </c>
      <c r="O656" s="100">
        <f t="shared" si="270"/>
        <v>0</v>
      </c>
    </row>
    <row r="657" spans="1:15" s="27" customFormat="1" ht="42.75" hidden="1" customHeight="1" x14ac:dyDescent="0.5">
      <c r="A657" s="96" t="s">
        <v>401</v>
      </c>
      <c r="B657" s="99" t="s">
        <v>218</v>
      </c>
      <c r="C657" s="100">
        <f>'Comp YTD 2020-2019 '!B664</f>
        <v>0</v>
      </c>
      <c r="D657" s="100">
        <f>CNT!P786+CNT!P793+CNT!P817+CNT!P828</f>
        <v>0</v>
      </c>
      <c r="E657" s="100">
        <f t="shared" si="267"/>
        <v>0</v>
      </c>
      <c r="G657" s="100">
        <v>0</v>
      </c>
      <c r="I657" s="100">
        <v>0</v>
      </c>
      <c r="K657" s="100">
        <f t="shared" si="268"/>
        <v>0</v>
      </c>
      <c r="M657" s="100">
        <f t="shared" si="269"/>
        <v>0</v>
      </c>
      <c r="O657" s="100">
        <f t="shared" si="270"/>
        <v>0</v>
      </c>
    </row>
    <row r="658" spans="1:15" s="27" customFormat="1" ht="42.75" hidden="1" customHeight="1" x14ac:dyDescent="0.5">
      <c r="A658" s="96" t="s">
        <v>401</v>
      </c>
      <c r="B658" s="99" t="s">
        <v>219</v>
      </c>
      <c r="C658" s="100">
        <f>'Comp YTD 2020-2019 '!B665</f>
        <v>0</v>
      </c>
      <c r="D658" s="100">
        <f>CNT!P839+CNT!P840+CNT!P841+CNT!P842+CNT!P843+CNT!P844+CNT!P845+CNT!P846+CNT!P847</f>
        <v>0</v>
      </c>
      <c r="E658" s="100">
        <f t="shared" si="267"/>
        <v>0</v>
      </c>
      <c r="G658" s="100">
        <v>0</v>
      </c>
      <c r="I658" s="100">
        <v>0</v>
      </c>
      <c r="K658" s="100">
        <f t="shared" si="268"/>
        <v>0</v>
      </c>
      <c r="M658" s="100">
        <f t="shared" si="269"/>
        <v>0</v>
      </c>
      <c r="O658" s="100">
        <f t="shared" si="270"/>
        <v>0</v>
      </c>
    </row>
    <row r="659" spans="1:15" s="27" customFormat="1" ht="42.75" hidden="1" customHeight="1" x14ac:dyDescent="0.5">
      <c r="A659" s="96" t="s">
        <v>401</v>
      </c>
      <c r="B659" s="99" t="s">
        <v>220</v>
      </c>
      <c r="C659" s="100">
        <f>'Comp YTD 2020-2019 '!B666</f>
        <v>0</v>
      </c>
      <c r="D659" s="100">
        <f>CNT!P780+CNT!P791+CNT!P792+CNT!P794+CNT!P795+CNT!P796+CNT!P797+CNT!P798+CNT!P824+CNT!P825+CNT!P826+CNT!P827+CNT!P829+CNT!P830+CNT!P831+CNT!P832+CNT!P833+CNT!P834+CNT!P835+CNT!P836+CNT!P837+CNT!P838</f>
        <v>0</v>
      </c>
      <c r="E659" s="100">
        <f t="shared" si="267"/>
        <v>0</v>
      </c>
      <c r="G659" s="100">
        <v>0</v>
      </c>
      <c r="I659" s="100">
        <v>0</v>
      </c>
      <c r="K659" s="100">
        <f t="shared" si="268"/>
        <v>0</v>
      </c>
      <c r="M659" s="100">
        <f t="shared" si="269"/>
        <v>0</v>
      </c>
      <c r="O659" s="100">
        <f t="shared" si="270"/>
        <v>0</v>
      </c>
    </row>
    <row r="660" spans="1:15" s="27" customFormat="1" ht="42.75" hidden="1" customHeight="1" x14ac:dyDescent="0.5">
      <c r="A660" s="96" t="s">
        <v>401</v>
      </c>
      <c r="B660" s="97" t="s">
        <v>222</v>
      </c>
      <c r="C660" s="101">
        <f t="shared" ref="C660" si="271">SUM(C653:C659)</f>
        <v>0</v>
      </c>
      <c r="D660" s="101">
        <f>SUM(D653:D659)</f>
        <v>0</v>
      </c>
      <c r="E660" s="101">
        <f>SUM(E653:E659)</f>
        <v>0</v>
      </c>
      <c r="G660" s="101">
        <f>SUM(G653:G659)</f>
        <v>0</v>
      </c>
      <c r="I660" s="101">
        <f>SUM(I653:I659)</f>
        <v>0</v>
      </c>
      <c r="K660" s="101">
        <f>SUM(K653:K659)</f>
        <v>0</v>
      </c>
      <c r="M660" s="101">
        <f>SUM(M653:M659)</f>
        <v>0</v>
      </c>
      <c r="O660" s="101">
        <f>SUM(O653:O659)</f>
        <v>0</v>
      </c>
    </row>
    <row r="661" spans="1:15" s="27" customFormat="1" ht="42.75" hidden="1" customHeight="1" x14ac:dyDescent="0.5">
      <c r="A661" s="96" t="s">
        <v>401</v>
      </c>
      <c r="B661" s="99"/>
      <c r="C661" s="100"/>
      <c r="D661" s="100">
        <f>D660-CNT!P848</f>
        <v>0</v>
      </c>
      <c r="E661" s="100"/>
      <c r="G661" s="100"/>
      <c r="I661" s="100"/>
      <c r="K661" s="100"/>
      <c r="M661" s="100"/>
      <c r="O661" s="100"/>
    </row>
    <row r="662" spans="1:15" s="27" customFormat="1" ht="42.75" hidden="1" customHeight="1" thickBot="1" x14ac:dyDescent="0.55000000000000004">
      <c r="A662" s="96" t="s">
        <v>401</v>
      </c>
      <c r="B662" s="97" t="s">
        <v>209</v>
      </c>
      <c r="C662" s="102">
        <f>C650-C660</f>
        <v>0</v>
      </c>
      <c r="D662" s="102">
        <f>D650-D660</f>
        <v>0</v>
      </c>
      <c r="E662" s="102">
        <f>C662-D662</f>
        <v>0</v>
      </c>
      <c r="G662" s="102">
        <f>G650-G660</f>
        <v>0</v>
      </c>
      <c r="I662" s="102">
        <f>I650-I660</f>
        <v>0</v>
      </c>
      <c r="K662" s="102">
        <f>K650-K660</f>
        <v>0</v>
      </c>
      <c r="M662" s="102">
        <f>M650-M660</f>
        <v>0</v>
      </c>
      <c r="O662" s="102">
        <f>O650-O660</f>
        <v>0</v>
      </c>
    </row>
    <row r="663" spans="1:15" s="27" customFormat="1" ht="42.75" hidden="1" customHeight="1" x14ac:dyDescent="0.5">
      <c r="A663" s="96" t="s">
        <v>401</v>
      </c>
      <c r="B663" s="99"/>
      <c r="C663" s="100"/>
      <c r="D663" s="100"/>
      <c r="E663" s="100"/>
      <c r="G663" s="100"/>
      <c r="I663" s="100"/>
      <c r="K663" s="100"/>
      <c r="M663" s="100"/>
      <c r="O663" s="100"/>
    </row>
    <row r="664" spans="1:15" s="27" customFormat="1" ht="42.75" customHeight="1" x14ac:dyDescent="0.5">
      <c r="A664" s="96" t="s">
        <v>401</v>
      </c>
      <c r="B664" s="97" t="s">
        <v>207</v>
      </c>
      <c r="C664" s="100"/>
      <c r="D664" s="100"/>
      <c r="E664" s="100"/>
      <c r="G664" s="100"/>
      <c r="I664" s="100"/>
      <c r="K664" s="100"/>
      <c r="M664" s="100"/>
      <c r="O664" s="100"/>
    </row>
    <row r="665" spans="1:15" s="27" customFormat="1" ht="42.75" hidden="1" customHeight="1" x14ac:dyDescent="0.5">
      <c r="A665" s="96" t="s">
        <v>401</v>
      </c>
      <c r="B665" s="99"/>
      <c r="C665" s="100"/>
      <c r="D665" s="100"/>
      <c r="E665" s="100"/>
      <c r="G665" s="100"/>
      <c r="I665" s="100"/>
      <c r="K665" s="100"/>
      <c r="M665" s="100"/>
      <c r="O665" s="100"/>
    </row>
    <row r="666" spans="1:15" s="27" customFormat="1" ht="42.75" hidden="1" customHeight="1" x14ac:dyDescent="0.5">
      <c r="A666" s="96" t="s">
        <v>401</v>
      </c>
      <c r="B666" s="97" t="s">
        <v>223</v>
      </c>
      <c r="C666" s="100"/>
      <c r="D666" s="100"/>
      <c r="E666" s="100"/>
      <c r="G666" s="100"/>
      <c r="I666" s="100"/>
      <c r="K666" s="100"/>
      <c r="M666" s="100"/>
      <c r="O666" s="100"/>
    </row>
    <row r="667" spans="1:15" s="27" customFormat="1" ht="42.75" hidden="1" customHeight="1" x14ac:dyDescent="0.5">
      <c r="A667" s="96" t="s">
        <v>401</v>
      </c>
      <c r="B667" s="99" t="s">
        <v>224</v>
      </c>
      <c r="C667" s="100">
        <f>'Comp YTD 2020-2019 '!B675</f>
        <v>0</v>
      </c>
      <c r="D667" s="100">
        <f>CNT!P851</f>
        <v>0</v>
      </c>
      <c r="E667" s="100">
        <f>D667-C667</f>
        <v>0</v>
      </c>
      <c r="G667" s="100">
        <v>0</v>
      </c>
      <c r="I667" s="100">
        <v>0</v>
      </c>
      <c r="K667" s="100">
        <f t="shared" ref="K667" si="272">G667-D667</f>
        <v>0</v>
      </c>
      <c r="M667" s="100">
        <f t="shared" ref="M667" si="273">G667-C667</f>
        <v>0</v>
      </c>
      <c r="O667" s="100">
        <f>M667-K667</f>
        <v>0</v>
      </c>
    </row>
    <row r="668" spans="1:15" s="27" customFormat="1" ht="42.75" hidden="1" customHeight="1" x14ac:dyDescent="0.5">
      <c r="A668" s="96" t="s">
        <v>401</v>
      </c>
      <c r="B668" s="99" t="s">
        <v>531</v>
      </c>
      <c r="C668" s="100">
        <f>'Comp YTD 2020-2019 '!B676</f>
        <v>0</v>
      </c>
      <c r="D668" s="100">
        <f>CNT!P852</f>
        <v>0</v>
      </c>
      <c r="E668" s="100">
        <f t="shared" ref="E668:E676" si="274">D668-C668</f>
        <v>0</v>
      </c>
      <c r="G668" s="100">
        <v>0</v>
      </c>
      <c r="I668" s="100">
        <v>0</v>
      </c>
      <c r="K668" s="100">
        <f t="shared" ref="K668:K676" si="275">G668-D668</f>
        <v>0</v>
      </c>
      <c r="M668" s="100">
        <f t="shared" ref="M668:M676" si="276">G668-C668</f>
        <v>0</v>
      </c>
      <c r="O668" s="100">
        <f t="shared" ref="O668:O676" si="277">M668-K668</f>
        <v>0</v>
      </c>
    </row>
    <row r="669" spans="1:15" s="27" customFormat="1" ht="42.75" hidden="1" customHeight="1" x14ac:dyDescent="0.5">
      <c r="A669" s="96" t="s">
        <v>401</v>
      </c>
      <c r="B669" s="99" t="s">
        <v>225</v>
      </c>
      <c r="C669" s="100">
        <f>'Comp YTD 2020-2019 '!B677</f>
        <v>0</v>
      </c>
      <c r="D669" s="100">
        <f>CNT!P853</f>
        <v>0</v>
      </c>
      <c r="E669" s="100">
        <f t="shared" si="274"/>
        <v>0</v>
      </c>
      <c r="G669" s="100">
        <v>0</v>
      </c>
      <c r="I669" s="100">
        <v>0</v>
      </c>
      <c r="K669" s="100">
        <f t="shared" si="275"/>
        <v>0</v>
      </c>
      <c r="M669" s="100">
        <f t="shared" si="276"/>
        <v>0</v>
      </c>
      <c r="O669" s="100">
        <f t="shared" si="277"/>
        <v>0</v>
      </c>
    </row>
    <row r="670" spans="1:15" s="27" customFormat="1" ht="42.75" hidden="1" customHeight="1" x14ac:dyDescent="0.5">
      <c r="A670" s="96" t="s">
        <v>401</v>
      </c>
      <c r="B670" s="99" t="s">
        <v>226</v>
      </c>
      <c r="C670" s="100">
        <f>'Comp YTD 2020-2019 '!B678</f>
        <v>0</v>
      </c>
      <c r="D670" s="100">
        <f>CNT!P854</f>
        <v>0</v>
      </c>
      <c r="E670" s="100">
        <f t="shared" si="274"/>
        <v>0</v>
      </c>
      <c r="G670" s="100">
        <v>0</v>
      </c>
      <c r="I670" s="100">
        <v>0</v>
      </c>
      <c r="K670" s="100">
        <f t="shared" si="275"/>
        <v>0</v>
      </c>
      <c r="M670" s="100">
        <f t="shared" si="276"/>
        <v>0</v>
      </c>
      <c r="O670" s="100">
        <f t="shared" si="277"/>
        <v>0</v>
      </c>
    </row>
    <row r="671" spans="1:15" s="27" customFormat="1" ht="42.75" hidden="1" customHeight="1" x14ac:dyDescent="0.5">
      <c r="A671" s="96" t="s">
        <v>401</v>
      </c>
      <c r="B671" s="99" t="s">
        <v>227</v>
      </c>
      <c r="C671" s="100">
        <f>'Comp YTD 2020-2019 '!B679</f>
        <v>0</v>
      </c>
      <c r="D671" s="100">
        <f>CNT!P855</f>
        <v>0</v>
      </c>
      <c r="E671" s="100">
        <f t="shared" si="274"/>
        <v>0</v>
      </c>
      <c r="G671" s="100">
        <v>0</v>
      </c>
      <c r="I671" s="100">
        <v>0</v>
      </c>
      <c r="K671" s="100">
        <f t="shared" si="275"/>
        <v>0</v>
      </c>
      <c r="M671" s="100">
        <f t="shared" si="276"/>
        <v>0</v>
      </c>
      <c r="O671" s="100">
        <f t="shared" si="277"/>
        <v>0</v>
      </c>
    </row>
    <row r="672" spans="1:15" s="27" customFormat="1" ht="42.75" hidden="1" customHeight="1" x14ac:dyDescent="0.5">
      <c r="A672" s="96" t="s">
        <v>401</v>
      </c>
      <c r="B672" s="99" t="s">
        <v>228</v>
      </c>
      <c r="C672" s="100">
        <f>'Comp YTD 2020-2019 '!B680</f>
        <v>0</v>
      </c>
      <c r="D672" s="100">
        <f>CNT!P856</f>
        <v>0</v>
      </c>
      <c r="E672" s="100">
        <f t="shared" si="274"/>
        <v>0</v>
      </c>
      <c r="G672" s="100">
        <v>0</v>
      </c>
      <c r="I672" s="100">
        <v>0</v>
      </c>
      <c r="K672" s="100">
        <f t="shared" si="275"/>
        <v>0</v>
      </c>
      <c r="M672" s="100">
        <f t="shared" si="276"/>
        <v>0</v>
      </c>
      <c r="O672" s="100">
        <f t="shared" si="277"/>
        <v>0</v>
      </c>
    </row>
    <row r="673" spans="1:15" s="27" customFormat="1" ht="42.75" hidden="1" customHeight="1" x14ac:dyDescent="0.5">
      <c r="A673" s="96" t="s">
        <v>401</v>
      </c>
      <c r="B673" s="99" t="s">
        <v>229</v>
      </c>
      <c r="C673" s="100">
        <f>'Comp YTD 2020-2019 '!B681</f>
        <v>0</v>
      </c>
      <c r="D673" s="100">
        <f>CNT!P857</f>
        <v>0</v>
      </c>
      <c r="E673" s="100">
        <f t="shared" si="274"/>
        <v>0</v>
      </c>
      <c r="G673" s="100">
        <v>0</v>
      </c>
      <c r="I673" s="100">
        <v>0</v>
      </c>
      <c r="K673" s="100">
        <f t="shared" si="275"/>
        <v>0</v>
      </c>
      <c r="M673" s="100">
        <f t="shared" si="276"/>
        <v>0</v>
      </c>
      <c r="O673" s="100">
        <f t="shared" si="277"/>
        <v>0</v>
      </c>
    </row>
    <row r="674" spans="1:15" s="27" customFormat="1" ht="42.75" hidden="1" customHeight="1" x14ac:dyDescent="0.5">
      <c r="A674" s="96" t="s">
        <v>401</v>
      </c>
      <c r="B674" s="99" t="s">
        <v>305</v>
      </c>
      <c r="C674" s="100">
        <f>'Comp YTD 2020-2019 '!B682</f>
        <v>0</v>
      </c>
      <c r="D674" s="100">
        <f>CNT!P858+CNT!P859+CNT!P862</f>
        <v>0</v>
      </c>
      <c r="E674" s="100">
        <f t="shared" si="274"/>
        <v>0</v>
      </c>
      <c r="G674" s="100">
        <v>0</v>
      </c>
      <c r="I674" s="100">
        <v>0</v>
      </c>
      <c r="K674" s="100">
        <f t="shared" si="275"/>
        <v>0</v>
      </c>
      <c r="M674" s="100">
        <f t="shared" si="276"/>
        <v>0</v>
      </c>
      <c r="O674" s="100">
        <f t="shared" si="277"/>
        <v>0</v>
      </c>
    </row>
    <row r="675" spans="1:15" s="27" customFormat="1" ht="42.75" hidden="1" customHeight="1" x14ac:dyDescent="0.5">
      <c r="A675" s="96" t="s">
        <v>401</v>
      </c>
      <c r="B675" s="99" t="s">
        <v>230</v>
      </c>
      <c r="C675" s="100">
        <f>'Comp YTD 2020-2019 '!B683</f>
        <v>0</v>
      </c>
      <c r="D675" s="100">
        <f>CNT!P861+CNT!P860</f>
        <v>0</v>
      </c>
      <c r="E675" s="100">
        <f t="shared" si="274"/>
        <v>0</v>
      </c>
      <c r="G675" s="100">
        <v>0</v>
      </c>
      <c r="I675" s="100">
        <v>0</v>
      </c>
      <c r="K675" s="100">
        <f t="shared" si="275"/>
        <v>0</v>
      </c>
      <c r="M675" s="100">
        <f t="shared" si="276"/>
        <v>0</v>
      </c>
      <c r="O675" s="100">
        <f t="shared" si="277"/>
        <v>0</v>
      </c>
    </row>
    <row r="676" spans="1:15" s="27" customFormat="1" ht="42.75" hidden="1" customHeight="1" x14ac:dyDescent="0.5">
      <c r="A676" s="96" t="s">
        <v>401</v>
      </c>
      <c r="B676" s="99" t="s">
        <v>244</v>
      </c>
      <c r="C676" s="100">
        <f>'Comp YTD 2020-2019 '!B684</f>
        <v>0</v>
      </c>
      <c r="D676" s="100">
        <f>+CNT!P890</f>
        <v>0</v>
      </c>
      <c r="E676" s="100">
        <f t="shared" si="274"/>
        <v>0</v>
      </c>
      <c r="G676" s="100">
        <v>0</v>
      </c>
      <c r="I676" s="100">
        <v>0</v>
      </c>
      <c r="K676" s="100">
        <f t="shared" si="275"/>
        <v>0</v>
      </c>
      <c r="M676" s="100">
        <f t="shared" si="276"/>
        <v>0</v>
      </c>
      <c r="O676" s="100">
        <f t="shared" si="277"/>
        <v>0</v>
      </c>
    </row>
    <row r="677" spans="1:15" s="27" customFormat="1" ht="42.75" hidden="1" customHeight="1" x14ac:dyDescent="0.5">
      <c r="A677" s="96" t="s">
        <v>401</v>
      </c>
      <c r="B677" s="97" t="s">
        <v>231</v>
      </c>
      <c r="C677" s="101">
        <f>SUM(C667:C676)</f>
        <v>0</v>
      </c>
      <c r="D677" s="101">
        <f t="shared" ref="D677:E677" si="278">SUM(D667:D676)</f>
        <v>0</v>
      </c>
      <c r="E677" s="101">
        <f t="shared" si="278"/>
        <v>0</v>
      </c>
      <c r="G677" s="101">
        <f>SUM(G667:G676)</f>
        <v>0</v>
      </c>
      <c r="I677" s="101">
        <f>SUM(I667:I676)</f>
        <v>0</v>
      </c>
      <c r="K677" s="101">
        <f>SUM(K667:K676)</f>
        <v>0</v>
      </c>
      <c r="M677" s="101">
        <f>SUM(M667:M676)</f>
        <v>0</v>
      </c>
      <c r="O677" s="101">
        <f>SUM(O667:O676)</f>
        <v>0</v>
      </c>
    </row>
    <row r="678" spans="1:15" s="27" customFormat="1" ht="42.75" customHeight="1" x14ac:dyDescent="0.5">
      <c r="A678" s="96" t="s">
        <v>401</v>
      </c>
      <c r="B678" s="99"/>
      <c r="C678" s="100"/>
      <c r="D678" s="100"/>
      <c r="E678" s="100"/>
      <c r="G678" s="100"/>
      <c r="I678" s="100"/>
      <c r="K678" s="100"/>
      <c r="M678" s="100"/>
      <c r="O678" s="100"/>
    </row>
    <row r="679" spans="1:15" s="27" customFormat="1" ht="42.75" customHeight="1" x14ac:dyDescent="0.5">
      <c r="A679" s="96" t="s">
        <v>401</v>
      </c>
      <c r="B679" s="97" t="s">
        <v>477</v>
      </c>
      <c r="C679" s="100"/>
      <c r="D679" s="100"/>
      <c r="E679" s="100"/>
      <c r="G679" s="100"/>
      <c r="I679" s="100"/>
      <c r="K679" s="100"/>
      <c r="M679" s="100"/>
      <c r="O679" s="100"/>
    </row>
    <row r="680" spans="1:15" s="27" customFormat="1" ht="42.75" hidden="1" customHeight="1" x14ac:dyDescent="0.5">
      <c r="A680" s="96" t="s">
        <v>401</v>
      </c>
      <c r="B680" s="99" t="s">
        <v>232</v>
      </c>
      <c r="C680" s="100">
        <f>'Comp YTD 2020-2019 '!B688</f>
        <v>0</v>
      </c>
      <c r="D680" s="100">
        <f>CNT!P866+CNT!P865+CNT!P886</f>
        <v>0</v>
      </c>
      <c r="E680" s="100">
        <f>D680-C680</f>
        <v>0</v>
      </c>
      <c r="G680" s="100">
        <v>0</v>
      </c>
      <c r="I680" s="100">
        <v>0</v>
      </c>
      <c r="K680" s="100">
        <f t="shared" ref="K680" si="279">G680-D680</f>
        <v>0</v>
      </c>
      <c r="M680" s="100">
        <f t="shared" ref="M680" si="280">G680-C680</f>
        <v>0</v>
      </c>
      <c r="O680" s="100">
        <f>M680-K680</f>
        <v>0</v>
      </c>
    </row>
    <row r="681" spans="1:15" s="27" customFormat="1" ht="42.75" hidden="1" customHeight="1" x14ac:dyDescent="0.5">
      <c r="A681" s="96" t="s">
        <v>401</v>
      </c>
      <c r="B681" s="99" t="s">
        <v>233</v>
      </c>
      <c r="C681" s="100">
        <f>'Comp YTD 2020-2019 '!B689</f>
        <v>0</v>
      </c>
      <c r="D681" s="100">
        <f>CNT!P867</f>
        <v>0</v>
      </c>
      <c r="E681" s="100">
        <f t="shared" ref="E681:E701" si="281">D681-C681</f>
        <v>0</v>
      </c>
      <c r="G681" s="100">
        <v>0</v>
      </c>
      <c r="I681" s="100">
        <v>0</v>
      </c>
      <c r="K681" s="100">
        <f t="shared" ref="K681:K701" si="282">G681-D681</f>
        <v>0</v>
      </c>
      <c r="M681" s="100">
        <f t="shared" ref="M681:M701" si="283">G681-C681</f>
        <v>0</v>
      </c>
      <c r="O681" s="100">
        <f t="shared" ref="O681:O701" si="284">M681-K681</f>
        <v>0</v>
      </c>
    </row>
    <row r="682" spans="1:15" s="27" customFormat="1" ht="42.75" hidden="1" customHeight="1" x14ac:dyDescent="0.5">
      <c r="A682" s="96" t="s">
        <v>401</v>
      </c>
      <c r="B682" s="99" t="s">
        <v>234</v>
      </c>
      <c r="C682" s="100">
        <f>'Comp YTD 2020-2019 '!B690</f>
        <v>0</v>
      </c>
      <c r="D682" s="100">
        <f>CNT!P868</f>
        <v>0</v>
      </c>
      <c r="E682" s="100">
        <f t="shared" si="281"/>
        <v>0</v>
      </c>
      <c r="G682" s="100">
        <v>0</v>
      </c>
      <c r="I682" s="100">
        <v>0</v>
      </c>
      <c r="K682" s="100">
        <f t="shared" si="282"/>
        <v>0</v>
      </c>
      <c r="M682" s="100">
        <f t="shared" si="283"/>
        <v>0</v>
      </c>
      <c r="O682" s="100">
        <f t="shared" si="284"/>
        <v>0</v>
      </c>
    </row>
    <row r="683" spans="1:15" s="27" customFormat="1" ht="42.75" hidden="1" customHeight="1" x14ac:dyDescent="0.5">
      <c r="A683" s="96" t="s">
        <v>401</v>
      </c>
      <c r="B683" s="99" t="s">
        <v>333</v>
      </c>
      <c r="C683" s="100">
        <f>'Comp YTD 2020-2019 '!B691</f>
        <v>0</v>
      </c>
      <c r="D683" s="100">
        <f>CNT!P869</f>
        <v>0</v>
      </c>
      <c r="E683" s="100">
        <f t="shared" si="281"/>
        <v>0</v>
      </c>
      <c r="G683" s="100">
        <v>0</v>
      </c>
      <c r="I683" s="100">
        <v>0</v>
      </c>
      <c r="K683" s="100">
        <f t="shared" si="282"/>
        <v>0</v>
      </c>
      <c r="M683" s="100">
        <f t="shared" si="283"/>
        <v>0</v>
      </c>
      <c r="O683" s="100">
        <f t="shared" si="284"/>
        <v>0</v>
      </c>
    </row>
    <row r="684" spans="1:15" s="27" customFormat="1" ht="42.75" hidden="1" customHeight="1" x14ac:dyDescent="0.5">
      <c r="A684" s="96" t="s">
        <v>401</v>
      </c>
      <c r="B684" s="99" t="s">
        <v>288</v>
      </c>
      <c r="C684" s="100">
        <f>'Comp YTD 2020-2019 '!B692</f>
        <v>0</v>
      </c>
      <c r="D684" s="100">
        <f>CNT!P870</f>
        <v>0</v>
      </c>
      <c r="E684" s="100">
        <f t="shared" si="281"/>
        <v>0</v>
      </c>
      <c r="G684" s="100">
        <v>0</v>
      </c>
      <c r="I684" s="100">
        <v>0</v>
      </c>
      <c r="K684" s="100">
        <f t="shared" si="282"/>
        <v>0</v>
      </c>
      <c r="M684" s="100">
        <f t="shared" si="283"/>
        <v>0</v>
      </c>
      <c r="O684" s="100">
        <f t="shared" si="284"/>
        <v>0</v>
      </c>
    </row>
    <row r="685" spans="1:15" s="27" customFormat="1" ht="42.75" hidden="1" customHeight="1" x14ac:dyDescent="0.5">
      <c r="A685" s="96" t="s">
        <v>401</v>
      </c>
      <c r="B685" s="99" t="s">
        <v>437</v>
      </c>
      <c r="C685" s="100">
        <f>'Comp YTD 2020-2019 '!B693</f>
        <v>0</v>
      </c>
      <c r="D685" s="100">
        <f>CNT!P871</f>
        <v>0</v>
      </c>
      <c r="E685" s="100">
        <f t="shared" si="281"/>
        <v>0</v>
      </c>
      <c r="G685" s="100">
        <v>0</v>
      </c>
      <c r="I685" s="100">
        <v>0</v>
      </c>
      <c r="K685" s="100">
        <f t="shared" si="282"/>
        <v>0</v>
      </c>
      <c r="M685" s="100">
        <f t="shared" si="283"/>
        <v>0</v>
      </c>
      <c r="O685" s="100">
        <f t="shared" si="284"/>
        <v>0</v>
      </c>
    </row>
    <row r="686" spans="1:15" s="27" customFormat="1" ht="42.75" hidden="1" customHeight="1" x14ac:dyDescent="0.5">
      <c r="A686" s="96" t="s">
        <v>401</v>
      </c>
      <c r="B686" s="99" t="s">
        <v>370</v>
      </c>
      <c r="C686" s="100">
        <f>'Comp YTD 2020-2019 '!B694</f>
        <v>0</v>
      </c>
      <c r="D686" s="100">
        <f>CNT!P872</f>
        <v>0</v>
      </c>
      <c r="E686" s="100">
        <f t="shared" si="281"/>
        <v>0</v>
      </c>
      <c r="G686" s="100">
        <v>0</v>
      </c>
      <c r="I686" s="100">
        <v>0</v>
      </c>
      <c r="K686" s="100">
        <f t="shared" si="282"/>
        <v>0</v>
      </c>
      <c r="M686" s="100">
        <f t="shared" si="283"/>
        <v>0</v>
      </c>
      <c r="O686" s="100">
        <f t="shared" si="284"/>
        <v>0</v>
      </c>
    </row>
    <row r="687" spans="1:15" s="27" customFormat="1" ht="42.75" hidden="1" customHeight="1" x14ac:dyDescent="0.5">
      <c r="A687" s="96" t="s">
        <v>401</v>
      </c>
      <c r="B687" s="99" t="s">
        <v>368</v>
      </c>
      <c r="C687" s="100">
        <f>'Comp YTD 2020-2019 '!B695</f>
        <v>0</v>
      </c>
      <c r="D687" s="100">
        <f>CNT!P883</f>
        <v>0</v>
      </c>
      <c r="E687" s="100">
        <f t="shared" si="281"/>
        <v>0</v>
      </c>
      <c r="G687" s="100">
        <v>0</v>
      </c>
      <c r="I687" s="100">
        <v>0</v>
      </c>
      <c r="K687" s="100">
        <f t="shared" si="282"/>
        <v>0</v>
      </c>
      <c r="M687" s="100">
        <f t="shared" si="283"/>
        <v>0</v>
      </c>
      <c r="O687" s="100">
        <f t="shared" si="284"/>
        <v>0</v>
      </c>
    </row>
    <row r="688" spans="1:15" s="27" customFormat="1" ht="42.75" hidden="1" customHeight="1" x14ac:dyDescent="0.5">
      <c r="A688" s="96" t="s">
        <v>401</v>
      </c>
      <c r="B688" s="99" t="s">
        <v>237</v>
      </c>
      <c r="C688" s="100">
        <f>'Comp YTD 2020-2019 '!B696</f>
        <v>0</v>
      </c>
      <c r="D688" s="100">
        <f>CNT!P873</f>
        <v>0</v>
      </c>
      <c r="E688" s="100">
        <f t="shared" si="281"/>
        <v>0</v>
      </c>
      <c r="G688" s="100">
        <v>0</v>
      </c>
      <c r="I688" s="100">
        <v>0</v>
      </c>
      <c r="K688" s="100">
        <f t="shared" si="282"/>
        <v>0</v>
      </c>
      <c r="M688" s="100">
        <f t="shared" si="283"/>
        <v>0</v>
      </c>
      <c r="O688" s="100">
        <f t="shared" si="284"/>
        <v>0</v>
      </c>
    </row>
    <row r="689" spans="1:15" s="27" customFormat="1" ht="42.75" hidden="1" customHeight="1" x14ac:dyDescent="0.5">
      <c r="A689" s="96" t="s">
        <v>401</v>
      </c>
      <c r="B689" s="99" t="s">
        <v>238</v>
      </c>
      <c r="C689" s="100">
        <f>'Comp YTD 2020-2019 '!B697</f>
        <v>0</v>
      </c>
      <c r="D689" s="100">
        <f>CNT!P874</f>
        <v>0</v>
      </c>
      <c r="E689" s="100">
        <f t="shared" si="281"/>
        <v>0</v>
      </c>
      <c r="G689" s="100">
        <v>0</v>
      </c>
      <c r="I689" s="100">
        <v>0</v>
      </c>
      <c r="K689" s="100">
        <f t="shared" si="282"/>
        <v>0</v>
      </c>
      <c r="M689" s="100">
        <f t="shared" si="283"/>
        <v>0</v>
      </c>
      <c r="O689" s="100">
        <f t="shared" si="284"/>
        <v>0</v>
      </c>
    </row>
    <row r="690" spans="1:15" s="27" customFormat="1" ht="42.75" hidden="1" customHeight="1" x14ac:dyDescent="0.5">
      <c r="A690" s="96" t="s">
        <v>401</v>
      </c>
      <c r="B690" s="99" t="s">
        <v>236</v>
      </c>
      <c r="C690" s="100">
        <f>'Comp YTD 2020-2019 '!B698</f>
        <v>0</v>
      </c>
      <c r="D690" s="100">
        <v>0</v>
      </c>
      <c r="E690" s="100">
        <f t="shared" si="281"/>
        <v>0</v>
      </c>
      <c r="G690" s="100">
        <v>0</v>
      </c>
      <c r="I690" s="100">
        <v>0</v>
      </c>
      <c r="K690" s="100">
        <f t="shared" si="282"/>
        <v>0</v>
      </c>
      <c r="M690" s="100">
        <f t="shared" si="283"/>
        <v>0</v>
      </c>
      <c r="O690" s="100">
        <f t="shared" si="284"/>
        <v>0</v>
      </c>
    </row>
    <row r="691" spans="1:15" s="27" customFormat="1" ht="42.75" customHeight="1" x14ac:dyDescent="0.5">
      <c r="A691" s="96" t="s">
        <v>401</v>
      </c>
      <c r="B691" s="99" t="s">
        <v>350</v>
      </c>
      <c r="C691" s="100">
        <f>'Comp YTD 2020-2019 '!B705</f>
        <v>0</v>
      </c>
      <c r="D691" s="100">
        <f>'Oliari Co.'!P12</f>
        <v>390</v>
      </c>
      <c r="E691" s="100">
        <f t="shared" si="281"/>
        <v>390</v>
      </c>
      <c r="G691" s="100">
        <f>'Oliari Co.'!Q12</f>
        <v>520</v>
      </c>
      <c r="I691" s="100">
        <f>'Oliari Co.'!R12</f>
        <v>520</v>
      </c>
      <c r="K691" s="100">
        <f t="shared" si="282"/>
        <v>130</v>
      </c>
      <c r="M691" s="100">
        <f t="shared" si="283"/>
        <v>520</v>
      </c>
      <c r="O691" s="100">
        <f t="shared" si="284"/>
        <v>390</v>
      </c>
    </row>
    <row r="692" spans="1:15" s="27" customFormat="1" ht="42.75" hidden="1" customHeight="1" x14ac:dyDescent="0.5">
      <c r="A692" s="96" t="s">
        <v>401</v>
      </c>
      <c r="B692" s="99" t="s">
        <v>353</v>
      </c>
      <c r="C692" s="100">
        <f>'Comp YTD 2020-2019 '!B699</f>
        <v>0</v>
      </c>
      <c r="D692" s="100">
        <f>CNT!P918</f>
        <v>0</v>
      </c>
      <c r="E692" s="100">
        <f t="shared" si="281"/>
        <v>0</v>
      </c>
      <c r="G692" s="100">
        <v>0</v>
      </c>
      <c r="I692" s="100">
        <v>0</v>
      </c>
      <c r="K692" s="100">
        <f t="shared" si="282"/>
        <v>0</v>
      </c>
      <c r="M692" s="100">
        <f t="shared" si="283"/>
        <v>0</v>
      </c>
      <c r="O692" s="100">
        <f t="shared" si="284"/>
        <v>0</v>
      </c>
    </row>
    <row r="693" spans="1:15" s="27" customFormat="1" ht="42.75" hidden="1" customHeight="1" x14ac:dyDescent="0.5">
      <c r="A693" s="96" t="s">
        <v>401</v>
      </c>
      <c r="B693" s="99" t="s">
        <v>239</v>
      </c>
      <c r="C693" s="100">
        <f>'Comp YTD 2020-2019 '!B700</f>
        <v>0</v>
      </c>
      <c r="D693" s="100">
        <f>CNT!P876</f>
        <v>0</v>
      </c>
      <c r="E693" s="100">
        <f t="shared" si="281"/>
        <v>0</v>
      </c>
      <c r="G693" s="100">
        <v>0</v>
      </c>
      <c r="I693" s="100">
        <v>0</v>
      </c>
      <c r="K693" s="100">
        <f t="shared" si="282"/>
        <v>0</v>
      </c>
      <c r="M693" s="100">
        <f t="shared" si="283"/>
        <v>0</v>
      </c>
      <c r="O693" s="100">
        <f t="shared" si="284"/>
        <v>0</v>
      </c>
    </row>
    <row r="694" spans="1:15" s="27" customFormat="1" ht="42.75" hidden="1" customHeight="1" x14ac:dyDescent="0.5">
      <c r="A694" s="96" t="s">
        <v>401</v>
      </c>
      <c r="B694" s="99" t="s">
        <v>240</v>
      </c>
      <c r="C694" s="100">
        <f>'Comp YTD 2020-2019 '!B701</f>
        <v>0</v>
      </c>
      <c r="D694" s="100">
        <f>CNT!P877</f>
        <v>0</v>
      </c>
      <c r="E694" s="100">
        <f t="shared" si="281"/>
        <v>0</v>
      </c>
      <c r="G694" s="100">
        <v>0</v>
      </c>
      <c r="I694" s="100">
        <v>0</v>
      </c>
      <c r="K694" s="100">
        <f t="shared" si="282"/>
        <v>0</v>
      </c>
      <c r="M694" s="100">
        <f t="shared" si="283"/>
        <v>0</v>
      </c>
      <c r="O694" s="100">
        <f t="shared" si="284"/>
        <v>0</v>
      </c>
    </row>
    <row r="695" spans="1:15" s="27" customFormat="1" ht="42.75" hidden="1" customHeight="1" x14ac:dyDescent="0.5">
      <c r="A695" s="96" t="s">
        <v>401</v>
      </c>
      <c r="B695" s="99" t="s">
        <v>241</v>
      </c>
      <c r="C695" s="100">
        <f>'Comp YTD 2020-2019 '!B702</f>
        <v>0</v>
      </c>
      <c r="D695" s="100">
        <f>CNT!P879</f>
        <v>0</v>
      </c>
      <c r="E695" s="100">
        <f t="shared" si="281"/>
        <v>0</v>
      </c>
      <c r="G695" s="100">
        <v>0</v>
      </c>
      <c r="I695" s="100">
        <v>0</v>
      </c>
      <c r="K695" s="100">
        <f t="shared" si="282"/>
        <v>0</v>
      </c>
      <c r="M695" s="100">
        <f t="shared" si="283"/>
        <v>0</v>
      </c>
      <c r="O695" s="100">
        <f t="shared" si="284"/>
        <v>0</v>
      </c>
    </row>
    <row r="696" spans="1:15" s="27" customFormat="1" ht="42.75" customHeight="1" x14ac:dyDescent="0.5">
      <c r="A696" s="96" t="s">
        <v>401</v>
      </c>
      <c r="B696" s="99" t="s">
        <v>242</v>
      </c>
      <c r="C696" s="100">
        <f>'Comp YTD 2020-2019 '!G65</f>
        <v>9253.2800000000007</v>
      </c>
      <c r="D696" s="100">
        <f>'Oliari Co.'!P13</f>
        <v>83259.892500000016</v>
      </c>
      <c r="E696" s="100">
        <f t="shared" si="281"/>
        <v>74006.612500000017</v>
      </c>
      <c r="G696" s="100">
        <f>'Oliari Co.'!Q13</f>
        <v>111013.19000000003</v>
      </c>
      <c r="I696" s="100">
        <f>'Oliari Co.'!R13</f>
        <v>111013.19000000003</v>
      </c>
      <c r="K696" s="100">
        <f t="shared" si="282"/>
        <v>27753.297500000015</v>
      </c>
      <c r="M696" s="100">
        <f t="shared" si="283"/>
        <v>101759.91000000003</v>
      </c>
      <c r="O696" s="100">
        <f t="shared" si="284"/>
        <v>74006.612500000017</v>
      </c>
    </row>
    <row r="697" spans="1:15" s="27" customFormat="1" ht="42.75" hidden="1" customHeight="1" x14ac:dyDescent="0.5">
      <c r="A697" s="96" t="s">
        <v>401</v>
      </c>
      <c r="B697" s="99" t="s">
        <v>252</v>
      </c>
      <c r="C697" s="100">
        <f>'Comp YTD 2020-2019 '!B704</f>
        <v>0</v>
      </c>
      <c r="D697" s="100">
        <f>CNT!P901</f>
        <v>0</v>
      </c>
      <c r="E697" s="100">
        <f t="shared" si="281"/>
        <v>0</v>
      </c>
      <c r="G697" s="100">
        <v>0</v>
      </c>
      <c r="I697" s="100">
        <v>0</v>
      </c>
      <c r="K697" s="100">
        <f t="shared" si="282"/>
        <v>0</v>
      </c>
      <c r="M697" s="100">
        <f t="shared" si="283"/>
        <v>0</v>
      </c>
      <c r="O697" s="100">
        <f t="shared" si="284"/>
        <v>0</v>
      </c>
    </row>
    <row r="698" spans="1:15" s="27" customFormat="1" ht="42.75" hidden="1" customHeight="1" x14ac:dyDescent="0.5">
      <c r="A698" s="96" t="s">
        <v>401</v>
      </c>
      <c r="B698" s="99" t="s">
        <v>245</v>
      </c>
      <c r="C698" s="100">
        <f>'Comp YTD 2020-2019 '!B706</f>
        <v>0</v>
      </c>
      <c r="D698" s="100">
        <f>CNT!P900</f>
        <v>0</v>
      </c>
      <c r="E698" s="100">
        <f t="shared" si="281"/>
        <v>0</v>
      </c>
      <c r="G698" s="100">
        <v>0</v>
      </c>
      <c r="I698" s="100">
        <v>0</v>
      </c>
      <c r="K698" s="100">
        <f t="shared" si="282"/>
        <v>0</v>
      </c>
      <c r="M698" s="100">
        <f t="shared" si="283"/>
        <v>0</v>
      </c>
      <c r="O698" s="100">
        <f t="shared" si="284"/>
        <v>0</v>
      </c>
    </row>
    <row r="699" spans="1:15" s="27" customFormat="1" ht="42.75" hidden="1" customHeight="1" x14ac:dyDescent="0.5">
      <c r="A699" s="96" t="s">
        <v>401</v>
      </c>
      <c r="B699" s="99" t="s">
        <v>246</v>
      </c>
      <c r="C699" s="100">
        <f>'Comp YTD 2020-2019 '!B707</f>
        <v>0</v>
      </c>
      <c r="D699" s="100">
        <f>CNT!P878+CNT!P884</f>
        <v>0</v>
      </c>
      <c r="E699" s="100">
        <f t="shared" si="281"/>
        <v>0</v>
      </c>
      <c r="G699" s="100">
        <v>0</v>
      </c>
      <c r="I699" s="100">
        <v>0</v>
      </c>
      <c r="K699" s="100">
        <f t="shared" si="282"/>
        <v>0</v>
      </c>
      <c r="M699" s="100">
        <f t="shared" si="283"/>
        <v>0</v>
      </c>
      <c r="O699" s="100">
        <f t="shared" si="284"/>
        <v>0</v>
      </c>
    </row>
    <row r="700" spans="1:15" s="27" customFormat="1" ht="42.75" hidden="1" customHeight="1" x14ac:dyDescent="0.5">
      <c r="A700" s="96" t="s">
        <v>401</v>
      </c>
      <c r="B700" s="99" t="s">
        <v>362</v>
      </c>
      <c r="C700" s="100">
        <f>'Comp YTD 2020-2019 '!B708</f>
        <v>0</v>
      </c>
      <c r="D700" s="100">
        <f>CNT!P881</f>
        <v>0</v>
      </c>
      <c r="E700" s="100">
        <f t="shared" si="281"/>
        <v>0</v>
      </c>
      <c r="G700" s="100">
        <v>0</v>
      </c>
      <c r="I700" s="100">
        <v>0</v>
      </c>
      <c r="K700" s="100">
        <f t="shared" si="282"/>
        <v>0</v>
      </c>
      <c r="M700" s="100">
        <f t="shared" si="283"/>
        <v>0</v>
      </c>
      <c r="O700" s="100">
        <f t="shared" si="284"/>
        <v>0</v>
      </c>
    </row>
    <row r="701" spans="1:15" s="27" customFormat="1" ht="42.75" hidden="1" customHeight="1" x14ac:dyDescent="0.5">
      <c r="A701" s="96" t="s">
        <v>401</v>
      </c>
      <c r="B701" s="99" t="s">
        <v>363</v>
      </c>
      <c r="C701" s="100">
        <f>'Comp YTD 2020-2019 '!B709</f>
        <v>0</v>
      </c>
      <c r="D701" s="100">
        <f>CNT!P882</f>
        <v>0</v>
      </c>
      <c r="E701" s="100">
        <f t="shared" si="281"/>
        <v>0</v>
      </c>
      <c r="G701" s="100">
        <v>0</v>
      </c>
      <c r="I701" s="100">
        <v>0</v>
      </c>
      <c r="K701" s="100">
        <f t="shared" si="282"/>
        <v>0</v>
      </c>
      <c r="M701" s="100">
        <f t="shared" si="283"/>
        <v>0</v>
      </c>
      <c r="O701" s="100">
        <f t="shared" si="284"/>
        <v>0</v>
      </c>
    </row>
    <row r="702" spans="1:15" s="27" customFormat="1" ht="42.75" customHeight="1" x14ac:dyDescent="0.5">
      <c r="A702" s="96" t="s">
        <v>401</v>
      </c>
      <c r="B702" s="97" t="s">
        <v>247</v>
      </c>
      <c r="C702" s="101">
        <f>SUM(C680:C701)</f>
        <v>9253.2800000000007</v>
      </c>
      <c r="D702" s="101">
        <f t="shared" ref="D702" si="285">SUM(D680:D701)</f>
        <v>83649.892500000016</v>
      </c>
      <c r="E702" s="101">
        <f t="shared" ref="E702" si="286">SUM(E680:E701)</f>
        <v>74396.612500000017</v>
      </c>
      <c r="G702" s="101">
        <f>SUM(G680:G701)</f>
        <v>111533.19000000003</v>
      </c>
      <c r="I702" s="101">
        <f>SUM(I680:I701)</f>
        <v>111533.19000000003</v>
      </c>
      <c r="K702" s="101">
        <f>SUM(K680:K701)</f>
        <v>27883.297500000015</v>
      </c>
      <c r="M702" s="101">
        <f>SUM(M680:M701)</f>
        <v>102279.91000000003</v>
      </c>
      <c r="O702" s="101">
        <f>SUM(O680:O701)</f>
        <v>74396.612500000017</v>
      </c>
    </row>
    <row r="703" spans="1:15" s="27" customFormat="1" ht="42.75" customHeight="1" x14ac:dyDescent="0.5">
      <c r="A703" s="96" t="s">
        <v>401</v>
      </c>
      <c r="B703" s="99"/>
      <c r="C703" s="100"/>
      <c r="D703" s="100"/>
      <c r="E703" s="100"/>
      <c r="G703" s="100"/>
      <c r="I703" s="100"/>
      <c r="K703" s="100"/>
      <c r="M703" s="100"/>
      <c r="O703" s="100"/>
    </row>
    <row r="704" spans="1:15" s="27" customFormat="1" ht="42.75" customHeight="1" x14ac:dyDescent="0.5">
      <c r="A704" s="96" t="s">
        <v>401</v>
      </c>
      <c r="B704" s="97" t="s">
        <v>248</v>
      </c>
      <c r="C704" s="100"/>
      <c r="D704" s="100"/>
      <c r="E704" s="100"/>
      <c r="G704" s="100"/>
      <c r="I704" s="100"/>
      <c r="K704" s="100"/>
      <c r="M704" s="100"/>
      <c r="O704" s="100"/>
    </row>
    <row r="705" spans="1:15" s="27" customFormat="1" ht="42.75" hidden="1" customHeight="1" x14ac:dyDescent="0.5">
      <c r="A705" s="96" t="s">
        <v>401</v>
      </c>
      <c r="B705" s="99" t="s">
        <v>249</v>
      </c>
      <c r="C705" s="100">
        <f>'Comp YTD 2020-2019 '!B719</f>
        <v>0</v>
      </c>
      <c r="D705" s="100">
        <f>CNT!P891</f>
        <v>0</v>
      </c>
      <c r="E705" s="100">
        <f>D705-C705</f>
        <v>0</v>
      </c>
      <c r="G705" s="100">
        <v>0</v>
      </c>
      <c r="I705" s="100">
        <v>0</v>
      </c>
      <c r="K705" s="100">
        <f t="shared" ref="K705" si="287">G705-D705</f>
        <v>0</v>
      </c>
      <c r="M705" s="100">
        <f t="shared" ref="M705" si="288">G705-C705</f>
        <v>0</v>
      </c>
      <c r="O705" s="100">
        <f>M705-K705</f>
        <v>0</v>
      </c>
    </row>
    <row r="706" spans="1:15" s="27" customFormat="1" ht="42.75" hidden="1" customHeight="1" x14ac:dyDescent="0.5">
      <c r="A706" s="96" t="s">
        <v>401</v>
      </c>
      <c r="B706" s="99" t="s">
        <v>385</v>
      </c>
      <c r="C706" s="100">
        <f>'Comp YTD 2020-2019 '!B720</f>
        <v>0</v>
      </c>
      <c r="D706" s="100">
        <f>CNT!P889</f>
        <v>0</v>
      </c>
      <c r="E706" s="100">
        <f t="shared" ref="E706:E724" si="289">D706-C706</f>
        <v>0</v>
      </c>
      <c r="G706" s="100">
        <v>0</v>
      </c>
      <c r="I706" s="100">
        <v>0</v>
      </c>
      <c r="K706" s="100">
        <f t="shared" ref="K706:K724" si="290">G706-D706</f>
        <v>0</v>
      </c>
      <c r="M706" s="100">
        <f t="shared" ref="M706:M724" si="291">G706-C706</f>
        <v>0</v>
      </c>
      <c r="O706" s="100">
        <f t="shared" ref="O706:O724" si="292">M706-K706</f>
        <v>0</v>
      </c>
    </row>
    <row r="707" spans="1:15" s="27" customFormat="1" ht="42.75" hidden="1" customHeight="1" x14ac:dyDescent="0.5">
      <c r="A707" s="96" t="s">
        <v>401</v>
      </c>
      <c r="B707" s="99" t="s">
        <v>533</v>
      </c>
      <c r="C707" s="100">
        <v>0</v>
      </c>
      <c r="D707" s="100">
        <v>0</v>
      </c>
      <c r="E707" s="100">
        <f t="shared" si="289"/>
        <v>0</v>
      </c>
      <c r="G707" s="100">
        <v>0</v>
      </c>
      <c r="I707" s="100">
        <v>0</v>
      </c>
      <c r="K707" s="100">
        <f t="shared" si="290"/>
        <v>0</v>
      </c>
      <c r="M707" s="100">
        <f t="shared" si="291"/>
        <v>0</v>
      </c>
      <c r="O707" s="100">
        <f t="shared" si="292"/>
        <v>0</v>
      </c>
    </row>
    <row r="708" spans="1:15" s="27" customFormat="1" ht="42.75" hidden="1" customHeight="1" x14ac:dyDescent="0.5">
      <c r="A708" s="96" t="s">
        <v>401</v>
      </c>
      <c r="B708" s="99" t="s">
        <v>250</v>
      </c>
      <c r="C708" s="100">
        <f>'Comp YTD 2020-2019 '!B722</f>
        <v>0</v>
      </c>
      <c r="D708" s="100">
        <f>CNT!P892</f>
        <v>0</v>
      </c>
      <c r="E708" s="100">
        <f t="shared" si="289"/>
        <v>0</v>
      </c>
      <c r="G708" s="100">
        <v>0</v>
      </c>
      <c r="I708" s="100">
        <v>0</v>
      </c>
      <c r="K708" s="100">
        <f t="shared" si="290"/>
        <v>0</v>
      </c>
      <c r="M708" s="100">
        <f t="shared" si="291"/>
        <v>0</v>
      </c>
      <c r="O708" s="100">
        <f t="shared" si="292"/>
        <v>0</v>
      </c>
    </row>
    <row r="709" spans="1:15" s="27" customFormat="1" ht="42.75" hidden="1" customHeight="1" x14ac:dyDescent="0.5">
      <c r="A709" s="96" t="s">
        <v>401</v>
      </c>
      <c r="B709" s="99" t="s">
        <v>357</v>
      </c>
      <c r="C709" s="100">
        <f>'Comp YTD 2020-2019 '!B723</f>
        <v>0</v>
      </c>
      <c r="D709" s="100">
        <v>0</v>
      </c>
      <c r="E709" s="100">
        <f t="shared" si="289"/>
        <v>0</v>
      </c>
      <c r="G709" s="100">
        <v>0</v>
      </c>
      <c r="I709" s="100">
        <v>0</v>
      </c>
      <c r="K709" s="100">
        <f t="shared" si="290"/>
        <v>0</v>
      </c>
      <c r="M709" s="100">
        <f t="shared" si="291"/>
        <v>0</v>
      </c>
      <c r="O709" s="100">
        <f t="shared" si="292"/>
        <v>0</v>
      </c>
    </row>
    <row r="710" spans="1:15" s="27" customFormat="1" ht="42.75" hidden="1" customHeight="1" x14ac:dyDescent="0.5">
      <c r="A710" s="96" t="s">
        <v>401</v>
      </c>
      <c r="B710" s="99" t="s">
        <v>251</v>
      </c>
      <c r="C710" s="100">
        <f>'Comp YTD 2020-2019 '!B724</f>
        <v>0</v>
      </c>
      <c r="D710" s="100">
        <f>CNT!P894</f>
        <v>0</v>
      </c>
      <c r="E710" s="100">
        <f t="shared" si="289"/>
        <v>0</v>
      </c>
      <c r="G710" s="100">
        <v>0</v>
      </c>
      <c r="I710" s="100">
        <v>0</v>
      </c>
      <c r="K710" s="100">
        <f t="shared" si="290"/>
        <v>0</v>
      </c>
      <c r="M710" s="100">
        <f t="shared" si="291"/>
        <v>0</v>
      </c>
      <c r="O710" s="100">
        <f t="shared" si="292"/>
        <v>0</v>
      </c>
    </row>
    <row r="711" spans="1:15" s="27" customFormat="1" ht="42.75" customHeight="1" x14ac:dyDescent="0.5">
      <c r="A711" s="96" t="s">
        <v>401</v>
      </c>
      <c r="B711" s="99" t="s">
        <v>354</v>
      </c>
      <c r="C711" s="100">
        <f>'Comp YTD 2020-2019 '!G87</f>
        <v>250</v>
      </c>
      <c r="D711" s="100">
        <f>'Oliari Co.'!P17</f>
        <v>2583.75</v>
      </c>
      <c r="E711" s="100">
        <f t="shared" si="289"/>
        <v>2333.75</v>
      </c>
      <c r="G711" s="100">
        <f>'Oliari Co.'!Q17</f>
        <v>3445</v>
      </c>
      <c r="I711" s="100">
        <f>'Oliari Co.'!R17</f>
        <v>3445</v>
      </c>
      <c r="K711" s="100">
        <f t="shared" si="290"/>
        <v>861.25</v>
      </c>
      <c r="M711" s="100">
        <f t="shared" si="291"/>
        <v>3195</v>
      </c>
      <c r="O711" s="100">
        <f t="shared" si="292"/>
        <v>2333.75</v>
      </c>
    </row>
    <row r="712" spans="1:15" s="27" customFormat="1" ht="42.75" hidden="1" customHeight="1" x14ac:dyDescent="0.5">
      <c r="A712" s="96" t="s">
        <v>401</v>
      </c>
      <c r="B712" s="99" t="s">
        <v>355</v>
      </c>
      <c r="C712" s="100">
        <f>'Comp YTD 2020-2019 '!B726</f>
        <v>0</v>
      </c>
      <c r="D712" s="100">
        <f>CNT!P913</f>
        <v>0</v>
      </c>
      <c r="E712" s="100">
        <f t="shared" si="289"/>
        <v>0</v>
      </c>
      <c r="G712" s="100">
        <v>0</v>
      </c>
      <c r="I712" s="100">
        <v>0</v>
      </c>
      <c r="K712" s="100">
        <f t="shared" si="290"/>
        <v>0</v>
      </c>
      <c r="M712" s="100">
        <f t="shared" si="291"/>
        <v>0</v>
      </c>
      <c r="O712" s="100">
        <f t="shared" si="292"/>
        <v>0</v>
      </c>
    </row>
    <row r="713" spans="1:15" s="27" customFormat="1" ht="42.75" hidden="1" customHeight="1" x14ac:dyDescent="0.5">
      <c r="A713" s="96" t="s">
        <v>401</v>
      </c>
      <c r="B713" s="99" t="s">
        <v>356</v>
      </c>
      <c r="C713" s="100">
        <f>'Comp YTD 2020-2019 '!B727</f>
        <v>0</v>
      </c>
      <c r="D713" s="100">
        <f>CNT!P911</f>
        <v>0</v>
      </c>
      <c r="E713" s="100">
        <f t="shared" si="289"/>
        <v>0</v>
      </c>
      <c r="G713" s="100">
        <v>0</v>
      </c>
      <c r="I713" s="100">
        <v>0</v>
      </c>
      <c r="K713" s="100">
        <f t="shared" si="290"/>
        <v>0</v>
      </c>
      <c r="M713" s="100">
        <f t="shared" si="291"/>
        <v>0</v>
      </c>
      <c r="O713" s="100">
        <f t="shared" si="292"/>
        <v>0</v>
      </c>
    </row>
    <row r="714" spans="1:15" s="27" customFormat="1" ht="42.75" hidden="1" customHeight="1" x14ac:dyDescent="0.5">
      <c r="A714" s="96" t="s">
        <v>401</v>
      </c>
      <c r="B714" s="99" t="s">
        <v>394</v>
      </c>
      <c r="C714" s="100">
        <f>'Comp YTD 2020-2019 '!B728</f>
        <v>0</v>
      </c>
      <c r="D714" s="100">
        <f>CNT!P914</f>
        <v>0</v>
      </c>
      <c r="E714" s="100">
        <f t="shared" si="289"/>
        <v>0</v>
      </c>
      <c r="G714" s="100">
        <v>0</v>
      </c>
      <c r="I714" s="100">
        <v>0</v>
      </c>
      <c r="K714" s="100">
        <f t="shared" si="290"/>
        <v>0</v>
      </c>
      <c r="M714" s="100">
        <f t="shared" si="291"/>
        <v>0</v>
      </c>
      <c r="O714" s="100">
        <f t="shared" si="292"/>
        <v>0</v>
      </c>
    </row>
    <row r="715" spans="1:15" s="27" customFormat="1" ht="42.75" hidden="1" customHeight="1" x14ac:dyDescent="0.5">
      <c r="A715" s="96" t="s">
        <v>401</v>
      </c>
      <c r="B715" s="99" t="s">
        <v>383</v>
      </c>
      <c r="C715" s="100">
        <f>'Comp YTD 2020-2019 '!B729</f>
        <v>0</v>
      </c>
      <c r="D715" s="100">
        <v>0</v>
      </c>
      <c r="E715" s="100">
        <f t="shared" si="289"/>
        <v>0</v>
      </c>
      <c r="G715" s="100">
        <v>0</v>
      </c>
      <c r="I715" s="100">
        <v>0</v>
      </c>
      <c r="K715" s="100">
        <f t="shared" si="290"/>
        <v>0</v>
      </c>
      <c r="M715" s="100">
        <f t="shared" si="291"/>
        <v>0</v>
      </c>
      <c r="O715" s="100">
        <f t="shared" si="292"/>
        <v>0</v>
      </c>
    </row>
    <row r="716" spans="1:15" s="27" customFormat="1" ht="42.75" hidden="1" customHeight="1" x14ac:dyDescent="0.5">
      <c r="A716" s="96" t="s">
        <v>401</v>
      </c>
      <c r="B716" s="99" t="s">
        <v>253</v>
      </c>
      <c r="C716" s="100">
        <f>'Comp YTD 2020-2019 '!B730</f>
        <v>0</v>
      </c>
      <c r="D716" s="100">
        <f>CNT!P898+CNT!P916</f>
        <v>0</v>
      </c>
      <c r="E716" s="100">
        <f t="shared" si="289"/>
        <v>0</v>
      </c>
      <c r="G716" s="100">
        <v>0</v>
      </c>
      <c r="I716" s="100">
        <v>0</v>
      </c>
      <c r="K716" s="100">
        <f t="shared" si="290"/>
        <v>0</v>
      </c>
      <c r="M716" s="100">
        <f t="shared" si="291"/>
        <v>0</v>
      </c>
      <c r="O716" s="100">
        <f t="shared" si="292"/>
        <v>0</v>
      </c>
    </row>
    <row r="717" spans="1:15" s="27" customFormat="1" ht="42.75" hidden="1" customHeight="1" x14ac:dyDescent="0.5">
      <c r="A717" s="96" t="s">
        <v>401</v>
      </c>
      <c r="B717" s="99" t="s">
        <v>254</v>
      </c>
      <c r="C717" s="100">
        <f>'Comp YTD 2020-2019 '!B731</f>
        <v>0</v>
      </c>
      <c r="D717" s="100">
        <f>CNT!P902</f>
        <v>0</v>
      </c>
      <c r="E717" s="100">
        <f t="shared" si="289"/>
        <v>0</v>
      </c>
      <c r="G717" s="100">
        <v>0</v>
      </c>
      <c r="I717" s="100">
        <v>0</v>
      </c>
      <c r="K717" s="100">
        <f t="shared" si="290"/>
        <v>0</v>
      </c>
      <c r="M717" s="100">
        <f t="shared" si="291"/>
        <v>0</v>
      </c>
      <c r="O717" s="100">
        <f t="shared" si="292"/>
        <v>0</v>
      </c>
    </row>
    <row r="718" spans="1:15" s="27" customFormat="1" ht="42.75" hidden="1" customHeight="1" x14ac:dyDescent="0.5">
      <c r="A718" s="96" t="s">
        <v>401</v>
      </c>
      <c r="B718" s="99" t="s">
        <v>255</v>
      </c>
      <c r="C718" s="100">
        <f>'Comp YTD 2020-2019 '!B732</f>
        <v>0</v>
      </c>
      <c r="D718" s="100">
        <f>CNT!P903</f>
        <v>0</v>
      </c>
      <c r="E718" s="100">
        <f t="shared" si="289"/>
        <v>0</v>
      </c>
      <c r="G718" s="100">
        <v>0</v>
      </c>
      <c r="I718" s="100">
        <v>0</v>
      </c>
      <c r="K718" s="100">
        <f t="shared" si="290"/>
        <v>0</v>
      </c>
      <c r="M718" s="100">
        <f t="shared" si="291"/>
        <v>0</v>
      </c>
      <c r="O718" s="100">
        <f t="shared" si="292"/>
        <v>0</v>
      </c>
    </row>
    <row r="719" spans="1:15" s="27" customFormat="1" ht="42.75" hidden="1" customHeight="1" x14ac:dyDescent="0.5">
      <c r="A719" s="96" t="s">
        <v>401</v>
      </c>
      <c r="B719" s="99" t="s">
        <v>292</v>
      </c>
      <c r="C719" s="100">
        <f>'Comp YTD 2020-2019 '!B733</f>
        <v>0</v>
      </c>
      <c r="D719" s="100">
        <f>CNT!P893</f>
        <v>0</v>
      </c>
      <c r="E719" s="100">
        <f t="shared" si="289"/>
        <v>0</v>
      </c>
      <c r="G719" s="100">
        <v>0</v>
      </c>
      <c r="I719" s="100">
        <v>0</v>
      </c>
      <c r="K719" s="100">
        <f t="shared" si="290"/>
        <v>0</v>
      </c>
      <c r="M719" s="100">
        <f t="shared" si="291"/>
        <v>0</v>
      </c>
      <c r="O719" s="100">
        <f t="shared" si="292"/>
        <v>0</v>
      </c>
    </row>
    <row r="720" spans="1:15" s="27" customFormat="1" ht="42.75" hidden="1" customHeight="1" x14ac:dyDescent="0.5">
      <c r="A720" s="96" t="s">
        <v>401</v>
      </c>
      <c r="B720" s="99" t="s">
        <v>371</v>
      </c>
      <c r="C720" s="100">
        <f>'Comp YTD 2020-2019 '!B734</f>
        <v>0</v>
      </c>
      <c r="D720" s="100">
        <f>CNT!P899</f>
        <v>0</v>
      </c>
      <c r="E720" s="100">
        <f t="shared" si="289"/>
        <v>0</v>
      </c>
      <c r="G720" s="100">
        <v>0</v>
      </c>
      <c r="I720" s="100">
        <v>0</v>
      </c>
      <c r="K720" s="100">
        <f t="shared" si="290"/>
        <v>0</v>
      </c>
      <c r="M720" s="100">
        <f t="shared" si="291"/>
        <v>0</v>
      </c>
      <c r="O720" s="100">
        <f t="shared" si="292"/>
        <v>0</v>
      </c>
    </row>
    <row r="721" spans="1:15" s="27" customFormat="1" ht="42.75" hidden="1" customHeight="1" x14ac:dyDescent="0.5">
      <c r="A721" s="96" t="s">
        <v>401</v>
      </c>
      <c r="B721" s="99" t="s">
        <v>256</v>
      </c>
      <c r="C721" s="100">
        <f>'Comp YTD 2020-2019 '!B735</f>
        <v>0</v>
      </c>
      <c r="D721" s="100">
        <f>CNT!P905</f>
        <v>0</v>
      </c>
      <c r="E721" s="100">
        <f t="shared" si="289"/>
        <v>0</v>
      </c>
      <c r="G721" s="100">
        <v>0</v>
      </c>
      <c r="I721" s="100">
        <v>0</v>
      </c>
      <c r="K721" s="100">
        <f t="shared" si="290"/>
        <v>0</v>
      </c>
      <c r="M721" s="100">
        <f t="shared" si="291"/>
        <v>0</v>
      </c>
      <c r="O721" s="100">
        <f t="shared" si="292"/>
        <v>0</v>
      </c>
    </row>
    <row r="722" spans="1:15" s="27" customFormat="1" ht="42.75" hidden="1" customHeight="1" x14ac:dyDescent="0.5">
      <c r="A722" s="96" t="s">
        <v>401</v>
      </c>
      <c r="B722" s="99" t="s">
        <v>257</v>
      </c>
      <c r="C722" s="100">
        <f>'Comp YTD 2020-2019 '!B736</f>
        <v>0</v>
      </c>
      <c r="D722" s="100">
        <f>CNT!P906+CNT!P917</f>
        <v>0</v>
      </c>
      <c r="E722" s="100">
        <f t="shared" si="289"/>
        <v>0</v>
      </c>
      <c r="G722" s="100">
        <v>0</v>
      </c>
      <c r="I722" s="100">
        <v>0</v>
      </c>
      <c r="K722" s="100">
        <f t="shared" si="290"/>
        <v>0</v>
      </c>
      <c r="M722" s="100">
        <f t="shared" si="291"/>
        <v>0</v>
      </c>
      <c r="O722" s="100">
        <f t="shared" si="292"/>
        <v>0</v>
      </c>
    </row>
    <row r="723" spans="1:15" s="27" customFormat="1" ht="42.75" hidden="1" customHeight="1" x14ac:dyDescent="0.5">
      <c r="A723" s="96" t="s">
        <v>401</v>
      </c>
      <c r="B723" s="99" t="s">
        <v>258</v>
      </c>
      <c r="C723" s="100">
        <f>'Comp YTD 2020-2019 '!B737</f>
        <v>0</v>
      </c>
      <c r="D723" s="100">
        <f>CNT!P907</f>
        <v>0</v>
      </c>
      <c r="E723" s="100">
        <f t="shared" si="289"/>
        <v>0</v>
      </c>
      <c r="G723" s="100">
        <v>0</v>
      </c>
      <c r="I723" s="100">
        <v>0</v>
      </c>
      <c r="K723" s="100">
        <f t="shared" si="290"/>
        <v>0</v>
      </c>
      <c r="M723" s="100">
        <f t="shared" si="291"/>
        <v>0</v>
      </c>
      <c r="O723" s="100">
        <f t="shared" si="292"/>
        <v>0</v>
      </c>
    </row>
    <row r="724" spans="1:15" s="27" customFormat="1" ht="42.75" hidden="1" customHeight="1" x14ac:dyDescent="0.5">
      <c r="A724" s="96" t="s">
        <v>401</v>
      </c>
      <c r="B724" s="99" t="s">
        <v>259</v>
      </c>
      <c r="C724" s="100">
        <f>'Comp YTD 2020-2019 '!B738</f>
        <v>0</v>
      </c>
      <c r="D724" s="100">
        <f>CNT!P908</f>
        <v>0</v>
      </c>
      <c r="E724" s="100">
        <f t="shared" si="289"/>
        <v>0</v>
      </c>
      <c r="G724" s="100">
        <v>0</v>
      </c>
      <c r="I724" s="100">
        <v>0</v>
      </c>
      <c r="K724" s="100">
        <f t="shared" si="290"/>
        <v>0</v>
      </c>
      <c r="M724" s="100">
        <f t="shared" si="291"/>
        <v>0</v>
      </c>
      <c r="O724" s="100">
        <f t="shared" si="292"/>
        <v>0</v>
      </c>
    </row>
    <row r="725" spans="1:15" s="27" customFormat="1" ht="42.75" customHeight="1" x14ac:dyDescent="0.5">
      <c r="A725" s="96" t="s">
        <v>401</v>
      </c>
      <c r="B725" s="97" t="s">
        <v>261</v>
      </c>
      <c r="C725" s="101">
        <f>SUM(C705:C724)</f>
        <v>250</v>
      </c>
      <c r="D725" s="101">
        <f>SUM(D705:D724)</f>
        <v>2583.75</v>
      </c>
      <c r="E725" s="101">
        <f>SUM(E705:E724)</f>
        <v>2333.75</v>
      </c>
      <c r="G725" s="101">
        <f>SUM(G705:G724)</f>
        <v>3445</v>
      </c>
      <c r="I725" s="101">
        <f>SUM(I705:I724)</f>
        <v>3445</v>
      </c>
      <c r="K725" s="101">
        <f>SUM(K705:K724)</f>
        <v>861.25</v>
      </c>
      <c r="M725" s="101">
        <f>SUM(M705:M724)</f>
        <v>3195</v>
      </c>
      <c r="O725" s="101">
        <f>SUM(O705:O724)</f>
        <v>2333.75</v>
      </c>
    </row>
    <row r="726" spans="1:15" s="27" customFormat="1" ht="42.75" customHeight="1" x14ac:dyDescent="0.5">
      <c r="A726" s="96" t="s">
        <v>401</v>
      </c>
      <c r="B726" s="99"/>
      <c r="C726" s="100"/>
      <c r="D726" s="100"/>
      <c r="E726" s="100"/>
      <c r="G726" s="100"/>
      <c r="I726" s="100"/>
      <c r="K726" s="100"/>
      <c r="M726" s="100"/>
      <c r="O726" s="100"/>
    </row>
    <row r="727" spans="1:15" s="27" customFormat="1" ht="42.75" customHeight="1" thickBot="1" x14ac:dyDescent="0.55000000000000004">
      <c r="A727" s="96" t="s">
        <v>401</v>
      </c>
      <c r="B727" s="97" t="s">
        <v>262</v>
      </c>
      <c r="C727" s="102">
        <f t="shared" ref="C727:O727" si="293">C677+C702+C725</f>
        <v>9503.2800000000007</v>
      </c>
      <c r="D727" s="102">
        <f t="shared" si="293"/>
        <v>86233.642500000016</v>
      </c>
      <c r="E727" s="102">
        <f t="shared" si="293"/>
        <v>76730.362500000017</v>
      </c>
      <c r="G727" s="102">
        <f t="shared" si="293"/>
        <v>114978.19000000003</v>
      </c>
      <c r="I727" s="102">
        <f t="shared" si="293"/>
        <v>114978.19000000003</v>
      </c>
      <c r="K727" s="102">
        <f t="shared" si="293"/>
        <v>28744.547500000015</v>
      </c>
      <c r="M727" s="102">
        <f t="shared" si="293"/>
        <v>105474.91000000003</v>
      </c>
      <c r="O727" s="102">
        <f t="shared" si="293"/>
        <v>76730.362500000017</v>
      </c>
    </row>
    <row r="728" spans="1:15" s="27" customFormat="1" ht="42.75" customHeight="1" x14ac:dyDescent="0.5">
      <c r="A728" s="96" t="s">
        <v>401</v>
      </c>
      <c r="B728" s="99"/>
      <c r="C728" s="100"/>
      <c r="D728" s="100"/>
      <c r="E728" s="100"/>
      <c r="G728" s="100"/>
      <c r="I728" s="100"/>
      <c r="K728" s="100"/>
      <c r="M728" s="100"/>
      <c r="O728" s="100"/>
    </row>
    <row r="729" spans="1:15" s="27" customFormat="1" ht="42.75" customHeight="1" x14ac:dyDescent="0.5">
      <c r="A729" s="96" t="s">
        <v>401</v>
      </c>
      <c r="B729" s="97" t="s">
        <v>454</v>
      </c>
      <c r="C729" s="100"/>
      <c r="D729" s="100"/>
      <c r="E729" s="100"/>
      <c r="G729" s="100"/>
      <c r="I729" s="100"/>
      <c r="K729" s="100"/>
      <c r="M729" s="100"/>
      <c r="O729" s="100"/>
    </row>
    <row r="730" spans="1:15" s="27" customFormat="1" ht="42.75" customHeight="1" x14ac:dyDescent="0.5">
      <c r="A730" s="96" t="s">
        <v>401</v>
      </c>
      <c r="B730" s="99" t="s">
        <v>265</v>
      </c>
      <c r="C730" s="100">
        <f>'Comp YTD 2020-2019 '!G106</f>
        <v>22700</v>
      </c>
      <c r="D730" s="100">
        <f>'Oliari Co.'!P23+'Oliari Co.'!P24+'Oliari Co.'!P25</f>
        <v>204300</v>
      </c>
      <c r="E730" s="100">
        <f>D730-C730</f>
        <v>181600</v>
      </c>
      <c r="G730" s="100">
        <f>'Oliari Co.'!Q23+'Oliari Co.'!Q24+'Oliari Co.'!Q25</f>
        <v>272400</v>
      </c>
      <c r="I730" s="100">
        <f>'Oliari Co.'!R23+'Oliari Co.'!R24+'Oliari Co.'!R25</f>
        <v>272400</v>
      </c>
      <c r="K730" s="100">
        <f t="shared" ref="K730" si="294">G730-D730</f>
        <v>68100</v>
      </c>
      <c r="M730" s="100">
        <f t="shared" ref="M730" si="295">G730-C730</f>
        <v>249700</v>
      </c>
      <c r="O730" s="100">
        <f>M730-K730</f>
        <v>181600</v>
      </c>
    </row>
    <row r="731" spans="1:15" s="27" customFormat="1" ht="42.75" hidden="1" customHeight="1" x14ac:dyDescent="0.5">
      <c r="A731" s="96" t="s">
        <v>401</v>
      </c>
      <c r="B731" s="99" t="s">
        <v>266</v>
      </c>
      <c r="C731" s="100">
        <f>'Comp YTD 2020-2019 '!B745</f>
        <v>0</v>
      </c>
      <c r="D731" s="100">
        <v>0</v>
      </c>
      <c r="E731" s="100">
        <f t="shared" ref="E731:E742" si="296">D731-C731</f>
        <v>0</v>
      </c>
      <c r="G731" s="100">
        <v>0</v>
      </c>
      <c r="I731" s="100">
        <v>0</v>
      </c>
      <c r="K731" s="100">
        <f t="shared" ref="K731:K742" si="297">G731-D731</f>
        <v>0</v>
      </c>
      <c r="M731" s="100">
        <f t="shared" ref="M731:M742" si="298">G731-C731</f>
        <v>0</v>
      </c>
      <c r="O731" s="100">
        <f t="shared" ref="O731:O742" si="299">M731-K731</f>
        <v>0</v>
      </c>
    </row>
    <row r="732" spans="1:15" s="27" customFormat="1" ht="42.75" hidden="1" customHeight="1" x14ac:dyDescent="0.5">
      <c r="A732" s="96" t="s">
        <v>401</v>
      </c>
      <c r="B732" s="99" t="s">
        <v>324</v>
      </c>
      <c r="C732" s="100">
        <f>'Comp YTD 2020-2019 '!B746</f>
        <v>0</v>
      </c>
      <c r="D732" s="100">
        <v>0</v>
      </c>
      <c r="E732" s="100">
        <f t="shared" si="296"/>
        <v>0</v>
      </c>
      <c r="G732" s="100">
        <v>0</v>
      </c>
      <c r="I732" s="100">
        <v>0</v>
      </c>
      <c r="K732" s="100">
        <f t="shared" si="297"/>
        <v>0</v>
      </c>
      <c r="M732" s="100">
        <f t="shared" si="298"/>
        <v>0</v>
      </c>
      <c r="O732" s="100">
        <f t="shared" si="299"/>
        <v>0</v>
      </c>
    </row>
    <row r="733" spans="1:15" s="27" customFormat="1" ht="42.75" hidden="1" customHeight="1" x14ac:dyDescent="0.5">
      <c r="A733" s="96" t="s">
        <v>401</v>
      </c>
      <c r="B733" s="99" t="s">
        <v>380</v>
      </c>
      <c r="C733" s="100">
        <f>'Comp YTD 2020-2019 '!B747</f>
        <v>0</v>
      </c>
      <c r="D733" s="100">
        <f>CNT!P924</f>
        <v>0</v>
      </c>
      <c r="E733" s="100">
        <f t="shared" si="296"/>
        <v>0</v>
      </c>
      <c r="G733" s="100">
        <v>0</v>
      </c>
      <c r="I733" s="100">
        <v>0</v>
      </c>
      <c r="K733" s="100">
        <f t="shared" si="297"/>
        <v>0</v>
      </c>
      <c r="M733" s="100">
        <f t="shared" si="298"/>
        <v>0</v>
      </c>
      <c r="O733" s="100">
        <f t="shared" si="299"/>
        <v>0</v>
      </c>
    </row>
    <row r="734" spans="1:15" s="27" customFormat="1" ht="42.75" hidden="1" customHeight="1" x14ac:dyDescent="0.5">
      <c r="A734" s="96" t="s">
        <v>401</v>
      </c>
      <c r="B734" s="99" t="s">
        <v>267</v>
      </c>
      <c r="C734" s="100">
        <f>'Comp YTD 2020-2019 '!B748</f>
        <v>0</v>
      </c>
      <c r="D734" s="100">
        <f>CNT!P925</f>
        <v>0</v>
      </c>
      <c r="E734" s="100">
        <f t="shared" si="296"/>
        <v>0</v>
      </c>
      <c r="G734" s="100">
        <v>0</v>
      </c>
      <c r="I734" s="100">
        <v>0</v>
      </c>
      <c r="K734" s="100">
        <f t="shared" si="297"/>
        <v>0</v>
      </c>
      <c r="M734" s="100">
        <f t="shared" si="298"/>
        <v>0</v>
      </c>
      <c r="O734" s="100">
        <f t="shared" si="299"/>
        <v>0</v>
      </c>
    </row>
    <row r="735" spans="1:15" s="27" customFormat="1" ht="42.75" customHeight="1" x14ac:dyDescent="0.5">
      <c r="A735" s="96" t="s">
        <v>401</v>
      </c>
      <c r="B735" s="99" t="s">
        <v>268</v>
      </c>
      <c r="C735" s="100">
        <f>'Comp YTD 2020-2019 '!G111</f>
        <v>4544.66</v>
      </c>
      <c r="D735" s="100">
        <f>'Oliari Co.'!P28</f>
        <v>32758.110000000004</v>
      </c>
      <c r="E735" s="100">
        <f t="shared" si="296"/>
        <v>28213.450000000004</v>
      </c>
      <c r="G735" s="100">
        <f>'Oliari Co.'!Q28</f>
        <v>43677.48</v>
      </c>
      <c r="I735" s="100">
        <f>'Oliari Co.'!R28</f>
        <v>43677.48</v>
      </c>
      <c r="K735" s="100">
        <f t="shared" si="297"/>
        <v>10919.369999999999</v>
      </c>
      <c r="M735" s="100">
        <f t="shared" si="298"/>
        <v>39132.820000000007</v>
      </c>
      <c r="O735" s="100">
        <f t="shared" si="299"/>
        <v>28213.450000000008</v>
      </c>
    </row>
    <row r="736" spans="1:15" s="27" customFormat="1" ht="42.75" customHeight="1" x14ac:dyDescent="0.5">
      <c r="A736" s="96" t="s">
        <v>401</v>
      </c>
      <c r="B736" s="99" t="s">
        <v>269</v>
      </c>
      <c r="C736" s="100">
        <f>'Comp YTD 2020-2019 '!G112</f>
        <v>0</v>
      </c>
      <c r="D736" s="100">
        <f>'Oliari Co.'!P29</f>
        <v>-7748.3700000000017</v>
      </c>
      <c r="E736" s="100">
        <f t="shared" si="296"/>
        <v>-7748.3700000000017</v>
      </c>
      <c r="G736" s="100">
        <f>'Oliari Co.'!Q29</f>
        <v>-10331.160000000002</v>
      </c>
      <c r="I736" s="100">
        <f>'Oliari Co.'!R29</f>
        <v>-10331.160000000002</v>
      </c>
      <c r="K736" s="100">
        <f t="shared" si="297"/>
        <v>-2582.79</v>
      </c>
      <c r="M736" s="100">
        <f t="shared" si="298"/>
        <v>-10331.160000000002</v>
      </c>
      <c r="O736" s="100">
        <f t="shared" si="299"/>
        <v>-7748.3700000000017</v>
      </c>
    </row>
    <row r="737" spans="1:15" s="27" customFormat="1" ht="42.75" hidden="1" customHeight="1" x14ac:dyDescent="0.5">
      <c r="A737" s="96" t="s">
        <v>401</v>
      </c>
      <c r="B737" s="99" t="s">
        <v>270</v>
      </c>
      <c r="C737" s="100">
        <f>'Comp YTD 2020-2019 '!B751</f>
        <v>0</v>
      </c>
      <c r="D737" s="100">
        <f>CNT!P928</f>
        <v>0</v>
      </c>
      <c r="E737" s="100">
        <f t="shared" si="296"/>
        <v>0</v>
      </c>
      <c r="G737" s="100">
        <v>0</v>
      </c>
      <c r="I737" s="100">
        <v>0</v>
      </c>
      <c r="K737" s="100">
        <f t="shared" si="297"/>
        <v>0</v>
      </c>
      <c r="M737" s="100">
        <f t="shared" si="298"/>
        <v>0</v>
      </c>
      <c r="O737" s="100">
        <f t="shared" si="299"/>
        <v>0</v>
      </c>
    </row>
    <row r="738" spans="1:15" s="27" customFormat="1" ht="42.75" hidden="1" customHeight="1" x14ac:dyDescent="0.5">
      <c r="A738" s="96" t="s">
        <v>401</v>
      </c>
      <c r="B738" s="99" t="s">
        <v>395</v>
      </c>
      <c r="C738" s="100">
        <f>'Comp YTD 2020-2019 '!B752</f>
        <v>0</v>
      </c>
      <c r="D738" s="100">
        <f>CNT!P929</f>
        <v>0</v>
      </c>
      <c r="E738" s="100">
        <f t="shared" si="296"/>
        <v>0</v>
      </c>
      <c r="G738" s="100">
        <v>0</v>
      </c>
      <c r="I738" s="100">
        <v>0</v>
      </c>
      <c r="K738" s="100">
        <f t="shared" si="297"/>
        <v>0</v>
      </c>
      <c r="M738" s="100">
        <f t="shared" si="298"/>
        <v>0</v>
      </c>
      <c r="O738" s="100">
        <f t="shared" si="299"/>
        <v>0</v>
      </c>
    </row>
    <row r="739" spans="1:15" s="27" customFormat="1" ht="42.75" hidden="1" customHeight="1" x14ac:dyDescent="0.5">
      <c r="A739" s="96" t="s">
        <v>401</v>
      </c>
      <c r="B739" s="99" t="s">
        <v>430</v>
      </c>
      <c r="C739" s="100">
        <f>'Comp YTD 2020-2019 '!B753</f>
        <v>0</v>
      </c>
      <c r="D739" s="100">
        <f>CNT!P930</f>
        <v>0</v>
      </c>
      <c r="E739" s="100">
        <f t="shared" si="296"/>
        <v>0</v>
      </c>
      <c r="G739" s="100">
        <v>0</v>
      </c>
      <c r="I739" s="100">
        <v>0</v>
      </c>
      <c r="K739" s="100">
        <f t="shared" si="297"/>
        <v>0</v>
      </c>
      <c r="M739" s="100">
        <f t="shared" si="298"/>
        <v>0</v>
      </c>
      <c r="O739" s="100">
        <f t="shared" si="299"/>
        <v>0</v>
      </c>
    </row>
    <row r="740" spans="1:15" s="27" customFormat="1" ht="42.75" hidden="1" customHeight="1" x14ac:dyDescent="0.5">
      <c r="A740" s="96" t="s">
        <v>401</v>
      </c>
      <c r="B740" s="99" t="s">
        <v>431</v>
      </c>
      <c r="C740" s="100">
        <f>'Comp YTD 2020-2019 '!B754</f>
        <v>0</v>
      </c>
      <c r="D740" s="100">
        <f>CNT!P932</f>
        <v>0</v>
      </c>
      <c r="E740" s="100">
        <f t="shared" si="296"/>
        <v>0</v>
      </c>
      <c r="G740" s="100">
        <v>0</v>
      </c>
      <c r="I740" s="100">
        <v>0</v>
      </c>
      <c r="K740" s="100">
        <f t="shared" si="297"/>
        <v>0</v>
      </c>
      <c r="M740" s="100">
        <f t="shared" si="298"/>
        <v>0</v>
      </c>
      <c r="O740" s="100">
        <f t="shared" si="299"/>
        <v>0</v>
      </c>
    </row>
    <row r="741" spans="1:15" s="27" customFormat="1" ht="42.75" hidden="1" customHeight="1" x14ac:dyDescent="0.5">
      <c r="A741" s="96" t="s">
        <v>401</v>
      </c>
      <c r="B741" s="99" t="s">
        <v>396</v>
      </c>
      <c r="C741" s="100">
        <f>'Comp YTD 2020-2019 '!B755</f>
        <v>0</v>
      </c>
      <c r="D741" s="100">
        <f>CNT!P931</f>
        <v>0</v>
      </c>
      <c r="E741" s="100">
        <f t="shared" si="296"/>
        <v>0</v>
      </c>
      <c r="G741" s="100">
        <v>0</v>
      </c>
      <c r="I741" s="100">
        <v>0</v>
      </c>
      <c r="K741" s="100">
        <f t="shared" si="297"/>
        <v>0</v>
      </c>
      <c r="M741" s="100">
        <f t="shared" si="298"/>
        <v>0</v>
      </c>
      <c r="O741" s="100">
        <f t="shared" si="299"/>
        <v>0</v>
      </c>
    </row>
    <row r="742" spans="1:15" s="27" customFormat="1" ht="42.75" hidden="1" customHeight="1" x14ac:dyDescent="0.5">
      <c r="A742" s="96" t="s">
        <v>401</v>
      </c>
      <c r="B742" s="99" t="s">
        <v>441</v>
      </c>
      <c r="C742" s="100">
        <f>'Comp YTD 2020-2019 '!B757</f>
        <v>0</v>
      </c>
      <c r="D742" s="100">
        <f>CNT!P933</f>
        <v>0</v>
      </c>
      <c r="E742" s="100">
        <f t="shared" si="296"/>
        <v>0</v>
      </c>
      <c r="G742" s="100">
        <v>0</v>
      </c>
      <c r="I742" s="100">
        <v>0</v>
      </c>
      <c r="K742" s="100">
        <f t="shared" si="297"/>
        <v>0</v>
      </c>
      <c r="M742" s="100">
        <f t="shared" si="298"/>
        <v>0</v>
      </c>
      <c r="O742" s="100">
        <f t="shared" si="299"/>
        <v>0</v>
      </c>
    </row>
    <row r="743" spans="1:15" s="27" customFormat="1" ht="42.75" customHeight="1" x14ac:dyDescent="0.5">
      <c r="A743" s="96" t="s">
        <v>401</v>
      </c>
      <c r="B743" s="97" t="s">
        <v>455</v>
      </c>
      <c r="C743" s="101">
        <f>SUM(C730:C742)</f>
        <v>27244.66</v>
      </c>
      <c r="D743" s="101">
        <f t="shared" ref="D743:E743" si="300">SUM(D730:D742)</f>
        <v>229309.74000000002</v>
      </c>
      <c r="E743" s="101">
        <f t="shared" si="300"/>
        <v>202065.08000000002</v>
      </c>
      <c r="G743" s="101">
        <f>SUM(G730:G742)</f>
        <v>305746.32</v>
      </c>
      <c r="I743" s="101">
        <f>SUM(I730:I742)</f>
        <v>305746.32</v>
      </c>
      <c r="K743" s="101">
        <f>SUM(K730:K742)</f>
        <v>76436.58</v>
      </c>
      <c r="M743" s="101">
        <f>SUM(M730:M742)</f>
        <v>278501.66000000003</v>
      </c>
      <c r="O743" s="101">
        <f>SUM(O730:O742)</f>
        <v>202065.08000000002</v>
      </c>
    </row>
    <row r="744" spans="1:15" s="27" customFormat="1" ht="42.75" customHeight="1" x14ac:dyDescent="0.5">
      <c r="A744" s="96" t="s">
        <v>401</v>
      </c>
      <c r="B744" s="97"/>
      <c r="C744" s="100"/>
      <c r="D744" s="100"/>
      <c r="E744" s="100"/>
      <c r="G744" s="100"/>
      <c r="I744" s="100"/>
      <c r="K744" s="100"/>
      <c r="M744" s="100"/>
      <c r="O744" s="100"/>
    </row>
    <row r="745" spans="1:15" s="27" customFormat="1" ht="42.75" customHeight="1" thickBot="1" x14ac:dyDescent="0.55000000000000004">
      <c r="A745" s="96" t="s">
        <v>401</v>
      </c>
      <c r="B745" s="97" t="s">
        <v>264</v>
      </c>
      <c r="C745" s="103">
        <f t="shared" ref="C745:D745" si="301">C662-C727+C743</f>
        <v>17741.379999999997</v>
      </c>
      <c r="D745" s="103">
        <f t="shared" si="301"/>
        <v>143076.0975</v>
      </c>
      <c r="E745" s="103">
        <f>E662-E727+E743</f>
        <v>125334.7175</v>
      </c>
      <c r="G745" s="103">
        <f t="shared" ref="G745" si="302">G662-G727+G743</f>
        <v>190768.12999999998</v>
      </c>
      <c r="I745" s="103">
        <f t="shared" ref="I745" si="303">I662-I727+I743</f>
        <v>190768.12999999998</v>
      </c>
      <c r="K745" s="103">
        <f t="shared" ref="K745" si="304">K662-K727+K743</f>
        <v>47692.032499999987</v>
      </c>
      <c r="M745" s="103">
        <f t="shared" ref="M745" si="305">M662-M727+M743</f>
        <v>173026.75</v>
      </c>
      <c r="O745" s="103">
        <f t="shared" ref="O745" si="306">O662-O727+O743</f>
        <v>125334.7175</v>
      </c>
    </row>
    <row r="746" spans="1:15" ht="15.75" thickTop="1" x14ac:dyDescent="0.25"/>
    <row r="747" spans="1:15" s="27" customFormat="1" ht="42.75" customHeight="1" x14ac:dyDescent="0.5">
      <c r="A747" s="129" t="s">
        <v>552</v>
      </c>
      <c r="B747" s="130" t="s">
        <v>60</v>
      </c>
      <c r="C747" s="131"/>
      <c r="D747" s="131"/>
      <c r="E747" s="131"/>
      <c r="G747" s="131"/>
      <c r="I747" s="131"/>
      <c r="J747" s="31"/>
      <c r="K747" s="131"/>
      <c r="M747" s="131"/>
      <c r="O747" s="131"/>
    </row>
    <row r="748" spans="1:15" s="27" customFormat="1" ht="42.75" customHeight="1" x14ac:dyDescent="0.5">
      <c r="A748" s="129" t="s">
        <v>552</v>
      </c>
      <c r="B748" s="132" t="s">
        <v>215</v>
      </c>
      <c r="C748" s="133">
        <f>C8+C114+C220+C325+C431+C537+C643</f>
        <v>149080950.81</v>
      </c>
      <c r="D748" s="133">
        <f>D8+D114+D220+D325+D431+D537+D643</f>
        <v>958417694.37416673</v>
      </c>
      <c r="E748" s="133">
        <f>D748-C748</f>
        <v>809336743.56416678</v>
      </c>
      <c r="G748" s="133">
        <f>G8+G114+G220+G325+G431+G537+G643</f>
        <v>1286528816.99</v>
      </c>
      <c r="I748" s="133">
        <f>I8+I114+I220+I325+I431+I537+I643</f>
        <v>1286528816.99</v>
      </c>
      <c r="J748" s="31"/>
      <c r="K748" s="133">
        <f>G748-D748</f>
        <v>328111122.61583328</v>
      </c>
      <c r="M748" s="133">
        <f>G748-C748</f>
        <v>1137447866.1800001</v>
      </c>
      <c r="O748" s="133">
        <f>M748-K748</f>
        <v>809336743.56416678</v>
      </c>
    </row>
    <row r="749" spans="1:15" s="27" customFormat="1" ht="42.75" customHeight="1" x14ac:dyDescent="0.5">
      <c r="A749" s="129" t="s">
        <v>552</v>
      </c>
      <c r="B749" s="132" t="s">
        <v>216</v>
      </c>
      <c r="C749" s="133">
        <f t="shared" ref="C749:D749" si="307">C9+C115+C221+C326+C432+C538+C644</f>
        <v>328609846.57999998</v>
      </c>
      <c r="D749" s="133">
        <f t="shared" si="307"/>
        <v>2568831076.2266669</v>
      </c>
      <c r="E749" s="133">
        <f t="shared" ref="E749:E752" si="308">D749-C749</f>
        <v>2240221229.646667</v>
      </c>
      <c r="G749" s="133">
        <f t="shared" ref="G749:G754" si="309">G9+G115+G221+G326+G432+G538+G644</f>
        <v>3425655009.7600002</v>
      </c>
      <c r="I749" s="133">
        <f t="shared" ref="I749:I754" si="310">I9+I115+I221+I326+I432+I538+I644</f>
        <v>3425655009.7600002</v>
      </c>
      <c r="J749" s="31"/>
      <c r="K749" s="133">
        <f t="shared" ref="K749:K754" si="311">G749-D749</f>
        <v>856823933.5333333</v>
      </c>
      <c r="M749" s="133">
        <f t="shared" ref="M749:M754" si="312">G749-C749</f>
        <v>3097045163.1800003</v>
      </c>
      <c r="O749" s="133">
        <f>M749-K749</f>
        <v>2240221229.646667</v>
      </c>
    </row>
    <row r="750" spans="1:15" s="27" customFormat="1" ht="42.75" customHeight="1" x14ac:dyDescent="0.5">
      <c r="A750" s="129" t="s">
        <v>552</v>
      </c>
      <c r="B750" s="132" t="s">
        <v>217</v>
      </c>
      <c r="C750" s="133">
        <f t="shared" ref="C750:D750" si="313">C10+C116+C222+C327+C433+C539+C645</f>
        <v>1935780.78</v>
      </c>
      <c r="D750" s="133">
        <f t="shared" si="313"/>
        <v>12880069.705</v>
      </c>
      <c r="E750" s="133">
        <f t="shared" si="308"/>
        <v>10944288.925000001</v>
      </c>
      <c r="G750" s="133">
        <f t="shared" si="309"/>
        <v>17224705.720000003</v>
      </c>
      <c r="I750" s="133">
        <f t="shared" si="310"/>
        <v>17224705.720000003</v>
      </c>
      <c r="J750" s="31"/>
      <c r="K750" s="133">
        <f t="shared" si="311"/>
        <v>4344636.0150000025</v>
      </c>
      <c r="M750" s="133">
        <f t="shared" si="312"/>
        <v>15288924.940000003</v>
      </c>
      <c r="O750" s="133">
        <f t="shared" ref="O750:O754" si="314">M750-K750</f>
        <v>10944288.925000001</v>
      </c>
    </row>
    <row r="751" spans="1:15" s="27" customFormat="1" ht="42.75" customHeight="1" x14ac:dyDescent="0.5">
      <c r="A751" s="129" t="s">
        <v>552</v>
      </c>
      <c r="B751" s="132" t="s">
        <v>414</v>
      </c>
      <c r="C751" s="133">
        <f t="shared" ref="C751:D751" si="315">C11+C117+C223+C328+C434+C540+C646</f>
        <v>19227894.5</v>
      </c>
      <c r="D751" s="133">
        <f t="shared" si="315"/>
        <v>16289248.325833334</v>
      </c>
      <c r="E751" s="133">
        <f t="shared" si="308"/>
        <v>-2938646.1741666663</v>
      </c>
      <c r="G751" s="133">
        <f t="shared" si="309"/>
        <v>21723295.190000001</v>
      </c>
      <c r="I751" s="133">
        <f t="shared" si="310"/>
        <v>21723295.190000001</v>
      </c>
      <c r="J751" s="31"/>
      <c r="K751" s="133">
        <f t="shared" si="311"/>
        <v>5434046.8641666677</v>
      </c>
      <c r="M751" s="133">
        <f t="shared" si="312"/>
        <v>2495400.6900000013</v>
      </c>
      <c r="O751" s="133">
        <f t="shared" si="314"/>
        <v>-2938646.1741666663</v>
      </c>
    </row>
    <row r="752" spans="1:15" s="27" customFormat="1" ht="42.75" customHeight="1" x14ac:dyDescent="0.5">
      <c r="A752" s="129" t="s">
        <v>552</v>
      </c>
      <c r="B752" s="132" t="s">
        <v>218</v>
      </c>
      <c r="C752" s="133">
        <f t="shared" ref="C752:D752" si="316">C12+C118+C224+C329+C435+C541+C647</f>
        <v>5615755.9000000004</v>
      </c>
      <c r="D752" s="133">
        <f t="shared" si="316"/>
        <v>5047279.0674999999</v>
      </c>
      <c r="E752" s="133">
        <f t="shared" si="308"/>
        <v>-568476.83250000048</v>
      </c>
      <c r="G752" s="133">
        <f t="shared" si="309"/>
        <v>6730220.9800000004</v>
      </c>
      <c r="I752" s="133">
        <f t="shared" si="310"/>
        <v>6730220.9800000004</v>
      </c>
      <c r="J752" s="31"/>
      <c r="K752" s="133">
        <f t="shared" si="311"/>
        <v>1682941.9125000006</v>
      </c>
      <c r="M752" s="133">
        <f t="shared" si="312"/>
        <v>1114465.08</v>
      </c>
      <c r="O752" s="133">
        <f>M752-K752</f>
        <v>-568476.83250000048</v>
      </c>
    </row>
    <row r="753" spans="1:15" s="27" customFormat="1" ht="42.75" customHeight="1" x14ac:dyDescent="0.5">
      <c r="A753" s="129" t="s">
        <v>552</v>
      </c>
      <c r="B753" s="132" t="s">
        <v>219</v>
      </c>
      <c r="C753" s="133">
        <f t="shared" ref="C753:D753" si="317">C13+C119+C225+C330+C436+C542+C648</f>
        <v>1616066.4</v>
      </c>
      <c r="D753" s="133">
        <f t="shared" si="317"/>
        <v>7812557.333333333</v>
      </c>
      <c r="E753" s="133">
        <f>D753-C753</f>
        <v>6196490.9333333336</v>
      </c>
      <c r="G753" s="133">
        <f t="shared" si="309"/>
        <v>10418853.679999998</v>
      </c>
      <c r="I753" s="133">
        <f t="shared" si="310"/>
        <v>10418853.679999998</v>
      </c>
      <c r="J753" s="31"/>
      <c r="K753" s="133">
        <f t="shared" si="311"/>
        <v>2606296.3466666648</v>
      </c>
      <c r="M753" s="133">
        <f t="shared" si="312"/>
        <v>8802787.2799999975</v>
      </c>
      <c r="O753" s="133">
        <f t="shared" si="314"/>
        <v>6196490.9333333327</v>
      </c>
    </row>
    <row r="754" spans="1:15" s="27" customFormat="1" ht="42.75" customHeight="1" x14ac:dyDescent="0.5">
      <c r="A754" s="129" t="s">
        <v>552</v>
      </c>
      <c r="B754" s="132" t="s">
        <v>220</v>
      </c>
      <c r="C754" s="133">
        <f t="shared" ref="C754:D754" si="318">C14+C120+C226+C331+C437+C543+C649</f>
        <v>863548.37999999989</v>
      </c>
      <c r="D754" s="133">
        <f t="shared" si="318"/>
        <v>6495265.2283333344</v>
      </c>
      <c r="E754" s="133">
        <f t="shared" ref="E754" si="319">D754-C754</f>
        <v>5631716.8483333346</v>
      </c>
      <c r="G754" s="133">
        <f t="shared" si="309"/>
        <v>9040499.0200000014</v>
      </c>
      <c r="I754" s="133">
        <f t="shared" si="310"/>
        <v>9040499.0200000014</v>
      </c>
      <c r="J754" s="31"/>
      <c r="K754" s="133">
        <f t="shared" si="311"/>
        <v>2545233.791666667</v>
      </c>
      <c r="M754" s="133">
        <f t="shared" si="312"/>
        <v>8176950.6400000015</v>
      </c>
      <c r="O754" s="133">
        <f t="shared" si="314"/>
        <v>5631716.8483333346</v>
      </c>
    </row>
    <row r="755" spans="1:15" s="27" customFormat="1" ht="42.75" customHeight="1" x14ac:dyDescent="0.5">
      <c r="A755" s="129" t="s">
        <v>552</v>
      </c>
      <c r="B755" s="130" t="s">
        <v>221</v>
      </c>
      <c r="C755" s="134">
        <f>SUM(C748:C754)</f>
        <v>506949843.3499999</v>
      </c>
      <c r="D755" s="134">
        <f>SUM(D748:D754)</f>
        <v>3575773190.2608342</v>
      </c>
      <c r="E755" s="134">
        <f>SUM(E748:E754)</f>
        <v>3068823346.9108338</v>
      </c>
      <c r="G755" s="134">
        <f>SUM(G748:G754)</f>
        <v>4777321401.3400002</v>
      </c>
      <c r="I755" s="134">
        <f>SUM(I748:I754)</f>
        <v>4777321401.3400002</v>
      </c>
      <c r="J755" s="31"/>
      <c r="K755" s="134">
        <f>SUM(K748:K754)</f>
        <v>1201548211.0791667</v>
      </c>
      <c r="M755" s="134">
        <f>SUM(M748:M754)</f>
        <v>4270371557.9900007</v>
      </c>
      <c r="O755" s="134">
        <f>SUM(O748:O754)</f>
        <v>3068823346.9108338</v>
      </c>
    </row>
    <row r="756" spans="1:15" s="27" customFormat="1" ht="42.75" customHeight="1" x14ac:dyDescent="0.5">
      <c r="A756" s="129" t="s">
        <v>552</v>
      </c>
      <c r="B756" s="132"/>
      <c r="C756" s="133"/>
      <c r="D756" s="133"/>
      <c r="E756" s="133"/>
      <c r="G756" s="133"/>
      <c r="I756" s="133"/>
      <c r="J756" s="31"/>
      <c r="K756" s="133"/>
      <c r="M756" s="133"/>
      <c r="O756" s="133"/>
    </row>
    <row r="757" spans="1:15" s="27" customFormat="1" ht="42.75" customHeight="1" x14ac:dyDescent="0.5">
      <c r="A757" s="129" t="s">
        <v>552</v>
      </c>
      <c r="B757" s="130" t="s">
        <v>206</v>
      </c>
      <c r="C757" s="133"/>
      <c r="D757" s="133"/>
      <c r="E757" s="133"/>
      <c r="G757" s="133"/>
      <c r="I757" s="133"/>
      <c r="J757" s="31"/>
      <c r="K757" s="133"/>
      <c r="M757" s="133"/>
      <c r="O757" s="133"/>
    </row>
    <row r="758" spans="1:15" s="27" customFormat="1" ht="42.75" customHeight="1" x14ac:dyDescent="0.5">
      <c r="A758" s="129" t="s">
        <v>552</v>
      </c>
      <c r="B758" s="132" t="s">
        <v>215</v>
      </c>
      <c r="C758" s="133">
        <f>C18+C124+C230+C335+C441+C547+C653</f>
        <v>148745272.31999987</v>
      </c>
      <c r="D758" s="133">
        <f>D18+D124+D230+D335+D441+D547+D653</f>
        <v>970262366.27000034</v>
      </c>
      <c r="E758" s="133">
        <f>D758-C758</f>
        <v>821517093.95000052</v>
      </c>
      <c r="F758" s="31"/>
      <c r="G758" s="133">
        <f>G18+G124+G230+G335+G441+G547+G653</f>
        <v>1302274127.0700002</v>
      </c>
      <c r="I758" s="133">
        <f>I18+I124+I230+I335+I441+I547+I653</f>
        <v>1302274127.0700002</v>
      </c>
      <c r="J758" s="31"/>
      <c r="K758" s="133">
        <f>G758-D758</f>
        <v>332011760.79999983</v>
      </c>
      <c r="M758" s="133">
        <f>G758-C758</f>
        <v>1153528854.7500002</v>
      </c>
      <c r="O758" s="133">
        <f>M758-K758</f>
        <v>821517093.95000041</v>
      </c>
    </row>
    <row r="759" spans="1:15" s="27" customFormat="1" ht="42.75" customHeight="1" x14ac:dyDescent="0.5">
      <c r="A759" s="129" t="s">
        <v>552</v>
      </c>
      <c r="B759" s="132" t="s">
        <v>216</v>
      </c>
      <c r="C759" s="133">
        <f t="shared" ref="C759:D764" si="320">C19+C125+C231+C336+C442+C548+C654</f>
        <v>328336352.45000017</v>
      </c>
      <c r="D759" s="133">
        <f t="shared" si="320"/>
        <v>2564566293.6324997</v>
      </c>
      <c r="E759" s="133">
        <f t="shared" ref="E759:E764" si="321">D759-C759</f>
        <v>2236229941.1824994</v>
      </c>
      <c r="G759" s="133">
        <f t="shared" ref="G759:G764" si="322">G19+G125+G231+G336+G442+G548+G654</f>
        <v>3419932618.4200006</v>
      </c>
      <c r="I759" s="133">
        <f t="shared" ref="I759:I764" si="323">I19+I125+I231+I336+I442+I548+I654</f>
        <v>3419932618.4200006</v>
      </c>
      <c r="J759" s="31"/>
      <c r="K759" s="133">
        <f t="shared" ref="K759:K764" si="324">G759-D759</f>
        <v>855366324.78750086</v>
      </c>
      <c r="M759" s="133">
        <f t="shared" ref="M759:M764" si="325">G759-C759</f>
        <v>3091596265.9700003</v>
      </c>
      <c r="O759" s="133">
        <f t="shared" ref="O759:O764" si="326">M759-K759</f>
        <v>2236229941.1824994</v>
      </c>
    </row>
    <row r="760" spans="1:15" s="27" customFormat="1" ht="42.75" customHeight="1" x14ac:dyDescent="0.5">
      <c r="A760" s="129" t="s">
        <v>552</v>
      </c>
      <c r="B760" s="132" t="s">
        <v>217</v>
      </c>
      <c r="C760" s="133">
        <f t="shared" si="320"/>
        <v>1907350.0599999996</v>
      </c>
      <c r="D760" s="133">
        <f t="shared" si="320"/>
        <v>12312649.102500001</v>
      </c>
      <c r="E760" s="133">
        <f t="shared" si="321"/>
        <v>10405299.0425</v>
      </c>
      <c r="G760" s="133">
        <f t="shared" si="322"/>
        <v>16465476.690000005</v>
      </c>
      <c r="I760" s="133">
        <f t="shared" si="323"/>
        <v>16465476.690000005</v>
      </c>
      <c r="J760" s="31"/>
      <c r="K760" s="133">
        <f t="shared" si="324"/>
        <v>4152827.5875000041</v>
      </c>
      <c r="M760" s="133">
        <f t="shared" si="325"/>
        <v>14558126.630000006</v>
      </c>
      <c r="O760" s="133">
        <f t="shared" si="326"/>
        <v>10405299.042500002</v>
      </c>
    </row>
    <row r="761" spans="1:15" s="27" customFormat="1" ht="42.75" customHeight="1" x14ac:dyDescent="0.5">
      <c r="A761" s="129" t="s">
        <v>552</v>
      </c>
      <c r="B761" s="132" t="s">
        <v>414</v>
      </c>
      <c r="C761" s="133">
        <f t="shared" si="320"/>
        <v>18863001.990000002</v>
      </c>
      <c r="D761" s="133">
        <f t="shared" si="320"/>
        <v>16393649.340000004</v>
      </c>
      <c r="E761" s="133">
        <f t="shared" si="321"/>
        <v>-2469352.6499999985</v>
      </c>
      <c r="G761" s="133">
        <f t="shared" si="322"/>
        <v>21861621.120000005</v>
      </c>
      <c r="I761" s="133">
        <f t="shared" si="323"/>
        <v>21861621.120000005</v>
      </c>
      <c r="J761" s="31"/>
      <c r="K761" s="133">
        <f t="shared" si="324"/>
        <v>5467971.7800000012</v>
      </c>
      <c r="M761" s="133">
        <f t="shared" si="325"/>
        <v>2998619.1300000027</v>
      </c>
      <c r="O761" s="133">
        <f t="shared" si="326"/>
        <v>-2469352.6499999985</v>
      </c>
    </row>
    <row r="762" spans="1:15" s="27" customFormat="1" ht="42.75" customHeight="1" x14ac:dyDescent="0.5">
      <c r="A762" s="129" t="s">
        <v>552</v>
      </c>
      <c r="B762" s="132" t="s">
        <v>218</v>
      </c>
      <c r="C762" s="133">
        <f t="shared" si="320"/>
        <v>5207996.2000000011</v>
      </c>
      <c r="D762" s="133">
        <f t="shared" si="320"/>
        <v>4913896.7408333328</v>
      </c>
      <c r="E762" s="133">
        <f t="shared" si="321"/>
        <v>-294099.45916666836</v>
      </c>
      <c r="G762" s="133">
        <f t="shared" si="322"/>
        <v>6553972.8899999987</v>
      </c>
      <c r="I762" s="133">
        <f t="shared" si="323"/>
        <v>6553972.8899999987</v>
      </c>
      <c r="J762" s="31"/>
      <c r="K762" s="133">
        <f t="shared" si="324"/>
        <v>1640076.149166666</v>
      </c>
      <c r="M762" s="133">
        <f t="shared" si="325"/>
        <v>1345976.6899999976</v>
      </c>
      <c r="O762" s="133">
        <f t="shared" si="326"/>
        <v>-294099.45916666836</v>
      </c>
    </row>
    <row r="763" spans="1:15" s="27" customFormat="1" ht="42.75" customHeight="1" x14ac:dyDescent="0.5">
      <c r="A763" s="129" t="s">
        <v>552</v>
      </c>
      <c r="B763" s="132" t="s">
        <v>219</v>
      </c>
      <c r="C763" s="133">
        <f t="shared" si="320"/>
        <v>1609910.15</v>
      </c>
      <c r="D763" s="133">
        <f t="shared" si="320"/>
        <v>7644281.833333333</v>
      </c>
      <c r="E763" s="133">
        <f t="shared" si="321"/>
        <v>6034371.6833333336</v>
      </c>
      <c r="G763" s="133">
        <f t="shared" si="322"/>
        <v>10192766.5</v>
      </c>
      <c r="I763" s="133">
        <f t="shared" si="323"/>
        <v>10192766.5</v>
      </c>
      <c r="J763" s="31"/>
      <c r="K763" s="133">
        <f t="shared" si="324"/>
        <v>2548484.666666667</v>
      </c>
      <c r="M763" s="133">
        <f t="shared" si="325"/>
        <v>8582856.3499999996</v>
      </c>
      <c r="O763" s="133">
        <f t="shared" si="326"/>
        <v>6034371.6833333327</v>
      </c>
    </row>
    <row r="764" spans="1:15" s="27" customFormat="1" ht="42.75" customHeight="1" x14ac:dyDescent="0.5">
      <c r="A764" s="129" t="s">
        <v>552</v>
      </c>
      <c r="B764" s="132" t="s">
        <v>220</v>
      </c>
      <c r="C764" s="133">
        <f t="shared" si="320"/>
        <v>418467.34</v>
      </c>
      <c r="D764" s="133">
        <f t="shared" si="320"/>
        <v>-8261909.6816666676</v>
      </c>
      <c r="E764" s="133">
        <f t="shared" si="321"/>
        <v>-8680377.0216666684</v>
      </c>
      <c r="G764" s="133">
        <f t="shared" si="322"/>
        <v>-10691204.230000002</v>
      </c>
      <c r="I764" s="133">
        <f t="shared" si="323"/>
        <v>-10691204.230000002</v>
      </c>
      <c r="J764" s="31"/>
      <c r="K764" s="133">
        <f t="shared" si="324"/>
        <v>-2429294.5483333347</v>
      </c>
      <c r="M764" s="133">
        <f t="shared" si="325"/>
        <v>-11109671.570000002</v>
      </c>
      <c r="O764" s="133">
        <f t="shared" si="326"/>
        <v>-8680377.0216666684</v>
      </c>
    </row>
    <row r="765" spans="1:15" s="27" customFormat="1" ht="42.75" customHeight="1" x14ac:dyDescent="0.5">
      <c r="A765" s="129" t="s">
        <v>552</v>
      </c>
      <c r="B765" s="130" t="s">
        <v>222</v>
      </c>
      <c r="C765" s="134">
        <f>SUM(C758:C764)</f>
        <v>505088350.50999999</v>
      </c>
      <c r="D765" s="134">
        <f>SUM(D758:D764)</f>
        <v>3567831227.2375002</v>
      </c>
      <c r="E765" s="134">
        <f>SUM(E758:E764)</f>
        <v>3062742876.7275</v>
      </c>
      <c r="G765" s="134">
        <f>SUM(G758:G764)</f>
        <v>4766589378.460001</v>
      </c>
      <c r="I765" s="134">
        <f>SUM(I758:I764)</f>
        <v>4766589378.460001</v>
      </c>
      <c r="J765" s="31"/>
      <c r="K765" s="134">
        <f>SUM(K758:K764)</f>
        <v>1198758151.2225006</v>
      </c>
      <c r="M765" s="134">
        <f>SUM(M758:M764)</f>
        <v>4261501027.9500003</v>
      </c>
      <c r="O765" s="134">
        <f>SUM(O758:O764)</f>
        <v>3062742876.7275</v>
      </c>
    </row>
    <row r="766" spans="1:15" s="27" customFormat="1" ht="42.75" customHeight="1" x14ac:dyDescent="0.5">
      <c r="A766" s="129" t="s">
        <v>552</v>
      </c>
      <c r="B766" s="132"/>
      <c r="C766" s="133"/>
      <c r="D766" s="133"/>
      <c r="E766" s="133"/>
      <c r="G766" s="133"/>
      <c r="I766" s="133"/>
      <c r="J766" s="31"/>
      <c r="K766" s="133"/>
      <c r="L766" s="31"/>
      <c r="M766" s="133"/>
      <c r="O766" s="133"/>
    </row>
    <row r="767" spans="1:15" s="27" customFormat="1" ht="42.75" customHeight="1" thickBot="1" x14ac:dyDescent="0.55000000000000004">
      <c r="A767" s="129" t="s">
        <v>552</v>
      </c>
      <c r="B767" s="130" t="s">
        <v>209</v>
      </c>
      <c r="C767" s="135">
        <f>C755-C765</f>
        <v>1861492.8399999142</v>
      </c>
      <c r="D767" s="135">
        <f>D755-D765</f>
        <v>7941963.0233340263</v>
      </c>
      <c r="E767" s="135">
        <f>D767-C767</f>
        <v>6080470.1833341122</v>
      </c>
      <c r="G767" s="135">
        <f>G755-G765</f>
        <v>10732022.879999161</v>
      </c>
      <c r="I767" s="135">
        <f t="shared" ref="I767:K767" si="327">I755-I765</f>
        <v>10732022.879999161</v>
      </c>
      <c r="J767" s="31"/>
      <c r="K767" s="135">
        <f t="shared" si="327"/>
        <v>2790059.8566660881</v>
      </c>
      <c r="L767" s="31"/>
      <c r="M767" s="135">
        <f t="shared" ref="M767" si="328">M755-M765</f>
        <v>8870530.0400004387</v>
      </c>
      <c r="O767" s="135">
        <f>O755-O765</f>
        <v>6080470.1833338737</v>
      </c>
    </row>
    <row r="768" spans="1:15" s="27" customFormat="1" ht="42.75" customHeight="1" x14ac:dyDescent="0.5">
      <c r="A768" s="129" t="s">
        <v>552</v>
      </c>
      <c r="B768" s="132"/>
      <c r="C768" s="133"/>
      <c r="D768" s="133"/>
      <c r="E768" s="133"/>
      <c r="G768" s="133"/>
      <c r="I768" s="133"/>
      <c r="J768" s="31"/>
      <c r="K768" s="133"/>
      <c r="L768" s="31"/>
      <c r="M768" s="133"/>
      <c r="O768" s="133"/>
    </row>
    <row r="769" spans="1:15" s="27" customFormat="1" ht="42.75" customHeight="1" x14ac:dyDescent="0.5">
      <c r="A769" s="129" t="s">
        <v>552</v>
      </c>
      <c r="B769" s="130" t="s">
        <v>207</v>
      </c>
      <c r="C769" s="133"/>
      <c r="D769" s="133"/>
      <c r="E769" s="133"/>
      <c r="G769" s="133"/>
      <c r="I769" s="133"/>
      <c r="J769" s="31"/>
      <c r="K769" s="133"/>
      <c r="M769" s="133"/>
      <c r="O769" s="133"/>
    </row>
    <row r="770" spans="1:15" s="27" customFormat="1" ht="42.75" customHeight="1" x14ac:dyDescent="0.5">
      <c r="A770" s="129" t="s">
        <v>552</v>
      </c>
      <c r="B770" s="132"/>
      <c r="C770" s="133"/>
      <c r="D770" s="133"/>
      <c r="E770" s="133"/>
      <c r="G770" s="133"/>
      <c r="I770" s="133"/>
      <c r="J770" s="31"/>
      <c r="K770" s="133"/>
      <c r="M770" s="133"/>
      <c r="O770" s="133"/>
    </row>
    <row r="771" spans="1:15" s="27" customFormat="1" ht="42.75" customHeight="1" x14ac:dyDescent="0.5">
      <c r="A771" s="129" t="s">
        <v>552</v>
      </c>
      <c r="B771" s="130" t="s">
        <v>223</v>
      </c>
      <c r="C771" s="133"/>
      <c r="D771" s="133"/>
      <c r="E771" s="133"/>
      <c r="G771" s="133"/>
      <c r="I771" s="133"/>
      <c r="J771" s="31"/>
      <c r="K771" s="133"/>
      <c r="M771" s="133"/>
      <c r="O771" s="133"/>
    </row>
    <row r="772" spans="1:15" s="27" customFormat="1" ht="42.75" customHeight="1" x14ac:dyDescent="0.5">
      <c r="A772" s="129" t="s">
        <v>552</v>
      </c>
      <c r="B772" s="132" t="s">
        <v>224</v>
      </c>
      <c r="C772" s="133">
        <f>C32+C138+C244+C349+C455+C561+C667</f>
        <v>422797.34</v>
      </c>
      <c r="D772" s="133">
        <f>D32+D138+D244+D349+D455+D561+D667</f>
        <v>3238886.6574999997</v>
      </c>
      <c r="E772" s="133">
        <f>D772-C772</f>
        <v>2816089.3174999999</v>
      </c>
      <c r="G772" s="133">
        <f>G32+G138+G244+G349+G455+G561+G667</f>
        <v>4385182.21</v>
      </c>
      <c r="I772" s="133">
        <f>I32+I138+I244+I349+I455+I561+I667</f>
        <v>4471979.32</v>
      </c>
      <c r="J772" s="31"/>
      <c r="K772" s="133">
        <f t="shared" ref="K772:K781" si="329">G772-D772</f>
        <v>1146295.5525000002</v>
      </c>
      <c r="M772" s="133">
        <f t="shared" ref="M772:M781" si="330">G772-C772</f>
        <v>3962384.87</v>
      </c>
      <c r="O772" s="133">
        <f>M772-K772</f>
        <v>2816089.3174999999</v>
      </c>
    </row>
    <row r="773" spans="1:15" s="27" customFormat="1" ht="42.75" customHeight="1" x14ac:dyDescent="0.5">
      <c r="A773" s="129" t="s">
        <v>552</v>
      </c>
      <c r="B773" s="132" t="s">
        <v>531</v>
      </c>
      <c r="C773" s="133">
        <f t="shared" ref="C773:D773" si="331">C33+C139+C245+C350+C456+C562+C668</f>
        <v>28522.920000000002</v>
      </c>
      <c r="D773" s="133">
        <f t="shared" si="331"/>
        <v>192575.715</v>
      </c>
      <c r="E773" s="133">
        <f t="shared" ref="E773:E781" si="332">D773-C773</f>
        <v>164052.79499999998</v>
      </c>
      <c r="G773" s="133">
        <f t="shared" ref="G773:G781" si="333">G33+G139+G245+G350+G456+G562+G668</f>
        <v>262623.18</v>
      </c>
      <c r="I773" s="133">
        <f t="shared" ref="I773:I781" si="334">I33+I139+I245+I350+I456+I562+I668</f>
        <v>6158.78</v>
      </c>
      <c r="J773" s="31"/>
      <c r="K773" s="133">
        <f t="shared" si="329"/>
        <v>70047.464999999997</v>
      </c>
      <c r="M773" s="133">
        <f t="shared" si="330"/>
        <v>234100.25999999998</v>
      </c>
      <c r="O773" s="133">
        <f t="shared" ref="O773:O781" si="335">M773-K773</f>
        <v>164052.79499999998</v>
      </c>
    </row>
    <row r="774" spans="1:15" s="27" customFormat="1" ht="42.75" customHeight="1" x14ac:dyDescent="0.5">
      <c r="A774" s="129" t="s">
        <v>552</v>
      </c>
      <c r="B774" s="132" t="s">
        <v>225</v>
      </c>
      <c r="C774" s="133">
        <f t="shared" ref="C774:D774" si="336">C34+C140+C246+C351+C457+C563+C669</f>
        <v>2305</v>
      </c>
      <c r="D774" s="133">
        <f t="shared" si="336"/>
        <v>28710.75</v>
      </c>
      <c r="E774" s="133">
        <f t="shared" si="332"/>
        <v>26405.75</v>
      </c>
      <c r="G774" s="133">
        <f t="shared" si="333"/>
        <v>38281</v>
      </c>
      <c r="I774" s="133">
        <f t="shared" si="334"/>
        <v>38281</v>
      </c>
      <c r="J774" s="31"/>
      <c r="K774" s="133">
        <f t="shared" si="329"/>
        <v>9570.25</v>
      </c>
      <c r="M774" s="133">
        <f t="shared" si="330"/>
        <v>35976</v>
      </c>
      <c r="O774" s="133">
        <f t="shared" si="335"/>
        <v>26405.75</v>
      </c>
    </row>
    <row r="775" spans="1:15" s="27" customFormat="1" ht="42.75" customHeight="1" x14ac:dyDescent="0.5">
      <c r="A775" s="129" t="s">
        <v>552</v>
      </c>
      <c r="B775" s="132" t="s">
        <v>226</v>
      </c>
      <c r="C775" s="133">
        <f t="shared" ref="C775:D775" si="337">C35+C141+C247+C352+C458+C564+C670</f>
        <v>44596.39</v>
      </c>
      <c r="D775" s="133">
        <f t="shared" si="337"/>
        <v>259490.08</v>
      </c>
      <c r="E775" s="133">
        <f t="shared" si="332"/>
        <v>214893.69</v>
      </c>
      <c r="G775" s="133">
        <f t="shared" si="333"/>
        <v>352182.17</v>
      </c>
      <c r="I775" s="133">
        <f t="shared" si="334"/>
        <v>352182.17</v>
      </c>
      <c r="J775" s="31"/>
      <c r="K775" s="133">
        <f t="shared" si="329"/>
        <v>92692.09</v>
      </c>
      <c r="M775" s="133">
        <f t="shared" si="330"/>
        <v>307585.77999999997</v>
      </c>
      <c r="O775" s="133">
        <f t="shared" si="335"/>
        <v>214893.68999999997</v>
      </c>
    </row>
    <row r="776" spans="1:15" s="27" customFormat="1" ht="42.75" customHeight="1" x14ac:dyDescent="0.5">
      <c r="A776" s="129" t="s">
        <v>552</v>
      </c>
      <c r="B776" s="132" t="s">
        <v>227</v>
      </c>
      <c r="C776" s="133">
        <f t="shared" ref="C776:D776" si="338">C36+C142+C248+C353+C459+C565+C671</f>
        <v>51764.78</v>
      </c>
      <c r="D776" s="133">
        <f t="shared" si="338"/>
        <v>370466.24</v>
      </c>
      <c r="E776" s="133">
        <f t="shared" si="332"/>
        <v>318701.45999999996</v>
      </c>
      <c r="G776" s="133">
        <f t="shared" si="333"/>
        <v>500751</v>
      </c>
      <c r="I776" s="133">
        <f t="shared" si="334"/>
        <v>419408.83</v>
      </c>
      <c r="J776" s="31"/>
      <c r="K776" s="133">
        <f t="shared" si="329"/>
        <v>130284.76000000001</v>
      </c>
      <c r="M776" s="133">
        <f t="shared" si="330"/>
        <v>448986.22</v>
      </c>
      <c r="O776" s="133">
        <f t="shared" si="335"/>
        <v>318701.45999999996</v>
      </c>
    </row>
    <row r="777" spans="1:15" s="27" customFormat="1" ht="42.75" customHeight="1" x14ac:dyDescent="0.5">
      <c r="A777" s="129" t="s">
        <v>552</v>
      </c>
      <c r="B777" s="132" t="s">
        <v>228</v>
      </c>
      <c r="C777" s="133">
        <f t="shared" ref="C777:D777" si="339">C37+C143+C249+C354+C460+C566+C672</f>
        <v>6902.62</v>
      </c>
      <c r="D777" s="133">
        <f t="shared" si="339"/>
        <v>47903.184999999998</v>
      </c>
      <c r="E777" s="133">
        <f t="shared" si="332"/>
        <v>41000.564999999995</v>
      </c>
      <c r="G777" s="133">
        <f t="shared" si="333"/>
        <v>64937.58</v>
      </c>
      <c r="I777" s="133">
        <f t="shared" si="334"/>
        <v>49114.180000000008</v>
      </c>
      <c r="J777" s="31"/>
      <c r="K777" s="133">
        <f t="shared" si="329"/>
        <v>17034.395000000004</v>
      </c>
      <c r="M777" s="133">
        <f t="shared" si="330"/>
        <v>58034.96</v>
      </c>
      <c r="O777" s="133">
        <f t="shared" si="335"/>
        <v>41000.564999999995</v>
      </c>
    </row>
    <row r="778" spans="1:15" s="27" customFormat="1" ht="42.75" customHeight="1" x14ac:dyDescent="0.5">
      <c r="A778" s="129" t="s">
        <v>552</v>
      </c>
      <c r="B778" s="132" t="s">
        <v>229</v>
      </c>
      <c r="C778" s="133">
        <f t="shared" ref="C778:D778" si="340">C38+C144+C250+C355+C461+C567+C673</f>
        <v>10297.35</v>
      </c>
      <c r="D778" s="133">
        <f t="shared" si="340"/>
        <v>136315.70499999999</v>
      </c>
      <c r="E778" s="133">
        <f t="shared" si="332"/>
        <v>126018.35499999998</v>
      </c>
      <c r="G778" s="133">
        <f t="shared" si="333"/>
        <v>180078.52</v>
      </c>
      <c r="I778" s="133">
        <f t="shared" si="334"/>
        <v>119108.62</v>
      </c>
      <c r="J778" s="31"/>
      <c r="K778" s="133">
        <f t="shared" si="329"/>
        <v>43762.815000000002</v>
      </c>
      <c r="M778" s="133">
        <f t="shared" si="330"/>
        <v>169781.16999999998</v>
      </c>
      <c r="O778" s="133">
        <f t="shared" si="335"/>
        <v>126018.35499999998</v>
      </c>
    </row>
    <row r="779" spans="1:15" s="27" customFormat="1" ht="42.75" customHeight="1" x14ac:dyDescent="0.5">
      <c r="A779" s="129" t="s">
        <v>552</v>
      </c>
      <c r="B779" s="132" t="s">
        <v>305</v>
      </c>
      <c r="C779" s="133">
        <f t="shared" ref="C779:D779" si="341">C39+C145+C251+C356+C462+C568+C674</f>
        <v>7346.3099999999995</v>
      </c>
      <c r="D779" s="133">
        <f t="shared" si="341"/>
        <v>22688.2425</v>
      </c>
      <c r="E779" s="133">
        <f t="shared" si="332"/>
        <v>15341.932500000001</v>
      </c>
      <c r="G779" s="133">
        <f t="shared" si="333"/>
        <v>34993.410000000003</v>
      </c>
      <c r="I779" s="133">
        <f t="shared" si="334"/>
        <v>25489.260000000002</v>
      </c>
      <c r="J779" s="31"/>
      <c r="K779" s="133">
        <f t="shared" si="329"/>
        <v>12305.167500000003</v>
      </c>
      <c r="M779" s="133">
        <f t="shared" si="330"/>
        <v>27647.100000000006</v>
      </c>
      <c r="O779" s="133">
        <f t="shared" si="335"/>
        <v>15341.932500000003</v>
      </c>
    </row>
    <row r="780" spans="1:15" s="27" customFormat="1" ht="42.75" customHeight="1" x14ac:dyDescent="0.5">
      <c r="A780" s="129" t="s">
        <v>552</v>
      </c>
      <c r="B780" s="132" t="s">
        <v>230</v>
      </c>
      <c r="C780" s="133">
        <f t="shared" ref="C780:D780" si="342">C40+C146+C252+C357+C463+C569+C675</f>
        <v>0</v>
      </c>
      <c r="D780" s="133">
        <f t="shared" si="342"/>
        <v>6620.4675000000007</v>
      </c>
      <c r="E780" s="133">
        <f t="shared" si="332"/>
        <v>6620.4675000000007</v>
      </c>
      <c r="G780" s="133">
        <f t="shared" si="333"/>
        <v>8827.2899999999991</v>
      </c>
      <c r="I780" s="133">
        <f t="shared" si="334"/>
        <v>8827.2899999999991</v>
      </c>
      <c r="J780" s="31"/>
      <c r="K780" s="133">
        <f t="shared" si="329"/>
        <v>2206.8224999999984</v>
      </c>
      <c r="M780" s="133">
        <f t="shared" si="330"/>
        <v>8827.2899999999991</v>
      </c>
      <c r="O780" s="133">
        <f t="shared" si="335"/>
        <v>6620.4675000000007</v>
      </c>
    </row>
    <row r="781" spans="1:15" s="27" customFormat="1" ht="42.75" customHeight="1" x14ac:dyDescent="0.5">
      <c r="A781" s="129" t="s">
        <v>552</v>
      </c>
      <c r="B781" s="132" t="s">
        <v>244</v>
      </c>
      <c r="C781" s="133">
        <f t="shared" ref="C781:D781" si="343">C41+C147+C253+C358+C464+C570+C676</f>
        <v>9074</v>
      </c>
      <c r="D781" s="133">
        <f t="shared" si="343"/>
        <v>43734.109166666669</v>
      </c>
      <c r="E781" s="133">
        <f t="shared" si="332"/>
        <v>34660.109166666669</v>
      </c>
      <c r="G781" s="133">
        <f t="shared" si="333"/>
        <v>58986.020000000004</v>
      </c>
      <c r="I781" s="133">
        <f t="shared" si="334"/>
        <v>58986.020000000004</v>
      </c>
      <c r="J781" s="31"/>
      <c r="K781" s="133">
        <f t="shared" si="329"/>
        <v>15251.910833333335</v>
      </c>
      <c r="M781" s="133">
        <f t="shared" si="330"/>
        <v>49912.020000000004</v>
      </c>
      <c r="O781" s="133">
        <f t="shared" si="335"/>
        <v>34660.109166666669</v>
      </c>
    </row>
    <row r="782" spans="1:15" s="27" customFormat="1" ht="42.75" customHeight="1" x14ac:dyDescent="0.5">
      <c r="A782" s="129" t="s">
        <v>552</v>
      </c>
      <c r="B782" s="130" t="s">
        <v>231</v>
      </c>
      <c r="C782" s="134">
        <f>SUM(C772:C781)</f>
        <v>583606.71000000008</v>
      </c>
      <c r="D782" s="134">
        <f t="shared" ref="D782:E782" si="344">SUM(D772:D781)</f>
        <v>4347391.1516666664</v>
      </c>
      <c r="E782" s="134">
        <f t="shared" si="344"/>
        <v>3763784.4416666664</v>
      </c>
      <c r="G782" s="134">
        <f t="shared" ref="G782" si="345">SUM(G772:G781)</f>
        <v>5886842.379999999</v>
      </c>
      <c r="I782" s="134">
        <f t="shared" ref="I782" si="346">SUM(I772:I781)</f>
        <v>5549535.4699999997</v>
      </c>
      <c r="J782" s="31"/>
      <c r="K782" s="134">
        <f>SUM(K772:K781)</f>
        <v>1539451.2283333337</v>
      </c>
      <c r="M782" s="134">
        <f>SUM(M772:M781)</f>
        <v>5303235.669999999</v>
      </c>
      <c r="O782" s="134">
        <f>SUM(O772:O781)</f>
        <v>3763784.4416666664</v>
      </c>
    </row>
    <row r="783" spans="1:15" s="27" customFormat="1" ht="42.75" customHeight="1" x14ac:dyDescent="0.5">
      <c r="A783" s="129" t="s">
        <v>552</v>
      </c>
      <c r="B783" s="132"/>
      <c r="C783" s="133"/>
      <c r="D783" s="133"/>
      <c r="E783" s="133"/>
      <c r="G783" s="133"/>
      <c r="I783" s="133"/>
      <c r="J783" s="31"/>
      <c r="K783" s="133"/>
      <c r="M783" s="133"/>
      <c r="O783" s="133"/>
    </row>
    <row r="784" spans="1:15" s="27" customFormat="1" ht="42.75" customHeight="1" x14ac:dyDescent="0.5">
      <c r="A784" s="129" t="s">
        <v>552</v>
      </c>
      <c r="B784" s="130" t="s">
        <v>477</v>
      </c>
      <c r="C784" s="133"/>
      <c r="D784" s="133"/>
      <c r="E784" s="133"/>
      <c r="G784" s="133"/>
      <c r="I784" s="133"/>
      <c r="J784" s="31"/>
      <c r="K784" s="133"/>
      <c r="M784" s="133"/>
      <c r="O784" s="133"/>
    </row>
    <row r="785" spans="1:15" s="27" customFormat="1" ht="42.75" customHeight="1" x14ac:dyDescent="0.5">
      <c r="A785" s="129" t="s">
        <v>552</v>
      </c>
      <c r="B785" s="132" t="s">
        <v>232</v>
      </c>
      <c r="C785" s="133">
        <f>C45+C151+C257+C362+C468+C574+C680</f>
        <v>85200</v>
      </c>
      <c r="D785" s="133">
        <f>D45+D151+D257+D362+D468+D574+D680</f>
        <v>761800</v>
      </c>
      <c r="E785" s="133">
        <f>D785-C785</f>
        <v>676600</v>
      </c>
      <c r="G785" s="133">
        <f>G45+G151+G257+G362+G468+G574+G680</f>
        <v>1072400</v>
      </c>
      <c r="I785" s="133">
        <f>I45+I151+I257+I362+I468+I574+I680</f>
        <v>1072400</v>
      </c>
      <c r="J785" s="31"/>
      <c r="K785" s="133">
        <f t="shared" ref="K785:K806" si="347">G785-D785</f>
        <v>310600</v>
      </c>
      <c r="M785" s="133">
        <f>G785-C785</f>
        <v>987200</v>
      </c>
      <c r="O785" s="133">
        <f>M785-K785</f>
        <v>676600</v>
      </c>
    </row>
    <row r="786" spans="1:15" s="27" customFormat="1" ht="42.75" customHeight="1" x14ac:dyDescent="0.5">
      <c r="A786" s="129" t="s">
        <v>552</v>
      </c>
      <c r="B786" s="132" t="s">
        <v>233</v>
      </c>
      <c r="C786" s="133">
        <f t="shared" ref="C786:D786" si="348">C46+C152+C258+C363+C469+C575+C681</f>
        <v>7540.6399999999994</v>
      </c>
      <c r="D786" s="133">
        <f t="shared" si="348"/>
        <v>38154.409500000009</v>
      </c>
      <c r="E786" s="133">
        <f t="shared" ref="E786:E806" si="349">D786-C786</f>
        <v>30613.769500000009</v>
      </c>
      <c r="G786" s="133">
        <f t="shared" ref="G786:G806" si="350">G46+G152+G258+G363+G469+G575+G681</f>
        <v>50872.546000000009</v>
      </c>
      <c r="I786" s="133">
        <f t="shared" ref="I786:I806" si="351">I46+I152+I258+I363+I469+I575+I681</f>
        <v>100506.04000000001</v>
      </c>
      <c r="J786" s="31"/>
      <c r="K786" s="133">
        <f t="shared" si="347"/>
        <v>12718.136500000001</v>
      </c>
      <c r="M786" s="133">
        <f t="shared" ref="M786:M806" si="352">G786-C786</f>
        <v>43331.90600000001</v>
      </c>
      <c r="O786" s="133">
        <f t="shared" ref="O786:O806" si="353">M786-K786</f>
        <v>30613.769500000009</v>
      </c>
    </row>
    <row r="787" spans="1:15" s="27" customFormat="1" ht="42.75" customHeight="1" x14ac:dyDescent="0.5">
      <c r="A787" s="129" t="s">
        <v>552</v>
      </c>
      <c r="B787" s="132" t="s">
        <v>234</v>
      </c>
      <c r="C787" s="133">
        <f t="shared" ref="C787:D787" si="354">C47+C153+C259+C364+C470+C576+C682</f>
        <v>16081.4</v>
      </c>
      <c r="D787" s="133">
        <f t="shared" si="354"/>
        <v>63770.122500000012</v>
      </c>
      <c r="E787" s="133">
        <f t="shared" si="349"/>
        <v>47688.722500000011</v>
      </c>
      <c r="G787" s="133">
        <f t="shared" si="350"/>
        <v>85026.830000000016</v>
      </c>
      <c r="I787" s="133">
        <f t="shared" si="351"/>
        <v>85026.830000000016</v>
      </c>
      <c r="J787" s="31"/>
      <c r="K787" s="133">
        <f t="shared" si="347"/>
        <v>21256.707500000004</v>
      </c>
      <c r="M787" s="133">
        <f t="shared" si="352"/>
        <v>68945.430000000022</v>
      </c>
      <c r="O787" s="133">
        <f t="shared" si="353"/>
        <v>47688.722500000018</v>
      </c>
    </row>
    <row r="788" spans="1:15" s="27" customFormat="1" ht="42.75" customHeight="1" x14ac:dyDescent="0.5">
      <c r="A788" s="129" t="s">
        <v>552</v>
      </c>
      <c r="B788" s="132" t="s">
        <v>333</v>
      </c>
      <c r="C788" s="133">
        <f t="shared" ref="C788:D788" si="355">C48+C154+C260+C365+C471+C577+C683</f>
        <v>418.49</v>
      </c>
      <c r="D788" s="133">
        <f t="shared" si="355"/>
        <v>2474.67</v>
      </c>
      <c r="E788" s="133">
        <f t="shared" si="349"/>
        <v>2056.1800000000003</v>
      </c>
      <c r="G788" s="133">
        <f t="shared" si="350"/>
        <v>3299.56</v>
      </c>
      <c r="I788" s="133">
        <f t="shared" si="351"/>
        <v>3299.56</v>
      </c>
      <c r="J788" s="31"/>
      <c r="K788" s="133">
        <f t="shared" si="347"/>
        <v>824.88999999999987</v>
      </c>
      <c r="M788" s="133">
        <f t="shared" si="352"/>
        <v>2881.0699999999997</v>
      </c>
      <c r="O788" s="133">
        <f t="shared" si="353"/>
        <v>2056.1799999999998</v>
      </c>
    </row>
    <row r="789" spans="1:15" s="27" customFormat="1" ht="42.75" customHeight="1" x14ac:dyDescent="0.5">
      <c r="A789" s="129" t="s">
        <v>552</v>
      </c>
      <c r="B789" s="132" t="s">
        <v>288</v>
      </c>
      <c r="C789" s="133">
        <f t="shared" ref="C789:D789" si="356">C49+C155+C261+C366+C472+C578+C684</f>
        <v>1611.1100000000001</v>
      </c>
      <c r="D789" s="133">
        <f t="shared" si="356"/>
        <v>7746.165</v>
      </c>
      <c r="E789" s="133">
        <f t="shared" si="349"/>
        <v>6135.0550000000003</v>
      </c>
      <c r="G789" s="133">
        <f t="shared" si="350"/>
        <v>10328.219999999999</v>
      </c>
      <c r="I789" s="133">
        <f t="shared" si="351"/>
        <v>10328.219999999999</v>
      </c>
      <c r="J789" s="31"/>
      <c r="K789" s="133">
        <f t="shared" si="347"/>
        <v>2582.0549999999994</v>
      </c>
      <c r="M789" s="133">
        <f t="shared" si="352"/>
        <v>8717.1099999999988</v>
      </c>
      <c r="O789" s="133">
        <f t="shared" si="353"/>
        <v>6135.0549999999994</v>
      </c>
    </row>
    <row r="790" spans="1:15" s="27" customFormat="1" ht="42.75" customHeight="1" x14ac:dyDescent="0.5">
      <c r="A790" s="129" t="s">
        <v>552</v>
      </c>
      <c r="B790" s="132" t="s">
        <v>437</v>
      </c>
      <c r="C790" s="133">
        <f t="shared" ref="C790:D790" si="357">C50+C156+C262+C367+C473+C579+C685</f>
        <v>4600</v>
      </c>
      <c r="D790" s="133">
        <f t="shared" si="357"/>
        <v>41999.4</v>
      </c>
      <c r="E790" s="133">
        <f t="shared" si="349"/>
        <v>37399.4</v>
      </c>
      <c r="G790" s="133">
        <f t="shared" si="350"/>
        <v>55999.199999999997</v>
      </c>
      <c r="I790" s="133">
        <f t="shared" si="351"/>
        <v>55999.199999999997</v>
      </c>
      <c r="J790" s="31"/>
      <c r="K790" s="133">
        <f t="shared" si="347"/>
        <v>13999.799999999996</v>
      </c>
      <c r="M790" s="133">
        <f t="shared" si="352"/>
        <v>51399.199999999997</v>
      </c>
      <c r="O790" s="133">
        <f t="shared" si="353"/>
        <v>37399.4</v>
      </c>
    </row>
    <row r="791" spans="1:15" s="27" customFormat="1" ht="42.75" customHeight="1" x14ac:dyDescent="0.5">
      <c r="A791" s="129" t="s">
        <v>552</v>
      </c>
      <c r="B791" s="132" t="s">
        <v>370</v>
      </c>
      <c r="C791" s="133">
        <f t="shared" ref="C791:D791" si="358">C51+C157+C263+C368+C474+C580+C686</f>
        <v>9845.09</v>
      </c>
      <c r="D791" s="133">
        <f t="shared" si="358"/>
        <v>139728.88500000001</v>
      </c>
      <c r="E791" s="133">
        <f t="shared" si="349"/>
        <v>129883.79500000001</v>
      </c>
      <c r="G791" s="133">
        <f t="shared" si="350"/>
        <v>186305.18</v>
      </c>
      <c r="I791" s="133">
        <f t="shared" si="351"/>
        <v>186305.18</v>
      </c>
      <c r="J791" s="31"/>
      <c r="K791" s="133">
        <f t="shared" si="347"/>
        <v>46576.294999999984</v>
      </c>
      <c r="M791" s="133">
        <f t="shared" si="352"/>
        <v>176460.09</v>
      </c>
      <c r="O791" s="133">
        <f t="shared" si="353"/>
        <v>129883.79500000001</v>
      </c>
    </row>
    <row r="792" spans="1:15" s="27" customFormat="1" ht="42.75" customHeight="1" x14ac:dyDescent="0.5">
      <c r="A792" s="129" t="s">
        <v>552</v>
      </c>
      <c r="B792" s="132" t="s">
        <v>368</v>
      </c>
      <c r="C792" s="133">
        <f t="shared" ref="C792:D792" si="359">C52+C158+C264+C369+C475+C581+C687</f>
        <v>1728.62</v>
      </c>
      <c r="D792" s="133">
        <f t="shared" si="359"/>
        <v>34064.80333333333</v>
      </c>
      <c r="E792" s="133">
        <f t="shared" si="349"/>
        <v>32336.183333333331</v>
      </c>
      <c r="G792" s="133">
        <f t="shared" si="350"/>
        <v>45721.929999999993</v>
      </c>
      <c r="I792" s="133">
        <f t="shared" si="351"/>
        <v>45721.929999999993</v>
      </c>
      <c r="J792" s="31"/>
      <c r="K792" s="133">
        <f t="shared" si="347"/>
        <v>11657.126666666663</v>
      </c>
      <c r="M792" s="133">
        <f t="shared" si="352"/>
        <v>43993.30999999999</v>
      </c>
      <c r="O792" s="133">
        <f t="shared" si="353"/>
        <v>32336.183333333327</v>
      </c>
    </row>
    <row r="793" spans="1:15" s="27" customFormat="1" ht="42.75" customHeight="1" x14ac:dyDescent="0.5">
      <c r="A793" s="129" t="s">
        <v>552</v>
      </c>
      <c r="B793" s="132" t="s">
        <v>237</v>
      </c>
      <c r="C793" s="133">
        <f t="shared" ref="C793:D793" si="360">C53+C159+C265+C370+C476+C582+C688</f>
        <v>15512.699999999999</v>
      </c>
      <c r="D793" s="133">
        <f t="shared" si="360"/>
        <v>143771.7525</v>
      </c>
      <c r="E793" s="133">
        <f t="shared" si="349"/>
        <v>128259.05250000001</v>
      </c>
      <c r="G793" s="133">
        <f t="shared" si="350"/>
        <v>191695.67</v>
      </c>
      <c r="I793" s="133">
        <f t="shared" si="351"/>
        <v>170812.19000000003</v>
      </c>
      <c r="J793" s="31"/>
      <c r="K793" s="133">
        <f t="shared" si="347"/>
        <v>47923.91750000001</v>
      </c>
      <c r="M793" s="133">
        <f t="shared" si="352"/>
        <v>176182.97</v>
      </c>
      <c r="O793" s="133">
        <f t="shared" si="353"/>
        <v>128259.05249999999</v>
      </c>
    </row>
    <row r="794" spans="1:15" s="27" customFormat="1" ht="42.75" customHeight="1" x14ac:dyDescent="0.5">
      <c r="A794" s="129" t="s">
        <v>552</v>
      </c>
      <c r="B794" s="132" t="s">
        <v>238</v>
      </c>
      <c r="C794" s="133">
        <f t="shared" ref="C794:D794" si="361">C54+C160+C266+C371+C477+C583+C689</f>
        <v>2840.71</v>
      </c>
      <c r="D794" s="133">
        <f t="shared" si="361"/>
        <v>24531.862499999996</v>
      </c>
      <c r="E794" s="133">
        <f t="shared" si="349"/>
        <v>21691.152499999997</v>
      </c>
      <c r="G794" s="133">
        <f t="shared" si="350"/>
        <v>32709.149999999998</v>
      </c>
      <c r="I794" s="133">
        <f t="shared" si="351"/>
        <v>52378.91</v>
      </c>
      <c r="J794" s="31"/>
      <c r="K794" s="133">
        <f t="shared" si="347"/>
        <v>8177.2875000000022</v>
      </c>
      <c r="M794" s="133">
        <f t="shared" si="352"/>
        <v>29868.44</v>
      </c>
      <c r="O794" s="133">
        <f t="shared" si="353"/>
        <v>21691.152499999997</v>
      </c>
    </row>
    <row r="795" spans="1:15" s="27" customFormat="1" ht="42.75" customHeight="1" x14ac:dyDescent="0.5">
      <c r="A795" s="129" t="s">
        <v>552</v>
      </c>
      <c r="B795" s="132" t="s">
        <v>236</v>
      </c>
      <c r="C795" s="133">
        <f t="shared" ref="C795:D795" si="362">C55+C161+C267+C372+C478+C584+C690</f>
        <v>31083.929999999997</v>
      </c>
      <c r="D795" s="133">
        <f t="shared" si="362"/>
        <v>292835.8175</v>
      </c>
      <c r="E795" s="133">
        <f t="shared" si="349"/>
        <v>261751.88750000001</v>
      </c>
      <c r="G795" s="133">
        <f t="shared" si="350"/>
        <v>391107.88</v>
      </c>
      <c r="I795" s="133">
        <f t="shared" si="351"/>
        <v>307592.45</v>
      </c>
      <c r="J795" s="31"/>
      <c r="K795" s="133">
        <f t="shared" si="347"/>
        <v>98272.0625</v>
      </c>
      <c r="M795" s="133">
        <f t="shared" si="352"/>
        <v>360023.95</v>
      </c>
      <c r="O795" s="133">
        <f t="shared" si="353"/>
        <v>261751.88750000001</v>
      </c>
    </row>
    <row r="796" spans="1:15" s="27" customFormat="1" ht="42.75" customHeight="1" x14ac:dyDescent="0.5">
      <c r="A796" s="129" t="s">
        <v>552</v>
      </c>
      <c r="B796" s="132" t="s">
        <v>350</v>
      </c>
      <c r="C796" s="133">
        <f t="shared" ref="C796:D796" si="363">C56+C162+C268+C373+C479+C585+C691</f>
        <v>330</v>
      </c>
      <c r="D796" s="133">
        <f t="shared" si="363"/>
        <v>5134.7116666666661</v>
      </c>
      <c r="E796" s="133">
        <f t="shared" si="349"/>
        <v>4804.7116666666661</v>
      </c>
      <c r="G796" s="133">
        <f t="shared" si="350"/>
        <v>6898.38</v>
      </c>
      <c r="I796" s="133">
        <f t="shared" si="351"/>
        <v>6898.38</v>
      </c>
      <c r="J796" s="31"/>
      <c r="K796" s="133">
        <f t="shared" si="347"/>
        <v>1763.668333333334</v>
      </c>
      <c r="M796" s="133">
        <f t="shared" si="352"/>
        <v>6568.38</v>
      </c>
      <c r="O796" s="133">
        <f t="shared" si="353"/>
        <v>4804.7116666666661</v>
      </c>
    </row>
    <row r="797" spans="1:15" s="27" customFormat="1" ht="42.75" customHeight="1" x14ac:dyDescent="0.5">
      <c r="A797" s="129" t="s">
        <v>552</v>
      </c>
      <c r="B797" s="132" t="s">
        <v>353</v>
      </c>
      <c r="C797" s="133">
        <f t="shared" ref="C797:D797" si="364">C57+C163+C269+C374+C480+C586+C692</f>
        <v>4672.5</v>
      </c>
      <c r="D797" s="133">
        <f t="shared" si="364"/>
        <v>37890.239999999998</v>
      </c>
      <c r="E797" s="133">
        <f t="shared" si="349"/>
        <v>33217.74</v>
      </c>
      <c r="G797" s="133">
        <f t="shared" si="350"/>
        <v>50520.319999999992</v>
      </c>
      <c r="I797" s="133">
        <f t="shared" si="351"/>
        <v>50520.319999999992</v>
      </c>
      <c r="J797" s="31"/>
      <c r="K797" s="133">
        <f t="shared" si="347"/>
        <v>12630.079999999994</v>
      </c>
      <c r="M797" s="133">
        <f t="shared" si="352"/>
        <v>45847.819999999992</v>
      </c>
      <c r="O797" s="133">
        <f t="shared" si="353"/>
        <v>33217.74</v>
      </c>
    </row>
    <row r="798" spans="1:15" s="27" customFormat="1" ht="42.75" customHeight="1" x14ac:dyDescent="0.5">
      <c r="A798" s="129" t="s">
        <v>552</v>
      </c>
      <c r="B798" s="132" t="s">
        <v>239</v>
      </c>
      <c r="C798" s="133">
        <f t="shared" ref="C798:D798" si="365">C58+C164+C270+C375+C481+C587+C693</f>
        <v>4799.57</v>
      </c>
      <c r="D798" s="133">
        <f t="shared" si="365"/>
        <v>9850.6875</v>
      </c>
      <c r="E798" s="133">
        <f t="shared" si="349"/>
        <v>5051.1175000000003</v>
      </c>
      <c r="G798" s="133">
        <f t="shared" si="350"/>
        <v>13134.25</v>
      </c>
      <c r="I798" s="133">
        <f t="shared" si="351"/>
        <v>13134.25</v>
      </c>
      <c r="J798" s="31"/>
      <c r="K798" s="133">
        <f t="shared" si="347"/>
        <v>3283.5625</v>
      </c>
      <c r="M798" s="133">
        <f t="shared" si="352"/>
        <v>8334.68</v>
      </c>
      <c r="O798" s="133">
        <f t="shared" si="353"/>
        <v>5051.1175000000003</v>
      </c>
    </row>
    <row r="799" spans="1:15" s="27" customFormat="1" ht="42.75" customHeight="1" x14ac:dyDescent="0.5">
      <c r="A799" s="129" t="s">
        <v>552</v>
      </c>
      <c r="B799" s="132" t="s">
        <v>240</v>
      </c>
      <c r="C799" s="133">
        <f t="shared" ref="C799:D799" si="366">C59+C165+C271+C376+C482+C588+C694</f>
        <v>1602.29</v>
      </c>
      <c r="D799" s="133">
        <f t="shared" si="366"/>
        <v>12490.462499999998</v>
      </c>
      <c r="E799" s="133">
        <f t="shared" si="349"/>
        <v>10888.172499999997</v>
      </c>
      <c r="G799" s="133">
        <f t="shared" si="350"/>
        <v>16653.949999999997</v>
      </c>
      <c r="I799" s="133">
        <f t="shared" si="351"/>
        <v>16653.949999999997</v>
      </c>
      <c r="J799" s="31"/>
      <c r="K799" s="133">
        <f t="shared" si="347"/>
        <v>4163.4874999999993</v>
      </c>
      <c r="M799" s="133">
        <f t="shared" si="352"/>
        <v>15051.659999999996</v>
      </c>
      <c r="O799" s="133">
        <f t="shared" si="353"/>
        <v>10888.172499999997</v>
      </c>
    </row>
    <row r="800" spans="1:15" s="27" customFormat="1" ht="42.75" customHeight="1" x14ac:dyDescent="0.5">
      <c r="A800" s="129" t="s">
        <v>552</v>
      </c>
      <c r="B800" s="132" t="s">
        <v>241</v>
      </c>
      <c r="C800" s="133">
        <f t="shared" ref="C800:D800" si="367">C60+C166+C272+C377+C483+C589+C695</f>
        <v>0</v>
      </c>
      <c r="D800" s="133">
        <f t="shared" si="367"/>
        <v>2999.97</v>
      </c>
      <c r="E800" s="133">
        <f t="shared" si="349"/>
        <v>2999.97</v>
      </c>
      <c r="G800" s="133">
        <f t="shared" si="350"/>
        <v>3999.9599999999996</v>
      </c>
      <c r="I800" s="133">
        <f t="shared" si="351"/>
        <v>3999.9599999999996</v>
      </c>
      <c r="J800" s="31"/>
      <c r="K800" s="133">
        <f t="shared" si="347"/>
        <v>999.98999999999978</v>
      </c>
      <c r="M800" s="133">
        <f t="shared" si="352"/>
        <v>3999.9599999999996</v>
      </c>
      <c r="O800" s="133">
        <f t="shared" si="353"/>
        <v>2999.97</v>
      </c>
    </row>
    <row r="801" spans="1:15" s="27" customFormat="1" ht="42.75" customHeight="1" x14ac:dyDescent="0.5">
      <c r="A801" s="129" t="s">
        <v>552</v>
      </c>
      <c r="B801" s="132" t="s">
        <v>242</v>
      </c>
      <c r="C801" s="133">
        <f t="shared" ref="C801:D801" si="368">C61+C167+C273+C378+C484+C590+C696</f>
        <v>152247.15</v>
      </c>
      <c r="D801" s="133">
        <f t="shared" si="368"/>
        <v>1393440.1291666667</v>
      </c>
      <c r="E801" s="133">
        <f t="shared" si="349"/>
        <v>1241192.9791666667</v>
      </c>
      <c r="G801" s="133">
        <f t="shared" si="350"/>
        <v>1858447.24</v>
      </c>
      <c r="I801" s="133">
        <f t="shared" si="351"/>
        <v>2015989.1199999999</v>
      </c>
      <c r="J801" s="31"/>
      <c r="K801" s="133">
        <f t="shared" si="347"/>
        <v>465007.11083333334</v>
      </c>
      <c r="M801" s="133">
        <f t="shared" si="352"/>
        <v>1706200.09</v>
      </c>
      <c r="O801" s="133">
        <f t="shared" si="353"/>
        <v>1241192.9791666667</v>
      </c>
    </row>
    <row r="802" spans="1:15" s="27" customFormat="1" ht="42.75" customHeight="1" x14ac:dyDescent="0.5">
      <c r="A802" s="129" t="s">
        <v>552</v>
      </c>
      <c r="B802" s="132" t="s">
        <v>252</v>
      </c>
      <c r="C802" s="133">
        <f t="shared" ref="C802:D802" si="369">C62+C168+C274+C379+C485+C591+C697</f>
        <v>0</v>
      </c>
      <c r="D802" s="133">
        <f t="shared" si="369"/>
        <v>1170.4575</v>
      </c>
      <c r="E802" s="133">
        <f t="shared" si="349"/>
        <v>1170.4575</v>
      </c>
      <c r="G802" s="133">
        <f t="shared" si="350"/>
        <v>1560.6100000000001</v>
      </c>
      <c r="I802" s="133">
        <f t="shared" si="351"/>
        <v>1560.6100000000001</v>
      </c>
      <c r="J802" s="31"/>
      <c r="K802" s="133">
        <f t="shared" si="347"/>
        <v>390.15250000000015</v>
      </c>
      <c r="M802" s="133">
        <f t="shared" si="352"/>
        <v>1560.6100000000001</v>
      </c>
      <c r="O802" s="133">
        <f t="shared" si="353"/>
        <v>1170.4575</v>
      </c>
    </row>
    <row r="803" spans="1:15" s="27" customFormat="1" ht="42.75" customHeight="1" x14ac:dyDescent="0.5">
      <c r="A803" s="129" t="s">
        <v>552</v>
      </c>
      <c r="B803" s="132" t="s">
        <v>245</v>
      </c>
      <c r="C803" s="133">
        <f t="shared" ref="C803:D803" si="370">C63+C169+C275+C380+C486+C592+C698</f>
        <v>3169.82</v>
      </c>
      <c r="D803" s="133">
        <f t="shared" si="370"/>
        <v>29021.410833333328</v>
      </c>
      <c r="E803" s="133">
        <f t="shared" si="349"/>
        <v>25851.590833333328</v>
      </c>
      <c r="G803" s="133">
        <f t="shared" si="350"/>
        <v>39008.589999999997</v>
      </c>
      <c r="I803" s="133">
        <f t="shared" si="351"/>
        <v>38651.769999999997</v>
      </c>
      <c r="J803" s="31"/>
      <c r="K803" s="133">
        <f t="shared" si="347"/>
        <v>9987.1791666666686</v>
      </c>
      <c r="M803" s="133">
        <f t="shared" si="352"/>
        <v>35838.769999999997</v>
      </c>
      <c r="O803" s="133">
        <f t="shared" si="353"/>
        <v>25851.590833333328</v>
      </c>
    </row>
    <row r="804" spans="1:15" s="27" customFormat="1" ht="42.75" customHeight="1" x14ac:dyDescent="0.5">
      <c r="A804" s="129" t="s">
        <v>552</v>
      </c>
      <c r="B804" s="132" t="s">
        <v>246</v>
      </c>
      <c r="C804" s="133">
        <f t="shared" ref="C804:D804" si="371">C64+C170+C276+C381+C487+C593+C699</f>
        <v>19262.07</v>
      </c>
      <c r="D804" s="133">
        <f t="shared" si="371"/>
        <v>157244.82</v>
      </c>
      <c r="E804" s="133">
        <f t="shared" si="349"/>
        <v>137982.75</v>
      </c>
      <c r="G804" s="133">
        <f t="shared" si="350"/>
        <v>211739.76</v>
      </c>
      <c r="I804" s="133">
        <f t="shared" si="351"/>
        <v>244678.92999999993</v>
      </c>
      <c r="J804" s="31"/>
      <c r="K804" s="133">
        <f t="shared" si="347"/>
        <v>54494.94</v>
      </c>
      <c r="M804" s="133">
        <f t="shared" si="352"/>
        <v>192477.69</v>
      </c>
      <c r="O804" s="133">
        <f t="shared" si="353"/>
        <v>137982.75</v>
      </c>
    </row>
    <row r="805" spans="1:15" s="27" customFormat="1" ht="42.75" customHeight="1" x14ac:dyDescent="0.5">
      <c r="A805" s="129" t="s">
        <v>552</v>
      </c>
      <c r="B805" s="132" t="s">
        <v>362</v>
      </c>
      <c r="C805" s="133">
        <f t="shared" ref="C805:D805" si="372">C65+C171+C277+C382+C488+C594+C700</f>
        <v>850.77</v>
      </c>
      <c r="D805" s="133">
        <f t="shared" si="372"/>
        <v>31025.625</v>
      </c>
      <c r="E805" s="133">
        <f t="shared" si="349"/>
        <v>30174.855</v>
      </c>
      <c r="G805" s="133">
        <f t="shared" si="350"/>
        <v>41367.5</v>
      </c>
      <c r="I805" s="133">
        <f t="shared" si="351"/>
        <v>41367.5</v>
      </c>
      <c r="J805" s="31"/>
      <c r="K805" s="133">
        <f t="shared" si="347"/>
        <v>10341.875</v>
      </c>
      <c r="M805" s="133">
        <f t="shared" si="352"/>
        <v>40516.730000000003</v>
      </c>
      <c r="O805" s="133">
        <f t="shared" si="353"/>
        <v>30174.855000000003</v>
      </c>
    </row>
    <row r="806" spans="1:15" s="27" customFormat="1" ht="42.75" customHeight="1" x14ac:dyDescent="0.5">
      <c r="A806" s="129" t="s">
        <v>552</v>
      </c>
      <c r="B806" s="132" t="s">
        <v>363</v>
      </c>
      <c r="C806" s="133">
        <f t="shared" ref="C806:D806" si="373">C66+C172+C278+C383+C489+C595+C701</f>
        <v>3823.2999999999997</v>
      </c>
      <c r="D806" s="133">
        <f t="shared" si="373"/>
        <v>52681.243333333332</v>
      </c>
      <c r="E806" s="133">
        <f t="shared" si="349"/>
        <v>48857.943333333329</v>
      </c>
      <c r="G806" s="133">
        <f t="shared" si="350"/>
        <v>71048.09</v>
      </c>
      <c r="I806" s="133">
        <f t="shared" si="351"/>
        <v>46228.679999999993</v>
      </c>
      <c r="J806" s="31"/>
      <c r="K806" s="133">
        <f t="shared" si="347"/>
        <v>18366.846666666665</v>
      </c>
      <c r="M806" s="133">
        <f t="shared" si="352"/>
        <v>67224.789999999994</v>
      </c>
      <c r="O806" s="133">
        <f t="shared" si="353"/>
        <v>48857.943333333329</v>
      </c>
    </row>
    <row r="807" spans="1:15" s="27" customFormat="1" ht="42.75" customHeight="1" x14ac:dyDescent="0.5">
      <c r="A807" s="129" t="s">
        <v>552</v>
      </c>
      <c r="B807" s="130" t="s">
        <v>247</v>
      </c>
      <c r="C807" s="134">
        <f>SUM(C785:C806)</f>
        <v>367220.16</v>
      </c>
      <c r="D807" s="134">
        <f t="shared" ref="D807:E807" si="374">SUM(D785:D806)</f>
        <v>3283827.6453333329</v>
      </c>
      <c r="E807" s="134">
        <f t="shared" si="374"/>
        <v>2916607.4853333337</v>
      </c>
      <c r="G807" s="134">
        <f t="shared" ref="G807" si="375">SUM(G785:G806)</f>
        <v>4439844.8159999996</v>
      </c>
      <c r="I807" s="134">
        <f t="shared" ref="I807" si="376">SUM(I785:I806)</f>
        <v>4570053.9799999986</v>
      </c>
      <c r="J807" s="31"/>
      <c r="K807" s="134">
        <f>SUM(K785:K806)</f>
        <v>1156017.1706666667</v>
      </c>
      <c r="M807" s="134">
        <f>SUM(M785:M806)</f>
        <v>4072624.6559999995</v>
      </c>
      <c r="O807" s="134">
        <f>SUM(O785:O806)</f>
        <v>2916607.4853333337</v>
      </c>
    </row>
    <row r="808" spans="1:15" s="27" customFormat="1" ht="42.75" customHeight="1" x14ac:dyDescent="0.5">
      <c r="A808" s="129" t="s">
        <v>552</v>
      </c>
      <c r="B808" s="132"/>
      <c r="C808" s="133"/>
      <c r="D808" s="133"/>
      <c r="E808" s="133"/>
      <c r="G808" s="133"/>
      <c r="I808" s="133"/>
      <c r="J808" s="31"/>
      <c r="K808" s="133"/>
      <c r="M808" s="133"/>
      <c r="O808" s="133"/>
    </row>
    <row r="809" spans="1:15" s="27" customFormat="1" ht="42.75" customHeight="1" x14ac:dyDescent="0.5">
      <c r="A809" s="129" t="s">
        <v>552</v>
      </c>
      <c r="B809" s="130" t="s">
        <v>248</v>
      </c>
      <c r="C809" s="133"/>
      <c r="D809" s="133"/>
      <c r="E809" s="133"/>
      <c r="G809" s="133"/>
      <c r="I809" s="133"/>
      <c r="J809" s="31"/>
      <c r="K809" s="133"/>
      <c r="M809" s="133"/>
      <c r="O809" s="133"/>
    </row>
    <row r="810" spans="1:15" s="27" customFormat="1" ht="42.75" customHeight="1" x14ac:dyDescent="0.5">
      <c r="A810" s="129" t="s">
        <v>552</v>
      </c>
      <c r="B810" s="132" t="s">
        <v>249</v>
      </c>
      <c r="C810" s="133">
        <f>C70+C176+C282+C387+C493+C599+C705</f>
        <v>2543.02</v>
      </c>
      <c r="D810" s="133">
        <f>D70+D176+D282+D387+D493+D599+D705</f>
        <v>12197.250000000002</v>
      </c>
      <c r="E810" s="133">
        <f>D810-C810</f>
        <v>9654.2300000000014</v>
      </c>
      <c r="G810" s="133">
        <f>G70+G176+G282+G387+G493+G599+G705</f>
        <v>16263</v>
      </c>
      <c r="I810" s="133">
        <f>I70+I176+I282+I387+I493+I599+I705</f>
        <v>16263</v>
      </c>
      <c r="J810" s="31"/>
      <c r="K810" s="133">
        <f t="shared" ref="K810:K829" si="377">G810-D810</f>
        <v>4065.7499999999982</v>
      </c>
      <c r="M810" s="133">
        <f t="shared" ref="M810:M829" si="378">G810-C810</f>
        <v>13719.98</v>
      </c>
      <c r="O810" s="133">
        <f>M810-K810</f>
        <v>9654.2300000000014</v>
      </c>
    </row>
    <row r="811" spans="1:15" s="27" customFormat="1" ht="42.75" customHeight="1" x14ac:dyDescent="0.5">
      <c r="A811" s="129" t="s">
        <v>552</v>
      </c>
      <c r="B811" s="132" t="s">
        <v>385</v>
      </c>
      <c r="C811" s="133">
        <f t="shared" ref="C811:D811" si="379">C71+C177+C283+C388+C494+C600+C706</f>
        <v>125</v>
      </c>
      <c r="D811" s="133">
        <f t="shared" si="379"/>
        <v>3375</v>
      </c>
      <c r="E811" s="133">
        <f t="shared" ref="E811:E829" si="380">D811-C811</f>
        <v>3250</v>
      </c>
      <c r="G811" s="133">
        <f t="shared" ref="G811:G829" si="381">G71+G177+G283+G388+G494+G600+G706</f>
        <v>4500</v>
      </c>
      <c r="I811" s="133">
        <f t="shared" ref="I811:I829" si="382">I71+I177+I283+I388+I494+I600+I706</f>
        <v>4500</v>
      </c>
      <c r="J811" s="31"/>
      <c r="K811" s="133">
        <f t="shared" si="377"/>
        <v>1125</v>
      </c>
      <c r="M811" s="133">
        <f t="shared" si="378"/>
        <v>4375</v>
      </c>
      <c r="O811" s="133">
        <f t="shared" ref="O811:O829" si="383">M811-K811</f>
        <v>3250</v>
      </c>
    </row>
    <row r="812" spans="1:15" s="27" customFormat="1" ht="42.75" customHeight="1" x14ac:dyDescent="0.5">
      <c r="A812" s="129" t="s">
        <v>552</v>
      </c>
      <c r="B812" s="132" t="s">
        <v>533</v>
      </c>
      <c r="C812" s="133">
        <f t="shared" ref="C812:D812" si="384">C72+C178+C284+C389+C495+C601+C707</f>
        <v>0</v>
      </c>
      <c r="D812" s="133">
        <f t="shared" si="384"/>
        <v>3225</v>
      </c>
      <c r="E812" s="133">
        <f t="shared" si="380"/>
        <v>3225</v>
      </c>
      <c r="G812" s="133">
        <f t="shared" si="381"/>
        <v>4300</v>
      </c>
      <c r="I812" s="133">
        <f t="shared" si="382"/>
        <v>4281.26</v>
      </c>
      <c r="J812" s="31"/>
      <c r="K812" s="133">
        <f t="shared" si="377"/>
        <v>1075</v>
      </c>
      <c r="M812" s="133">
        <f t="shared" si="378"/>
        <v>4300</v>
      </c>
      <c r="O812" s="133">
        <f t="shared" si="383"/>
        <v>3225</v>
      </c>
    </row>
    <row r="813" spans="1:15" s="27" customFormat="1" ht="42.75" customHeight="1" x14ac:dyDescent="0.5">
      <c r="A813" s="129" t="s">
        <v>552</v>
      </c>
      <c r="B813" s="132" t="s">
        <v>250</v>
      </c>
      <c r="C813" s="133">
        <f t="shared" ref="C813:D813" si="385">C73+C179+C285+C390+C496+C602+C708</f>
        <v>6942.0099999999993</v>
      </c>
      <c r="D813" s="133">
        <f t="shared" si="385"/>
        <v>57075.745416666665</v>
      </c>
      <c r="E813" s="133">
        <f t="shared" si="380"/>
        <v>50133.735416666663</v>
      </c>
      <c r="G813" s="133">
        <f t="shared" si="381"/>
        <v>76655.804999999993</v>
      </c>
      <c r="I813" s="133">
        <f t="shared" si="382"/>
        <v>148917.29</v>
      </c>
      <c r="J813" s="31"/>
      <c r="K813" s="133">
        <f t="shared" si="377"/>
        <v>19580.059583333328</v>
      </c>
      <c r="M813" s="133">
        <f t="shared" si="378"/>
        <v>69713.794999999998</v>
      </c>
      <c r="O813" s="133">
        <f t="shared" si="383"/>
        <v>50133.73541666667</v>
      </c>
    </row>
    <row r="814" spans="1:15" s="27" customFormat="1" ht="42.75" customHeight="1" x14ac:dyDescent="0.5">
      <c r="A814" s="129" t="s">
        <v>552</v>
      </c>
      <c r="B814" s="132" t="s">
        <v>357</v>
      </c>
      <c r="C814" s="133">
        <f t="shared" ref="C814:D814" si="386">C74+C180+C286+C391+C497+C603+C709</f>
        <v>995.74</v>
      </c>
      <c r="D814" s="133">
        <f t="shared" si="386"/>
        <v>3588.6675</v>
      </c>
      <c r="E814" s="133">
        <f t="shared" si="380"/>
        <v>2592.9274999999998</v>
      </c>
      <c r="G814" s="133">
        <f t="shared" si="381"/>
        <v>4784.8900000000003</v>
      </c>
      <c r="I814" s="133">
        <f t="shared" si="382"/>
        <v>4784.8900000000003</v>
      </c>
      <c r="J814" s="31"/>
      <c r="K814" s="133">
        <f t="shared" si="377"/>
        <v>1196.2225000000003</v>
      </c>
      <c r="M814" s="133">
        <f t="shared" si="378"/>
        <v>3789.1500000000005</v>
      </c>
      <c r="O814" s="133">
        <f t="shared" si="383"/>
        <v>2592.9275000000002</v>
      </c>
    </row>
    <row r="815" spans="1:15" s="27" customFormat="1" ht="42.75" customHeight="1" x14ac:dyDescent="0.5">
      <c r="A815" s="129" t="s">
        <v>552</v>
      </c>
      <c r="B815" s="132" t="s">
        <v>251</v>
      </c>
      <c r="C815" s="133">
        <f t="shared" ref="C815:D815" si="387">C75+C181+C287+C392+C498+C604+C710</f>
        <v>662.90000000000009</v>
      </c>
      <c r="D815" s="133">
        <f t="shared" si="387"/>
        <v>11318.234999999999</v>
      </c>
      <c r="E815" s="133">
        <f t="shared" si="380"/>
        <v>10655.334999999999</v>
      </c>
      <c r="G815" s="133">
        <f t="shared" si="381"/>
        <v>15090.98</v>
      </c>
      <c r="I815" s="133">
        <f t="shared" si="382"/>
        <v>15090.98</v>
      </c>
      <c r="J815" s="31"/>
      <c r="K815" s="133">
        <f t="shared" si="377"/>
        <v>3772.7450000000008</v>
      </c>
      <c r="M815" s="133">
        <f t="shared" si="378"/>
        <v>14428.08</v>
      </c>
      <c r="O815" s="133">
        <f t="shared" si="383"/>
        <v>10655.334999999999</v>
      </c>
    </row>
    <row r="816" spans="1:15" s="27" customFormat="1" ht="42.75" customHeight="1" x14ac:dyDescent="0.5">
      <c r="A816" s="129" t="s">
        <v>552</v>
      </c>
      <c r="B816" s="132" t="s">
        <v>354</v>
      </c>
      <c r="C816" s="133">
        <f t="shared" ref="C816:D816" si="388">C76+C182+C288+C393+C499+C605+C711</f>
        <v>24301.660000000003</v>
      </c>
      <c r="D816" s="133">
        <f t="shared" si="388"/>
        <v>217757.08333333334</v>
      </c>
      <c r="E816" s="133">
        <f t="shared" si="380"/>
        <v>193455.42333333334</v>
      </c>
      <c r="G816" s="133">
        <f t="shared" si="381"/>
        <v>290790</v>
      </c>
      <c r="I816" s="133">
        <f t="shared" si="382"/>
        <v>423886.88000000006</v>
      </c>
      <c r="J816" s="31"/>
      <c r="K816" s="133">
        <f t="shared" si="377"/>
        <v>73032.916666666657</v>
      </c>
      <c r="M816" s="133">
        <f t="shared" si="378"/>
        <v>266488.33999999997</v>
      </c>
      <c r="O816" s="133">
        <f t="shared" si="383"/>
        <v>193455.42333333331</v>
      </c>
    </row>
    <row r="817" spans="1:15" s="27" customFormat="1" ht="42.75" customHeight="1" x14ac:dyDescent="0.5">
      <c r="A817" s="129" t="s">
        <v>552</v>
      </c>
      <c r="B817" s="132" t="s">
        <v>355</v>
      </c>
      <c r="C817" s="133">
        <f t="shared" ref="C817:D817" si="389">C77+C183+C289+C394+C500+C606+C712</f>
        <v>15000</v>
      </c>
      <c r="D817" s="133">
        <f t="shared" si="389"/>
        <v>133577.56666666665</v>
      </c>
      <c r="E817" s="133">
        <f t="shared" si="380"/>
        <v>118577.56666666665</v>
      </c>
      <c r="G817" s="133">
        <f t="shared" si="381"/>
        <v>183110.1</v>
      </c>
      <c r="I817" s="133">
        <f t="shared" si="382"/>
        <v>183110.1</v>
      </c>
      <c r="J817" s="31"/>
      <c r="K817" s="133">
        <f t="shared" si="377"/>
        <v>49532.533333333355</v>
      </c>
      <c r="M817" s="133">
        <f t="shared" si="378"/>
        <v>168110.1</v>
      </c>
      <c r="O817" s="133">
        <f t="shared" si="383"/>
        <v>118577.56666666665</v>
      </c>
    </row>
    <row r="818" spans="1:15" s="27" customFormat="1" ht="42.75" customHeight="1" x14ac:dyDescent="0.5">
      <c r="A818" s="129" t="s">
        <v>552</v>
      </c>
      <c r="B818" s="132" t="s">
        <v>356</v>
      </c>
      <c r="C818" s="133">
        <f t="shared" ref="C818:D818" si="390">C78+C184+C290+C395+C501+C607+C713</f>
        <v>7732.48</v>
      </c>
      <c r="D818" s="133">
        <f t="shared" si="390"/>
        <v>74018.046666666662</v>
      </c>
      <c r="E818" s="133">
        <f t="shared" si="380"/>
        <v>66285.566666666666</v>
      </c>
      <c r="G818" s="133">
        <f t="shared" si="381"/>
        <v>99527.07</v>
      </c>
      <c r="I818" s="133">
        <f t="shared" si="382"/>
        <v>130257.16000000002</v>
      </c>
      <c r="J818" s="31"/>
      <c r="K818" s="133">
        <f t="shared" si="377"/>
        <v>25509.023333333345</v>
      </c>
      <c r="M818" s="133">
        <f t="shared" si="378"/>
        <v>91794.590000000011</v>
      </c>
      <c r="O818" s="133">
        <f t="shared" si="383"/>
        <v>66285.566666666666</v>
      </c>
    </row>
    <row r="819" spans="1:15" s="27" customFormat="1" ht="42.75" customHeight="1" x14ac:dyDescent="0.5">
      <c r="A819" s="129" t="s">
        <v>552</v>
      </c>
      <c r="B819" s="132" t="s">
        <v>394</v>
      </c>
      <c r="C819" s="133">
        <f t="shared" ref="C819:D819" si="391">C79+C185+C291+C396+C502+C608+C714</f>
        <v>0</v>
      </c>
      <c r="D819" s="133">
        <f t="shared" si="391"/>
        <v>0</v>
      </c>
      <c r="E819" s="133">
        <f t="shared" si="380"/>
        <v>0</v>
      </c>
      <c r="G819" s="133">
        <f t="shared" si="381"/>
        <v>0</v>
      </c>
      <c r="I819" s="133">
        <f t="shared" si="382"/>
        <v>51912.87999999999</v>
      </c>
      <c r="J819" s="31"/>
      <c r="K819" s="133">
        <f t="shared" si="377"/>
        <v>0</v>
      </c>
      <c r="M819" s="133">
        <f t="shared" si="378"/>
        <v>0</v>
      </c>
      <c r="O819" s="133">
        <f t="shared" si="383"/>
        <v>0</v>
      </c>
    </row>
    <row r="820" spans="1:15" s="27" customFormat="1" ht="42.75" customHeight="1" x14ac:dyDescent="0.5">
      <c r="A820" s="129" t="s">
        <v>552</v>
      </c>
      <c r="B820" s="132" t="s">
        <v>383</v>
      </c>
      <c r="C820" s="133">
        <f t="shared" ref="C820:D820" si="392">C80+C186+C292+C397+C503+C609+C715</f>
        <v>791.67</v>
      </c>
      <c r="D820" s="133">
        <f t="shared" si="392"/>
        <v>6468.7724999999991</v>
      </c>
      <c r="E820" s="133">
        <f t="shared" si="380"/>
        <v>5677.1024999999991</v>
      </c>
      <c r="G820" s="133">
        <f t="shared" si="381"/>
        <v>8625.0299999999988</v>
      </c>
      <c r="I820" s="133">
        <f t="shared" si="382"/>
        <v>8625.0299999999988</v>
      </c>
      <c r="J820" s="31"/>
      <c r="K820" s="133">
        <f t="shared" si="377"/>
        <v>2156.2574999999997</v>
      </c>
      <c r="M820" s="133">
        <f t="shared" si="378"/>
        <v>7833.3599999999988</v>
      </c>
      <c r="O820" s="133">
        <f t="shared" si="383"/>
        <v>5677.1024999999991</v>
      </c>
    </row>
    <row r="821" spans="1:15" s="27" customFormat="1" ht="42.75" customHeight="1" x14ac:dyDescent="0.5">
      <c r="A821" s="129" t="s">
        <v>552</v>
      </c>
      <c r="B821" s="132" t="s">
        <v>253</v>
      </c>
      <c r="C821" s="133">
        <f t="shared" ref="C821:D821" si="393">C81+C187+C293+C398+C504+C610+C716</f>
        <v>4244.96</v>
      </c>
      <c r="D821" s="133">
        <f t="shared" si="393"/>
        <v>23151.278333333335</v>
      </c>
      <c r="E821" s="133">
        <f t="shared" si="380"/>
        <v>18906.318333333336</v>
      </c>
      <c r="G821" s="133">
        <f t="shared" si="381"/>
        <v>31257.260000000002</v>
      </c>
      <c r="I821" s="133">
        <f t="shared" si="382"/>
        <v>89300.84</v>
      </c>
      <c r="J821" s="31"/>
      <c r="K821" s="133">
        <f t="shared" si="377"/>
        <v>8105.9816666666666</v>
      </c>
      <c r="M821" s="133">
        <f t="shared" si="378"/>
        <v>27012.300000000003</v>
      </c>
      <c r="O821" s="133">
        <f t="shared" si="383"/>
        <v>18906.318333333336</v>
      </c>
    </row>
    <row r="822" spans="1:15" s="27" customFormat="1" ht="42.75" customHeight="1" x14ac:dyDescent="0.5">
      <c r="A822" s="129" t="s">
        <v>552</v>
      </c>
      <c r="B822" s="132" t="s">
        <v>254</v>
      </c>
      <c r="C822" s="133">
        <f t="shared" ref="C822:D822" si="394">C82+C188+C294+C399+C505+C611+C717</f>
        <v>1420</v>
      </c>
      <c r="D822" s="133">
        <f t="shared" si="394"/>
        <v>27582.301666666666</v>
      </c>
      <c r="E822" s="133">
        <f t="shared" si="380"/>
        <v>26162.301666666666</v>
      </c>
      <c r="G822" s="133">
        <f t="shared" si="381"/>
        <v>36877.789999999994</v>
      </c>
      <c r="I822" s="133">
        <f t="shared" si="382"/>
        <v>36877.789999999994</v>
      </c>
      <c r="J822" s="31"/>
      <c r="K822" s="133">
        <f t="shared" si="377"/>
        <v>9295.4883333333273</v>
      </c>
      <c r="M822" s="133">
        <f t="shared" si="378"/>
        <v>35457.789999999994</v>
      </c>
      <c r="O822" s="133">
        <f t="shared" si="383"/>
        <v>26162.301666666666</v>
      </c>
    </row>
    <row r="823" spans="1:15" s="27" customFormat="1" ht="42.75" customHeight="1" x14ac:dyDescent="0.5">
      <c r="A823" s="129" t="s">
        <v>552</v>
      </c>
      <c r="B823" s="132" t="s">
        <v>255</v>
      </c>
      <c r="C823" s="133">
        <f t="shared" ref="C823:D823" si="395">C83+C189+C295+C400+C506+C612+C718</f>
        <v>671.94</v>
      </c>
      <c r="D823" s="133">
        <f t="shared" si="395"/>
        <v>25885.620000000003</v>
      </c>
      <c r="E823" s="133">
        <f t="shared" si="380"/>
        <v>25213.680000000004</v>
      </c>
      <c r="G823" s="133">
        <f t="shared" si="381"/>
        <v>34514.160000000003</v>
      </c>
      <c r="I823" s="133">
        <f t="shared" si="382"/>
        <v>34514.160000000003</v>
      </c>
      <c r="J823" s="31"/>
      <c r="K823" s="133">
        <f t="shared" si="377"/>
        <v>8628.5400000000009</v>
      </c>
      <c r="M823" s="133">
        <f t="shared" si="378"/>
        <v>33842.22</v>
      </c>
      <c r="O823" s="133">
        <f t="shared" si="383"/>
        <v>25213.68</v>
      </c>
    </row>
    <row r="824" spans="1:15" s="27" customFormat="1" ht="42.75" customHeight="1" x14ac:dyDescent="0.5">
      <c r="A824" s="129" t="s">
        <v>552</v>
      </c>
      <c r="B824" s="132" t="s">
        <v>292</v>
      </c>
      <c r="C824" s="133">
        <f t="shared" ref="C824:D824" si="396">C84+C190+C296+C401+C507+C613+C719</f>
        <v>0</v>
      </c>
      <c r="D824" s="133">
        <f t="shared" si="396"/>
        <v>6340.7025000000003</v>
      </c>
      <c r="E824" s="133">
        <f t="shared" si="380"/>
        <v>6340.7025000000003</v>
      </c>
      <c r="G824" s="133">
        <f t="shared" si="381"/>
        <v>8454.27</v>
      </c>
      <c r="I824" s="133">
        <f t="shared" si="382"/>
        <v>8454.27</v>
      </c>
      <c r="J824" s="31"/>
      <c r="K824" s="133">
        <f t="shared" si="377"/>
        <v>2113.5675000000001</v>
      </c>
      <c r="M824" s="133">
        <f t="shared" si="378"/>
        <v>8454.27</v>
      </c>
      <c r="O824" s="133">
        <f t="shared" si="383"/>
        <v>6340.7025000000003</v>
      </c>
    </row>
    <row r="825" spans="1:15" s="27" customFormat="1" ht="42.75" customHeight="1" x14ac:dyDescent="0.5">
      <c r="A825" s="129" t="s">
        <v>552</v>
      </c>
      <c r="B825" s="132" t="s">
        <v>371</v>
      </c>
      <c r="C825" s="133">
        <f t="shared" ref="C825:D825" si="397">C85+C191+C297+C402+C508+C614+C720</f>
        <v>425.46999999999997</v>
      </c>
      <c r="D825" s="133">
        <f t="shared" si="397"/>
        <v>15529.7775</v>
      </c>
      <c r="E825" s="133">
        <f t="shared" si="380"/>
        <v>15104.307500000001</v>
      </c>
      <c r="G825" s="133">
        <f t="shared" si="381"/>
        <v>20706.37</v>
      </c>
      <c r="I825" s="133">
        <f t="shared" si="382"/>
        <v>20706.37</v>
      </c>
      <c r="J825" s="31"/>
      <c r="K825" s="133">
        <f t="shared" si="377"/>
        <v>5176.5924999999988</v>
      </c>
      <c r="M825" s="133">
        <f t="shared" si="378"/>
        <v>20280.899999999998</v>
      </c>
      <c r="O825" s="133">
        <f t="shared" si="383"/>
        <v>15104.307499999999</v>
      </c>
    </row>
    <row r="826" spans="1:15" s="27" customFormat="1" ht="42.75" customHeight="1" x14ac:dyDescent="0.5">
      <c r="A826" s="129" t="s">
        <v>552</v>
      </c>
      <c r="B826" s="132" t="s">
        <v>256</v>
      </c>
      <c r="C826" s="133">
        <f t="shared" ref="C826:D826" si="398">C86+C192+C298+C403+C509+C615+C721</f>
        <v>2439.17</v>
      </c>
      <c r="D826" s="133">
        <f t="shared" si="398"/>
        <v>16502.414999999997</v>
      </c>
      <c r="E826" s="133">
        <f t="shared" si="380"/>
        <v>14063.244999999997</v>
      </c>
      <c r="G826" s="133">
        <f t="shared" si="381"/>
        <v>22003.219999999998</v>
      </c>
      <c r="I826" s="133">
        <f t="shared" si="382"/>
        <v>22003.219999999998</v>
      </c>
      <c r="J826" s="31"/>
      <c r="K826" s="133">
        <f t="shared" si="377"/>
        <v>5500.8050000000003</v>
      </c>
      <c r="M826" s="133">
        <f t="shared" si="378"/>
        <v>19564.049999999996</v>
      </c>
      <c r="O826" s="133">
        <f t="shared" si="383"/>
        <v>14063.244999999995</v>
      </c>
    </row>
    <row r="827" spans="1:15" s="27" customFormat="1" ht="42.75" customHeight="1" x14ac:dyDescent="0.5">
      <c r="A827" s="129" t="s">
        <v>552</v>
      </c>
      <c r="B827" s="132" t="s">
        <v>257</v>
      </c>
      <c r="C827" s="133">
        <f t="shared" ref="C827:D827" si="399">C87+C193+C299+C404+C510+C616+C722</f>
        <v>2122.75</v>
      </c>
      <c r="D827" s="133">
        <f t="shared" si="399"/>
        <v>20061.422499999997</v>
      </c>
      <c r="E827" s="133">
        <f t="shared" si="380"/>
        <v>17938.672499999997</v>
      </c>
      <c r="G827" s="133">
        <f t="shared" si="381"/>
        <v>27541.899999999998</v>
      </c>
      <c r="I827" s="133">
        <f t="shared" si="382"/>
        <v>27541.899999999998</v>
      </c>
      <c r="J827" s="31"/>
      <c r="K827" s="133">
        <f t="shared" si="377"/>
        <v>7480.4775000000009</v>
      </c>
      <c r="M827" s="133">
        <f t="shared" si="378"/>
        <v>25419.149999999998</v>
      </c>
      <c r="O827" s="133">
        <f t="shared" si="383"/>
        <v>17938.672499999997</v>
      </c>
    </row>
    <row r="828" spans="1:15" s="27" customFormat="1" ht="42.75" customHeight="1" x14ac:dyDescent="0.5">
      <c r="A828" s="129" t="s">
        <v>552</v>
      </c>
      <c r="B828" s="132" t="s">
        <v>258</v>
      </c>
      <c r="C828" s="133">
        <f t="shared" ref="C828:D828" si="400">C88+C194+C300+C405+C511+C617+C723</f>
        <v>735.52</v>
      </c>
      <c r="D828" s="133">
        <f t="shared" si="400"/>
        <v>4215.9674999999997</v>
      </c>
      <c r="E828" s="133">
        <f t="shared" si="380"/>
        <v>3480.4474999999998</v>
      </c>
      <c r="G828" s="133">
        <f t="shared" si="381"/>
        <v>5621.29</v>
      </c>
      <c r="I828" s="133">
        <f t="shared" si="382"/>
        <v>5621.29</v>
      </c>
      <c r="J828" s="31"/>
      <c r="K828" s="133">
        <f t="shared" si="377"/>
        <v>1405.3225000000002</v>
      </c>
      <c r="M828" s="133">
        <f t="shared" si="378"/>
        <v>4885.7700000000004</v>
      </c>
      <c r="O828" s="133">
        <f t="shared" si="383"/>
        <v>3480.4475000000002</v>
      </c>
    </row>
    <row r="829" spans="1:15" s="27" customFormat="1" ht="42.75" customHeight="1" x14ac:dyDescent="0.5">
      <c r="A829" s="129" t="s">
        <v>552</v>
      </c>
      <c r="B829" s="132" t="s">
        <v>259</v>
      </c>
      <c r="C829" s="133">
        <f t="shared" ref="C829:D829" si="401">C89+C195+C301+C406+C512+C618+C724</f>
        <v>622.42999999999995</v>
      </c>
      <c r="D829" s="133">
        <f t="shared" si="401"/>
        <v>17399.370000000003</v>
      </c>
      <c r="E829" s="133">
        <f t="shared" si="380"/>
        <v>16776.940000000002</v>
      </c>
      <c r="G829" s="133">
        <f t="shared" si="381"/>
        <v>23199.160000000003</v>
      </c>
      <c r="I829" s="133">
        <f t="shared" si="382"/>
        <v>23199.160000000003</v>
      </c>
      <c r="J829" s="31"/>
      <c r="K829" s="133">
        <f t="shared" si="377"/>
        <v>5799.7900000000009</v>
      </c>
      <c r="M829" s="133">
        <f t="shared" si="378"/>
        <v>22576.730000000003</v>
      </c>
      <c r="O829" s="133">
        <f t="shared" si="383"/>
        <v>16776.940000000002</v>
      </c>
    </row>
    <row r="830" spans="1:15" s="27" customFormat="1" ht="42.75" customHeight="1" x14ac:dyDescent="0.5">
      <c r="A830" s="129" t="s">
        <v>552</v>
      </c>
      <c r="B830" s="130" t="s">
        <v>261</v>
      </c>
      <c r="C830" s="134">
        <f>SUM(C810:C829)</f>
        <v>71776.719999999987</v>
      </c>
      <c r="D830" s="134">
        <f>SUM(D810:D829)</f>
        <v>679270.22208333341</v>
      </c>
      <c r="E830" s="134">
        <f>SUM(E810:E829)</f>
        <v>607493.50208333344</v>
      </c>
      <c r="G830" s="134">
        <f>SUM(G810:G829)</f>
        <v>913822.29500000016</v>
      </c>
      <c r="I830" s="134">
        <f t="shared" ref="I830" si="402">SUM(I810:I829)</f>
        <v>1259848.47</v>
      </c>
      <c r="J830" s="31"/>
      <c r="K830" s="134">
        <f>SUM(K810:K829)</f>
        <v>234552.07291666669</v>
      </c>
      <c r="M830" s="134">
        <f>SUM(M810:M829)</f>
        <v>842045.57500000007</v>
      </c>
      <c r="O830" s="134">
        <f>SUM(O810:O829)</f>
        <v>607493.50208333344</v>
      </c>
    </row>
    <row r="831" spans="1:15" s="27" customFormat="1" ht="42.75" customHeight="1" x14ac:dyDescent="0.5">
      <c r="A831" s="129" t="s">
        <v>552</v>
      </c>
      <c r="B831" s="132"/>
      <c r="C831" s="133"/>
      <c r="D831" s="133"/>
      <c r="E831" s="133"/>
      <c r="G831" s="133"/>
      <c r="I831" s="133"/>
      <c r="J831" s="31"/>
      <c r="K831" s="133"/>
      <c r="M831" s="133"/>
      <c r="O831" s="133"/>
    </row>
    <row r="832" spans="1:15" s="27" customFormat="1" ht="42.75" customHeight="1" thickBot="1" x14ac:dyDescent="0.55000000000000004">
      <c r="A832" s="129" t="s">
        <v>552</v>
      </c>
      <c r="B832" s="130" t="s">
        <v>262</v>
      </c>
      <c r="C832" s="135">
        <f t="shared" ref="C832:E832" si="403">C782+C807+C830</f>
        <v>1022603.5900000001</v>
      </c>
      <c r="D832" s="135">
        <f t="shared" si="403"/>
        <v>8310489.0190833323</v>
      </c>
      <c r="E832" s="135">
        <f t="shared" si="403"/>
        <v>7287885.4290833334</v>
      </c>
      <c r="G832" s="135">
        <f t="shared" ref="G832" si="404">G782+G807+G830</f>
        <v>11240509.490999999</v>
      </c>
      <c r="I832" s="135">
        <f t="shared" ref="I832" si="405">I782+I807+I830</f>
        <v>11379437.92</v>
      </c>
      <c r="J832" s="31"/>
      <c r="K832" s="135">
        <f t="shared" ref="K832" si="406">K782+K807+K830</f>
        <v>2930020.4719166667</v>
      </c>
      <c r="M832" s="135">
        <f t="shared" ref="M832" si="407">M782+M807+M830</f>
        <v>10217905.900999997</v>
      </c>
      <c r="O832" s="135">
        <f>O782+O807+O830</f>
        <v>7287885.4290833334</v>
      </c>
    </row>
    <row r="833" spans="1:15" s="27" customFormat="1" ht="42.75" customHeight="1" x14ac:dyDescent="0.5">
      <c r="A833" s="129" t="s">
        <v>552</v>
      </c>
      <c r="B833" s="132"/>
      <c r="C833" s="133"/>
      <c r="D833" s="133"/>
      <c r="E833" s="133"/>
      <c r="G833" s="133"/>
      <c r="I833" s="133"/>
      <c r="J833" s="31"/>
      <c r="K833" s="133"/>
      <c r="M833" s="133"/>
      <c r="O833" s="133"/>
    </row>
    <row r="834" spans="1:15" s="27" customFormat="1" ht="42.75" customHeight="1" x14ac:dyDescent="0.5">
      <c r="A834" s="129" t="s">
        <v>552</v>
      </c>
      <c r="B834" s="130" t="s">
        <v>454</v>
      </c>
      <c r="C834" s="133"/>
      <c r="D834" s="133"/>
      <c r="E834" s="133"/>
      <c r="G834" s="133"/>
      <c r="I834" s="133"/>
      <c r="J834" s="31"/>
      <c r="K834" s="133"/>
      <c r="M834" s="133"/>
      <c r="O834" s="133"/>
    </row>
    <row r="835" spans="1:15" s="27" customFormat="1" ht="42.75" customHeight="1" x14ac:dyDescent="0.5">
      <c r="A835" s="129" t="s">
        <v>552</v>
      </c>
      <c r="B835" s="132" t="s">
        <v>265</v>
      </c>
      <c r="C835" s="133">
        <f>C95+C201+C307+C412+C518+C624+C730</f>
        <v>85200</v>
      </c>
      <c r="D835" s="133">
        <f>D95+D201+D307+D412+D518+D624+D730</f>
        <v>770550</v>
      </c>
      <c r="E835" s="133">
        <f>D835-C835</f>
        <v>685350</v>
      </c>
      <c r="G835" s="133">
        <f>G95+G201+G307+G412+G518+G624+G730</f>
        <v>1027400</v>
      </c>
      <c r="I835" s="133">
        <f>I95+I201+I307+I412+I518+I624+I730</f>
        <v>877400</v>
      </c>
      <c r="J835" s="31"/>
      <c r="K835" s="133">
        <f t="shared" ref="K835:K847" si="408">G835-D835</f>
        <v>256850</v>
      </c>
      <c r="M835" s="133">
        <f t="shared" ref="M835:M847" si="409">G835-C835</f>
        <v>942200</v>
      </c>
      <c r="O835" s="133">
        <f>M835-K835</f>
        <v>685350</v>
      </c>
    </row>
    <row r="836" spans="1:15" s="27" customFormat="1" ht="42.75" customHeight="1" x14ac:dyDescent="0.5">
      <c r="A836" s="129" t="s">
        <v>552</v>
      </c>
      <c r="B836" s="132" t="s">
        <v>266</v>
      </c>
      <c r="C836" s="133">
        <f t="shared" ref="C836:D836" si="410">C96+C202+C308+C413+C519+C625+C731</f>
        <v>0</v>
      </c>
      <c r="D836" s="133">
        <f t="shared" si="410"/>
        <v>0</v>
      </c>
      <c r="E836" s="133">
        <f t="shared" ref="E836:E837" si="411">D836-C836</f>
        <v>0</v>
      </c>
      <c r="G836" s="133">
        <f t="shared" ref="G836:G847" si="412">G96+G202+G308+G413+G519+G625+G731</f>
        <v>0</v>
      </c>
      <c r="I836" s="133">
        <f t="shared" ref="I836:I847" si="413">I96+I202+I308+I413+I519+I625+I731</f>
        <v>0</v>
      </c>
      <c r="J836" s="31"/>
      <c r="K836" s="133">
        <f t="shared" si="408"/>
        <v>0</v>
      </c>
      <c r="M836" s="133">
        <f t="shared" si="409"/>
        <v>0</v>
      </c>
      <c r="O836" s="133">
        <f t="shared" ref="O836:O847" si="414">M836-K836</f>
        <v>0</v>
      </c>
    </row>
    <row r="837" spans="1:15" s="27" customFormat="1" ht="42.75" customHeight="1" x14ac:dyDescent="0.5">
      <c r="A837" s="129" t="s">
        <v>552</v>
      </c>
      <c r="B837" s="132" t="s">
        <v>324</v>
      </c>
      <c r="C837" s="133">
        <f t="shared" ref="C837:D837" si="415">C97+C203+C309+C414+C520+C626+C732</f>
        <v>0</v>
      </c>
      <c r="D837" s="133">
        <f t="shared" si="415"/>
        <v>0</v>
      </c>
      <c r="E837" s="133">
        <f t="shared" si="411"/>
        <v>0</v>
      </c>
      <c r="G837" s="133">
        <f t="shared" si="412"/>
        <v>0</v>
      </c>
      <c r="I837" s="133">
        <f t="shared" si="413"/>
        <v>0</v>
      </c>
      <c r="J837" s="31"/>
      <c r="K837" s="133">
        <f t="shared" si="408"/>
        <v>0</v>
      </c>
      <c r="M837" s="133">
        <f t="shared" si="409"/>
        <v>0</v>
      </c>
      <c r="O837" s="133">
        <f t="shared" si="414"/>
        <v>0</v>
      </c>
    </row>
    <row r="838" spans="1:15" s="27" customFormat="1" ht="42.75" customHeight="1" x14ac:dyDescent="0.5">
      <c r="A838" s="129" t="s">
        <v>552</v>
      </c>
      <c r="B838" s="132" t="s">
        <v>380</v>
      </c>
      <c r="C838" s="133">
        <f t="shared" ref="C838:D838" si="416">C98+C204+C310+C415+C521+C627+C733</f>
        <v>0</v>
      </c>
      <c r="D838" s="133">
        <f t="shared" si="416"/>
        <v>4849.871666666666</v>
      </c>
      <c r="E838" s="133">
        <f>D838-C838</f>
        <v>4849.871666666666</v>
      </c>
      <c r="G838" s="133">
        <f t="shared" si="412"/>
        <v>0</v>
      </c>
      <c r="I838" s="133">
        <f t="shared" si="413"/>
        <v>0</v>
      </c>
      <c r="J838" s="31"/>
      <c r="K838" s="133">
        <f t="shared" si="408"/>
        <v>-4849.871666666666</v>
      </c>
      <c r="M838" s="133">
        <f t="shared" si="409"/>
        <v>0</v>
      </c>
      <c r="O838" s="133">
        <f t="shared" si="414"/>
        <v>4849.871666666666</v>
      </c>
    </row>
    <row r="839" spans="1:15" s="27" customFormat="1" ht="42.75" customHeight="1" x14ac:dyDescent="0.5">
      <c r="A839" s="129" t="s">
        <v>552</v>
      </c>
      <c r="B839" s="132" t="s">
        <v>267</v>
      </c>
      <c r="C839" s="133">
        <f t="shared" ref="C839:D839" si="417">C99+C205+C311+C416+C522+C628+C734</f>
        <v>10492.44</v>
      </c>
      <c r="D839" s="133">
        <f t="shared" si="417"/>
        <v>143988.78749999998</v>
      </c>
      <c r="E839" s="133">
        <f t="shared" ref="E839:E847" si="418">D839-C839</f>
        <v>133496.34749999997</v>
      </c>
      <c r="G839" s="133">
        <f t="shared" si="412"/>
        <v>191985.05</v>
      </c>
      <c r="I839" s="133">
        <f t="shared" si="413"/>
        <v>191985.05</v>
      </c>
      <c r="J839" s="31"/>
      <c r="K839" s="133">
        <f t="shared" si="408"/>
        <v>47996.262500000012</v>
      </c>
      <c r="M839" s="133">
        <f t="shared" si="409"/>
        <v>181492.61</v>
      </c>
      <c r="O839" s="133">
        <f t="shared" si="414"/>
        <v>133496.34749999997</v>
      </c>
    </row>
    <row r="840" spans="1:15" s="27" customFormat="1" ht="42.75" customHeight="1" x14ac:dyDescent="0.5">
      <c r="A840" s="129" t="s">
        <v>552</v>
      </c>
      <c r="B840" s="132" t="s">
        <v>268</v>
      </c>
      <c r="C840" s="133">
        <f t="shared" ref="C840:D840" si="419">C100+C206+C312+C417+C523+C629+C735</f>
        <v>42259.740000000005</v>
      </c>
      <c r="D840" s="133">
        <f t="shared" si="419"/>
        <v>323300.6933333333</v>
      </c>
      <c r="E840" s="133">
        <f t="shared" si="418"/>
        <v>281040.95333333331</v>
      </c>
      <c r="G840" s="133">
        <f t="shared" si="412"/>
        <v>432622.55999999994</v>
      </c>
      <c r="I840" s="133">
        <f t="shared" si="413"/>
        <v>432622.55999999994</v>
      </c>
      <c r="J840" s="31"/>
      <c r="K840" s="133">
        <f t="shared" si="408"/>
        <v>109321.86666666664</v>
      </c>
      <c r="M840" s="133">
        <f t="shared" si="409"/>
        <v>390362.81999999995</v>
      </c>
      <c r="O840" s="133">
        <f t="shared" si="414"/>
        <v>281040.95333333331</v>
      </c>
    </row>
    <row r="841" spans="1:15" s="27" customFormat="1" ht="42.75" customHeight="1" x14ac:dyDescent="0.5">
      <c r="A841" s="129" t="s">
        <v>552</v>
      </c>
      <c r="B841" s="132" t="s">
        <v>269</v>
      </c>
      <c r="C841" s="133">
        <f t="shared" ref="C841:D841" si="420">C101+C207+C313+C418+C524+C630+C736</f>
        <v>-50296.400000000009</v>
      </c>
      <c r="D841" s="133">
        <f t="shared" si="420"/>
        <v>-353394.86249999999</v>
      </c>
      <c r="E841" s="133">
        <f t="shared" si="418"/>
        <v>-303098.46249999997</v>
      </c>
      <c r="G841" s="133">
        <f t="shared" si="412"/>
        <v>-471193.14999999997</v>
      </c>
      <c r="I841" s="133">
        <f t="shared" si="413"/>
        <v>-315755.64999999997</v>
      </c>
      <c r="J841" s="31"/>
      <c r="K841" s="133">
        <f t="shared" si="408"/>
        <v>-117798.28749999998</v>
      </c>
      <c r="M841" s="133">
        <f t="shared" si="409"/>
        <v>-420896.74999999994</v>
      </c>
      <c r="O841" s="133">
        <f t="shared" si="414"/>
        <v>-303098.46249999997</v>
      </c>
    </row>
    <row r="842" spans="1:15" s="27" customFormat="1" ht="42.75" customHeight="1" x14ac:dyDescent="0.5">
      <c r="A842" s="129" t="s">
        <v>552</v>
      </c>
      <c r="B842" s="132" t="s">
        <v>270</v>
      </c>
      <c r="C842" s="133">
        <f t="shared" ref="C842:D842" si="421">C102+C208+C314+C419+C525+C631+C737</f>
        <v>0</v>
      </c>
      <c r="D842" s="133">
        <f t="shared" si="421"/>
        <v>2145.1799999999998</v>
      </c>
      <c r="E842" s="133">
        <f t="shared" si="418"/>
        <v>2145.1799999999998</v>
      </c>
      <c r="G842" s="133">
        <f t="shared" si="412"/>
        <v>2860.24</v>
      </c>
      <c r="I842" s="133">
        <f t="shared" si="413"/>
        <v>2860.24</v>
      </c>
      <c r="J842" s="31"/>
      <c r="K842" s="133">
        <f t="shared" si="408"/>
        <v>715.06</v>
      </c>
      <c r="M842" s="133">
        <f t="shared" si="409"/>
        <v>2860.24</v>
      </c>
      <c r="O842" s="133">
        <f t="shared" si="414"/>
        <v>2145.1799999999998</v>
      </c>
    </row>
    <row r="843" spans="1:15" s="27" customFormat="1" ht="42.75" customHeight="1" x14ac:dyDescent="0.5">
      <c r="A843" s="129" t="s">
        <v>552</v>
      </c>
      <c r="B843" s="132" t="s">
        <v>395</v>
      </c>
      <c r="C843" s="133">
        <f t="shared" ref="C843:D843" si="422">C103+C209+C315+C420+C526+C632+C738</f>
        <v>20720.71</v>
      </c>
      <c r="D843" s="133">
        <f t="shared" si="422"/>
        <v>52375.18499999999</v>
      </c>
      <c r="E843" s="133">
        <f t="shared" si="418"/>
        <v>31654.474999999991</v>
      </c>
      <c r="G843" s="133">
        <f t="shared" si="412"/>
        <v>69833.579999999987</v>
      </c>
      <c r="I843" s="133">
        <f t="shared" si="413"/>
        <v>69833.579999999987</v>
      </c>
      <c r="J843" s="31"/>
      <c r="K843" s="133">
        <f t="shared" si="408"/>
        <v>17458.394999999997</v>
      </c>
      <c r="M843" s="133">
        <f t="shared" si="409"/>
        <v>49112.869999999988</v>
      </c>
      <c r="O843" s="133">
        <f t="shared" si="414"/>
        <v>31654.474999999991</v>
      </c>
    </row>
    <row r="844" spans="1:15" s="27" customFormat="1" ht="42.75" customHeight="1" x14ac:dyDescent="0.5">
      <c r="A844" s="129" t="s">
        <v>552</v>
      </c>
      <c r="B844" s="132" t="s">
        <v>430</v>
      </c>
      <c r="C844" s="133">
        <f t="shared" ref="C844:D844" si="423">C104+C210+C316+C421+C527+C633+C739</f>
        <v>819.34</v>
      </c>
      <c r="D844" s="133">
        <f t="shared" si="423"/>
        <v>5425.5</v>
      </c>
      <c r="E844" s="133">
        <f t="shared" si="418"/>
        <v>4606.16</v>
      </c>
      <c r="G844" s="133">
        <f t="shared" si="412"/>
        <v>7234</v>
      </c>
      <c r="I844" s="133">
        <f t="shared" si="413"/>
        <v>7234</v>
      </c>
      <c r="J844" s="31"/>
      <c r="K844" s="133">
        <f t="shared" si="408"/>
        <v>1808.5</v>
      </c>
      <c r="M844" s="133">
        <f t="shared" si="409"/>
        <v>6414.66</v>
      </c>
      <c r="O844" s="133">
        <f t="shared" si="414"/>
        <v>4606.16</v>
      </c>
    </row>
    <row r="845" spans="1:15" s="27" customFormat="1" ht="42.75" customHeight="1" x14ac:dyDescent="0.5">
      <c r="A845" s="129" t="s">
        <v>552</v>
      </c>
      <c r="B845" s="132" t="s">
        <v>431</v>
      </c>
      <c r="C845" s="133">
        <f t="shared" ref="C845:D845" si="424">C105+C211+C317+C422+C528+C634+C740</f>
        <v>1033.1300000000001</v>
      </c>
      <c r="D845" s="133">
        <f t="shared" si="424"/>
        <v>45668.745000000003</v>
      </c>
      <c r="E845" s="133">
        <f t="shared" si="418"/>
        <v>44635.615000000005</v>
      </c>
      <c r="G845" s="133">
        <f t="shared" si="412"/>
        <v>60891.66</v>
      </c>
      <c r="I845" s="133">
        <f t="shared" si="413"/>
        <v>60891.66</v>
      </c>
      <c r="J845" s="31"/>
      <c r="K845" s="133">
        <f t="shared" si="408"/>
        <v>15222.915000000001</v>
      </c>
      <c r="M845" s="133">
        <f t="shared" si="409"/>
        <v>59858.530000000006</v>
      </c>
      <c r="O845" s="133">
        <f t="shared" si="414"/>
        <v>44635.615000000005</v>
      </c>
    </row>
    <row r="846" spans="1:15" s="27" customFormat="1" ht="42.75" customHeight="1" x14ac:dyDescent="0.5">
      <c r="A846" s="129" t="s">
        <v>552</v>
      </c>
      <c r="B846" s="132" t="s">
        <v>396</v>
      </c>
      <c r="C846" s="133">
        <f t="shared" ref="C846:D846" si="425">C106+C212+C318+C423+C529+C635+C741</f>
        <v>17978.47</v>
      </c>
      <c r="D846" s="133">
        <f t="shared" si="425"/>
        <v>22591.245000000003</v>
      </c>
      <c r="E846" s="133">
        <f t="shared" si="418"/>
        <v>4612.7750000000015</v>
      </c>
      <c r="G846" s="133">
        <f t="shared" si="412"/>
        <v>30121.660000000003</v>
      </c>
      <c r="I846" s="133">
        <f t="shared" si="413"/>
        <v>30121.660000000003</v>
      </c>
      <c r="J846" s="31"/>
      <c r="K846" s="133">
        <f t="shared" si="408"/>
        <v>7530.4150000000009</v>
      </c>
      <c r="M846" s="133">
        <f t="shared" si="409"/>
        <v>12143.190000000002</v>
      </c>
      <c r="O846" s="133">
        <f t="shared" si="414"/>
        <v>4612.7750000000015</v>
      </c>
    </row>
    <row r="847" spans="1:15" s="27" customFormat="1" ht="42.75" customHeight="1" x14ac:dyDescent="0.5">
      <c r="A847" s="129" t="s">
        <v>552</v>
      </c>
      <c r="B847" s="132" t="s">
        <v>441</v>
      </c>
      <c r="C847" s="133">
        <f t="shared" ref="C847:D847" si="426">C107+C213+C319+C424+C530+C636+C742</f>
        <v>0</v>
      </c>
      <c r="D847" s="133">
        <f t="shared" si="426"/>
        <v>12741.21</v>
      </c>
      <c r="E847" s="133">
        <f t="shared" si="418"/>
        <v>12741.21</v>
      </c>
      <c r="G847" s="133">
        <f t="shared" si="412"/>
        <v>16988.28</v>
      </c>
      <c r="I847" s="133">
        <f t="shared" si="413"/>
        <v>16988.28</v>
      </c>
      <c r="J847" s="31"/>
      <c r="K847" s="133">
        <f t="shared" si="408"/>
        <v>4247.07</v>
      </c>
      <c r="M847" s="133">
        <f t="shared" si="409"/>
        <v>16988.28</v>
      </c>
      <c r="O847" s="133">
        <f t="shared" si="414"/>
        <v>12741.21</v>
      </c>
    </row>
    <row r="848" spans="1:15" s="27" customFormat="1" ht="42.75" customHeight="1" x14ac:dyDescent="0.5">
      <c r="A848" s="129" t="s">
        <v>552</v>
      </c>
      <c r="B848" s="130" t="s">
        <v>455</v>
      </c>
      <c r="C848" s="134">
        <f t="shared" ref="C848:E848" si="427">SUM(C835:C847)</f>
        <v>128207.43</v>
      </c>
      <c r="D848" s="134">
        <f t="shared" si="427"/>
        <v>1030241.5549999999</v>
      </c>
      <c r="E848" s="134">
        <f t="shared" si="427"/>
        <v>902034.12500000023</v>
      </c>
      <c r="G848" s="134">
        <f t="shared" ref="G848" si="428">SUM(G835:G847)</f>
        <v>1368743.88</v>
      </c>
      <c r="I848" s="134">
        <f t="shared" ref="I848" si="429">SUM(I835:I847)</f>
        <v>1374181.38</v>
      </c>
      <c r="J848" s="31"/>
      <c r="K848" s="134">
        <f>SUM(K835:K847)</f>
        <v>338502.32500000001</v>
      </c>
      <c r="M848" s="134">
        <f>SUM(M835:M847)</f>
        <v>1240536.4499999995</v>
      </c>
      <c r="O848" s="134">
        <f>SUM(O835:O847)</f>
        <v>902034.12500000023</v>
      </c>
    </row>
    <row r="849" spans="1:15" s="27" customFormat="1" ht="42.75" customHeight="1" x14ac:dyDescent="0.5">
      <c r="A849" s="129" t="s">
        <v>552</v>
      </c>
      <c r="B849" s="130"/>
      <c r="C849" s="133"/>
      <c r="D849" s="133"/>
      <c r="E849" s="133"/>
      <c r="G849" s="133"/>
      <c r="I849" s="133"/>
      <c r="J849" s="31"/>
      <c r="K849" s="133"/>
      <c r="M849" s="133"/>
      <c r="O849" s="133"/>
    </row>
    <row r="850" spans="1:15" s="27" customFormat="1" ht="42.75" customHeight="1" thickBot="1" x14ac:dyDescent="0.55000000000000004">
      <c r="A850" s="129" t="s">
        <v>552</v>
      </c>
      <c r="B850" s="130" t="s">
        <v>264</v>
      </c>
      <c r="C850" s="136">
        <f t="shared" ref="C850:D850" si="430">C767-C832+C848</f>
        <v>967096.67999991402</v>
      </c>
      <c r="D850" s="136">
        <f t="shared" si="430"/>
        <v>661715.559250694</v>
      </c>
      <c r="E850" s="136">
        <f>E767-E832+E848</f>
        <v>-305381.12074922095</v>
      </c>
      <c r="G850" s="136">
        <f t="shared" ref="G850" si="431">G767-G832+G848</f>
        <v>860257.26899916213</v>
      </c>
      <c r="I850" s="136">
        <f>I767-I832+I848</f>
        <v>726766.33999916073</v>
      </c>
      <c r="J850" s="31"/>
      <c r="K850" s="136">
        <f>K767-K832+K848</f>
        <v>198541.7097494214</v>
      </c>
      <c r="M850" s="136">
        <f>M767-M832+M848</f>
        <v>-106839.41099955863</v>
      </c>
      <c r="O850" s="136">
        <f>O767-O832+O848</f>
        <v>-305381.12074945937</v>
      </c>
    </row>
    <row r="851" spans="1:15" ht="15.75" thickTop="1" x14ac:dyDescent="0.25"/>
    <row r="853" spans="1:15" s="27" customFormat="1" ht="42.75" customHeight="1" x14ac:dyDescent="0.5">
      <c r="A853" s="129" t="s">
        <v>562</v>
      </c>
      <c r="B853" s="130" t="str">
        <f>B15</f>
        <v>Total Revenue</v>
      </c>
      <c r="C853" s="134">
        <f>C15+C121+C227+C332+C438+C544+C650</f>
        <v>506949843.35000002</v>
      </c>
      <c r="D853" s="134">
        <f>D15+D121+D227+D332+D438+D544+D650</f>
        <v>3575773190.2608337</v>
      </c>
      <c r="E853" s="134">
        <f>E15+E121+E227+E332+E438+E544+E650</f>
        <v>3068823346.9108334</v>
      </c>
      <c r="G853" s="134">
        <f>G15+G121+G227+G332+G438+G544+G650</f>
        <v>4777321401.3400011</v>
      </c>
      <c r="I853" s="134">
        <f>I15+I121+I227+I332+I438+I544+I650</f>
        <v>4777321401.3400011</v>
      </c>
      <c r="K853" s="134">
        <f t="shared" ref="K853:K855" si="432">G853-D853</f>
        <v>1201548211.0791674</v>
      </c>
      <c r="M853" s="134">
        <f t="shared" ref="M853:M855" si="433">G853-C853</f>
        <v>4270371557.9900012</v>
      </c>
      <c r="O853" s="134">
        <f>M853-K853</f>
        <v>3068823346.9108338</v>
      </c>
    </row>
    <row r="854" spans="1:15" s="27" customFormat="1" ht="42.75" customHeight="1" x14ac:dyDescent="0.5">
      <c r="A854" s="129" t="s">
        <v>562</v>
      </c>
      <c r="B854" s="130" t="str">
        <f>B25</f>
        <v>Total GOGC</v>
      </c>
      <c r="C854" s="134">
        <f>C25+C131+C237+C342+C448+C554+C660</f>
        <v>505088350.50999999</v>
      </c>
      <c r="D854" s="134">
        <f>D25+D131+D237+D342+D448+D554+D660</f>
        <v>3567831227.2374997</v>
      </c>
      <c r="E854" s="134">
        <f>E25+E131+E237+E342+E448+E554+E660</f>
        <v>3062742876.7275004</v>
      </c>
      <c r="G854" s="134">
        <f>G25+G131+G237+G342+G448+G554+G660</f>
        <v>4766589378.460001</v>
      </c>
      <c r="I854" s="134">
        <f>I25+I131+I237+I342+I448+I554+I660</f>
        <v>4766589378.460001</v>
      </c>
      <c r="K854" s="134">
        <f t="shared" si="432"/>
        <v>1198758151.2225013</v>
      </c>
      <c r="M854" s="134">
        <f t="shared" si="433"/>
        <v>4261501027.9500008</v>
      </c>
      <c r="O854" s="134">
        <f>M854-K854</f>
        <v>3062742876.7274995</v>
      </c>
    </row>
    <row r="855" spans="1:15" s="27" customFormat="1" ht="42.75" customHeight="1" x14ac:dyDescent="0.5">
      <c r="A855" s="129" t="s">
        <v>562</v>
      </c>
      <c r="B855" s="130" t="s">
        <v>553</v>
      </c>
      <c r="C855" s="134">
        <f>C853-C854</f>
        <v>1861492.8400000334</v>
      </c>
      <c r="D855" s="134">
        <f t="shared" ref="D855" si="434">D853-D854</f>
        <v>7941963.0233340263</v>
      </c>
      <c r="E855" s="134">
        <f>D855-C855</f>
        <v>6080470.183333993</v>
      </c>
      <c r="G855" s="134">
        <f>G853-G854</f>
        <v>10732022.880000114</v>
      </c>
      <c r="I855" s="134">
        <f>I853-I854</f>
        <v>10732022.880000114</v>
      </c>
      <c r="K855" s="134">
        <f t="shared" si="432"/>
        <v>2790059.8566660881</v>
      </c>
      <c r="M855" s="134">
        <f t="shared" si="433"/>
        <v>8870530.0400000811</v>
      </c>
      <c r="O855" s="134">
        <f>M855-K855</f>
        <v>6080470.183333993</v>
      </c>
    </row>
    <row r="856" spans="1:15" s="27" customFormat="1" ht="42.75" customHeight="1" x14ac:dyDescent="0.5">
      <c r="A856" s="129" t="s">
        <v>562</v>
      </c>
      <c r="B856" s="130"/>
      <c r="C856" s="133"/>
      <c r="D856" s="133"/>
      <c r="E856" s="133"/>
      <c r="G856" s="133"/>
      <c r="I856" s="133"/>
      <c r="K856" s="133"/>
      <c r="M856" s="133"/>
      <c r="O856" s="133"/>
    </row>
    <row r="857" spans="1:15" s="27" customFormat="1" ht="42.75" customHeight="1" x14ac:dyDescent="0.5">
      <c r="A857" s="129" t="s">
        <v>562</v>
      </c>
      <c r="B857" s="130" t="str">
        <f>B42</f>
        <v xml:space="preserve">  Total Personnel Expenses</v>
      </c>
      <c r="C857" s="137">
        <f>C42+C148+C254+C359+C465+C571+C677</f>
        <v>583606.71</v>
      </c>
      <c r="D857" s="137">
        <f>D42+D148+D254+D359+D465+D571+D677</f>
        <v>4347391.1516666673</v>
      </c>
      <c r="E857" s="137">
        <f>E42+E148+E254+E359+E465+E571+E677</f>
        <v>3763784.4416666664</v>
      </c>
      <c r="G857" s="137">
        <f>G42+G148+G254+G359+G465+G571+G677</f>
        <v>5886842.3800000008</v>
      </c>
      <c r="I857" s="137">
        <f>I42+I148+I254+I359+I465+I571+I677</f>
        <v>5549535.4700000007</v>
      </c>
      <c r="K857" s="137">
        <f t="shared" ref="K857:K860" si="435">G857-D857</f>
        <v>1539451.2283333335</v>
      </c>
      <c r="M857" s="137">
        <f t="shared" ref="M857:M860" si="436">G857-C857</f>
        <v>5303235.6700000009</v>
      </c>
      <c r="O857" s="137">
        <f>M857-K857</f>
        <v>3763784.4416666673</v>
      </c>
    </row>
    <row r="858" spans="1:15" s="27" customFormat="1" ht="42.75" customHeight="1" x14ac:dyDescent="0.5">
      <c r="A858" s="129" t="s">
        <v>562</v>
      </c>
      <c r="B858" s="130" t="str">
        <f>B67</f>
        <v xml:space="preserve">  Total Facility Expense</v>
      </c>
      <c r="C858" s="134">
        <f>C67+C173+C279+C384+C490+C596+C702</f>
        <v>367220.16000000003</v>
      </c>
      <c r="D858" s="134">
        <f>D67+D173+D279+D384+D490+D596+D702</f>
        <v>3283827.6453333334</v>
      </c>
      <c r="E858" s="134">
        <f>E67+E173+E279+E384+E490+E596+E702</f>
        <v>2916607.4853333328</v>
      </c>
      <c r="G858" s="134">
        <f>G67+G173+G279+G384+G490+G596+G702</f>
        <v>4439844.8159999996</v>
      </c>
      <c r="I858" s="134">
        <f>I67+I173+I279+I384+I490+I596+I702</f>
        <v>4570053.9799999995</v>
      </c>
      <c r="K858" s="134">
        <f t="shared" si="435"/>
        <v>1156017.1706666662</v>
      </c>
      <c r="M858" s="134">
        <f t="shared" si="436"/>
        <v>4072624.6559999995</v>
      </c>
      <c r="O858" s="137">
        <f t="shared" ref="O858:O860" si="437">M858-K858</f>
        <v>2916607.4853333333</v>
      </c>
    </row>
    <row r="859" spans="1:15" s="27" customFormat="1" ht="42.75" customHeight="1" x14ac:dyDescent="0.5">
      <c r="A859" s="129" t="s">
        <v>562</v>
      </c>
      <c r="B859" s="130" t="str">
        <f>B90</f>
        <v xml:space="preserve">  Total Other Expenses</v>
      </c>
      <c r="C859" s="134">
        <f>C90+C196+C302+C407+C513+C619+C725</f>
        <v>71776.72</v>
      </c>
      <c r="D859" s="134">
        <f>D90+D196+D302+D407+D513+D619+D725</f>
        <v>679270.2220833333</v>
      </c>
      <c r="E859" s="134">
        <f>E90+E196+E302+E407+E513+E619+E725</f>
        <v>607493.50208333333</v>
      </c>
      <c r="G859" s="134">
        <f>G90+G196+G302+G407+G513+G619+G725</f>
        <v>913822.29500000004</v>
      </c>
      <c r="I859" s="134">
        <f>I90+I196+I302+I407+I513+I619+I725</f>
        <v>1259848.47</v>
      </c>
      <c r="K859" s="134">
        <f t="shared" si="435"/>
        <v>234552.07291666674</v>
      </c>
      <c r="M859" s="134">
        <f t="shared" si="436"/>
        <v>842045.57500000007</v>
      </c>
      <c r="O859" s="137">
        <f t="shared" si="437"/>
        <v>607493.50208333333</v>
      </c>
    </row>
    <row r="860" spans="1:15" s="27" customFormat="1" ht="42.75" customHeight="1" x14ac:dyDescent="0.5">
      <c r="A860" s="129" t="s">
        <v>562</v>
      </c>
      <c r="B860" s="130" t="str">
        <f>B92</f>
        <v>Total Expense</v>
      </c>
      <c r="C860" s="137">
        <f>C857+C858+C859</f>
        <v>1022603.59</v>
      </c>
      <c r="D860" s="137">
        <f t="shared" ref="D860:E860" si="438">D857+D858+D859</f>
        <v>8310489.0190833332</v>
      </c>
      <c r="E860" s="137">
        <f t="shared" si="438"/>
        <v>7287885.4290833324</v>
      </c>
      <c r="G860" s="137">
        <f>G857+G858+G859</f>
        <v>11240509.491</v>
      </c>
      <c r="I860" s="137">
        <f>I857+I858+I859</f>
        <v>11379437.92</v>
      </c>
      <c r="K860" s="137">
        <f t="shared" si="435"/>
        <v>2930020.4719166672</v>
      </c>
      <c r="M860" s="137">
        <f t="shared" si="436"/>
        <v>10217905.901000001</v>
      </c>
      <c r="O860" s="137">
        <f t="shared" si="437"/>
        <v>7287885.4290833334</v>
      </c>
    </row>
    <row r="861" spans="1:15" s="27" customFormat="1" ht="42.75" customHeight="1" x14ac:dyDescent="0.5">
      <c r="A861" s="129" t="s">
        <v>562</v>
      </c>
      <c r="B861" s="130"/>
      <c r="C861" s="133"/>
      <c r="D861" s="133"/>
      <c r="E861" s="133"/>
      <c r="G861" s="133"/>
      <c r="I861" s="133"/>
      <c r="K861" s="133"/>
      <c r="M861" s="133"/>
      <c r="O861" s="133"/>
    </row>
    <row r="862" spans="1:15" s="27" customFormat="1" ht="42.75" customHeight="1" x14ac:dyDescent="0.5">
      <c r="A862" s="129" t="s">
        <v>562</v>
      </c>
      <c r="B862" s="130" t="str">
        <f>B108</f>
        <v>Total Other Income (Expense)</v>
      </c>
      <c r="C862" s="137">
        <f>C108+C214+C320+C425+C531+C637+C743</f>
        <v>128207.43</v>
      </c>
      <c r="D862" s="137">
        <f>D108+D214+D320+D425+D531+D637+D743</f>
        <v>1030241.5550000001</v>
      </c>
      <c r="E862" s="137">
        <f>E108+E214+E320+E425+E531+E637+E743</f>
        <v>702034.125</v>
      </c>
      <c r="G862" s="137">
        <f>G108+G214+G320+G425+G531+G637+G743</f>
        <v>1368743.8800000001</v>
      </c>
      <c r="I862" s="137">
        <f>I108+I214+I320+I425+I531+I637+I743</f>
        <v>1374181.3800000001</v>
      </c>
      <c r="K862" s="137">
        <f t="shared" ref="K862" si="439">G862-D862</f>
        <v>338502.32500000007</v>
      </c>
      <c r="M862" s="137">
        <f t="shared" ref="M862" si="440">G862-C862</f>
        <v>1240536.4500000002</v>
      </c>
      <c r="O862" s="137">
        <f>M862-K862</f>
        <v>902034.12500000012</v>
      </c>
    </row>
    <row r="863" spans="1:15" s="27" customFormat="1" ht="42.75" customHeight="1" x14ac:dyDescent="0.5">
      <c r="A863" s="129" t="s">
        <v>562</v>
      </c>
      <c r="B863" s="130" t="str">
        <f>B110</f>
        <v>Net Income (loss):</v>
      </c>
      <c r="C863" s="134">
        <f>C855-C860+C862</f>
        <v>967096.68000003346</v>
      </c>
      <c r="D863" s="134">
        <f>D855-D860+D862</f>
        <v>661715.55925069319</v>
      </c>
      <c r="E863" s="134">
        <f>E855-E860+E862</f>
        <v>-505381.12074933946</v>
      </c>
      <c r="G863" s="134">
        <f>G855-G860+G862</f>
        <v>860257.26900011417</v>
      </c>
      <c r="I863" s="134">
        <f>I855-I860+I862</f>
        <v>726766.34000011464</v>
      </c>
      <c r="K863" s="134">
        <f>K855-K860+K862</f>
        <v>198541.70974942099</v>
      </c>
      <c r="M863" s="134">
        <f>M855-M860+M862</f>
        <v>-106839.41099991929</v>
      </c>
      <c r="O863" s="134">
        <f>M863-K863</f>
        <v>-305381.12074934028</v>
      </c>
    </row>
    <row r="864" spans="1:15" ht="18.75" x14ac:dyDescent="0.3">
      <c r="H864" s="27"/>
      <c r="J864" s="27"/>
      <c r="L864" s="27"/>
      <c r="N864" s="27"/>
    </row>
    <row r="865" spans="1:15" s="27" customFormat="1" ht="42.75" customHeight="1" x14ac:dyDescent="0.5">
      <c r="A865" s="129"/>
      <c r="B865" s="130" t="s">
        <v>563</v>
      </c>
      <c r="C865" s="134">
        <f>C853-C755</f>
        <v>0</v>
      </c>
      <c r="D865" s="134">
        <f t="shared" ref="D865" si="441">D853-D755</f>
        <v>0</v>
      </c>
      <c r="E865" s="134">
        <f>E853-E755</f>
        <v>0</v>
      </c>
      <c r="G865" s="134">
        <f>G853-G755</f>
        <v>0</v>
      </c>
      <c r="I865" s="134">
        <f t="shared" ref="I865:M865" si="442">I853-I755</f>
        <v>0</v>
      </c>
      <c r="K865" s="134">
        <f t="shared" si="442"/>
        <v>0</v>
      </c>
      <c r="M865" s="134">
        <f t="shared" si="442"/>
        <v>0</v>
      </c>
      <c r="O865" s="134">
        <f>O853-O755</f>
        <v>0</v>
      </c>
    </row>
    <row r="866" spans="1:15" s="27" customFormat="1" ht="42.75" customHeight="1" x14ac:dyDescent="0.5">
      <c r="A866" s="129"/>
      <c r="B866" s="130" t="s">
        <v>564</v>
      </c>
      <c r="C866" s="134">
        <f>C854-C765</f>
        <v>0</v>
      </c>
      <c r="D866" s="134">
        <f>D854-D765</f>
        <v>0</v>
      </c>
      <c r="E866" s="134">
        <f>E854-E765</f>
        <v>0</v>
      </c>
      <c r="G866" s="134">
        <f t="shared" ref="G866:O866" si="443">G854-G765</f>
        <v>0</v>
      </c>
      <c r="I866" s="134">
        <f t="shared" si="443"/>
        <v>0</v>
      </c>
      <c r="K866" s="134">
        <f t="shared" si="443"/>
        <v>0</v>
      </c>
      <c r="M866" s="134">
        <f t="shared" si="443"/>
        <v>0</v>
      </c>
      <c r="O866" s="134">
        <f t="shared" si="443"/>
        <v>0</v>
      </c>
    </row>
    <row r="867" spans="1:15" s="27" customFormat="1" ht="42.75" customHeight="1" x14ac:dyDescent="0.5">
      <c r="A867" s="129"/>
      <c r="B867" s="130" t="s">
        <v>565</v>
      </c>
      <c r="C867" s="134">
        <f>C855-C767</f>
        <v>1.1920928955078125E-7</v>
      </c>
      <c r="D867" s="134">
        <f t="shared" ref="D867:O867" si="444">D855-D767</f>
        <v>0</v>
      </c>
      <c r="E867" s="134">
        <f>E855-E767</f>
        <v>-1.1920928955078125E-7</v>
      </c>
      <c r="G867" s="134">
        <f t="shared" si="444"/>
        <v>9.5367431640625E-7</v>
      </c>
      <c r="I867" s="134">
        <f t="shared" si="444"/>
        <v>9.5367431640625E-7</v>
      </c>
      <c r="K867" s="134">
        <f t="shared" si="444"/>
        <v>0</v>
      </c>
      <c r="M867" s="134">
        <f t="shared" si="444"/>
        <v>-3.5762786865234375E-7</v>
      </c>
      <c r="O867" s="134">
        <f t="shared" si="444"/>
        <v>1.1920928955078125E-7</v>
      </c>
    </row>
    <row r="868" spans="1:15" s="27" customFormat="1" ht="42.75" customHeight="1" x14ac:dyDescent="0.5">
      <c r="A868" s="129"/>
      <c r="B868" s="130" t="s">
        <v>566</v>
      </c>
      <c r="C868" s="134">
        <f>C857-C782</f>
        <v>0</v>
      </c>
      <c r="D868" s="134">
        <f t="shared" ref="D868:O868" si="445">D857-D782</f>
        <v>0</v>
      </c>
      <c r="E868" s="134">
        <f t="shared" si="445"/>
        <v>0</v>
      </c>
      <c r="G868" s="134">
        <f t="shared" si="445"/>
        <v>0</v>
      </c>
      <c r="I868" s="134">
        <f t="shared" si="445"/>
        <v>0</v>
      </c>
      <c r="K868" s="134">
        <f t="shared" si="445"/>
        <v>0</v>
      </c>
      <c r="M868" s="134">
        <f t="shared" si="445"/>
        <v>0</v>
      </c>
      <c r="O868" s="134">
        <f t="shared" si="445"/>
        <v>0</v>
      </c>
    </row>
    <row r="869" spans="1:15" s="27" customFormat="1" ht="42.75" customHeight="1" x14ac:dyDescent="0.5">
      <c r="A869" s="129"/>
      <c r="B869" s="130" t="s">
        <v>567</v>
      </c>
      <c r="C869" s="134">
        <f>C858-C807</f>
        <v>0</v>
      </c>
      <c r="D869" s="134">
        <f t="shared" ref="D869:O869" si="446">D858-D807</f>
        <v>0</v>
      </c>
      <c r="E869" s="134">
        <f t="shared" si="446"/>
        <v>0</v>
      </c>
      <c r="G869" s="134">
        <f t="shared" si="446"/>
        <v>0</v>
      </c>
      <c r="I869" s="134">
        <f t="shared" si="446"/>
        <v>0</v>
      </c>
      <c r="K869" s="134">
        <f t="shared" si="446"/>
        <v>0</v>
      </c>
      <c r="M869" s="134">
        <f t="shared" si="446"/>
        <v>0</v>
      </c>
      <c r="O869" s="134">
        <f t="shared" si="446"/>
        <v>0</v>
      </c>
    </row>
    <row r="870" spans="1:15" s="27" customFormat="1" ht="42.75" customHeight="1" x14ac:dyDescent="0.5">
      <c r="A870" s="129"/>
      <c r="B870" s="130" t="s">
        <v>568</v>
      </c>
      <c r="C870" s="134">
        <f>C859-C830</f>
        <v>0</v>
      </c>
      <c r="D870" s="134">
        <f t="shared" ref="D870:O870" si="447">D859-D830</f>
        <v>0</v>
      </c>
      <c r="E870" s="134">
        <f t="shared" si="447"/>
        <v>0</v>
      </c>
      <c r="G870" s="134">
        <f t="shared" si="447"/>
        <v>0</v>
      </c>
      <c r="I870" s="134">
        <f t="shared" si="447"/>
        <v>0</v>
      </c>
      <c r="K870" s="134">
        <f t="shared" si="447"/>
        <v>0</v>
      </c>
      <c r="M870" s="134">
        <f t="shared" si="447"/>
        <v>0</v>
      </c>
      <c r="O870" s="134">
        <f t="shared" si="447"/>
        <v>0</v>
      </c>
    </row>
    <row r="871" spans="1:15" s="27" customFormat="1" ht="42.75" customHeight="1" x14ac:dyDescent="0.5">
      <c r="A871" s="129"/>
      <c r="B871" s="130" t="s">
        <v>569</v>
      </c>
      <c r="C871" s="134">
        <f>C860-C832</f>
        <v>0</v>
      </c>
      <c r="D871" s="134">
        <f t="shared" ref="D871:O871" si="448">D860-D832</f>
        <v>0</v>
      </c>
      <c r="E871" s="134">
        <f t="shared" si="448"/>
        <v>0</v>
      </c>
      <c r="G871" s="134">
        <f t="shared" si="448"/>
        <v>0</v>
      </c>
      <c r="I871" s="134">
        <f t="shared" si="448"/>
        <v>0</v>
      </c>
      <c r="K871" s="134">
        <f t="shared" si="448"/>
        <v>0</v>
      </c>
      <c r="M871" s="134">
        <f t="shared" si="448"/>
        <v>0</v>
      </c>
      <c r="O871" s="134">
        <f t="shared" si="448"/>
        <v>0</v>
      </c>
    </row>
    <row r="872" spans="1:15" s="27" customFormat="1" ht="42.75" customHeight="1" x14ac:dyDescent="0.5">
      <c r="A872" s="129"/>
      <c r="B872" s="130" t="s">
        <v>570</v>
      </c>
      <c r="C872" s="134">
        <f>C862-C848</f>
        <v>0</v>
      </c>
      <c r="D872" s="134">
        <f t="shared" ref="D872:O872" si="449">D862-D848</f>
        <v>0</v>
      </c>
      <c r="E872" s="134">
        <f t="shared" si="449"/>
        <v>-200000.00000000023</v>
      </c>
      <c r="G872" s="134">
        <f t="shared" si="449"/>
        <v>0</v>
      </c>
      <c r="I872" s="134">
        <f t="shared" si="449"/>
        <v>0</v>
      </c>
      <c r="K872" s="134">
        <f t="shared" si="449"/>
        <v>0</v>
      </c>
      <c r="M872" s="134">
        <f t="shared" si="449"/>
        <v>0</v>
      </c>
      <c r="O872" s="134">
        <f t="shared" si="449"/>
        <v>0</v>
      </c>
    </row>
    <row r="873" spans="1:15" s="27" customFormat="1" ht="42.75" customHeight="1" x14ac:dyDescent="0.5">
      <c r="A873" s="129"/>
      <c r="B873" s="130" t="s">
        <v>571</v>
      </c>
      <c r="C873" s="134">
        <f>C863-C850</f>
        <v>1.1944212019443512E-7</v>
      </c>
      <c r="D873" s="134">
        <f t="shared" ref="D873:O873" si="450">D863-D850</f>
        <v>0</v>
      </c>
      <c r="E873" s="134">
        <f t="shared" si="450"/>
        <v>-200000.00000011851</v>
      </c>
      <c r="G873" s="134">
        <f t="shared" si="450"/>
        <v>9.5204450190067291E-7</v>
      </c>
      <c r="I873" s="134">
        <f t="shared" si="450"/>
        <v>9.5390714704990387E-7</v>
      </c>
      <c r="K873" s="134">
        <f t="shared" si="450"/>
        <v>-4.0745362639427185E-10</v>
      </c>
      <c r="M873" s="134">
        <f t="shared" si="450"/>
        <v>-3.6065466701984406E-7</v>
      </c>
      <c r="O873" s="134">
        <f t="shared" si="450"/>
        <v>1.1909287422895432E-7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AG192"/>
  <sheetViews>
    <sheetView zoomScaleNormal="100" workbookViewId="0">
      <pane ySplit="6" topLeftCell="A58" activePane="bottomLeft" state="frozen"/>
      <selection activeCell="A92" sqref="A92"/>
      <selection pane="bottomLeft" activeCell="O70" sqref="O70"/>
    </sheetView>
  </sheetViews>
  <sheetFormatPr defaultRowHeight="15" x14ac:dyDescent="0.25"/>
  <cols>
    <col min="1" max="1" width="44.42578125" style="141" bestFit="1" customWidth="1"/>
    <col min="2" max="2" width="13" style="2" bestFit="1" customWidth="1"/>
    <col min="3" max="3" width="11.5703125" style="2" hidden="1" customWidth="1"/>
    <col min="4" max="4" width="13.42578125" style="2" hidden="1" customWidth="1"/>
    <col min="5" max="13" width="13" style="2" hidden="1" customWidth="1"/>
    <col min="14" max="14" width="13.42578125" style="2" bestFit="1" customWidth="1"/>
    <col min="15" max="15" width="8.85546875" style="2"/>
    <col min="16" max="18" width="26.28515625" style="38" customWidth="1"/>
    <col min="19" max="19" width="5.140625" style="93" bestFit="1" customWidth="1"/>
    <col min="20" max="20" width="4.7109375" style="93" customWidth="1"/>
    <col min="21" max="28" width="11.5703125" bestFit="1" customWidth="1"/>
    <col min="29" max="29" width="12.28515625" bestFit="1" customWidth="1"/>
    <col min="30" max="30" width="11.5703125" bestFit="1" customWidth="1"/>
    <col min="31" max="31" width="11.85546875" bestFit="1" customWidth="1"/>
    <col min="32" max="32" width="11.5703125" bestFit="1" customWidth="1"/>
    <col min="33" max="33" width="13.28515625" bestFit="1" customWidth="1"/>
  </cols>
  <sheetData>
    <row r="1" spans="1:33" ht="21" x14ac:dyDescent="0.35">
      <c r="A1" s="259" t="s">
        <v>271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P1" s="256" t="s">
        <v>572</v>
      </c>
    </row>
    <row r="2" spans="1:33" ht="21" x14ac:dyDescent="0.3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P2" s="256"/>
    </row>
    <row r="3" spans="1:33" ht="21" x14ac:dyDescent="0.35">
      <c r="A3" s="259">
        <v>2020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33" x14ac:dyDescent="0.25">
      <c r="A4" s="14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257" t="s">
        <v>551</v>
      </c>
      <c r="Q4" s="257" t="s">
        <v>546</v>
      </c>
      <c r="R4" s="257" t="s">
        <v>550</v>
      </c>
      <c r="U4" s="255">
        <v>2018</v>
      </c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</row>
    <row r="5" spans="1:33" ht="15.75" thickBot="1" x14ac:dyDescent="0.3">
      <c r="A5" s="14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258"/>
      <c r="Q5" s="258"/>
      <c r="R5" s="25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B6" s="7" t="s">
        <v>299</v>
      </c>
      <c r="C6" s="7" t="s">
        <v>300</v>
      </c>
      <c r="D6" s="7" t="s">
        <v>301</v>
      </c>
      <c r="E6" s="7" t="s">
        <v>302</v>
      </c>
      <c r="F6" s="7" t="s">
        <v>372</v>
      </c>
      <c r="G6" s="7" t="s">
        <v>605</v>
      </c>
      <c r="H6" s="7" t="s">
        <v>606</v>
      </c>
      <c r="I6" s="7" t="s">
        <v>607</v>
      </c>
      <c r="J6" s="7" t="s">
        <v>608</v>
      </c>
      <c r="K6" s="7" t="s">
        <v>609</v>
      </c>
      <c r="L6" s="7" t="s">
        <v>610</v>
      </c>
      <c r="M6" s="7" t="s">
        <v>611</v>
      </c>
      <c r="N6" s="7" t="s">
        <v>205</v>
      </c>
      <c r="P6" s="138">
        <v>9</v>
      </c>
      <c r="Q6" s="92"/>
      <c r="R6" s="7" t="s">
        <v>205</v>
      </c>
      <c r="U6" s="7" t="s">
        <v>299</v>
      </c>
      <c r="V6" s="7" t="s">
        <v>300</v>
      </c>
      <c r="W6" s="7" t="s">
        <v>301</v>
      </c>
      <c r="X6" s="7" t="s">
        <v>302</v>
      </c>
      <c r="Y6" s="7" t="s">
        <v>372</v>
      </c>
      <c r="Z6" s="7" t="s">
        <v>413</v>
      </c>
      <c r="AA6" s="7" t="s">
        <v>432</v>
      </c>
      <c r="AB6" s="7" t="s">
        <v>442</v>
      </c>
      <c r="AC6" s="7" t="s">
        <v>456</v>
      </c>
      <c r="AD6" s="7" t="s">
        <v>474</v>
      </c>
      <c r="AE6" s="7" t="s">
        <v>476</v>
      </c>
      <c r="AF6" s="7" t="s">
        <v>525</v>
      </c>
      <c r="AG6" s="7" t="s">
        <v>205</v>
      </c>
    </row>
    <row r="7" spans="1:33" x14ac:dyDescent="0.25">
      <c r="A7" s="142" t="s">
        <v>60</v>
      </c>
      <c r="P7" s="2"/>
      <c r="Q7" s="2"/>
      <c r="R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5">
      <c r="A8" s="141" t="s">
        <v>273</v>
      </c>
      <c r="B8" s="2">
        <v>1185.8900000000001</v>
      </c>
      <c r="N8" s="2">
        <f t="shared" ref="N8:N16" si="0">SUM(B8:M8)</f>
        <v>1185.8900000000001</v>
      </c>
      <c r="P8" s="2">
        <f>Q8/12*$P$6</f>
        <v>22502.204999999998</v>
      </c>
      <c r="Q8" s="2">
        <f>R8</f>
        <v>30002.94</v>
      </c>
      <c r="R8" s="2">
        <f>AG8</f>
        <v>30002.94</v>
      </c>
      <c r="S8" s="94">
        <f>R8-AG8</f>
        <v>0</v>
      </c>
      <c r="T8" s="94"/>
      <c r="U8" s="2">
        <v>1007.48</v>
      </c>
      <c r="V8" s="2">
        <v>2880.98</v>
      </c>
      <c r="W8" s="2">
        <v>11848.57</v>
      </c>
      <c r="X8" s="2">
        <v>8277.67</v>
      </c>
      <c r="Y8" s="2">
        <v>59.53</v>
      </c>
      <c r="Z8" s="2">
        <f>1079.75-0.03</f>
        <v>1079.72</v>
      </c>
      <c r="AA8" s="2">
        <f>1171.63+9</f>
        <v>1180.6300000000001</v>
      </c>
      <c r="AB8" s="2">
        <v>294.82</v>
      </c>
      <c r="AC8" s="2">
        <v>425.67</v>
      </c>
      <c r="AD8" s="2">
        <v>497.99</v>
      </c>
      <c r="AE8" s="2">
        <v>1117.45</v>
      </c>
      <c r="AF8" s="2">
        <v>1332.43</v>
      </c>
      <c r="AG8" s="2">
        <f t="shared" ref="AG8:AG16" si="1">SUM(U8:AF8)</f>
        <v>30002.94</v>
      </c>
    </row>
    <row r="9" spans="1:33" x14ac:dyDescent="0.25">
      <c r="A9" s="141" t="s">
        <v>274</v>
      </c>
      <c r="B9" s="2">
        <v>790</v>
      </c>
      <c r="N9" s="2">
        <f t="shared" si="0"/>
        <v>790</v>
      </c>
      <c r="P9" s="2">
        <f t="shared" ref="P9:P16" si="2">Q9/12*$P$6</f>
        <v>5778.75</v>
      </c>
      <c r="Q9" s="2">
        <f t="shared" ref="Q9:Q16" si="3">R9</f>
        <v>7705</v>
      </c>
      <c r="R9" s="2">
        <f t="shared" ref="R9:R16" si="4">AG9</f>
        <v>7705</v>
      </c>
      <c r="S9" s="94">
        <f t="shared" ref="S9:S78" si="5">R9-AG9</f>
        <v>0</v>
      </c>
      <c r="T9" s="94"/>
      <c r="U9" s="2">
        <v>1315</v>
      </c>
      <c r="V9" s="2">
        <v>690</v>
      </c>
      <c r="W9" s="2">
        <v>380</v>
      </c>
      <c r="X9" s="2">
        <v>0</v>
      </c>
      <c r="Y9" s="2">
        <v>0</v>
      </c>
      <c r="Z9" s="2">
        <v>0</v>
      </c>
      <c r="AA9" s="2">
        <v>540</v>
      </c>
      <c r="AB9" s="2">
        <v>830</v>
      </c>
      <c r="AC9" s="2">
        <v>605</v>
      </c>
      <c r="AD9" s="2">
        <v>530</v>
      </c>
      <c r="AE9" s="2">
        <v>540</v>
      </c>
      <c r="AF9" s="2">
        <v>2275</v>
      </c>
      <c r="AG9" s="2">
        <f t="shared" si="1"/>
        <v>7705</v>
      </c>
    </row>
    <row r="10" spans="1:33" x14ac:dyDescent="0.25">
      <c r="A10" s="141" t="s">
        <v>329</v>
      </c>
      <c r="B10" s="2">
        <v>50</v>
      </c>
      <c r="N10" s="2">
        <f t="shared" si="0"/>
        <v>50</v>
      </c>
      <c r="P10" s="2">
        <f t="shared" si="2"/>
        <v>712.5</v>
      </c>
      <c r="Q10" s="2">
        <f t="shared" si="3"/>
        <v>950</v>
      </c>
      <c r="R10" s="2">
        <f t="shared" si="4"/>
        <v>950</v>
      </c>
      <c r="S10" s="94">
        <f t="shared" si="5"/>
        <v>0</v>
      </c>
      <c r="T10" s="94"/>
      <c r="U10" s="2">
        <v>150</v>
      </c>
      <c r="V10" s="2">
        <v>100</v>
      </c>
      <c r="W10" s="2">
        <v>150</v>
      </c>
      <c r="X10" s="2">
        <v>0</v>
      </c>
      <c r="Y10" s="2">
        <v>100</v>
      </c>
      <c r="Z10" s="2">
        <v>50</v>
      </c>
      <c r="AA10" s="2">
        <v>150</v>
      </c>
      <c r="AB10" s="2">
        <v>50</v>
      </c>
      <c r="AC10" s="2">
        <v>50</v>
      </c>
      <c r="AD10" s="2">
        <v>150</v>
      </c>
      <c r="AE10" s="2">
        <v>0</v>
      </c>
      <c r="AF10" s="2">
        <v>0</v>
      </c>
      <c r="AG10" s="2">
        <f t="shared" si="1"/>
        <v>950</v>
      </c>
    </row>
    <row r="11" spans="1:33" x14ac:dyDescent="0.25">
      <c r="A11" s="141" t="s">
        <v>275</v>
      </c>
      <c r="B11" s="2">
        <v>296735</v>
      </c>
      <c r="N11" s="2">
        <f t="shared" si="0"/>
        <v>296735</v>
      </c>
      <c r="P11" s="2">
        <f t="shared" si="2"/>
        <v>1229992.5</v>
      </c>
      <c r="Q11" s="2">
        <f t="shared" si="3"/>
        <v>1639990</v>
      </c>
      <c r="R11" s="2">
        <f t="shared" si="4"/>
        <v>1639990</v>
      </c>
      <c r="S11" s="94">
        <f t="shared" si="5"/>
        <v>0</v>
      </c>
      <c r="T11" s="94"/>
      <c r="U11" s="2">
        <v>74672.5</v>
      </c>
      <c r="V11" s="2">
        <v>77307.5</v>
      </c>
      <c r="W11" s="2">
        <v>85637.5</v>
      </c>
      <c r="X11" s="2">
        <v>107355</v>
      </c>
      <c r="Y11" s="2">
        <v>119340</v>
      </c>
      <c r="Z11" s="2">
        <v>128860</v>
      </c>
      <c r="AA11" s="2">
        <v>158737.5</v>
      </c>
      <c r="AB11" s="2">
        <v>200812.5</v>
      </c>
      <c r="AC11" s="2">
        <v>220447.5</v>
      </c>
      <c r="AD11" s="2">
        <v>134002.5</v>
      </c>
      <c r="AE11" s="2">
        <v>145690</v>
      </c>
      <c r="AF11" s="2">
        <v>187127.5</v>
      </c>
      <c r="AG11" s="2">
        <f t="shared" si="1"/>
        <v>1639990</v>
      </c>
    </row>
    <row r="12" spans="1:33" x14ac:dyDescent="0.25">
      <c r="A12" s="141" t="s">
        <v>303</v>
      </c>
      <c r="B12" s="2">
        <v>186375</v>
      </c>
      <c r="N12" s="2">
        <f>SUM(B12:M12)</f>
        <v>186375</v>
      </c>
      <c r="P12" s="2">
        <f t="shared" si="2"/>
        <v>1011136.5</v>
      </c>
      <c r="Q12" s="2">
        <f t="shared" si="3"/>
        <v>1348182</v>
      </c>
      <c r="R12" s="2">
        <f t="shared" si="4"/>
        <v>1348182</v>
      </c>
      <c r="S12" s="94">
        <f t="shared" si="5"/>
        <v>0</v>
      </c>
      <c r="T12" s="94"/>
      <c r="U12" s="2">
        <v>29225</v>
      </c>
      <c r="V12" s="2">
        <v>0</v>
      </c>
      <c r="W12" s="2">
        <v>67262</v>
      </c>
      <c r="X12" s="2">
        <v>0</v>
      </c>
      <c r="Y12" s="2">
        <v>109042</v>
      </c>
      <c r="Z12" s="2">
        <v>21090</v>
      </c>
      <c r="AA12" s="2">
        <v>26700</v>
      </c>
      <c r="AB12" s="2">
        <v>19838</v>
      </c>
      <c r="AC12" s="2">
        <v>527275</v>
      </c>
      <c r="AD12" s="2">
        <v>238875</v>
      </c>
      <c r="AE12" s="2">
        <v>50050</v>
      </c>
      <c r="AF12" s="2">
        <v>258825</v>
      </c>
      <c r="AG12" s="2">
        <f t="shared" si="1"/>
        <v>1348182</v>
      </c>
    </row>
    <row r="13" spans="1:33" x14ac:dyDescent="0.25">
      <c r="A13" s="141" t="s">
        <v>276</v>
      </c>
      <c r="B13" s="2">
        <v>4022.75</v>
      </c>
      <c r="N13" s="2">
        <f t="shared" si="0"/>
        <v>4022.75</v>
      </c>
      <c r="P13" s="2">
        <f t="shared" si="2"/>
        <v>52761.75</v>
      </c>
      <c r="Q13" s="2">
        <f t="shared" si="3"/>
        <v>70349</v>
      </c>
      <c r="R13" s="2">
        <f t="shared" si="4"/>
        <v>70349</v>
      </c>
      <c r="S13" s="94">
        <f t="shared" si="5"/>
        <v>0</v>
      </c>
      <c r="T13" s="94"/>
      <c r="U13" s="2">
        <v>3474</v>
      </c>
      <c r="V13" s="2">
        <v>3440.25</v>
      </c>
      <c r="W13" s="2">
        <v>3440.25</v>
      </c>
      <c r="X13" s="2">
        <v>5316.75</v>
      </c>
      <c r="Y13" s="2">
        <v>5316.75</v>
      </c>
      <c r="Z13" s="2">
        <v>7155.5</v>
      </c>
      <c r="AA13" s="2">
        <v>7110.5</v>
      </c>
      <c r="AB13" s="2">
        <v>7819.25</v>
      </c>
      <c r="AC13" s="2">
        <v>6844.25</v>
      </c>
      <c r="AD13" s="2">
        <v>6810.5</v>
      </c>
      <c r="AE13" s="2">
        <v>6810.5</v>
      </c>
      <c r="AF13" s="2">
        <v>6810.5</v>
      </c>
      <c r="AG13" s="2">
        <f t="shared" si="1"/>
        <v>70349</v>
      </c>
    </row>
    <row r="14" spans="1:33" x14ac:dyDescent="0.25">
      <c r="A14" s="141" t="s">
        <v>537</v>
      </c>
      <c r="B14" s="2">
        <v>48971.22</v>
      </c>
      <c r="N14" s="2">
        <f t="shared" si="0"/>
        <v>48971.22</v>
      </c>
      <c r="P14" s="2">
        <f t="shared" si="2"/>
        <v>324744.27</v>
      </c>
      <c r="Q14" s="2">
        <f t="shared" si="3"/>
        <v>432992.36000000004</v>
      </c>
      <c r="R14" s="2">
        <f t="shared" si="4"/>
        <v>432992.36000000004</v>
      </c>
      <c r="S14" s="94">
        <f t="shared" si="5"/>
        <v>0</v>
      </c>
      <c r="T14" s="94"/>
      <c r="U14" s="2">
        <v>39424.43</v>
      </c>
      <c r="V14" s="2">
        <v>30082.99</v>
      </c>
      <c r="W14" s="2">
        <v>37907.64</v>
      </c>
      <c r="X14" s="2">
        <v>44830.54</v>
      </c>
      <c r="Y14" s="2">
        <v>40289.01</v>
      </c>
      <c r="Z14" s="2">
        <v>22639.5</v>
      </c>
      <c r="AA14" s="2">
        <v>36972.589999999997</v>
      </c>
      <c r="AB14" s="2">
        <v>37608.94</v>
      </c>
      <c r="AC14" s="2">
        <v>39991</v>
      </c>
      <c r="AD14" s="2">
        <v>40484.660000000003</v>
      </c>
      <c r="AE14" s="2">
        <v>31427.23</v>
      </c>
      <c r="AF14" s="2">
        <v>31333.83</v>
      </c>
      <c r="AG14" s="2">
        <f t="shared" si="1"/>
        <v>432992.36000000004</v>
      </c>
    </row>
    <row r="15" spans="1:33" x14ac:dyDescent="0.25">
      <c r="A15" s="141" t="s">
        <v>416</v>
      </c>
      <c r="B15" s="2">
        <v>1333.33</v>
      </c>
      <c r="N15" s="2">
        <f t="shared" si="0"/>
        <v>1333.33</v>
      </c>
      <c r="P15" s="2">
        <f t="shared" si="2"/>
        <v>12000</v>
      </c>
      <c r="Q15" s="2">
        <f t="shared" si="3"/>
        <v>16000</v>
      </c>
      <c r="R15" s="2">
        <f t="shared" si="4"/>
        <v>16000</v>
      </c>
      <c r="S15" s="94">
        <f t="shared" si="5"/>
        <v>0</v>
      </c>
      <c r="T15" s="94"/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8000</v>
      </c>
      <c r="AA15" s="2">
        <v>1333.33</v>
      </c>
      <c r="AB15" s="2">
        <v>1333.33</v>
      </c>
      <c r="AC15" s="2">
        <v>1333.33</v>
      </c>
      <c r="AD15" s="2">
        <v>1333.33</v>
      </c>
      <c r="AE15" s="2">
        <v>1333.34</v>
      </c>
      <c r="AF15" s="2">
        <v>1333.34</v>
      </c>
      <c r="AG15" s="2">
        <f t="shared" si="1"/>
        <v>16000</v>
      </c>
    </row>
    <row r="16" spans="1:33" x14ac:dyDescent="0.25">
      <c r="A16" s="141" t="s">
        <v>417</v>
      </c>
      <c r="B16" s="2">
        <v>10390.57</v>
      </c>
      <c r="N16" s="2">
        <f t="shared" si="0"/>
        <v>10390.57</v>
      </c>
      <c r="P16" s="2">
        <f t="shared" si="2"/>
        <v>55916.017500000002</v>
      </c>
      <c r="Q16" s="2">
        <f t="shared" si="3"/>
        <v>74554.69</v>
      </c>
      <c r="R16" s="2">
        <f t="shared" si="4"/>
        <v>74554.69</v>
      </c>
      <c r="S16" s="94">
        <f t="shared" si="5"/>
        <v>0</v>
      </c>
      <c r="T16" s="94"/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38415.89</v>
      </c>
      <c r="AA16" s="2">
        <v>6304.08</v>
      </c>
      <c r="AB16" s="2">
        <v>6205.45</v>
      </c>
      <c r="AC16" s="2">
        <v>5848.28</v>
      </c>
      <c r="AD16" s="2">
        <v>6050.97</v>
      </c>
      <c r="AE16" s="2">
        <v>5781.92</v>
      </c>
      <c r="AF16" s="2">
        <v>5948.1</v>
      </c>
      <c r="AG16" s="2">
        <f t="shared" si="1"/>
        <v>74554.69</v>
      </c>
    </row>
    <row r="17" spans="1:33" x14ac:dyDescent="0.25">
      <c r="A17" s="142" t="s">
        <v>221</v>
      </c>
      <c r="B17" s="4">
        <f t="shared" ref="B17:N17" si="6">SUM(B8:B16)</f>
        <v>549853.75999999989</v>
      </c>
      <c r="C17" s="4">
        <f t="shared" si="6"/>
        <v>0</v>
      </c>
      <c r="D17" s="4">
        <f t="shared" si="6"/>
        <v>0</v>
      </c>
      <c r="E17" s="4">
        <f t="shared" si="6"/>
        <v>0</v>
      </c>
      <c r="F17" s="4">
        <f t="shared" si="6"/>
        <v>0</v>
      </c>
      <c r="G17" s="4">
        <f t="shared" ref="G17:L17" si="7">SUM(G8:G16)</f>
        <v>0</v>
      </c>
      <c r="H17" s="4">
        <f t="shared" si="7"/>
        <v>0</v>
      </c>
      <c r="I17" s="4">
        <f t="shared" si="7"/>
        <v>0</v>
      </c>
      <c r="J17" s="4">
        <f t="shared" si="7"/>
        <v>0</v>
      </c>
      <c r="K17" s="4">
        <f t="shared" si="7"/>
        <v>0</v>
      </c>
      <c r="L17" s="4">
        <f t="shared" si="7"/>
        <v>0</v>
      </c>
      <c r="M17" s="4">
        <f t="shared" si="6"/>
        <v>0</v>
      </c>
      <c r="N17" s="4">
        <f t="shared" si="6"/>
        <v>549853.75999999989</v>
      </c>
      <c r="P17" s="4">
        <f>SUM(P8:P16)</f>
        <v>2715544.4925000002</v>
      </c>
      <c r="Q17" s="4">
        <f>SUM(Q8:Q16)</f>
        <v>3620725.9899999998</v>
      </c>
      <c r="R17" s="4">
        <f>SUM(R8:R16)</f>
        <v>3620725.9899999998</v>
      </c>
      <c r="S17" s="94">
        <f t="shared" si="5"/>
        <v>0</v>
      </c>
      <c r="T17" s="94"/>
      <c r="U17" s="4">
        <f t="shared" ref="U17:AG17" si="8">SUM(U8:U16)</f>
        <v>149268.41</v>
      </c>
      <c r="V17" s="4">
        <f t="shared" si="8"/>
        <v>114501.72</v>
      </c>
      <c r="W17" s="4">
        <f t="shared" si="8"/>
        <v>206625.96000000002</v>
      </c>
      <c r="X17" s="4">
        <f t="shared" si="8"/>
        <v>165779.96</v>
      </c>
      <c r="Y17" s="4">
        <f t="shared" si="8"/>
        <v>274147.28999999998</v>
      </c>
      <c r="Z17" s="4">
        <f t="shared" si="8"/>
        <v>227290.61</v>
      </c>
      <c r="AA17" s="4">
        <f t="shared" si="8"/>
        <v>239028.62999999998</v>
      </c>
      <c r="AB17" s="4">
        <f t="shared" si="8"/>
        <v>274792.29000000004</v>
      </c>
      <c r="AC17" s="4">
        <f t="shared" si="8"/>
        <v>802820.03</v>
      </c>
      <c r="AD17" s="4">
        <f t="shared" si="8"/>
        <v>428734.95</v>
      </c>
      <c r="AE17" s="4">
        <f t="shared" si="8"/>
        <v>242750.44000000003</v>
      </c>
      <c r="AF17" s="4">
        <f t="shared" si="8"/>
        <v>494985.7</v>
      </c>
      <c r="AG17" s="4">
        <f t="shared" si="8"/>
        <v>3620725.9899999998</v>
      </c>
    </row>
    <row r="18" spans="1:33" x14ac:dyDescent="0.25">
      <c r="P18" s="2"/>
      <c r="Q18" s="2"/>
      <c r="R18" s="2"/>
      <c r="S18" s="94"/>
      <c r="T18" s="9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142" t="s">
        <v>277</v>
      </c>
      <c r="N19" s="2">
        <f>SUM(B19:F19)</f>
        <v>0</v>
      </c>
      <c r="P19" s="2"/>
      <c r="Q19" s="2"/>
      <c r="R19" s="2"/>
      <c r="S19" s="94"/>
      <c r="T19" s="9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f>SUM(U19:Y19)</f>
        <v>0</v>
      </c>
    </row>
    <row r="20" spans="1:33" x14ac:dyDescent="0.25">
      <c r="A20" s="141" t="s">
        <v>279</v>
      </c>
      <c r="N20" s="2">
        <f>SUM(B20:M20)</f>
        <v>0</v>
      </c>
      <c r="P20" s="2">
        <f t="shared" ref="P20:P22" si="9">Q20/12*$P$6</f>
        <v>96669.375</v>
      </c>
      <c r="Q20" s="2">
        <f t="shared" ref="Q20:Q22" si="10">R20</f>
        <v>128892.5</v>
      </c>
      <c r="R20" s="2">
        <f>AG20</f>
        <v>128892.5</v>
      </c>
      <c r="S20" s="94">
        <f t="shared" si="5"/>
        <v>0</v>
      </c>
      <c r="T20" s="94"/>
      <c r="U20" s="2">
        <v>1052.68</v>
      </c>
      <c r="V20" s="2">
        <v>7138.13</v>
      </c>
      <c r="W20" s="2">
        <v>9184.15</v>
      </c>
      <c r="X20" s="2">
        <v>19400.439999999999</v>
      </c>
      <c r="Y20" s="2">
        <v>36.549999999999997</v>
      </c>
      <c r="Z20" s="2">
        <v>15295.31</v>
      </c>
      <c r="AA20" s="2">
        <v>15289.72</v>
      </c>
      <c r="AB20" s="2">
        <v>12182.21</v>
      </c>
      <c r="AC20" s="2">
        <v>24364.43</v>
      </c>
      <c r="AD20" s="2">
        <v>0</v>
      </c>
      <c r="AE20" s="2">
        <v>0</v>
      </c>
      <c r="AF20" s="2">
        <v>24948.880000000001</v>
      </c>
      <c r="AG20" s="2">
        <f>SUM(U20:AF20)</f>
        <v>128892.5</v>
      </c>
    </row>
    <row r="21" spans="1:33" x14ac:dyDescent="0.25">
      <c r="A21" s="141" t="s">
        <v>278</v>
      </c>
      <c r="B21" s="2">
        <v>29014.68</v>
      </c>
      <c r="N21" s="2">
        <f>SUM(B21:M21)</f>
        <v>29014.68</v>
      </c>
      <c r="P21" s="2">
        <f t="shared" si="9"/>
        <v>284775.84750000003</v>
      </c>
      <c r="Q21" s="2">
        <f t="shared" si="10"/>
        <v>379701.13000000006</v>
      </c>
      <c r="R21" s="2">
        <f t="shared" ref="R21:R22" si="11">AG21</f>
        <v>379701.13000000006</v>
      </c>
      <c r="S21" s="94">
        <f t="shared" si="5"/>
        <v>0</v>
      </c>
      <c r="T21" s="94"/>
      <c r="U21" s="2">
        <v>45325</v>
      </c>
      <c r="V21" s="2">
        <v>0</v>
      </c>
      <c r="W21" s="2">
        <v>11772.5</v>
      </c>
      <c r="X21" s="2">
        <v>11772.5</v>
      </c>
      <c r="Y21" s="2">
        <v>0</v>
      </c>
      <c r="Z21" s="2">
        <v>26350</v>
      </c>
      <c r="AA21" s="2">
        <v>0</v>
      </c>
      <c r="AB21" s="2">
        <v>36548.32</v>
      </c>
      <c r="AC21" s="2">
        <v>36546.639999999999</v>
      </c>
      <c r="AD21" s="2">
        <v>72983.460000000006</v>
      </c>
      <c r="AE21" s="2">
        <v>17340</v>
      </c>
      <c r="AF21" s="2">
        <v>121062.71</v>
      </c>
      <c r="AG21" s="2">
        <f>SUM(U21:AF21)</f>
        <v>379701.13000000006</v>
      </c>
    </row>
    <row r="22" spans="1:33" x14ac:dyDescent="0.25">
      <c r="A22" s="141" t="s">
        <v>418</v>
      </c>
      <c r="B22" s="2">
        <v>229.07</v>
      </c>
      <c r="N22" s="2">
        <f>SUM(B22:M22)</f>
        <v>229.07</v>
      </c>
      <c r="P22" s="2">
        <f t="shared" si="9"/>
        <v>8425.6350000000002</v>
      </c>
      <c r="Q22" s="2">
        <f t="shared" si="10"/>
        <v>11234.18</v>
      </c>
      <c r="R22" s="2">
        <f t="shared" si="11"/>
        <v>11234.18</v>
      </c>
      <c r="S22" s="94">
        <f t="shared" si="5"/>
        <v>0</v>
      </c>
      <c r="T22" s="94"/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4534.2</v>
      </c>
      <c r="AA22" s="2">
        <v>0</v>
      </c>
      <c r="AB22" s="2">
        <v>1400.86</v>
      </c>
      <c r="AC22" s="2">
        <v>0</v>
      </c>
      <c r="AD22" s="2">
        <v>4448.28</v>
      </c>
      <c r="AE22" s="2">
        <v>0</v>
      </c>
      <c r="AF22" s="2">
        <v>850.84</v>
      </c>
      <c r="AG22" s="2">
        <f>SUM(U22:AF22)</f>
        <v>11234.18</v>
      </c>
    </row>
    <row r="23" spans="1:33" x14ac:dyDescent="0.25">
      <c r="A23" s="142" t="s">
        <v>280</v>
      </c>
      <c r="B23" s="4">
        <f t="shared" ref="B23:N23" si="12">SUM(B20:B22)</f>
        <v>29243.75</v>
      </c>
      <c r="C23" s="4">
        <f t="shared" si="12"/>
        <v>0</v>
      </c>
      <c r="D23" s="4">
        <f t="shared" si="12"/>
        <v>0</v>
      </c>
      <c r="E23" s="4">
        <f t="shared" si="12"/>
        <v>0</v>
      </c>
      <c r="F23" s="4">
        <f t="shared" si="12"/>
        <v>0</v>
      </c>
      <c r="G23" s="4">
        <f t="shared" si="12"/>
        <v>0</v>
      </c>
      <c r="H23" s="4">
        <f t="shared" si="12"/>
        <v>0</v>
      </c>
      <c r="I23" s="4">
        <f t="shared" si="12"/>
        <v>0</v>
      </c>
      <c r="J23" s="4">
        <f t="shared" si="12"/>
        <v>0</v>
      </c>
      <c r="K23" s="4">
        <f t="shared" si="12"/>
        <v>0</v>
      </c>
      <c r="L23" s="4">
        <f t="shared" si="12"/>
        <v>0</v>
      </c>
      <c r="M23" s="4">
        <f t="shared" si="12"/>
        <v>0</v>
      </c>
      <c r="N23" s="4">
        <f t="shared" si="12"/>
        <v>29243.75</v>
      </c>
      <c r="P23" s="4">
        <f>SUM(P20:P22)</f>
        <v>389870.85750000004</v>
      </c>
      <c r="Q23" s="4">
        <f t="shared" ref="Q23:R23" si="13">SUM(Q20:Q22)</f>
        <v>519827.81000000006</v>
      </c>
      <c r="R23" s="4">
        <f t="shared" si="13"/>
        <v>519827.81000000006</v>
      </c>
      <c r="S23" s="94">
        <f t="shared" si="5"/>
        <v>0</v>
      </c>
      <c r="T23" s="94"/>
      <c r="U23" s="4">
        <f t="shared" ref="U23:AG23" si="14">SUM(U20:U22)</f>
        <v>46377.68</v>
      </c>
      <c r="V23" s="4">
        <f t="shared" si="14"/>
        <v>7138.13</v>
      </c>
      <c r="W23" s="4">
        <f t="shared" si="14"/>
        <v>20956.650000000001</v>
      </c>
      <c r="X23" s="4">
        <f t="shared" si="14"/>
        <v>31172.94</v>
      </c>
      <c r="Y23" s="4">
        <f t="shared" si="14"/>
        <v>36.549999999999997</v>
      </c>
      <c r="Z23" s="4">
        <f t="shared" si="14"/>
        <v>46179.509999999995</v>
      </c>
      <c r="AA23" s="4">
        <f t="shared" si="14"/>
        <v>15289.72</v>
      </c>
      <c r="AB23" s="4">
        <f t="shared" si="14"/>
        <v>50131.39</v>
      </c>
      <c r="AC23" s="4">
        <f t="shared" si="14"/>
        <v>60911.07</v>
      </c>
      <c r="AD23" s="4">
        <f t="shared" si="14"/>
        <v>77431.740000000005</v>
      </c>
      <c r="AE23" s="4">
        <f t="shared" si="14"/>
        <v>17340</v>
      </c>
      <c r="AF23" s="4">
        <f t="shared" si="14"/>
        <v>146862.43</v>
      </c>
      <c r="AG23" s="4">
        <f t="shared" si="14"/>
        <v>519827.81000000006</v>
      </c>
    </row>
    <row r="24" spans="1:33" x14ac:dyDescent="0.25">
      <c r="P24" s="2"/>
      <c r="Q24" s="2"/>
      <c r="R24" s="2"/>
      <c r="S24" s="94"/>
      <c r="T24" s="9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thickBot="1" x14ac:dyDescent="0.3">
      <c r="A25" s="142" t="s">
        <v>209</v>
      </c>
      <c r="B25" s="5">
        <f t="shared" ref="B25:N25" si="15">B17-B23</f>
        <v>520610.00999999989</v>
      </c>
      <c r="C25" s="5">
        <f t="shared" si="15"/>
        <v>0</v>
      </c>
      <c r="D25" s="5">
        <f t="shared" si="15"/>
        <v>0</v>
      </c>
      <c r="E25" s="5">
        <f t="shared" si="15"/>
        <v>0</v>
      </c>
      <c r="F25" s="5">
        <f t="shared" si="15"/>
        <v>0</v>
      </c>
      <c r="G25" s="5">
        <f t="shared" si="15"/>
        <v>0</v>
      </c>
      <c r="H25" s="5">
        <f t="shared" si="15"/>
        <v>0</v>
      </c>
      <c r="I25" s="5">
        <f t="shared" si="15"/>
        <v>0</v>
      </c>
      <c r="J25" s="5">
        <f t="shared" si="15"/>
        <v>0</v>
      </c>
      <c r="K25" s="5">
        <f t="shared" si="15"/>
        <v>0</v>
      </c>
      <c r="L25" s="5">
        <f t="shared" si="15"/>
        <v>0</v>
      </c>
      <c r="M25" s="5">
        <f t="shared" si="15"/>
        <v>0</v>
      </c>
      <c r="N25" s="5">
        <f t="shared" si="15"/>
        <v>520610.00999999989</v>
      </c>
      <c r="P25" s="5">
        <f>P17-P23</f>
        <v>2325673.6350000002</v>
      </c>
      <c r="Q25" s="5">
        <f t="shared" ref="Q25:R25" si="16">Q17-Q23</f>
        <v>3100898.1799999997</v>
      </c>
      <c r="R25" s="5">
        <f t="shared" si="16"/>
        <v>3100898.1799999997</v>
      </c>
      <c r="S25" s="94">
        <f t="shared" si="5"/>
        <v>0</v>
      </c>
      <c r="T25" s="94"/>
      <c r="U25" s="5">
        <f t="shared" ref="U25:AG25" si="17">U17-U23</f>
        <v>102890.73000000001</v>
      </c>
      <c r="V25" s="5">
        <f t="shared" si="17"/>
        <v>107363.59</v>
      </c>
      <c r="W25" s="5">
        <f t="shared" si="17"/>
        <v>185669.31000000003</v>
      </c>
      <c r="X25" s="5">
        <f t="shared" si="17"/>
        <v>134607.01999999999</v>
      </c>
      <c r="Y25" s="5">
        <f t="shared" si="17"/>
        <v>274110.74</v>
      </c>
      <c r="Z25" s="5">
        <f t="shared" si="17"/>
        <v>181111.09999999998</v>
      </c>
      <c r="AA25" s="5">
        <f t="shared" si="17"/>
        <v>223738.90999999997</v>
      </c>
      <c r="AB25" s="5">
        <f t="shared" si="17"/>
        <v>224660.90000000002</v>
      </c>
      <c r="AC25" s="5">
        <f t="shared" si="17"/>
        <v>741908.96000000008</v>
      </c>
      <c r="AD25" s="5">
        <f t="shared" si="17"/>
        <v>351303.21</v>
      </c>
      <c r="AE25" s="5">
        <f t="shared" si="17"/>
        <v>225410.44000000003</v>
      </c>
      <c r="AF25" s="5">
        <f t="shared" si="17"/>
        <v>348123.27</v>
      </c>
      <c r="AG25" s="5">
        <f t="shared" si="17"/>
        <v>3100898.1799999997</v>
      </c>
    </row>
    <row r="26" spans="1:33" x14ac:dyDescent="0.25">
      <c r="P26" s="2"/>
      <c r="Q26" s="2"/>
      <c r="R26" s="2"/>
      <c r="S26" s="94"/>
      <c r="T26" s="9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142" t="s">
        <v>207</v>
      </c>
      <c r="P27" s="2"/>
      <c r="Q27" s="2"/>
      <c r="R27" s="2"/>
      <c r="S27" s="94"/>
      <c r="T27" s="9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141" t="s">
        <v>223</v>
      </c>
      <c r="P28" s="2"/>
      <c r="Q28" s="2"/>
      <c r="R28" s="2"/>
      <c r="S28" s="94"/>
      <c r="T28" s="9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>
        <f>SUM(U28:Y28)</f>
        <v>0</v>
      </c>
    </row>
    <row r="29" spans="1:33" x14ac:dyDescent="0.25">
      <c r="A29" s="141" t="s">
        <v>281</v>
      </c>
      <c r="B29" s="2">
        <v>76501.41</v>
      </c>
      <c r="N29" s="2">
        <f>SUM(B29:M29)</f>
        <v>76501.41</v>
      </c>
      <c r="P29" s="2">
        <f>Q29/12*$P$6</f>
        <v>648000</v>
      </c>
      <c r="Q29" s="2">
        <f>72000*12</f>
        <v>864000</v>
      </c>
      <c r="R29" s="2">
        <f>AG29</f>
        <v>848837.41</v>
      </c>
      <c r="S29" s="94">
        <f t="shared" si="5"/>
        <v>0</v>
      </c>
      <c r="T29" s="94"/>
      <c r="U29" s="2">
        <v>8738.67</v>
      </c>
      <c r="V29" s="2">
        <v>7542.86</v>
      </c>
      <c r="W29" s="2">
        <v>8498.8799999999992</v>
      </c>
      <c r="X29" s="2">
        <v>8584.34</v>
      </c>
      <c r="Y29" s="2">
        <v>9426.1</v>
      </c>
      <c r="Z29" s="2">
        <v>8607.9500000000007</v>
      </c>
      <c r="AA29" s="2">
        <v>8988.25</v>
      </c>
      <c r="AB29" s="2">
        <v>9405.7800000000007</v>
      </c>
      <c r="AC29" s="2">
        <v>485631.04</v>
      </c>
      <c r="AD29" s="2">
        <v>84237.75</v>
      </c>
      <c r="AE29" s="2">
        <v>67313.05</v>
      </c>
      <c r="AF29" s="2">
        <v>141862.74</v>
      </c>
      <c r="AG29" s="2">
        <f>SUM(U29:AF29)</f>
        <v>848837.41</v>
      </c>
    </row>
    <row r="30" spans="1:33" x14ac:dyDescent="0.25">
      <c r="A30" s="141" t="s">
        <v>531</v>
      </c>
      <c r="B30" s="2">
        <v>5762.5</v>
      </c>
      <c r="N30" s="2">
        <f>SUM(B30:M30)</f>
        <v>5762.5</v>
      </c>
      <c r="P30" s="2">
        <f t="shared" ref="P30:P37" si="18">Q30/12*$P$6</f>
        <v>33356.25</v>
      </c>
      <c r="Q30" s="2">
        <f>(3706.25*12)</f>
        <v>44475</v>
      </c>
      <c r="R30" s="2">
        <f t="shared" ref="R30:R37" si="19">AG30</f>
        <v>0</v>
      </c>
      <c r="S30" s="94">
        <f t="shared" si="5"/>
        <v>0</v>
      </c>
      <c r="T30" s="9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141" t="s">
        <v>225</v>
      </c>
      <c r="B31" s="2">
        <v>391.96</v>
      </c>
      <c r="N31" s="2">
        <f>SUM(B31:M31)</f>
        <v>391.96</v>
      </c>
      <c r="P31" s="2"/>
      <c r="Q31" s="2"/>
      <c r="R31" s="2"/>
      <c r="S31" s="94"/>
      <c r="T31" s="9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141" t="s">
        <v>282</v>
      </c>
      <c r="B32" s="2">
        <v>8780.4699999999993</v>
      </c>
      <c r="N32" s="2">
        <f t="shared" ref="N32:N38" si="20">SUM(B32:M32)</f>
        <v>8780.4699999999993</v>
      </c>
      <c r="P32" s="2">
        <f t="shared" si="18"/>
        <v>49301.257500000007</v>
      </c>
      <c r="Q32" s="2">
        <f t="shared" ref="Q32:Q37" si="21">R32</f>
        <v>65735.010000000009</v>
      </c>
      <c r="R32" s="2">
        <f t="shared" si="19"/>
        <v>65735.010000000009</v>
      </c>
      <c r="S32" s="94">
        <f t="shared" si="5"/>
        <v>0</v>
      </c>
      <c r="T32" s="94"/>
      <c r="U32" s="2">
        <v>1485.28</v>
      </c>
      <c r="V32" s="2">
        <v>1185.3900000000001</v>
      </c>
      <c r="W32" s="2">
        <v>1307.2</v>
      </c>
      <c r="X32" s="2">
        <v>729.18</v>
      </c>
      <c r="Y32" s="2">
        <v>687.56</v>
      </c>
      <c r="Z32" s="2">
        <v>659.18</v>
      </c>
      <c r="AA32" s="2">
        <v>670.69</v>
      </c>
      <c r="AB32" s="2">
        <v>720.28</v>
      </c>
      <c r="AC32" s="2">
        <v>40654.26</v>
      </c>
      <c r="AD32" s="2">
        <v>4895.8900000000003</v>
      </c>
      <c r="AE32" s="2">
        <v>3981.11</v>
      </c>
      <c r="AF32" s="2">
        <v>8758.99</v>
      </c>
      <c r="AG32" s="2">
        <f t="shared" ref="AG32:AG37" si="22">SUM(U32:AF32)</f>
        <v>65735.010000000009</v>
      </c>
    </row>
    <row r="33" spans="1:33" x14ac:dyDescent="0.25">
      <c r="A33" s="141" t="s">
        <v>283</v>
      </c>
      <c r="B33" s="2">
        <v>11183.14</v>
      </c>
      <c r="N33" s="2">
        <f t="shared" si="20"/>
        <v>11183.14</v>
      </c>
      <c r="P33" s="2">
        <f t="shared" si="18"/>
        <v>83250</v>
      </c>
      <c r="Q33" s="2">
        <f>9250*12</f>
        <v>111000</v>
      </c>
      <c r="R33" s="2">
        <f t="shared" si="19"/>
        <v>100999.13</v>
      </c>
      <c r="S33" s="94">
        <f t="shared" si="5"/>
        <v>0</v>
      </c>
      <c r="T33" s="94"/>
      <c r="U33" s="2">
        <v>3064.68</v>
      </c>
      <c r="V33" s="2">
        <v>3064.68</v>
      </c>
      <c r="W33" s="2">
        <v>3580.55</v>
      </c>
      <c r="X33" s="2">
        <v>3064.68</v>
      </c>
      <c r="Y33" s="2">
        <v>3064.68</v>
      </c>
      <c r="Z33" s="2">
        <v>3064.68</v>
      </c>
      <c r="AA33" s="2">
        <v>3064.68</v>
      </c>
      <c r="AB33" s="2">
        <v>3064.68</v>
      </c>
      <c r="AC33" s="2">
        <v>51772.85</v>
      </c>
      <c r="AD33" s="2">
        <v>8213.7800000000007</v>
      </c>
      <c r="AE33" s="2">
        <v>8596.84</v>
      </c>
      <c r="AF33" s="2">
        <v>7382.35</v>
      </c>
      <c r="AG33" s="2">
        <f t="shared" si="22"/>
        <v>100999.13</v>
      </c>
    </row>
    <row r="34" spans="1:33" x14ac:dyDescent="0.25">
      <c r="A34" s="141" t="s">
        <v>284</v>
      </c>
      <c r="B34" s="2">
        <v>1371.92</v>
      </c>
      <c r="N34" s="2">
        <f t="shared" si="20"/>
        <v>1371.92</v>
      </c>
      <c r="P34" s="2">
        <f t="shared" si="18"/>
        <v>9450</v>
      </c>
      <c r="Q34" s="2">
        <f>1050*12</f>
        <v>12600</v>
      </c>
      <c r="R34" s="2">
        <f t="shared" si="19"/>
        <v>4711.1099999999997</v>
      </c>
      <c r="S34" s="94">
        <f t="shared" si="5"/>
        <v>0</v>
      </c>
      <c r="T34" s="94"/>
      <c r="U34" s="2">
        <v>216.98</v>
      </c>
      <c r="V34" s="2">
        <v>216.98</v>
      </c>
      <c r="W34" s="2">
        <v>216.98</v>
      </c>
      <c r="X34" s="2">
        <v>216.98</v>
      </c>
      <c r="Y34" s="2">
        <v>216.98</v>
      </c>
      <c r="Z34" s="2">
        <v>216.98</v>
      </c>
      <c r="AA34" s="2">
        <v>216.98</v>
      </c>
      <c r="AB34" s="2">
        <v>216.98</v>
      </c>
      <c r="AC34" s="2">
        <v>216.98</v>
      </c>
      <c r="AD34" s="2">
        <v>959.03</v>
      </c>
      <c r="AE34" s="2">
        <v>993.66</v>
      </c>
      <c r="AF34" s="2">
        <v>805.6</v>
      </c>
      <c r="AG34" s="2">
        <f t="shared" si="22"/>
        <v>4711.1099999999997</v>
      </c>
    </row>
    <row r="35" spans="1:33" x14ac:dyDescent="0.25">
      <c r="A35" s="141" t="s">
        <v>328</v>
      </c>
      <c r="B35" s="2">
        <v>3114.88</v>
      </c>
      <c r="N35" s="2">
        <f t="shared" si="20"/>
        <v>3114.88</v>
      </c>
      <c r="P35" s="2">
        <f t="shared" si="18"/>
        <v>23400</v>
      </c>
      <c r="Q35" s="2">
        <f>2600*12</f>
        <v>31200</v>
      </c>
      <c r="R35" s="2">
        <f t="shared" si="19"/>
        <v>21975.360000000001</v>
      </c>
      <c r="S35" s="94">
        <f t="shared" si="5"/>
        <v>0</v>
      </c>
      <c r="T35" s="94"/>
      <c r="U35" s="2">
        <v>400</v>
      </c>
      <c r="V35" s="2">
        <v>400</v>
      </c>
      <c r="W35" s="2">
        <v>400</v>
      </c>
      <c r="X35" s="2">
        <v>400</v>
      </c>
      <c r="Y35" s="2">
        <v>400</v>
      </c>
      <c r="Z35" s="2">
        <v>200</v>
      </c>
      <c r="AA35" s="2">
        <v>200</v>
      </c>
      <c r="AB35" s="2">
        <v>200</v>
      </c>
      <c r="AC35" s="2">
        <v>14455.95</v>
      </c>
      <c r="AD35" s="2">
        <v>1779.8</v>
      </c>
      <c r="AE35" s="2">
        <v>1831.57</v>
      </c>
      <c r="AF35" s="2">
        <v>1308.04</v>
      </c>
      <c r="AG35" s="2">
        <f t="shared" si="22"/>
        <v>21975.360000000001</v>
      </c>
    </row>
    <row r="36" spans="1:33" x14ac:dyDescent="0.25">
      <c r="A36" s="141" t="s">
        <v>285</v>
      </c>
      <c r="B36" s="2">
        <f>168.62+65.58</f>
        <v>234.2</v>
      </c>
      <c r="N36" s="2">
        <f>SUM(B36:M36)</f>
        <v>234.2</v>
      </c>
      <c r="P36" s="2">
        <f t="shared" si="18"/>
        <v>1585.0050000000001</v>
      </c>
      <c r="Q36" s="2">
        <f t="shared" si="21"/>
        <v>2113.34</v>
      </c>
      <c r="R36" s="2">
        <f t="shared" si="19"/>
        <v>2113.34</v>
      </c>
      <c r="S36" s="94">
        <f t="shared" si="5"/>
        <v>0</v>
      </c>
      <c r="T36" s="94"/>
      <c r="U36" s="2">
        <v>64.989999999999995</v>
      </c>
      <c r="V36" s="2">
        <v>64.989999999999995</v>
      </c>
      <c r="W36" s="2">
        <v>64.989999999999995</v>
      </c>
      <c r="X36" s="2">
        <v>419.95</v>
      </c>
      <c r="Y36" s="2">
        <v>65.09</v>
      </c>
      <c r="Z36" s="2">
        <f>64.99+50.66</f>
        <v>115.64999999999999</v>
      </c>
      <c r="AA36" s="2">
        <f>64.99+66.92</f>
        <v>131.91</v>
      </c>
      <c r="AB36" s="2">
        <v>64.989999999999995</v>
      </c>
      <c r="AC36" s="2">
        <f>64.99+83.46+340</f>
        <v>488.45</v>
      </c>
      <c r="AD36" s="2">
        <v>64.989999999999995</v>
      </c>
      <c r="AE36" s="2">
        <v>64.989999999999995</v>
      </c>
      <c r="AF36" s="2">
        <f>-7.65+510</f>
        <v>502.35</v>
      </c>
      <c r="AG36" s="2">
        <f>SUM(U36:AF36)</f>
        <v>2113.34</v>
      </c>
    </row>
    <row r="37" spans="1:33" x14ac:dyDescent="0.25">
      <c r="A37" s="141" t="s">
        <v>244</v>
      </c>
      <c r="B37" s="2">
        <v>2203.0500000000002</v>
      </c>
      <c r="N37" s="139">
        <f t="shared" si="20"/>
        <v>2203.0500000000002</v>
      </c>
      <c r="P37" s="2">
        <f t="shared" si="18"/>
        <v>11371.635</v>
      </c>
      <c r="Q37" s="2">
        <f t="shared" si="21"/>
        <v>15162.18</v>
      </c>
      <c r="R37" s="2">
        <f t="shared" si="19"/>
        <v>15162.18</v>
      </c>
      <c r="S37" s="94">
        <f t="shared" si="5"/>
        <v>0</v>
      </c>
      <c r="T37" s="94"/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11412.18</v>
      </c>
      <c r="AD37" s="2">
        <v>1250</v>
      </c>
      <c r="AE37" s="2">
        <v>1250</v>
      </c>
      <c r="AF37" s="2">
        <v>1250</v>
      </c>
      <c r="AG37" s="36">
        <f t="shared" si="22"/>
        <v>15162.18</v>
      </c>
    </row>
    <row r="38" spans="1:33" x14ac:dyDescent="0.25">
      <c r="A38" s="141" t="s">
        <v>579</v>
      </c>
      <c r="N38" s="36">
        <f t="shared" si="20"/>
        <v>0</v>
      </c>
      <c r="P38" s="2"/>
      <c r="Q38" s="2"/>
      <c r="R38" s="2"/>
      <c r="S38" s="94"/>
      <c r="T38" s="9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6"/>
    </row>
    <row r="39" spans="1:33" x14ac:dyDescent="0.25">
      <c r="A39" s="142" t="s">
        <v>231</v>
      </c>
      <c r="B39" s="4">
        <f t="shared" ref="B39:H39" si="23">SUM(B29:B38)</f>
        <v>109543.53000000001</v>
      </c>
      <c r="C39" s="4">
        <f t="shared" si="23"/>
        <v>0</v>
      </c>
      <c r="D39" s="4">
        <f t="shared" si="23"/>
        <v>0</v>
      </c>
      <c r="E39" s="4">
        <f t="shared" si="23"/>
        <v>0</v>
      </c>
      <c r="F39" s="4">
        <f t="shared" si="23"/>
        <v>0</v>
      </c>
      <c r="G39" s="4">
        <f t="shared" si="23"/>
        <v>0</v>
      </c>
      <c r="H39" s="4">
        <f t="shared" si="23"/>
        <v>0</v>
      </c>
      <c r="I39" s="4">
        <f>SUM(I29:I38)</f>
        <v>0</v>
      </c>
      <c r="J39" s="4">
        <f>SUM(J29:J38)</f>
        <v>0</v>
      </c>
      <c r="K39" s="4">
        <f>SUM(K29:K38)</f>
        <v>0</v>
      </c>
      <c r="L39" s="4">
        <f t="shared" ref="L39" si="24">SUM(L29:L37)</f>
        <v>0</v>
      </c>
      <c r="M39" s="4">
        <f>SUM(M29:M38)</f>
        <v>0</v>
      </c>
      <c r="N39" s="4">
        <f>SUM(N29:N38)</f>
        <v>109543.53000000001</v>
      </c>
      <c r="P39" s="4">
        <f>SUM(P29:P37)</f>
        <v>859714.14750000008</v>
      </c>
      <c r="Q39" s="4">
        <f t="shared" ref="Q39:R39" si="25">SUM(Q29:Q37)</f>
        <v>1146285.53</v>
      </c>
      <c r="R39" s="4">
        <f t="shared" si="25"/>
        <v>1059533.54</v>
      </c>
      <c r="S39" s="94">
        <f t="shared" si="5"/>
        <v>0</v>
      </c>
      <c r="T39" s="94"/>
      <c r="U39" s="4">
        <f t="shared" ref="U39:AG39" si="26">SUM(U29:U37)</f>
        <v>13970.6</v>
      </c>
      <c r="V39" s="4">
        <f t="shared" si="26"/>
        <v>12474.9</v>
      </c>
      <c r="W39" s="4">
        <f t="shared" si="26"/>
        <v>14068.6</v>
      </c>
      <c r="X39" s="4">
        <f t="shared" si="26"/>
        <v>13415.130000000001</v>
      </c>
      <c r="Y39" s="4">
        <f t="shared" si="26"/>
        <v>13860.41</v>
      </c>
      <c r="Z39" s="4">
        <f t="shared" si="26"/>
        <v>12864.44</v>
      </c>
      <c r="AA39" s="4">
        <f t="shared" si="26"/>
        <v>13272.51</v>
      </c>
      <c r="AB39" s="4">
        <f t="shared" si="26"/>
        <v>13672.710000000001</v>
      </c>
      <c r="AC39" s="4">
        <f t="shared" si="26"/>
        <v>604631.70999999985</v>
      </c>
      <c r="AD39" s="4">
        <f t="shared" si="26"/>
        <v>101401.24</v>
      </c>
      <c r="AE39" s="4">
        <f t="shared" si="26"/>
        <v>84031.220000000016</v>
      </c>
      <c r="AF39" s="4">
        <f t="shared" si="26"/>
        <v>161870.07</v>
      </c>
      <c r="AG39" s="4">
        <f t="shared" si="26"/>
        <v>1059533.54</v>
      </c>
    </row>
    <row r="40" spans="1:33" x14ac:dyDescent="0.25">
      <c r="A40" s="141" t="s">
        <v>59</v>
      </c>
      <c r="P40" s="2"/>
      <c r="Q40" s="2"/>
      <c r="R40" s="2"/>
      <c r="S40" s="94"/>
      <c r="T40" s="9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142" t="s">
        <v>286</v>
      </c>
      <c r="P41" s="2"/>
      <c r="Q41" s="2"/>
      <c r="R41" s="2"/>
      <c r="S41" s="94"/>
      <c r="T41" s="9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141" t="s">
        <v>232</v>
      </c>
      <c r="B42" s="2">
        <f>25000+12500</f>
        <v>37500</v>
      </c>
      <c r="N42" s="2">
        <f>SUM(B42:M42)</f>
        <v>37500</v>
      </c>
      <c r="P42" s="2">
        <f>Q42/12*$P$6</f>
        <v>337500</v>
      </c>
      <c r="Q42" s="2">
        <f t="shared" ref="Q42:Q59" si="27">R42</f>
        <v>450000</v>
      </c>
      <c r="R42" s="2">
        <f>AG42</f>
        <v>450000</v>
      </c>
      <c r="S42" s="94">
        <f t="shared" si="5"/>
        <v>0</v>
      </c>
      <c r="T42" s="94"/>
      <c r="U42" s="2">
        <f t="shared" ref="U42:AF42" si="28">25000+12500</f>
        <v>37500</v>
      </c>
      <c r="V42" s="2">
        <f t="shared" si="28"/>
        <v>37500</v>
      </c>
      <c r="W42" s="2">
        <f t="shared" si="28"/>
        <v>37500</v>
      </c>
      <c r="X42" s="2">
        <f t="shared" si="28"/>
        <v>37500</v>
      </c>
      <c r="Y42" s="2">
        <f t="shared" si="28"/>
        <v>37500</v>
      </c>
      <c r="Z42" s="2">
        <f t="shared" si="28"/>
        <v>37500</v>
      </c>
      <c r="AA42" s="2">
        <f t="shared" si="28"/>
        <v>37500</v>
      </c>
      <c r="AB42" s="2">
        <f t="shared" si="28"/>
        <v>37500</v>
      </c>
      <c r="AC42" s="2">
        <f t="shared" si="28"/>
        <v>37500</v>
      </c>
      <c r="AD42" s="2">
        <f t="shared" si="28"/>
        <v>37500</v>
      </c>
      <c r="AE42" s="2">
        <f t="shared" si="28"/>
        <v>37500</v>
      </c>
      <c r="AF42" s="2">
        <f t="shared" si="28"/>
        <v>37500</v>
      </c>
      <c r="AG42" s="2">
        <f>SUM(U42:AF42)</f>
        <v>450000</v>
      </c>
    </row>
    <row r="43" spans="1:33" x14ac:dyDescent="0.25">
      <c r="A43" s="141" t="s">
        <v>580</v>
      </c>
      <c r="B43" s="2">
        <v>-313.72000000000003</v>
      </c>
      <c r="N43" s="2">
        <f>SUM(B43:M43)</f>
        <v>-313.72000000000003</v>
      </c>
      <c r="P43" s="2">
        <f t="shared" ref="P43:P60" si="29">Q43/12*$P$6</f>
        <v>24816.747000000007</v>
      </c>
      <c r="Q43" s="2">
        <f>82722.49*0.4</f>
        <v>33088.996000000006</v>
      </c>
      <c r="R43" s="2">
        <f t="shared" ref="R43:R60" si="30">AG43</f>
        <v>82722.490000000005</v>
      </c>
      <c r="S43" s="94">
        <f t="shared" si="5"/>
        <v>0</v>
      </c>
      <c r="T43" s="94"/>
      <c r="U43" s="2">
        <v>8518.2800000000007</v>
      </c>
      <c r="V43" s="2">
        <v>5856.39</v>
      </c>
      <c r="W43" s="2">
        <v>8346.2199999999993</v>
      </c>
      <c r="X43" s="2">
        <v>4857.8599999999997</v>
      </c>
      <c r="Y43" s="2">
        <f>5661.41+210.04</f>
        <v>5871.45</v>
      </c>
      <c r="Z43" s="2">
        <v>5979.18</v>
      </c>
      <c r="AA43" s="2">
        <v>7652.61</v>
      </c>
      <c r="AB43" s="2">
        <v>7388.57</v>
      </c>
      <c r="AC43" s="2">
        <v>7702.5</v>
      </c>
      <c r="AD43" s="2">
        <f>7137.19+152.4</f>
        <v>7289.5899999999992</v>
      </c>
      <c r="AE43" s="2">
        <v>7249.21</v>
      </c>
      <c r="AF43" s="2">
        <v>6010.63</v>
      </c>
      <c r="AG43" s="2">
        <f>SUM(U43:AF43)</f>
        <v>82722.490000000005</v>
      </c>
    </row>
    <row r="44" spans="1:33" x14ac:dyDescent="0.25">
      <c r="A44" s="141" t="s">
        <v>333</v>
      </c>
      <c r="B44" s="2">
        <v>107.64</v>
      </c>
      <c r="N44" s="2">
        <f>SUM(B44:M44)</f>
        <v>107.64</v>
      </c>
      <c r="P44" s="2"/>
      <c r="Q44" s="2"/>
      <c r="R44" s="2"/>
      <c r="S44" s="94"/>
      <c r="T44" s="94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141" t="s">
        <v>288</v>
      </c>
      <c r="B45" s="2">
        <v>434</v>
      </c>
      <c r="N45" s="2">
        <f t="shared" ref="N45:N60" si="31">SUM(B45:M45)</f>
        <v>434</v>
      </c>
      <c r="P45" s="2">
        <f t="shared" si="29"/>
        <v>1350</v>
      </c>
      <c r="Q45" s="2">
        <f t="shared" si="27"/>
        <v>1800</v>
      </c>
      <c r="R45" s="2">
        <f t="shared" si="30"/>
        <v>1800</v>
      </c>
      <c r="S45" s="94">
        <f t="shared" si="5"/>
        <v>0</v>
      </c>
      <c r="T45" s="94"/>
      <c r="U45" s="2">
        <v>150</v>
      </c>
      <c r="V45" s="2">
        <v>150</v>
      </c>
      <c r="W45" s="2">
        <v>150</v>
      </c>
      <c r="X45" s="2">
        <v>150</v>
      </c>
      <c r="Y45" s="2">
        <v>150</v>
      </c>
      <c r="Z45" s="2">
        <v>150</v>
      </c>
      <c r="AA45" s="2">
        <v>150</v>
      </c>
      <c r="AB45" s="2">
        <v>150</v>
      </c>
      <c r="AC45" s="2">
        <v>150</v>
      </c>
      <c r="AD45" s="2">
        <v>150</v>
      </c>
      <c r="AE45" s="2">
        <v>150</v>
      </c>
      <c r="AF45" s="2">
        <v>150</v>
      </c>
      <c r="AG45" s="2">
        <f t="shared" ref="AG45:AG60" si="32">SUM(U45:AF45)</f>
        <v>1800</v>
      </c>
    </row>
    <row r="46" spans="1:33" x14ac:dyDescent="0.25">
      <c r="A46" s="141" t="s">
        <v>437</v>
      </c>
      <c r="B46" s="2">
        <v>2100</v>
      </c>
      <c r="N46" s="2">
        <f t="shared" si="31"/>
        <v>2100</v>
      </c>
      <c r="P46" s="2">
        <f t="shared" si="29"/>
        <v>21756.9</v>
      </c>
      <c r="Q46" s="2">
        <f t="shared" si="27"/>
        <v>29009.200000000001</v>
      </c>
      <c r="R46" s="2">
        <f t="shared" si="30"/>
        <v>29009.200000000001</v>
      </c>
      <c r="S46" s="94">
        <f t="shared" si="5"/>
        <v>0</v>
      </c>
      <c r="T46" s="94"/>
      <c r="U46" s="2">
        <v>3575</v>
      </c>
      <c r="V46" s="2">
        <v>0</v>
      </c>
      <c r="W46" s="2">
        <v>1210</v>
      </c>
      <c r="X46" s="2">
        <v>1875</v>
      </c>
      <c r="Y46" s="2">
        <v>0</v>
      </c>
      <c r="Z46" s="2">
        <v>3844.35</v>
      </c>
      <c r="AA46" s="2">
        <v>5810</v>
      </c>
      <c r="AB46" s="2">
        <v>3409.85</v>
      </c>
      <c r="AC46" s="2">
        <v>0</v>
      </c>
      <c r="AD46" s="2">
        <v>7190</v>
      </c>
      <c r="AE46" s="2">
        <v>2095</v>
      </c>
      <c r="AF46" s="2">
        <v>0</v>
      </c>
      <c r="AG46" s="2">
        <f t="shared" si="32"/>
        <v>29009.200000000001</v>
      </c>
    </row>
    <row r="47" spans="1:33" x14ac:dyDescent="0.25">
      <c r="A47" s="141" t="s">
        <v>289</v>
      </c>
      <c r="B47" s="2">
        <v>2407.6799999999998</v>
      </c>
      <c r="N47" s="2">
        <f t="shared" si="31"/>
        <v>2407.6799999999998</v>
      </c>
      <c r="P47" s="2">
        <f t="shared" si="29"/>
        <v>34523.272499999999</v>
      </c>
      <c r="Q47" s="2">
        <f t="shared" si="27"/>
        <v>46031.03</v>
      </c>
      <c r="R47" s="2">
        <f t="shared" si="30"/>
        <v>46031.03</v>
      </c>
      <c r="S47" s="94">
        <f t="shared" si="5"/>
        <v>0</v>
      </c>
      <c r="T47" s="94"/>
      <c r="U47" s="2">
        <v>959.14</v>
      </c>
      <c r="V47" s="2">
        <v>519.59</v>
      </c>
      <c r="W47" s="2">
        <v>1411.26</v>
      </c>
      <c r="X47" s="2">
        <v>2829.73</v>
      </c>
      <c r="Y47" s="2">
        <v>1685.25</v>
      </c>
      <c r="Z47" s="2">
        <v>10130.58</v>
      </c>
      <c r="AA47" s="2">
        <v>1273.76</v>
      </c>
      <c r="AB47" s="2">
        <v>6783.81</v>
      </c>
      <c r="AC47" s="2">
        <f>2446.62-1505</f>
        <v>941.61999999999989</v>
      </c>
      <c r="AD47" s="2">
        <v>9829.01</v>
      </c>
      <c r="AE47" s="2">
        <v>1402.74</v>
      </c>
      <c r="AF47" s="2">
        <v>8264.5400000000009</v>
      </c>
      <c r="AG47" s="2">
        <f t="shared" si="32"/>
        <v>46031.03</v>
      </c>
    </row>
    <row r="48" spans="1:33" x14ac:dyDescent="0.25">
      <c r="A48" s="141" t="s">
        <v>237</v>
      </c>
      <c r="B48" s="2">
        <v>6012.93</v>
      </c>
      <c r="N48" s="2">
        <f t="shared" si="31"/>
        <v>6012.93</v>
      </c>
      <c r="P48" s="2">
        <f t="shared" si="29"/>
        <v>60930</v>
      </c>
      <c r="Q48" s="2">
        <f>6770*12</f>
        <v>81240</v>
      </c>
      <c r="R48" s="2">
        <f t="shared" si="30"/>
        <v>62935.24000000002</v>
      </c>
      <c r="S48" s="94">
        <f t="shared" si="5"/>
        <v>0</v>
      </c>
      <c r="T48" s="94"/>
      <c r="U48" s="2">
        <v>5394.18</v>
      </c>
      <c r="V48" s="2">
        <v>5394.18</v>
      </c>
      <c r="W48" s="2">
        <v>5394.18</v>
      </c>
      <c r="X48" s="2">
        <v>5394.18</v>
      </c>
      <c r="Y48" s="2">
        <v>5394.18</v>
      </c>
      <c r="Z48" s="2">
        <v>5394.18</v>
      </c>
      <c r="AA48" s="2">
        <v>5019.7700000000004</v>
      </c>
      <c r="AB48" s="2">
        <v>5471.33</v>
      </c>
      <c r="AC48" s="2">
        <v>5019.7700000000004</v>
      </c>
      <c r="AD48" s="2">
        <v>5019.7700000000004</v>
      </c>
      <c r="AE48" s="2">
        <v>5019.76</v>
      </c>
      <c r="AF48" s="2">
        <v>5019.76</v>
      </c>
      <c r="AG48" s="2">
        <f t="shared" si="32"/>
        <v>62935.24000000002</v>
      </c>
    </row>
    <row r="49" spans="1:33" x14ac:dyDescent="0.25">
      <c r="A49" s="141" t="s">
        <v>234</v>
      </c>
      <c r="B49" s="2">
        <v>1874.76</v>
      </c>
      <c r="N49" s="2">
        <f t="shared" si="31"/>
        <v>1874.76</v>
      </c>
      <c r="P49" s="2"/>
      <c r="Q49" s="2"/>
      <c r="R49" s="2"/>
      <c r="S49" s="94"/>
      <c r="T49" s="94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141" t="s">
        <v>238</v>
      </c>
      <c r="B50" s="2">
        <v>410.94</v>
      </c>
      <c r="N50" s="2">
        <f t="shared" si="31"/>
        <v>410.94</v>
      </c>
      <c r="P50" s="2">
        <f t="shared" si="29"/>
        <v>10777.162499999999</v>
      </c>
      <c r="Q50" s="2">
        <f t="shared" si="27"/>
        <v>14369.55</v>
      </c>
      <c r="R50" s="2">
        <f t="shared" si="30"/>
        <v>14369.55</v>
      </c>
      <c r="S50" s="94">
        <f t="shared" si="5"/>
        <v>0</v>
      </c>
      <c r="T50" s="94"/>
      <c r="U50" s="2">
        <v>1568.56</v>
      </c>
      <c r="V50" s="2">
        <v>2423.8000000000002</v>
      </c>
      <c r="W50" s="2">
        <v>2122.8000000000002</v>
      </c>
      <c r="X50" s="2">
        <v>2200</v>
      </c>
      <c r="Y50" s="2">
        <v>-1041.1199999999999</v>
      </c>
      <c r="Z50" s="2">
        <v>2297.7600000000002</v>
      </c>
      <c r="AA50" s="2">
        <v>1026.78</v>
      </c>
      <c r="AB50" s="2">
        <v>603.67999999999995</v>
      </c>
      <c r="AC50" s="2">
        <v>603.67999999999995</v>
      </c>
      <c r="AD50" s="2">
        <v>605.98</v>
      </c>
      <c r="AE50" s="2">
        <v>606.07000000000005</v>
      </c>
      <c r="AF50" s="2">
        <v>1351.56</v>
      </c>
      <c r="AG50" s="2">
        <f t="shared" si="32"/>
        <v>14369.55</v>
      </c>
    </row>
    <row r="51" spans="1:33" x14ac:dyDescent="0.25">
      <c r="A51" s="141" t="s">
        <v>236</v>
      </c>
      <c r="B51" s="2">
        <v>22656.26</v>
      </c>
      <c r="N51" s="2">
        <f t="shared" si="31"/>
        <v>22656.26</v>
      </c>
      <c r="P51" s="2">
        <f t="shared" si="29"/>
        <v>225900</v>
      </c>
      <c r="Q51" s="2">
        <f>25100*12</f>
        <v>301200</v>
      </c>
      <c r="R51" s="2">
        <f t="shared" si="30"/>
        <v>217684.57</v>
      </c>
      <c r="S51" s="94">
        <f t="shared" si="5"/>
        <v>0</v>
      </c>
      <c r="T51" s="94"/>
      <c r="U51" s="2">
        <v>18020.830000000002</v>
      </c>
      <c r="V51" s="2">
        <v>18020.84</v>
      </c>
      <c r="W51" s="2">
        <v>18020.84</v>
      </c>
      <c r="X51" s="2">
        <v>18020.82</v>
      </c>
      <c r="Y51" s="2">
        <v>18020.830000000002</v>
      </c>
      <c r="Z51" s="2">
        <v>4868.74</v>
      </c>
      <c r="AA51" s="2">
        <v>18020.830000000002</v>
      </c>
      <c r="AB51" s="2">
        <v>18020.84</v>
      </c>
      <c r="AC51" s="2">
        <v>18020.84</v>
      </c>
      <c r="AD51" s="2">
        <v>18020.84</v>
      </c>
      <c r="AE51" s="2">
        <v>25576.66</v>
      </c>
      <c r="AF51" s="2">
        <v>25051.66</v>
      </c>
      <c r="AG51" s="2">
        <f t="shared" si="32"/>
        <v>217684.57</v>
      </c>
    </row>
    <row r="52" spans="1:33" x14ac:dyDescent="0.25">
      <c r="A52" s="141" t="s">
        <v>239</v>
      </c>
      <c r="N52" s="2">
        <f t="shared" si="31"/>
        <v>0</v>
      </c>
      <c r="P52" s="2">
        <f t="shared" si="29"/>
        <v>298.77</v>
      </c>
      <c r="Q52" s="2">
        <f t="shared" si="27"/>
        <v>398.36</v>
      </c>
      <c r="R52" s="2">
        <f t="shared" si="30"/>
        <v>398.36</v>
      </c>
      <c r="S52" s="94">
        <f t="shared" si="5"/>
        <v>0</v>
      </c>
      <c r="T52" s="94"/>
      <c r="U52" s="2">
        <v>5.49</v>
      </c>
      <c r="V52" s="2">
        <v>0</v>
      </c>
      <c r="W52" s="2">
        <v>100.81</v>
      </c>
      <c r="X52" s="2">
        <v>0</v>
      </c>
      <c r="Y52" s="2">
        <v>46.17</v>
      </c>
      <c r="Z52" s="2">
        <v>0</v>
      </c>
      <c r="AA52" s="2">
        <v>0</v>
      </c>
      <c r="AB52" s="2">
        <v>0</v>
      </c>
      <c r="AC52" s="2">
        <v>35.520000000000003</v>
      </c>
      <c r="AD52" s="2">
        <v>84.43</v>
      </c>
      <c r="AE52" s="2">
        <v>73.95</v>
      </c>
      <c r="AF52" s="2">
        <v>51.99</v>
      </c>
      <c r="AG52" s="2">
        <f t="shared" si="32"/>
        <v>398.36</v>
      </c>
    </row>
    <row r="53" spans="1:33" x14ac:dyDescent="0.25">
      <c r="A53" s="141" t="s">
        <v>467</v>
      </c>
      <c r="B53" s="2">
        <v>35</v>
      </c>
      <c r="N53" s="2">
        <f t="shared" si="31"/>
        <v>35</v>
      </c>
      <c r="P53" s="2"/>
      <c r="Q53" s="2"/>
      <c r="R53" s="2"/>
      <c r="S53" s="94"/>
      <c r="T53" s="9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41" t="s">
        <v>246</v>
      </c>
      <c r="B54" s="2">
        <v>7052.04</v>
      </c>
      <c r="N54" s="2">
        <f t="shared" si="31"/>
        <v>7052.04</v>
      </c>
      <c r="P54" s="2">
        <f t="shared" si="29"/>
        <v>65632.319999999992</v>
      </c>
      <c r="Q54" s="2">
        <f t="shared" si="27"/>
        <v>87509.759999999995</v>
      </c>
      <c r="R54" s="2">
        <f t="shared" si="30"/>
        <v>87509.759999999995</v>
      </c>
      <c r="S54" s="94">
        <f t="shared" si="5"/>
        <v>0</v>
      </c>
      <c r="T54" s="94"/>
      <c r="U54" s="2">
        <v>7320.8</v>
      </c>
      <c r="V54" s="2">
        <v>7321.95</v>
      </c>
      <c r="W54" s="2">
        <v>6956.8</v>
      </c>
      <c r="X54" s="2">
        <v>7611.52</v>
      </c>
      <c r="Y54" s="2">
        <v>7241.42</v>
      </c>
      <c r="Z54" s="2">
        <v>7612.47</v>
      </c>
      <c r="AA54" s="2">
        <v>6608</v>
      </c>
      <c r="AB54" s="2">
        <v>7367.7</v>
      </c>
      <c r="AC54" s="2">
        <v>6608.09</v>
      </c>
      <c r="AD54" s="2">
        <v>7337.47</v>
      </c>
      <c r="AE54" s="2">
        <v>8150.65</v>
      </c>
      <c r="AF54" s="2">
        <v>7372.89</v>
      </c>
      <c r="AG54" s="2">
        <f t="shared" si="32"/>
        <v>87509.759999999995</v>
      </c>
    </row>
    <row r="55" spans="1:33" x14ac:dyDescent="0.25">
      <c r="A55" s="141" t="s">
        <v>240</v>
      </c>
      <c r="B55" s="2">
        <v>400.57</v>
      </c>
      <c r="N55" s="2">
        <f t="shared" si="31"/>
        <v>400.57</v>
      </c>
      <c r="P55" s="2">
        <f t="shared" si="29"/>
        <v>3338.7224999999994</v>
      </c>
      <c r="Q55" s="2">
        <f t="shared" si="27"/>
        <v>4451.6299999999992</v>
      </c>
      <c r="R55" s="2">
        <f t="shared" si="30"/>
        <v>4451.6299999999992</v>
      </c>
      <c r="S55" s="94">
        <f t="shared" si="5"/>
        <v>0</v>
      </c>
      <c r="T55" s="94"/>
      <c r="U55" s="2">
        <v>649.54999999999995</v>
      </c>
      <c r="V55" s="2">
        <v>160.78</v>
      </c>
      <c r="W55" s="2">
        <v>278.7</v>
      </c>
      <c r="X55" s="2">
        <v>536.80999999999995</v>
      </c>
      <c r="Y55" s="2">
        <v>160.78</v>
      </c>
      <c r="Z55" s="2">
        <v>160.78</v>
      </c>
      <c r="AA55" s="2">
        <v>436.05</v>
      </c>
      <c r="AB55" s="2">
        <v>686.41</v>
      </c>
      <c r="AC55" s="2">
        <v>235.54</v>
      </c>
      <c r="AD55" s="2">
        <v>416.41</v>
      </c>
      <c r="AE55" s="2">
        <v>347.74</v>
      </c>
      <c r="AF55" s="2">
        <v>382.08</v>
      </c>
      <c r="AG55" s="2">
        <f t="shared" si="32"/>
        <v>4451.6299999999992</v>
      </c>
    </row>
    <row r="56" spans="1:33" x14ac:dyDescent="0.25">
      <c r="A56" s="141" t="s">
        <v>290</v>
      </c>
      <c r="B56" s="2">
        <v>13371.27</v>
      </c>
      <c r="N56" s="2">
        <f t="shared" si="31"/>
        <v>13371.27</v>
      </c>
      <c r="P56" s="2">
        <f t="shared" si="29"/>
        <v>94636.117499999993</v>
      </c>
      <c r="Q56" s="2">
        <f t="shared" si="27"/>
        <v>126181.48999999999</v>
      </c>
      <c r="R56" s="2">
        <f t="shared" si="30"/>
        <v>126181.48999999999</v>
      </c>
      <c r="S56" s="94">
        <f t="shared" si="5"/>
        <v>0</v>
      </c>
      <c r="T56" s="94"/>
      <c r="U56" s="2">
        <v>9962.11</v>
      </c>
      <c r="V56" s="2">
        <v>10391.68</v>
      </c>
      <c r="W56" s="2">
        <v>10391.68</v>
      </c>
      <c r="X56" s="2">
        <v>10391.68</v>
      </c>
      <c r="Y56" s="2">
        <v>10581.56</v>
      </c>
      <c r="Z56" s="2">
        <v>10811.59</v>
      </c>
      <c r="AA56" s="2">
        <v>10493.31</v>
      </c>
      <c r="AB56" s="2">
        <v>10587.39</v>
      </c>
      <c r="AC56" s="2">
        <v>10587.39</v>
      </c>
      <c r="AD56" s="2">
        <v>10587.39</v>
      </c>
      <c r="AE56" s="2">
        <v>10723.34</v>
      </c>
      <c r="AF56" s="2">
        <v>10672.37</v>
      </c>
      <c r="AG56" s="2">
        <f t="shared" si="32"/>
        <v>126181.48999999999</v>
      </c>
    </row>
    <row r="57" spans="1:33" x14ac:dyDescent="0.25">
      <c r="A57" s="141" t="s">
        <v>575</v>
      </c>
      <c r="N57" s="2">
        <f t="shared" si="31"/>
        <v>0</v>
      </c>
      <c r="P57" s="2">
        <f t="shared" si="29"/>
        <v>0</v>
      </c>
      <c r="Q57" s="2">
        <f t="shared" si="27"/>
        <v>0</v>
      </c>
      <c r="R57" s="2">
        <f t="shared" si="30"/>
        <v>0</v>
      </c>
      <c r="S57" s="94">
        <f t="shared" si="5"/>
        <v>0</v>
      </c>
      <c r="T57" s="94"/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f t="shared" si="32"/>
        <v>0</v>
      </c>
    </row>
    <row r="58" spans="1:33" x14ac:dyDescent="0.25">
      <c r="A58" s="141" t="s">
        <v>293</v>
      </c>
      <c r="B58" s="2">
        <v>1362.18</v>
      </c>
      <c r="N58" s="2">
        <f t="shared" si="31"/>
        <v>1362.18</v>
      </c>
      <c r="P58" s="2">
        <f t="shared" si="29"/>
        <v>14091.157499999996</v>
      </c>
      <c r="Q58" s="2">
        <f t="shared" si="27"/>
        <v>18788.209999999995</v>
      </c>
      <c r="R58" s="2">
        <f t="shared" si="30"/>
        <v>18788.209999999995</v>
      </c>
      <c r="S58" s="94">
        <f t="shared" si="5"/>
        <v>0</v>
      </c>
      <c r="T58" s="94"/>
      <c r="U58" s="2">
        <v>1351.56</v>
      </c>
      <c r="V58" s="2">
        <v>1938.84</v>
      </c>
      <c r="W58" s="2">
        <v>1938.84</v>
      </c>
      <c r="X58" s="2">
        <v>1937.28</v>
      </c>
      <c r="Y58" s="2">
        <v>1939.84</v>
      </c>
      <c r="Z58" s="2">
        <v>1568.58</v>
      </c>
      <c r="AA58" s="2">
        <v>836.4</v>
      </c>
      <c r="AB58" s="2">
        <v>1730.97</v>
      </c>
      <c r="AC58" s="2">
        <v>1819.66</v>
      </c>
      <c r="AD58" s="2">
        <v>1490.62</v>
      </c>
      <c r="AE58" s="2">
        <v>1490.6</v>
      </c>
      <c r="AF58" s="2">
        <v>745.02</v>
      </c>
      <c r="AG58" s="2">
        <f t="shared" si="32"/>
        <v>18788.209999999995</v>
      </c>
    </row>
    <row r="59" spans="1:33" hidden="1" x14ac:dyDescent="0.25">
      <c r="A59" s="141" t="s">
        <v>260</v>
      </c>
      <c r="N59" s="2">
        <f t="shared" si="31"/>
        <v>0</v>
      </c>
      <c r="P59" s="2">
        <f t="shared" si="29"/>
        <v>5607.6975000000002</v>
      </c>
      <c r="Q59" s="2">
        <f t="shared" si="27"/>
        <v>7476.93</v>
      </c>
      <c r="R59" s="2">
        <f t="shared" si="30"/>
        <v>7476.93</v>
      </c>
      <c r="S59" s="94">
        <f t="shared" si="5"/>
        <v>0</v>
      </c>
      <c r="T59" s="94"/>
      <c r="U59" s="2">
        <v>1018.09</v>
      </c>
      <c r="V59" s="2">
        <v>1018.09</v>
      </c>
      <c r="W59" s="2">
        <v>1018.09</v>
      </c>
      <c r="X59" s="2">
        <v>1049.5999999999999</v>
      </c>
      <c r="Y59" s="2">
        <v>316.17</v>
      </c>
      <c r="Z59" s="2">
        <v>236.46</v>
      </c>
      <c r="AA59" s="2">
        <v>2820.43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f t="shared" si="32"/>
        <v>7476.93</v>
      </c>
    </row>
    <row r="60" spans="1:33" x14ac:dyDescent="0.25">
      <c r="A60" s="141" t="s">
        <v>381</v>
      </c>
      <c r="B60" s="2">
        <v>328.78</v>
      </c>
      <c r="N60" s="36">
        <f t="shared" si="31"/>
        <v>328.78</v>
      </c>
      <c r="P60" s="2">
        <f t="shared" si="29"/>
        <v>14400</v>
      </c>
      <c r="Q60" s="2">
        <f>1600*12</f>
        <v>19200</v>
      </c>
      <c r="R60" s="2">
        <f t="shared" si="30"/>
        <v>10196.419999999998</v>
      </c>
      <c r="S60" s="94">
        <f t="shared" si="5"/>
        <v>0</v>
      </c>
      <c r="T60" s="94"/>
      <c r="U60" s="2">
        <v>0</v>
      </c>
      <c r="V60" s="2">
        <v>0</v>
      </c>
      <c r="W60" s="2">
        <v>0</v>
      </c>
      <c r="X60" s="2">
        <v>0</v>
      </c>
      <c r="Y60" s="2">
        <v>920.12</v>
      </c>
      <c r="Z60" s="2">
        <v>3023.66</v>
      </c>
      <c r="AA60" s="2">
        <v>560.84</v>
      </c>
      <c r="AB60" s="2">
        <v>560.86</v>
      </c>
      <c r="AC60" s="2">
        <v>1884.49</v>
      </c>
      <c r="AD60" s="2">
        <v>1014.56</v>
      </c>
      <c r="AE60" s="2">
        <v>1174.83</v>
      </c>
      <c r="AF60" s="2">
        <v>1057.06</v>
      </c>
      <c r="AG60" s="36">
        <f t="shared" si="32"/>
        <v>10196.419999999998</v>
      </c>
    </row>
    <row r="61" spans="1:33" x14ac:dyDescent="0.25">
      <c r="A61" s="142" t="s">
        <v>330</v>
      </c>
      <c r="B61" s="4">
        <f t="shared" ref="B61:F61" si="33">SUM(B42:B60)</f>
        <v>95740.33</v>
      </c>
      <c r="C61" s="4">
        <f t="shared" si="33"/>
        <v>0</v>
      </c>
      <c r="D61" s="4">
        <f t="shared" si="33"/>
        <v>0</v>
      </c>
      <c r="E61" s="4">
        <f t="shared" si="33"/>
        <v>0</v>
      </c>
      <c r="F61" s="4">
        <f t="shared" si="33"/>
        <v>0</v>
      </c>
      <c r="G61" s="4">
        <f t="shared" ref="G61:M61" si="34">SUM(G42:G60)</f>
        <v>0</v>
      </c>
      <c r="H61" s="4">
        <f t="shared" si="34"/>
        <v>0</v>
      </c>
      <c r="I61" s="4">
        <f t="shared" si="34"/>
        <v>0</v>
      </c>
      <c r="J61" s="4">
        <f t="shared" si="34"/>
        <v>0</v>
      </c>
      <c r="K61" s="4">
        <f t="shared" si="34"/>
        <v>0</v>
      </c>
      <c r="L61" s="4">
        <f t="shared" ref="L61" si="35">SUM(L42:L60)</f>
        <v>0</v>
      </c>
      <c r="M61" s="4">
        <f t="shared" si="34"/>
        <v>0</v>
      </c>
      <c r="N61" s="4">
        <f>SUM(N42:N60)</f>
        <v>95740.33</v>
      </c>
      <c r="P61" s="4">
        <f>SUM(P42:P60)</f>
        <v>915558.86700000009</v>
      </c>
      <c r="Q61" s="4">
        <f t="shared" ref="Q61:R61" si="36">SUM(Q42:Q60)</f>
        <v>1220745.156</v>
      </c>
      <c r="R61" s="4">
        <f t="shared" si="36"/>
        <v>1159554.8799999999</v>
      </c>
      <c r="S61" s="94">
        <f t="shared" si="5"/>
        <v>0</v>
      </c>
      <c r="T61" s="94"/>
      <c r="U61" s="4">
        <f t="shared" ref="U61:AF61" si="37">SUM(U42:U60)</f>
        <v>95993.59</v>
      </c>
      <c r="V61" s="4">
        <f t="shared" si="37"/>
        <v>90696.139999999985</v>
      </c>
      <c r="W61" s="4">
        <f t="shared" si="37"/>
        <v>94840.22</v>
      </c>
      <c r="X61" s="4">
        <f t="shared" si="37"/>
        <v>94354.48000000001</v>
      </c>
      <c r="Y61" s="4">
        <f t="shared" si="37"/>
        <v>88786.64999999998</v>
      </c>
      <c r="Z61" s="4">
        <f t="shared" si="37"/>
        <v>93578.330000000016</v>
      </c>
      <c r="AA61" s="4">
        <f t="shared" si="37"/>
        <v>98208.779999999984</v>
      </c>
      <c r="AB61" s="4">
        <f t="shared" si="37"/>
        <v>100261.41</v>
      </c>
      <c r="AC61" s="4">
        <f t="shared" si="37"/>
        <v>91109.1</v>
      </c>
      <c r="AD61" s="4">
        <f t="shared" si="37"/>
        <v>106536.06999999998</v>
      </c>
      <c r="AE61" s="4">
        <f t="shared" si="37"/>
        <v>101560.55</v>
      </c>
      <c r="AF61" s="4">
        <f t="shared" si="37"/>
        <v>103629.56</v>
      </c>
      <c r="AG61" s="4">
        <f>SUM(AG42:AG60)</f>
        <v>1159554.8799999999</v>
      </c>
    </row>
    <row r="62" spans="1:33" x14ac:dyDescent="0.25">
      <c r="P62" s="2"/>
      <c r="Q62" s="2"/>
      <c r="R62" s="2"/>
      <c r="S62" s="94">
        <f t="shared" si="5"/>
        <v>0</v>
      </c>
      <c r="T62" s="94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142" t="s">
        <v>291</v>
      </c>
      <c r="P63" s="2"/>
      <c r="Q63" s="2"/>
      <c r="R63" s="2"/>
      <c r="S63" s="94">
        <f t="shared" si="5"/>
        <v>0</v>
      </c>
      <c r="T63" s="94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141" t="s">
        <v>249</v>
      </c>
      <c r="B64" s="2">
        <v>208.24</v>
      </c>
      <c r="N64" s="2">
        <f>SUM(B64:M64)</f>
        <v>208.24</v>
      </c>
      <c r="P64" s="2">
        <f t="shared" ref="P64:P77" si="38">Q64/12*$P$6</f>
        <v>1372.5374999999999</v>
      </c>
      <c r="Q64" s="2">
        <f t="shared" ref="Q64:Q77" si="39">R64</f>
        <v>1830.05</v>
      </c>
      <c r="R64" s="2">
        <f>AG64</f>
        <v>1830.05</v>
      </c>
      <c r="S64" s="94">
        <f t="shared" si="5"/>
        <v>0</v>
      </c>
      <c r="T64" s="94"/>
      <c r="U64" s="2">
        <v>231.6</v>
      </c>
      <c r="V64" s="2">
        <v>181.9</v>
      </c>
      <c r="W64" s="2">
        <v>151.94999999999999</v>
      </c>
      <c r="X64" s="2">
        <v>135.54</v>
      </c>
      <c r="Y64" s="2">
        <v>147.36000000000001</v>
      </c>
      <c r="Z64" s="2">
        <v>135.63999999999999</v>
      </c>
      <c r="AA64" s="2">
        <v>141.44999999999999</v>
      </c>
      <c r="AB64" s="2">
        <v>154.02000000000001</v>
      </c>
      <c r="AC64" s="2">
        <v>129.82</v>
      </c>
      <c r="AD64" s="2">
        <v>140.52000000000001</v>
      </c>
      <c r="AE64" s="2">
        <v>154.94999999999999</v>
      </c>
      <c r="AF64" s="2">
        <v>125.3</v>
      </c>
      <c r="AG64" s="2">
        <f>SUM(U64:AF64)</f>
        <v>1830.05</v>
      </c>
    </row>
    <row r="65" spans="1:33" x14ac:dyDescent="0.25">
      <c r="A65" s="141" t="s">
        <v>250</v>
      </c>
      <c r="B65" s="2">
        <v>213.42</v>
      </c>
      <c r="N65" s="2">
        <f t="shared" ref="N65:N77" si="40">SUM(B65:M65)</f>
        <v>213.42</v>
      </c>
      <c r="P65" s="2">
        <f t="shared" si="38"/>
        <v>3282.0862499999998</v>
      </c>
      <c r="Q65" s="2">
        <f>8752.23/2</f>
        <v>4376.1149999999998</v>
      </c>
      <c r="R65" s="2">
        <f t="shared" ref="R65:R77" si="41">AG65</f>
        <v>8752.2300000000014</v>
      </c>
      <c r="S65" s="94">
        <f t="shared" si="5"/>
        <v>0</v>
      </c>
      <c r="T65" s="94"/>
      <c r="U65" s="2">
        <v>763.06</v>
      </c>
      <c r="V65" s="2">
        <v>700.02</v>
      </c>
      <c r="W65" s="2">
        <v>701.8</v>
      </c>
      <c r="X65" s="2">
        <v>709.3</v>
      </c>
      <c r="Y65" s="2">
        <v>754.79</v>
      </c>
      <c r="Z65" s="2">
        <v>696.33</v>
      </c>
      <c r="AA65" s="2">
        <v>758.24</v>
      </c>
      <c r="AB65" s="2">
        <v>745.68</v>
      </c>
      <c r="AC65" s="2">
        <v>728.84</v>
      </c>
      <c r="AD65" s="2">
        <v>821.1</v>
      </c>
      <c r="AE65" s="2">
        <v>696.83</v>
      </c>
      <c r="AF65" s="2">
        <v>676.24</v>
      </c>
      <c r="AG65" s="2">
        <f t="shared" ref="AG65:AG77" si="42">SUM(U65:AF65)</f>
        <v>8752.2300000000014</v>
      </c>
    </row>
    <row r="66" spans="1:33" x14ac:dyDescent="0.25">
      <c r="A66" s="141" t="s">
        <v>292</v>
      </c>
      <c r="N66" s="2">
        <f t="shared" si="40"/>
        <v>0</v>
      </c>
      <c r="P66" s="2">
        <f t="shared" si="38"/>
        <v>3982.9425000000001</v>
      </c>
      <c r="Q66" s="2">
        <f t="shared" si="39"/>
        <v>5310.59</v>
      </c>
      <c r="R66" s="2">
        <f t="shared" si="41"/>
        <v>5310.59</v>
      </c>
      <c r="S66" s="94">
        <f t="shared" si="5"/>
        <v>0</v>
      </c>
      <c r="T66" s="94"/>
      <c r="U66" s="2">
        <v>0</v>
      </c>
      <c r="V66" s="2">
        <v>0</v>
      </c>
      <c r="W66" s="2">
        <v>0</v>
      </c>
      <c r="X66" s="2">
        <v>300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5010.59</v>
      </c>
      <c r="AG66" s="2">
        <f t="shared" si="42"/>
        <v>5310.59</v>
      </c>
    </row>
    <row r="67" spans="1:33" x14ac:dyDescent="0.25">
      <c r="A67" s="141" t="s">
        <v>304</v>
      </c>
      <c r="N67" s="2">
        <f t="shared" si="40"/>
        <v>0</v>
      </c>
      <c r="P67" s="2">
        <f t="shared" si="38"/>
        <v>750</v>
      </c>
      <c r="Q67" s="2">
        <v>1000</v>
      </c>
      <c r="R67" s="2">
        <f t="shared" si="41"/>
        <v>62543.58</v>
      </c>
      <c r="S67" s="94">
        <f t="shared" si="5"/>
        <v>0</v>
      </c>
      <c r="T67" s="94"/>
      <c r="U67" s="2">
        <v>0</v>
      </c>
      <c r="V67" s="2">
        <v>1250</v>
      </c>
      <c r="W67" s="2">
        <v>0</v>
      </c>
      <c r="X67" s="2">
        <v>0</v>
      </c>
      <c r="Y67" s="2">
        <v>0</v>
      </c>
      <c r="Z67" s="2">
        <v>0</v>
      </c>
      <c r="AA67" s="2">
        <v>4000</v>
      </c>
      <c r="AB67" s="2">
        <v>0</v>
      </c>
      <c r="AC67" s="2">
        <v>23420.78</v>
      </c>
      <c r="AD67" s="2">
        <v>14264.01</v>
      </c>
      <c r="AE67" s="2">
        <v>18684.79</v>
      </c>
      <c r="AF67" s="2">
        <v>924</v>
      </c>
      <c r="AG67" s="2">
        <f t="shared" si="42"/>
        <v>62543.58</v>
      </c>
    </row>
    <row r="68" spans="1:33" x14ac:dyDescent="0.25">
      <c r="A68" s="141" t="s">
        <v>356</v>
      </c>
      <c r="B68" s="2">
        <v>333.33</v>
      </c>
      <c r="N68" s="2">
        <f t="shared" si="40"/>
        <v>333.33</v>
      </c>
      <c r="P68" s="2">
        <f t="shared" si="38"/>
        <v>9000</v>
      </c>
      <c r="Q68" s="2">
        <f>1000*12</f>
        <v>12000</v>
      </c>
      <c r="R68" s="2">
        <f t="shared" si="41"/>
        <v>16848.52</v>
      </c>
      <c r="S68" s="94">
        <f t="shared" si="5"/>
        <v>0</v>
      </c>
      <c r="T68" s="94"/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-5776.56</v>
      </c>
      <c r="AA68" s="2">
        <v>0</v>
      </c>
      <c r="AB68" s="2">
        <v>0</v>
      </c>
      <c r="AC68" s="2">
        <v>5375.34</v>
      </c>
      <c r="AD68" s="2">
        <v>0</v>
      </c>
      <c r="AE68" s="2">
        <v>1187.3599999999999</v>
      </c>
      <c r="AF68" s="2">
        <v>16062.38</v>
      </c>
      <c r="AG68" s="2">
        <f t="shared" si="42"/>
        <v>16848.52</v>
      </c>
    </row>
    <row r="69" spans="1:33" x14ac:dyDescent="0.25">
      <c r="A69" s="141" t="s">
        <v>382</v>
      </c>
      <c r="B69" s="2">
        <v>3250</v>
      </c>
      <c r="N69" s="2">
        <f>SUM(B69:M69)</f>
        <v>3250</v>
      </c>
      <c r="P69" s="2">
        <f t="shared" si="38"/>
        <v>29250</v>
      </c>
      <c r="Q69" s="2">
        <f>35000+4000</f>
        <v>39000</v>
      </c>
      <c r="R69" s="2">
        <f t="shared" si="41"/>
        <v>50400</v>
      </c>
      <c r="S69" s="94">
        <f t="shared" si="5"/>
        <v>0</v>
      </c>
      <c r="T69" s="94"/>
      <c r="U69" s="2">
        <v>5000</v>
      </c>
      <c r="V69" s="2">
        <v>5000</v>
      </c>
      <c r="W69" s="2">
        <v>5000</v>
      </c>
      <c r="X69" s="2">
        <v>5000</v>
      </c>
      <c r="Y69" s="2">
        <v>5000</v>
      </c>
      <c r="Z69" s="2">
        <v>4000</v>
      </c>
      <c r="AA69" s="2">
        <v>4000</v>
      </c>
      <c r="AB69" s="2">
        <v>4000</v>
      </c>
      <c r="AC69" s="2">
        <v>4000</v>
      </c>
      <c r="AD69" s="2">
        <v>4000</v>
      </c>
      <c r="AE69" s="2">
        <v>4000</v>
      </c>
      <c r="AF69" s="2">
        <v>1400</v>
      </c>
      <c r="AG69" s="2">
        <f>SUM(U69:AF69)</f>
        <v>50400</v>
      </c>
    </row>
    <row r="70" spans="1:33" x14ac:dyDescent="0.25">
      <c r="A70" s="141" t="s">
        <v>355</v>
      </c>
      <c r="B70" s="2">
        <v>2250</v>
      </c>
      <c r="N70" s="2">
        <f t="shared" si="40"/>
        <v>2250</v>
      </c>
      <c r="P70" s="2">
        <f t="shared" si="38"/>
        <v>20250</v>
      </c>
      <c r="Q70" s="2">
        <f t="shared" si="39"/>
        <v>27000</v>
      </c>
      <c r="R70" s="2">
        <f t="shared" si="41"/>
        <v>27000</v>
      </c>
      <c r="S70" s="94">
        <f t="shared" si="5"/>
        <v>0</v>
      </c>
      <c r="T70" s="94"/>
      <c r="U70" s="2">
        <v>2250</v>
      </c>
      <c r="V70" s="2">
        <v>2250</v>
      </c>
      <c r="W70" s="2">
        <v>2250</v>
      </c>
      <c r="X70" s="2">
        <v>2250</v>
      </c>
      <c r="Y70" s="2">
        <v>2250</v>
      </c>
      <c r="Z70" s="2">
        <v>2250</v>
      </c>
      <c r="AA70" s="2">
        <v>2250</v>
      </c>
      <c r="AB70" s="2">
        <v>2250</v>
      </c>
      <c r="AC70" s="2">
        <v>2250</v>
      </c>
      <c r="AD70" s="2">
        <v>2250</v>
      </c>
      <c r="AE70" s="2">
        <v>2250</v>
      </c>
      <c r="AF70" s="2">
        <v>2250</v>
      </c>
      <c r="AG70" s="2">
        <f t="shared" si="42"/>
        <v>27000</v>
      </c>
    </row>
    <row r="71" spans="1:33" x14ac:dyDescent="0.25">
      <c r="A71" s="141" t="s">
        <v>383</v>
      </c>
      <c r="B71" s="2">
        <v>791.67</v>
      </c>
      <c r="N71" s="2">
        <f t="shared" si="40"/>
        <v>791.67</v>
      </c>
      <c r="P71" s="2">
        <f t="shared" si="38"/>
        <v>6468.7724999999991</v>
      </c>
      <c r="Q71" s="2">
        <f t="shared" si="39"/>
        <v>8625.0299999999988</v>
      </c>
      <c r="R71" s="2">
        <f t="shared" si="41"/>
        <v>8625.0299999999988</v>
      </c>
      <c r="S71" s="94">
        <f t="shared" si="5"/>
        <v>0</v>
      </c>
      <c r="T71" s="94"/>
      <c r="U71" s="2">
        <v>791.67</v>
      </c>
      <c r="V71" s="2">
        <v>791.67</v>
      </c>
      <c r="W71" s="2">
        <v>791.67</v>
      </c>
      <c r="X71" s="2">
        <v>791.67</v>
      </c>
      <c r="Y71" s="2">
        <f>8791.67-8000.01</f>
        <v>791.65999999999985</v>
      </c>
      <c r="Z71" s="2">
        <v>666.67</v>
      </c>
      <c r="AA71" s="2">
        <v>666.67</v>
      </c>
      <c r="AB71" s="2">
        <v>666.67</v>
      </c>
      <c r="AC71" s="2">
        <v>666.67</v>
      </c>
      <c r="AD71" s="2">
        <v>666.67</v>
      </c>
      <c r="AE71" s="2">
        <v>666.67</v>
      </c>
      <c r="AF71" s="2">
        <v>666.67</v>
      </c>
      <c r="AG71" s="2">
        <f t="shared" si="42"/>
        <v>8625.0299999999988</v>
      </c>
    </row>
    <row r="72" spans="1:33" hidden="1" x14ac:dyDescent="0.25">
      <c r="A72" s="141" t="s">
        <v>394</v>
      </c>
      <c r="N72" s="2">
        <f t="shared" si="40"/>
        <v>0</v>
      </c>
      <c r="P72" s="2">
        <f t="shared" si="38"/>
        <v>0</v>
      </c>
      <c r="Q72" s="2">
        <v>0</v>
      </c>
      <c r="R72" s="2">
        <f t="shared" si="41"/>
        <v>12978.179999999997</v>
      </c>
      <c r="S72" s="94">
        <f t="shared" si="5"/>
        <v>0</v>
      </c>
      <c r="T72" s="94"/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9838.1299999999992</v>
      </c>
      <c r="AD72" s="2">
        <v>1780.88</v>
      </c>
      <c r="AE72" s="2">
        <v>163.13</v>
      </c>
      <c r="AF72" s="2">
        <v>1196.04</v>
      </c>
      <c r="AG72" s="2">
        <f t="shared" si="42"/>
        <v>12978.179999999997</v>
      </c>
    </row>
    <row r="73" spans="1:33" hidden="1" x14ac:dyDescent="0.25">
      <c r="A73" s="141" t="s">
        <v>467</v>
      </c>
      <c r="N73" s="2">
        <f t="shared" ref="N73:N74" si="43">SUM(B73:M73)</f>
        <v>0</v>
      </c>
      <c r="P73" s="2">
        <f t="shared" si="38"/>
        <v>5018.204999999999</v>
      </c>
      <c r="Q73" s="2">
        <f t="shared" si="39"/>
        <v>6690.94</v>
      </c>
      <c r="R73" s="2">
        <f t="shared" si="41"/>
        <v>6690.94</v>
      </c>
      <c r="S73" s="94">
        <f t="shared" si="5"/>
        <v>0</v>
      </c>
      <c r="T73" s="94"/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6690.94</v>
      </c>
      <c r="AD73" s="2">
        <v>0</v>
      </c>
      <c r="AE73" s="2">
        <v>0</v>
      </c>
      <c r="AF73" s="2">
        <v>0</v>
      </c>
      <c r="AG73" s="2">
        <f t="shared" ref="AG73:AG74" si="44">SUM(U73:AF73)</f>
        <v>6690.94</v>
      </c>
    </row>
    <row r="74" spans="1:33" x14ac:dyDescent="0.25">
      <c r="A74" s="141" t="s">
        <v>255</v>
      </c>
      <c r="N74" s="2">
        <f t="shared" si="43"/>
        <v>0</v>
      </c>
      <c r="P74" s="2">
        <f t="shared" si="38"/>
        <v>6495.2550000000001</v>
      </c>
      <c r="Q74" s="2">
        <f t="shared" si="39"/>
        <v>8660.34</v>
      </c>
      <c r="R74" s="2">
        <f t="shared" si="41"/>
        <v>8660.34</v>
      </c>
      <c r="S74" s="94">
        <f t="shared" si="5"/>
        <v>0</v>
      </c>
      <c r="T74" s="94"/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6496.38</v>
      </c>
      <c r="AD74" s="2">
        <v>721.32</v>
      </c>
      <c r="AE74" s="2">
        <v>721.32</v>
      </c>
      <c r="AF74" s="2">
        <v>721.32</v>
      </c>
      <c r="AG74" s="2">
        <f t="shared" si="44"/>
        <v>8660.34</v>
      </c>
    </row>
    <row r="75" spans="1:33" x14ac:dyDescent="0.25">
      <c r="A75" s="141" t="s">
        <v>251</v>
      </c>
      <c r="N75" s="2">
        <f t="shared" ref="N75" si="45">SUM(B75:M75)</f>
        <v>0</v>
      </c>
      <c r="P75" s="2">
        <f t="shared" si="38"/>
        <v>6924.4274999999998</v>
      </c>
      <c r="Q75" s="2">
        <f t="shared" si="39"/>
        <v>9232.57</v>
      </c>
      <c r="R75" s="2">
        <f t="shared" si="41"/>
        <v>9232.57</v>
      </c>
      <c r="S75" s="94">
        <f t="shared" si="5"/>
        <v>0</v>
      </c>
      <c r="T75" s="94"/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899.5</v>
      </c>
      <c r="AE75" s="2">
        <v>5881.56</v>
      </c>
      <c r="AF75" s="2">
        <v>2451.5100000000002</v>
      </c>
      <c r="AG75" s="2">
        <f t="shared" ref="AG75" si="46">SUM(U75:AF75)</f>
        <v>9232.57</v>
      </c>
    </row>
    <row r="76" spans="1:33" x14ac:dyDescent="0.25">
      <c r="A76" s="141" t="s">
        <v>384</v>
      </c>
      <c r="N76" s="2">
        <f t="shared" si="40"/>
        <v>0</v>
      </c>
      <c r="P76" s="2">
        <f t="shared" si="38"/>
        <v>336.75</v>
      </c>
      <c r="Q76" s="2">
        <f t="shared" si="39"/>
        <v>449</v>
      </c>
      <c r="R76" s="2">
        <f t="shared" si="41"/>
        <v>449</v>
      </c>
      <c r="S76" s="94">
        <f t="shared" si="5"/>
        <v>0</v>
      </c>
      <c r="T76" s="94"/>
      <c r="U76" s="2">
        <v>109</v>
      </c>
      <c r="V76" s="2">
        <v>0</v>
      </c>
      <c r="W76" s="2">
        <v>40</v>
      </c>
      <c r="X76" s="2">
        <v>0</v>
      </c>
      <c r="Y76" s="2">
        <v>0</v>
      </c>
      <c r="Z76" s="2">
        <v>0</v>
      </c>
      <c r="AA76" s="2">
        <v>0</v>
      </c>
      <c r="AB76" s="2">
        <v>300</v>
      </c>
      <c r="AC76" s="2">
        <v>0</v>
      </c>
      <c r="AD76" s="2">
        <v>0</v>
      </c>
      <c r="AE76" s="2">
        <v>0</v>
      </c>
      <c r="AF76" s="2">
        <v>0</v>
      </c>
      <c r="AG76" s="2">
        <f t="shared" si="42"/>
        <v>449</v>
      </c>
    </row>
    <row r="77" spans="1:33" x14ac:dyDescent="0.25">
      <c r="A77" s="141" t="s">
        <v>254</v>
      </c>
      <c r="B77" s="2">
        <v>225</v>
      </c>
      <c r="N77" s="36">
        <f t="shared" si="40"/>
        <v>225</v>
      </c>
      <c r="P77" s="2">
        <f t="shared" si="38"/>
        <v>1858.125</v>
      </c>
      <c r="Q77" s="2">
        <f t="shared" si="39"/>
        <v>2477.5</v>
      </c>
      <c r="R77" s="2">
        <f t="shared" si="41"/>
        <v>2477.5</v>
      </c>
      <c r="S77" s="94">
        <f t="shared" si="5"/>
        <v>0</v>
      </c>
      <c r="T77" s="94"/>
      <c r="U77" s="2">
        <v>225</v>
      </c>
      <c r="V77" s="2">
        <v>352.5</v>
      </c>
      <c r="W77" s="2">
        <v>0</v>
      </c>
      <c r="X77" s="2">
        <v>0</v>
      </c>
      <c r="Y77" s="2">
        <v>0</v>
      </c>
      <c r="Z77" s="2">
        <v>650</v>
      </c>
      <c r="AA77" s="2">
        <v>0</v>
      </c>
      <c r="AB77" s="2">
        <v>1250</v>
      </c>
      <c r="AC77" s="2">
        <v>0</v>
      </c>
      <c r="AD77" s="2">
        <v>0</v>
      </c>
      <c r="AE77" s="2">
        <v>0</v>
      </c>
      <c r="AF77" s="2">
        <v>0</v>
      </c>
      <c r="AG77" s="36">
        <f t="shared" si="42"/>
        <v>2477.5</v>
      </c>
    </row>
    <row r="78" spans="1:33" x14ac:dyDescent="0.25">
      <c r="A78" s="142" t="s">
        <v>294</v>
      </c>
      <c r="B78" s="4">
        <f>SUM(B64:B77)</f>
        <v>7271.66</v>
      </c>
      <c r="C78" s="4">
        <f t="shared" ref="C78:F78" si="47">SUM(C64:C77)</f>
        <v>0</v>
      </c>
      <c r="D78" s="4">
        <f t="shared" si="47"/>
        <v>0</v>
      </c>
      <c r="E78" s="4">
        <f>SUM(E64:E77)</f>
        <v>0</v>
      </c>
      <c r="F78" s="4">
        <f t="shared" si="47"/>
        <v>0</v>
      </c>
      <c r="G78" s="4">
        <f t="shared" ref="G78:M78" si="48">SUM(G64:G77)</f>
        <v>0</v>
      </c>
      <c r="H78" s="4">
        <f t="shared" si="48"/>
        <v>0</v>
      </c>
      <c r="I78" s="4">
        <f t="shared" si="48"/>
        <v>0</v>
      </c>
      <c r="J78" s="4">
        <f t="shared" si="48"/>
        <v>0</v>
      </c>
      <c r="K78" s="4">
        <f t="shared" si="48"/>
        <v>0</v>
      </c>
      <c r="L78" s="4">
        <f t="shared" ref="L78" si="49">SUM(L64:L77)</f>
        <v>0</v>
      </c>
      <c r="M78" s="4">
        <f t="shared" si="48"/>
        <v>0</v>
      </c>
      <c r="N78" s="4">
        <f>SUM(N64:N77)</f>
        <v>7271.66</v>
      </c>
      <c r="P78" s="4">
        <f>SUM(P64:P77)</f>
        <v>94989.101250000007</v>
      </c>
      <c r="Q78" s="4">
        <f t="shared" ref="Q78:R78" si="50">SUM(Q64:Q77)</f>
        <v>126652.13500000001</v>
      </c>
      <c r="R78" s="4">
        <f t="shared" si="50"/>
        <v>221798.53</v>
      </c>
      <c r="S78" s="94">
        <f t="shared" si="5"/>
        <v>0</v>
      </c>
      <c r="T78" s="94"/>
      <c r="U78" s="4">
        <f>SUM(U64:U77)</f>
        <v>9370.33</v>
      </c>
      <c r="V78" s="4">
        <f t="shared" ref="V78:AF78" si="51">SUM(V64:V77)</f>
        <v>10526.09</v>
      </c>
      <c r="W78" s="4">
        <f t="shared" si="51"/>
        <v>8935.42</v>
      </c>
      <c r="X78" s="4">
        <f>SUM(X64:X77)</f>
        <v>9186.51</v>
      </c>
      <c r="Y78" s="4">
        <f t="shared" si="51"/>
        <v>8943.81</v>
      </c>
      <c r="Z78" s="4">
        <f t="shared" si="51"/>
        <v>2622.08</v>
      </c>
      <c r="AA78" s="4">
        <f t="shared" si="51"/>
        <v>11816.36</v>
      </c>
      <c r="AB78" s="4">
        <f t="shared" si="51"/>
        <v>9366.369999999999</v>
      </c>
      <c r="AC78" s="4">
        <f t="shared" si="51"/>
        <v>59596.899999999994</v>
      </c>
      <c r="AD78" s="4">
        <f t="shared" si="51"/>
        <v>25544</v>
      </c>
      <c r="AE78" s="4">
        <f t="shared" si="51"/>
        <v>34406.61</v>
      </c>
      <c r="AF78" s="4">
        <f t="shared" si="51"/>
        <v>31484.049999999996</v>
      </c>
      <c r="AG78" s="4">
        <f>SUM(AG64:AG77)</f>
        <v>221798.53</v>
      </c>
    </row>
    <row r="79" spans="1:33" x14ac:dyDescent="0.25">
      <c r="A79" s="141" t="s">
        <v>243</v>
      </c>
      <c r="P79" s="2"/>
      <c r="Q79" s="2"/>
      <c r="R79" s="2"/>
      <c r="S79" s="94"/>
      <c r="T79" s="94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thickBot="1" x14ac:dyDescent="0.3">
      <c r="A80" s="142" t="s">
        <v>208</v>
      </c>
      <c r="B80" s="5">
        <f t="shared" ref="B80:F80" si="52">B39+B61+B78</f>
        <v>212555.52000000002</v>
      </c>
      <c r="C80" s="5">
        <f t="shared" si="52"/>
        <v>0</v>
      </c>
      <c r="D80" s="5">
        <f t="shared" si="52"/>
        <v>0</v>
      </c>
      <c r="E80" s="5">
        <f t="shared" si="52"/>
        <v>0</v>
      </c>
      <c r="F80" s="5">
        <f t="shared" si="52"/>
        <v>0</v>
      </c>
      <c r="G80" s="5">
        <f t="shared" ref="G80:M80" si="53">G39+G61+G78</f>
        <v>0</v>
      </c>
      <c r="H80" s="5">
        <f t="shared" si="53"/>
        <v>0</v>
      </c>
      <c r="I80" s="5">
        <f t="shared" si="53"/>
        <v>0</v>
      </c>
      <c r="J80" s="5">
        <f t="shared" si="53"/>
        <v>0</v>
      </c>
      <c r="K80" s="5">
        <f t="shared" si="53"/>
        <v>0</v>
      </c>
      <c r="L80" s="5">
        <f t="shared" ref="L80" si="54">L39+L61+L78</f>
        <v>0</v>
      </c>
      <c r="M80" s="5">
        <f t="shared" si="53"/>
        <v>0</v>
      </c>
      <c r="N80" s="5">
        <f>N39+N61+N78</f>
        <v>212555.52000000002</v>
      </c>
      <c r="P80" s="5">
        <f>P39+P61+P78</f>
        <v>1870262.1157500001</v>
      </c>
      <c r="Q80" s="5">
        <f t="shared" ref="Q80:R80" si="55">Q39+Q61+Q78</f>
        <v>2493682.8209999995</v>
      </c>
      <c r="R80" s="5">
        <f t="shared" si="55"/>
        <v>2440886.9499999997</v>
      </c>
      <c r="S80" s="94">
        <f t="shared" ref="S80:S88" si="56">R80-AG80</f>
        <v>0</v>
      </c>
      <c r="T80" s="94"/>
      <c r="U80" s="5">
        <f t="shared" ref="U80:AF80" si="57">U39+U61+U78</f>
        <v>119334.52</v>
      </c>
      <c r="V80" s="5">
        <f t="shared" si="57"/>
        <v>113697.12999999998</v>
      </c>
      <c r="W80" s="5">
        <f t="shared" si="57"/>
        <v>117844.24</v>
      </c>
      <c r="X80" s="5">
        <f t="shared" si="57"/>
        <v>116956.12000000001</v>
      </c>
      <c r="Y80" s="5">
        <f t="shared" si="57"/>
        <v>111590.86999999998</v>
      </c>
      <c r="Z80" s="5">
        <f t="shared" si="57"/>
        <v>109064.85000000002</v>
      </c>
      <c r="AA80" s="5">
        <f t="shared" si="57"/>
        <v>123297.64999999998</v>
      </c>
      <c r="AB80" s="5">
        <f t="shared" si="57"/>
        <v>123300.49</v>
      </c>
      <c r="AC80" s="5">
        <f t="shared" si="57"/>
        <v>755337.70999999985</v>
      </c>
      <c r="AD80" s="5">
        <f t="shared" si="57"/>
        <v>233481.31</v>
      </c>
      <c r="AE80" s="5">
        <f t="shared" si="57"/>
        <v>219998.38</v>
      </c>
      <c r="AF80" s="5">
        <f t="shared" si="57"/>
        <v>296983.67999999999</v>
      </c>
      <c r="AG80" s="5">
        <f>AG39+AG61+AG78</f>
        <v>2440886.9499999997</v>
      </c>
    </row>
    <row r="81" spans="1:33" x14ac:dyDescent="0.25">
      <c r="P81" s="2"/>
      <c r="Q81" s="2"/>
      <c r="R81" s="2"/>
      <c r="S81" s="94"/>
      <c r="T81" s="94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142" t="s">
        <v>295</v>
      </c>
      <c r="P82" s="2"/>
      <c r="Q82" s="2"/>
      <c r="R82" s="2"/>
      <c r="S82" s="94"/>
      <c r="T82" s="94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141" t="s">
        <v>296</v>
      </c>
      <c r="B83" s="2">
        <v>12500</v>
      </c>
      <c r="N83" s="2">
        <f>SUM(B83:M83)</f>
        <v>12500</v>
      </c>
      <c r="P83" s="2">
        <f t="shared" ref="P83:P85" si="58">Q83/12*$P$6</f>
        <v>112500</v>
      </c>
      <c r="Q83" s="2">
        <f t="shared" ref="Q83:Q85" si="59">R83</f>
        <v>150000</v>
      </c>
      <c r="R83" s="2">
        <f t="shared" ref="R83:R85" si="60">AG83</f>
        <v>150000</v>
      </c>
      <c r="S83" s="94">
        <f t="shared" si="56"/>
        <v>0</v>
      </c>
      <c r="T83" s="94"/>
      <c r="U83" s="2">
        <v>12500</v>
      </c>
      <c r="V83" s="2">
        <v>12500</v>
      </c>
      <c r="W83" s="2">
        <v>12500</v>
      </c>
      <c r="X83" s="2">
        <v>12500</v>
      </c>
      <c r="Y83" s="2">
        <v>12500</v>
      </c>
      <c r="Z83" s="2">
        <v>12500</v>
      </c>
      <c r="AA83" s="2">
        <v>12500</v>
      </c>
      <c r="AB83" s="2">
        <v>12500</v>
      </c>
      <c r="AC83" s="2">
        <v>12500</v>
      </c>
      <c r="AD83" s="2">
        <v>12500</v>
      </c>
      <c r="AE83" s="2">
        <v>12500</v>
      </c>
      <c r="AF83" s="2">
        <v>12500</v>
      </c>
      <c r="AG83" s="2">
        <f>SUM(U83:AF83)</f>
        <v>150000</v>
      </c>
    </row>
    <row r="84" spans="1:33" x14ac:dyDescent="0.25">
      <c r="A84" s="141" t="s">
        <v>600</v>
      </c>
      <c r="B84" s="2">
        <v>1036.44</v>
      </c>
      <c r="N84" s="2">
        <f>SUM(B84:M84)</f>
        <v>1036.44</v>
      </c>
      <c r="P84" s="2"/>
      <c r="Q84" s="2"/>
      <c r="R84" s="2"/>
      <c r="S84" s="94"/>
      <c r="T84" s="94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141" t="s">
        <v>268</v>
      </c>
      <c r="B85" s="2">
        <v>14725</v>
      </c>
      <c r="N85" s="2">
        <f>SUM(B85:M85)</f>
        <v>14725</v>
      </c>
      <c r="P85" s="2">
        <f t="shared" si="58"/>
        <v>26089.117499999997</v>
      </c>
      <c r="Q85" s="2">
        <f t="shared" si="59"/>
        <v>34785.49</v>
      </c>
      <c r="R85" s="2">
        <f t="shared" si="60"/>
        <v>34785.49</v>
      </c>
      <c r="S85" s="94">
        <f t="shared" si="56"/>
        <v>0</v>
      </c>
      <c r="T85" s="94"/>
      <c r="U85" s="2">
        <v>2109.7199999999998</v>
      </c>
      <c r="V85" s="2">
        <v>2488.89</v>
      </c>
      <c r="W85" s="2">
        <v>2770.21</v>
      </c>
      <c r="X85" s="2">
        <v>2666.67</v>
      </c>
      <c r="Y85" s="2">
        <v>2755.56</v>
      </c>
      <c r="Z85" s="2">
        <v>2666.67</v>
      </c>
      <c r="AA85" s="2">
        <v>2755.56</v>
      </c>
      <c r="AB85" s="2">
        <v>3000</v>
      </c>
      <c r="AC85" s="2">
        <v>3333.33</v>
      </c>
      <c r="AD85" s="2">
        <v>3444.44</v>
      </c>
      <c r="AE85" s="2">
        <v>3333.33</v>
      </c>
      <c r="AF85" s="2">
        <v>3461.11</v>
      </c>
      <c r="AG85" s="2">
        <f>SUM(U85:AF85)</f>
        <v>34785.49</v>
      </c>
    </row>
    <row r="86" spans="1:33" x14ac:dyDescent="0.25">
      <c r="A86" s="142" t="s">
        <v>297</v>
      </c>
      <c r="B86" s="4">
        <f>SUM(B83:B85)</f>
        <v>28261.440000000002</v>
      </c>
      <c r="C86" s="4">
        <f t="shared" ref="C86:F86" si="61">SUM(C83:C85)</f>
        <v>0</v>
      </c>
      <c r="D86" s="4">
        <f t="shared" si="61"/>
        <v>0</v>
      </c>
      <c r="E86" s="4">
        <f>SUM(E83:E85)</f>
        <v>0</v>
      </c>
      <c r="F86" s="4">
        <f t="shared" si="61"/>
        <v>0</v>
      </c>
      <c r="G86" s="4">
        <f t="shared" ref="G86:M86" si="62">SUM(G83:G85)</f>
        <v>0</v>
      </c>
      <c r="H86" s="4">
        <f t="shared" si="62"/>
        <v>0</v>
      </c>
      <c r="I86" s="4">
        <f t="shared" si="62"/>
        <v>0</v>
      </c>
      <c r="J86" s="4">
        <f t="shared" si="62"/>
        <v>0</v>
      </c>
      <c r="K86" s="4">
        <f t="shared" si="62"/>
        <v>0</v>
      </c>
      <c r="L86" s="4">
        <f t="shared" ref="L86" si="63">SUM(L83:L85)</f>
        <v>0</v>
      </c>
      <c r="M86" s="4">
        <f t="shared" si="62"/>
        <v>0</v>
      </c>
      <c r="N86" s="4">
        <f>SUM(N83:N85)</f>
        <v>28261.440000000002</v>
      </c>
      <c r="P86" s="4">
        <f>SUM(P83:P85)</f>
        <v>138589.11749999999</v>
      </c>
      <c r="Q86" s="4">
        <f t="shared" ref="Q86:R86" si="64">SUM(Q83:Q85)</f>
        <v>184785.49</v>
      </c>
      <c r="R86" s="4">
        <f t="shared" si="64"/>
        <v>184785.49</v>
      </c>
      <c r="S86" s="94">
        <f t="shared" si="56"/>
        <v>0</v>
      </c>
      <c r="T86" s="94"/>
      <c r="U86" s="4">
        <f>SUM(U83:U85)</f>
        <v>14609.72</v>
      </c>
      <c r="V86" s="4">
        <f t="shared" ref="V86:AF86" si="65">SUM(V83:V85)</f>
        <v>14988.89</v>
      </c>
      <c r="W86" s="4">
        <f t="shared" si="65"/>
        <v>15270.21</v>
      </c>
      <c r="X86" s="4">
        <f>SUM(X83:X85)</f>
        <v>15166.67</v>
      </c>
      <c r="Y86" s="4">
        <f t="shared" si="65"/>
        <v>15255.56</v>
      </c>
      <c r="Z86" s="4">
        <f t="shared" si="65"/>
        <v>15166.67</v>
      </c>
      <c r="AA86" s="4">
        <f t="shared" si="65"/>
        <v>15255.56</v>
      </c>
      <c r="AB86" s="4">
        <f t="shared" si="65"/>
        <v>15500</v>
      </c>
      <c r="AC86" s="4">
        <f t="shared" si="65"/>
        <v>15833.33</v>
      </c>
      <c r="AD86" s="4">
        <f t="shared" si="65"/>
        <v>15944.44</v>
      </c>
      <c r="AE86" s="4">
        <f t="shared" si="65"/>
        <v>15833.33</v>
      </c>
      <c r="AF86" s="4">
        <f t="shared" si="65"/>
        <v>15961.11</v>
      </c>
      <c r="AG86" s="4">
        <f>SUM(AG83:AG85)</f>
        <v>184785.49</v>
      </c>
    </row>
    <row r="87" spans="1:33" x14ac:dyDescent="0.25">
      <c r="P87" s="2"/>
      <c r="Q87" s="2"/>
      <c r="R87" s="2"/>
      <c r="S87" s="94"/>
      <c r="T87" s="94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thickBot="1" x14ac:dyDescent="0.3">
      <c r="A88" s="142" t="s">
        <v>298</v>
      </c>
      <c r="B88" s="6">
        <f t="shared" ref="B88:M88" si="66">B25-B80+B86</f>
        <v>336315.92999999988</v>
      </c>
      <c r="C88" s="6">
        <f t="shared" si="66"/>
        <v>0</v>
      </c>
      <c r="D88" s="6">
        <f t="shared" si="66"/>
        <v>0</v>
      </c>
      <c r="E88" s="6">
        <f t="shared" si="66"/>
        <v>0</v>
      </c>
      <c r="F88" s="6">
        <f t="shared" si="66"/>
        <v>0</v>
      </c>
      <c r="G88" s="6">
        <f t="shared" si="66"/>
        <v>0</v>
      </c>
      <c r="H88" s="6">
        <f t="shared" si="66"/>
        <v>0</v>
      </c>
      <c r="I88" s="6">
        <f t="shared" si="66"/>
        <v>0</v>
      </c>
      <c r="J88" s="6">
        <f t="shared" ref="J88:L88" si="67">J25-J80+J86</f>
        <v>0</v>
      </c>
      <c r="K88" s="6">
        <f t="shared" si="67"/>
        <v>0</v>
      </c>
      <c r="L88" s="6">
        <f t="shared" si="67"/>
        <v>0</v>
      </c>
      <c r="M88" s="6">
        <f t="shared" si="66"/>
        <v>0</v>
      </c>
      <c r="N88" s="6">
        <f>N25-N80+N86</f>
        <v>336315.92999999988</v>
      </c>
      <c r="O88"/>
      <c r="P88" s="6">
        <f t="shared" ref="P88:R88" si="68">P25-P80+P86</f>
        <v>594000.63675000006</v>
      </c>
      <c r="Q88" s="6">
        <f t="shared" si="68"/>
        <v>792000.84900000016</v>
      </c>
      <c r="R88" s="6">
        <f t="shared" si="68"/>
        <v>844796.72</v>
      </c>
      <c r="S88" s="94">
        <f t="shared" si="56"/>
        <v>0</v>
      </c>
      <c r="T88" s="94"/>
      <c r="U88" s="6">
        <f t="shared" ref="U88:AG88" si="69">U25-U80+U86</f>
        <v>-1834.0699999999943</v>
      </c>
      <c r="V88" s="6">
        <f t="shared" si="69"/>
        <v>8655.3500000000204</v>
      </c>
      <c r="W88" s="6">
        <f t="shared" si="69"/>
        <v>83095.280000000028</v>
      </c>
      <c r="X88" s="6">
        <f t="shared" si="69"/>
        <v>32817.569999999978</v>
      </c>
      <c r="Y88" s="6">
        <f t="shared" si="69"/>
        <v>177775.43</v>
      </c>
      <c r="Z88" s="6">
        <f t="shared" si="69"/>
        <v>87212.919999999955</v>
      </c>
      <c r="AA88" s="6">
        <f t="shared" si="69"/>
        <v>115696.81999999999</v>
      </c>
      <c r="AB88" s="6">
        <f t="shared" si="69"/>
        <v>116860.41000000002</v>
      </c>
      <c r="AC88" s="6">
        <f t="shared" si="69"/>
        <v>2404.5800000002328</v>
      </c>
      <c r="AD88" s="6">
        <f t="shared" si="69"/>
        <v>133766.34000000003</v>
      </c>
      <c r="AE88" s="6">
        <f t="shared" si="69"/>
        <v>21245.390000000029</v>
      </c>
      <c r="AF88" s="6">
        <f t="shared" si="69"/>
        <v>67100.700000000026</v>
      </c>
      <c r="AG88" s="6">
        <f t="shared" si="69"/>
        <v>844796.72</v>
      </c>
    </row>
    <row r="89" spans="1:33" ht="15.75" thickTop="1" x14ac:dyDescent="0.25">
      <c r="B89" s="2">
        <f>B88-336315.93</f>
        <v>0</v>
      </c>
      <c r="P89" s="2"/>
      <c r="Q89" s="2"/>
      <c r="R89" s="2"/>
      <c r="S89" s="94"/>
      <c r="T89" s="94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P90" s="2"/>
      <c r="Q90" s="2"/>
      <c r="R90" s="2"/>
      <c r="S90" s="94"/>
      <c r="T90" s="94"/>
      <c r="U90" s="2">
        <v>-1834.07</v>
      </c>
      <c r="V90" s="2">
        <v>8655.35</v>
      </c>
      <c r="W90" s="2">
        <v>83095.28</v>
      </c>
      <c r="X90" s="2">
        <v>32817.57</v>
      </c>
      <c r="Y90" s="2">
        <v>177775.43</v>
      </c>
      <c r="Z90" s="2">
        <v>87212.92</v>
      </c>
      <c r="AA90" s="2">
        <v>115696.82</v>
      </c>
      <c r="AB90" s="2">
        <v>116860.41</v>
      </c>
      <c r="AC90" s="2">
        <v>2404.58</v>
      </c>
      <c r="AD90" s="2">
        <v>133766.34</v>
      </c>
      <c r="AE90" s="2">
        <v>21245.39</v>
      </c>
      <c r="AF90" s="2">
        <v>67100.7</v>
      </c>
      <c r="AG90" s="2">
        <v>844796.72</v>
      </c>
    </row>
    <row r="91" spans="1:33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P91" s="37"/>
      <c r="Q91" s="37"/>
      <c r="R91" s="37"/>
      <c r="S91" s="94"/>
      <c r="T91" s="94"/>
      <c r="U91" s="37">
        <f>ROUND((U90-U88),2)</f>
        <v>0</v>
      </c>
      <c r="V91" s="37">
        <f t="shared" ref="V91:AG91" si="70">ROUND((V90-V88),2)</f>
        <v>0</v>
      </c>
      <c r="W91" s="37">
        <f t="shared" si="70"/>
        <v>0</v>
      </c>
      <c r="X91" s="37">
        <f t="shared" si="70"/>
        <v>0</v>
      </c>
      <c r="Y91" s="37">
        <f t="shared" si="70"/>
        <v>0</v>
      </c>
      <c r="Z91" s="37">
        <f t="shared" si="70"/>
        <v>0</v>
      </c>
      <c r="AA91" s="37">
        <f t="shared" si="70"/>
        <v>0</v>
      </c>
      <c r="AB91" s="37">
        <f t="shared" si="70"/>
        <v>0</v>
      </c>
      <c r="AC91" s="37">
        <f t="shared" si="70"/>
        <v>0</v>
      </c>
      <c r="AD91" s="37">
        <f>ROUND((AD90-AD88),2)</f>
        <v>0</v>
      </c>
      <c r="AE91" s="37">
        <f>ROUND((AE90-AE88),2)</f>
        <v>0</v>
      </c>
      <c r="AF91" s="37">
        <f>ROUND((AF90-AF88),2)</f>
        <v>0</v>
      </c>
      <c r="AG91" s="37">
        <f t="shared" si="70"/>
        <v>0</v>
      </c>
    </row>
    <row r="92" spans="1:33" x14ac:dyDescent="0.25">
      <c r="P92" s="2"/>
      <c r="Q92" s="2"/>
      <c r="R92" s="2"/>
      <c r="T92" s="94"/>
    </row>
    <row r="93" spans="1:33" x14ac:dyDescent="0.25">
      <c r="P93" s="2"/>
      <c r="Q93" s="2"/>
      <c r="R93" s="2"/>
    </row>
    <row r="94" spans="1:33" x14ac:dyDescent="0.25">
      <c r="P94" s="2"/>
      <c r="Q94" s="2"/>
      <c r="R94" s="2"/>
    </row>
    <row r="95" spans="1:33" x14ac:dyDescent="0.25">
      <c r="P95" s="2"/>
      <c r="Q95" s="2"/>
      <c r="R95" s="2"/>
    </row>
    <row r="96" spans="1:33" x14ac:dyDescent="0.25">
      <c r="P96" s="2"/>
      <c r="Q96" s="2"/>
      <c r="R96" s="2"/>
    </row>
    <row r="97" spans="16:18" x14ac:dyDescent="0.25">
      <c r="P97" s="2"/>
      <c r="Q97" s="2"/>
      <c r="R97" s="2"/>
    </row>
    <row r="98" spans="16:18" x14ac:dyDescent="0.25">
      <c r="P98" s="2"/>
      <c r="Q98" s="2"/>
      <c r="R98" s="2"/>
    </row>
    <row r="99" spans="16:18" x14ac:dyDescent="0.25">
      <c r="P99" s="2"/>
      <c r="Q99" s="2"/>
      <c r="R99" s="2"/>
    </row>
    <row r="100" spans="16:18" x14ac:dyDescent="0.25">
      <c r="P100" s="2"/>
      <c r="Q100" s="2"/>
      <c r="R100" s="2"/>
    </row>
    <row r="101" spans="16:18" x14ac:dyDescent="0.25">
      <c r="P101" s="2"/>
      <c r="Q101" s="2"/>
      <c r="R101" s="2"/>
    </row>
    <row r="102" spans="16:18" x14ac:dyDescent="0.25">
      <c r="P102" s="2"/>
      <c r="Q102" s="2"/>
      <c r="R102" s="2"/>
    </row>
    <row r="103" spans="16:18" x14ac:dyDescent="0.25">
      <c r="P103" s="2"/>
      <c r="Q103" s="2"/>
      <c r="R103" s="2"/>
    </row>
    <row r="104" spans="16:18" x14ac:dyDescent="0.25">
      <c r="P104" s="2"/>
      <c r="Q104" s="2"/>
      <c r="R104" s="2"/>
    </row>
    <row r="105" spans="16:18" x14ac:dyDescent="0.25">
      <c r="P105" s="2"/>
      <c r="Q105" s="2"/>
      <c r="R105" s="2"/>
    </row>
    <row r="106" spans="16:18" x14ac:dyDescent="0.25">
      <c r="P106" s="2"/>
      <c r="Q106" s="2"/>
      <c r="R106" s="2"/>
    </row>
    <row r="107" spans="16:18" x14ac:dyDescent="0.25">
      <c r="P107" s="2"/>
      <c r="Q107" s="2"/>
      <c r="R107" s="2"/>
    </row>
    <row r="108" spans="16:18" x14ac:dyDescent="0.25">
      <c r="P108" s="2"/>
      <c r="Q108" s="2"/>
      <c r="R108" s="2"/>
    </row>
    <row r="109" spans="16:18" x14ac:dyDescent="0.25">
      <c r="P109" s="2"/>
      <c r="Q109" s="2"/>
      <c r="R109" s="2"/>
    </row>
    <row r="110" spans="16:18" x14ac:dyDescent="0.25">
      <c r="P110" s="2"/>
      <c r="Q110" s="2"/>
      <c r="R110" s="2"/>
    </row>
    <row r="111" spans="16:18" x14ac:dyDescent="0.25">
      <c r="P111" s="2"/>
      <c r="Q111" s="2"/>
      <c r="R111" s="2"/>
    </row>
    <row r="112" spans="16:18" x14ac:dyDescent="0.25">
      <c r="P112" s="2"/>
      <c r="Q112" s="2"/>
      <c r="R112" s="2"/>
    </row>
    <row r="113" spans="16:18" x14ac:dyDescent="0.25">
      <c r="P113" s="2"/>
      <c r="Q113" s="2"/>
      <c r="R113" s="2"/>
    </row>
    <row r="114" spans="16:18" x14ac:dyDescent="0.25">
      <c r="P114" s="2"/>
      <c r="Q114" s="2"/>
      <c r="R114" s="2"/>
    </row>
    <row r="115" spans="16:18" x14ac:dyDescent="0.25">
      <c r="P115" s="2"/>
      <c r="Q115" s="2"/>
      <c r="R115" s="2"/>
    </row>
    <row r="116" spans="16:18" x14ac:dyDescent="0.25">
      <c r="P116" s="2"/>
      <c r="Q116" s="2"/>
      <c r="R116" s="2"/>
    </row>
    <row r="117" spans="16:18" x14ac:dyDescent="0.25">
      <c r="P117" s="2"/>
      <c r="Q117" s="2"/>
      <c r="R117" s="2"/>
    </row>
    <row r="118" spans="16:18" x14ac:dyDescent="0.25">
      <c r="P118" s="2"/>
      <c r="Q118" s="2"/>
      <c r="R118" s="2"/>
    </row>
    <row r="119" spans="16:18" x14ac:dyDescent="0.25">
      <c r="P119" s="2"/>
      <c r="Q119" s="2"/>
      <c r="R119" s="2"/>
    </row>
    <row r="120" spans="16:18" x14ac:dyDescent="0.25">
      <c r="P120" s="2"/>
      <c r="Q120" s="2"/>
      <c r="R120" s="2"/>
    </row>
    <row r="121" spans="16:18" x14ac:dyDescent="0.25">
      <c r="P121" s="2"/>
      <c r="Q121" s="2"/>
      <c r="R121" s="2"/>
    </row>
    <row r="122" spans="16:18" x14ac:dyDescent="0.25">
      <c r="P122" s="2"/>
      <c r="Q122" s="2"/>
      <c r="R122" s="2"/>
    </row>
    <row r="123" spans="16:18" x14ac:dyDescent="0.25">
      <c r="P123" s="2"/>
      <c r="Q123" s="2"/>
      <c r="R123" s="2"/>
    </row>
    <row r="124" spans="16:18" x14ac:dyDescent="0.25">
      <c r="P124" s="2"/>
      <c r="Q124" s="2"/>
      <c r="R124" s="2"/>
    </row>
    <row r="125" spans="16:18" x14ac:dyDescent="0.25">
      <c r="P125" s="2"/>
      <c r="Q125" s="2"/>
      <c r="R125" s="2"/>
    </row>
    <row r="126" spans="16:18" x14ac:dyDescent="0.25">
      <c r="P126" s="2"/>
      <c r="Q126" s="2"/>
      <c r="R126" s="2"/>
    </row>
    <row r="127" spans="16:18" x14ac:dyDescent="0.25">
      <c r="P127" s="2"/>
      <c r="Q127" s="2"/>
      <c r="R127" s="2"/>
    </row>
    <row r="128" spans="16:18" x14ac:dyDescent="0.25">
      <c r="P128" s="2"/>
      <c r="Q128" s="2"/>
      <c r="R128" s="2"/>
    </row>
    <row r="129" spans="16:18" x14ac:dyDescent="0.25">
      <c r="P129" s="2"/>
      <c r="Q129" s="2"/>
      <c r="R129" s="2"/>
    </row>
    <row r="130" spans="16:18" x14ac:dyDescent="0.25">
      <c r="P130" s="2"/>
      <c r="Q130" s="2"/>
      <c r="R130" s="2"/>
    </row>
    <row r="131" spans="16:18" x14ac:dyDescent="0.25">
      <c r="P131" s="2"/>
      <c r="Q131" s="2"/>
      <c r="R131" s="2"/>
    </row>
    <row r="132" spans="16:18" x14ac:dyDescent="0.25">
      <c r="P132" s="2"/>
      <c r="Q132" s="2"/>
      <c r="R132" s="2"/>
    </row>
    <row r="133" spans="16:18" x14ac:dyDescent="0.25">
      <c r="P133" s="2"/>
      <c r="Q133" s="2"/>
      <c r="R133" s="2"/>
    </row>
    <row r="134" spans="16:18" x14ac:dyDescent="0.25">
      <c r="P134" s="2"/>
      <c r="Q134" s="2"/>
      <c r="R134" s="2"/>
    </row>
    <row r="135" spans="16:18" x14ac:dyDescent="0.25">
      <c r="P135" s="2"/>
      <c r="Q135" s="2"/>
      <c r="R135" s="2"/>
    </row>
    <row r="136" spans="16:18" x14ac:dyDescent="0.25">
      <c r="P136" s="2"/>
      <c r="Q136" s="2"/>
      <c r="R136" s="2"/>
    </row>
    <row r="137" spans="16:18" x14ac:dyDescent="0.25">
      <c r="P137" s="2"/>
      <c r="Q137" s="2"/>
      <c r="R137" s="2"/>
    </row>
    <row r="138" spans="16:18" x14ac:dyDescent="0.25">
      <c r="P138" s="2"/>
      <c r="Q138" s="2"/>
      <c r="R138" s="2"/>
    </row>
    <row r="139" spans="16:18" x14ac:dyDescent="0.25">
      <c r="P139" s="2"/>
      <c r="Q139" s="2"/>
      <c r="R139" s="2"/>
    </row>
    <row r="140" spans="16:18" x14ac:dyDescent="0.25">
      <c r="P140" s="2"/>
      <c r="Q140" s="2"/>
      <c r="R140" s="2"/>
    </row>
    <row r="141" spans="16:18" x14ac:dyDescent="0.25">
      <c r="P141" s="2"/>
      <c r="Q141" s="2"/>
      <c r="R141" s="2"/>
    </row>
    <row r="142" spans="16:18" x14ac:dyDescent="0.25">
      <c r="P142" s="2"/>
      <c r="Q142" s="2"/>
      <c r="R142" s="2"/>
    </row>
    <row r="143" spans="16:18" x14ac:dyDescent="0.25">
      <c r="P143" s="2"/>
      <c r="Q143" s="2"/>
      <c r="R143" s="2"/>
    </row>
    <row r="144" spans="16:18" x14ac:dyDescent="0.25">
      <c r="P144" s="2"/>
      <c r="Q144" s="2"/>
      <c r="R144" s="2"/>
    </row>
    <row r="145" spans="16:18" x14ac:dyDescent="0.25">
      <c r="P145" s="2"/>
      <c r="Q145" s="2"/>
      <c r="R145" s="2"/>
    </row>
    <row r="146" spans="16:18" x14ac:dyDescent="0.25">
      <c r="P146" s="2"/>
      <c r="Q146" s="2"/>
      <c r="R146" s="2"/>
    </row>
    <row r="147" spans="16:18" x14ac:dyDescent="0.25">
      <c r="P147" s="2"/>
      <c r="Q147" s="2"/>
      <c r="R147" s="2"/>
    </row>
    <row r="148" spans="16:18" x14ac:dyDescent="0.25">
      <c r="P148" s="2"/>
      <c r="Q148" s="2"/>
      <c r="R148" s="2"/>
    </row>
    <row r="149" spans="16:18" x14ac:dyDescent="0.25">
      <c r="P149" s="2"/>
      <c r="Q149" s="2"/>
      <c r="R149" s="2"/>
    </row>
    <row r="150" spans="16:18" x14ac:dyDescent="0.25">
      <c r="P150" s="2"/>
      <c r="Q150" s="2"/>
      <c r="R150" s="2"/>
    </row>
    <row r="151" spans="16:18" x14ac:dyDescent="0.25">
      <c r="P151" s="2"/>
      <c r="Q151" s="2"/>
      <c r="R151" s="2"/>
    </row>
    <row r="152" spans="16:18" x14ac:dyDescent="0.25">
      <c r="P152" s="2"/>
      <c r="Q152" s="2"/>
      <c r="R152" s="2"/>
    </row>
    <row r="153" spans="16:18" x14ac:dyDescent="0.25">
      <c r="P153" s="2"/>
      <c r="Q153" s="2"/>
      <c r="R153" s="2"/>
    </row>
    <row r="154" spans="16:18" x14ac:dyDescent="0.25">
      <c r="P154" s="2"/>
      <c r="Q154" s="2"/>
      <c r="R154" s="2"/>
    </row>
    <row r="155" spans="16:18" x14ac:dyDescent="0.25">
      <c r="P155" s="2"/>
      <c r="Q155" s="2"/>
      <c r="R155" s="2"/>
    </row>
    <row r="156" spans="16:18" x14ac:dyDescent="0.25">
      <c r="P156" s="2"/>
      <c r="Q156" s="2"/>
      <c r="R156" s="2"/>
    </row>
    <row r="157" spans="16:18" x14ac:dyDescent="0.25">
      <c r="P157" s="2"/>
      <c r="Q157" s="2"/>
      <c r="R157" s="2"/>
    </row>
    <row r="158" spans="16:18" x14ac:dyDescent="0.25">
      <c r="P158" s="2"/>
      <c r="Q158" s="2"/>
      <c r="R158" s="2"/>
    </row>
    <row r="159" spans="16:18" x14ac:dyDescent="0.25">
      <c r="P159" s="2"/>
      <c r="Q159" s="2"/>
      <c r="R159" s="2"/>
    </row>
    <row r="160" spans="16:18" x14ac:dyDescent="0.25">
      <c r="P160" s="2"/>
      <c r="Q160" s="2"/>
      <c r="R160" s="2"/>
    </row>
    <row r="161" spans="16:18" x14ac:dyDescent="0.25">
      <c r="P161" s="2"/>
      <c r="Q161" s="2"/>
      <c r="R161" s="2"/>
    </row>
    <row r="162" spans="16:18" x14ac:dyDescent="0.25">
      <c r="P162" s="2"/>
      <c r="Q162" s="2"/>
      <c r="R162" s="2"/>
    </row>
    <row r="163" spans="16:18" x14ac:dyDescent="0.25">
      <c r="P163" s="2"/>
      <c r="Q163" s="2"/>
      <c r="R163" s="2"/>
    </row>
    <row r="164" spans="16:18" x14ac:dyDescent="0.25">
      <c r="P164" s="2"/>
      <c r="Q164" s="2"/>
      <c r="R164" s="2"/>
    </row>
    <row r="165" spans="16:18" x14ac:dyDescent="0.25">
      <c r="P165" s="2"/>
      <c r="Q165" s="2"/>
      <c r="R165" s="2"/>
    </row>
    <row r="166" spans="16:18" x14ac:dyDescent="0.25">
      <c r="P166" s="2"/>
      <c r="Q166" s="2"/>
      <c r="R166" s="2"/>
    </row>
    <row r="167" spans="16:18" x14ac:dyDescent="0.25">
      <c r="P167" s="2"/>
      <c r="Q167" s="2"/>
      <c r="R167" s="2"/>
    </row>
    <row r="168" spans="16:18" x14ac:dyDescent="0.25">
      <c r="P168" s="2"/>
      <c r="Q168" s="2"/>
      <c r="R168" s="2"/>
    </row>
    <row r="169" spans="16:18" x14ac:dyDescent="0.25">
      <c r="P169" s="2"/>
      <c r="Q169" s="2"/>
      <c r="R169" s="2"/>
    </row>
    <row r="170" spans="16:18" x14ac:dyDescent="0.25">
      <c r="P170" s="2"/>
      <c r="Q170" s="2"/>
      <c r="R170" s="2"/>
    </row>
    <row r="171" spans="16:18" x14ac:dyDescent="0.25">
      <c r="P171" s="2"/>
      <c r="Q171" s="2"/>
      <c r="R171" s="2"/>
    </row>
    <row r="172" spans="16:18" x14ac:dyDescent="0.25">
      <c r="P172" s="2"/>
      <c r="Q172" s="2"/>
      <c r="R172" s="2"/>
    </row>
    <row r="173" spans="16:18" x14ac:dyDescent="0.25">
      <c r="P173" s="2"/>
      <c r="Q173" s="2"/>
      <c r="R173" s="2"/>
    </row>
    <row r="174" spans="16:18" x14ac:dyDescent="0.25">
      <c r="P174" s="2"/>
      <c r="Q174" s="2"/>
      <c r="R174" s="2"/>
    </row>
    <row r="175" spans="16:18" x14ac:dyDescent="0.25">
      <c r="P175" s="2"/>
      <c r="Q175" s="2"/>
      <c r="R175" s="2"/>
    </row>
    <row r="176" spans="16:18" x14ac:dyDescent="0.25">
      <c r="P176" s="2"/>
      <c r="Q176" s="2"/>
      <c r="R176" s="2"/>
    </row>
    <row r="177" spans="16:18" x14ac:dyDescent="0.25">
      <c r="P177" s="2"/>
      <c r="Q177" s="2"/>
      <c r="R177" s="2"/>
    </row>
    <row r="178" spans="16:18" x14ac:dyDescent="0.25">
      <c r="P178" s="2"/>
      <c r="Q178" s="2"/>
      <c r="R178" s="2"/>
    </row>
    <row r="179" spans="16:18" x14ac:dyDescent="0.25">
      <c r="P179" s="2"/>
      <c r="Q179" s="2"/>
      <c r="R179" s="2"/>
    </row>
    <row r="180" spans="16:18" x14ac:dyDescent="0.25">
      <c r="P180" s="2"/>
      <c r="Q180" s="2"/>
      <c r="R180" s="2"/>
    </row>
    <row r="181" spans="16:18" x14ac:dyDescent="0.25">
      <c r="P181" s="2"/>
      <c r="Q181" s="2"/>
      <c r="R181" s="2"/>
    </row>
    <row r="182" spans="16:18" x14ac:dyDescent="0.25">
      <c r="P182" s="2"/>
      <c r="Q182" s="2"/>
      <c r="R182" s="2"/>
    </row>
    <row r="183" spans="16:18" x14ac:dyDescent="0.25">
      <c r="P183" s="2"/>
      <c r="Q183" s="2"/>
      <c r="R183" s="2"/>
    </row>
    <row r="184" spans="16:18" x14ac:dyDescent="0.25">
      <c r="P184" s="2"/>
      <c r="Q184" s="2"/>
      <c r="R184" s="2"/>
    </row>
    <row r="185" spans="16:18" x14ac:dyDescent="0.25">
      <c r="P185" s="2"/>
      <c r="Q185" s="2"/>
      <c r="R185" s="2"/>
    </row>
    <row r="186" spans="16:18" x14ac:dyDescent="0.25">
      <c r="P186" s="2"/>
      <c r="Q186" s="2"/>
      <c r="R186" s="2"/>
    </row>
    <row r="187" spans="16:18" x14ac:dyDescent="0.25">
      <c r="P187" s="2"/>
      <c r="Q187" s="2"/>
      <c r="R187" s="2"/>
    </row>
    <row r="188" spans="16:18" x14ac:dyDescent="0.25">
      <c r="P188" s="2"/>
      <c r="Q188" s="2"/>
      <c r="R188" s="2"/>
    </row>
    <row r="189" spans="16:18" x14ac:dyDescent="0.25">
      <c r="P189" s="2"/>
      <c r="Q189" s="2"/>
      <c r="R189" s="2"/>
    </row>
    <row r="190" spans="16:18" x14ac:dyDescent="0.25">
      <c r="P190" s="7"/>
      <c r="Q190" s="7"/>
      <c r="R190" s="7"/>
    </row>
    <row r="191" spans="16:18" x14ac:dyDescent="0.25">
      <c r="P191" s="2"/>
      <c r="Q191" s="2"/>
      <c r="R191" s="2"/>
    </row>
    <row r="192" spans="16:18" x14ac:dyDescent="0.25">
      <c r="P192" s="2"/>
      <c r="Q192" s="2"/>
      <c r="R192" s="2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fitToHeight="0" orientation="portrait" r:id="rId1"/>
  <headerFooter>
    <oddFooter>&amp;CPage &amp;P of &amp;N</oddFooter>
  </headerFooter>
  <rowBreaks count="3" manualBreakCount="3">
    <brk id="39" max="13" man="1"/>
    <brk id="62" max="13" man="1"/>
    <brk id="80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2"/>
  <sheetViews>
    <sheetView view="pageBreakPreview" zoomScale="90" zoomScaleNormal="100" zoomScaleSheetLayoutView="90" workbookViewId="0">
      <pane ySplit="5" topLeftCell="A6" activePane="bottomLeft" state="frozen"/>
      <selection activeCell="A92" sqref="A92"/>
      <selection pane="bottomLeft" activeCell="O32" sqref="O32"/>
    </sheetView>
  </sheetViews>
  <sheetFormatPr defaultRowHeight="15" x14ac:dyDescent="0.25"/>
  <cols>
    <col min="1" max="1" width="41.28515625" style="141" bestFit="1" customWidth="1"/>
    <col min="2" max="2" width="18.28515625" style="175" bestFit="1" customWidth="1"/>
    <col min="3" max="13" width="18.28515625" style="175" hidden="1" customWidth="1"/>
    <col min="14" max="14" width="19.7109375" style="175" bestFit="1" customWidth="1"/>
    <col min="15" max="15" width="14" style="175" bestFit="1" customWidth="1"/>
    <col min="16" max="18" width="26.28515625" style="144" customWidth="1"/>
    <col min="19" max="19" width="5.140625" style="202" bestFit="1" customWidth="1"/>
    <col min="20" max="20" width="26.28515625" style="144" customWidth="1"/>
    <col min="21" max="25" width="12.5703125" style="141" bestFit="1" customWidth="1"/>
    <col min="26" max="27" width="13.7109375" style="141" bestFit="1" customWidth="1"/>
    <col min="28" max="28" width="12.5703125" style="141" bestFit="1" customWidth="1"/>
    <col min="29" max="29" width="11.7109375" style="141" bestFit="1" customWidth="1"/>
    <col min="30" max="32" width="12.5703125" style="141" bestFit="1" customWidth="1"/>
    <col min="33" max="33" width="13.7109375" style="141" bestFit="1" customWidth="1"/>
    <col min="34" max="16384" width="9.140625" style="141"/>
  </cols>
  <sheetData>
    <row r="1" spans="1:33" ht="21" x14ac:dyDescent="0.35">
      <c r="A1" s="262" t="s">
        <v>332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33" ht="21" x14ac:dyDescent="0.35">
      <c r="A2" s="262" t="s">
        <v>272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33" ht="21" x14ac:dyDescent="0.35">
      <c r="A3" s="262">
        <v>2020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1:33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P4" s="260" t="s">
        <v>551</v>
      </c>
      <c r="Q4" s="260" t="s">
        <v>546</v>
      </c>
      <c r="R4" s="260" t="s">
        <v>550</v>
      </c>
      <c r="T4" s="201"/>
    </row>
    <row r="5" spans="1:33" ht="15.75" thickBo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P5" s="261"/>
      <c r="Q5" s="261"/>
      <c r="R5" s="261"/>
      <c r="T5" s="201"/>
    </row>
    <row r="6" spans="1:33" ht="18.75" x14ac:dyDescent="0.3">
      <c r="A6" s="211"/>
      <c r="B6" s="212" t="s">
        <v>299</v>
      </c>
      <c r="C6" s="212" t="s">
        <v>300</v>
      </c>
      <c r="D6" s="212" t="s">
        <v>301</v>
      </c>
      <c r="E6" s="212" t="s">
        <v>302</v>
      </c>
      <c r="F6" s="212" t="s">
        <v>372</v>
      </c>
      <c r="G6" s="212" t="s">
        <v>605</v>
      </c>
      <c r="H6" s="212" t="s">
        <v>606</v>
      </c>
      <c r="I6" s="212" t="s">
        <v>607</v>
      </c>
      <c r="J6" s="212" t="s">
        <v>608</v>
      </c>
      <c r="K6" s="212" t="s">
        <v>609</v>
      </c>
      <c r="L6" s="212" t="s">
        <v>610</v>
      </c>
      <c r="M6" s="212" t="s">
        <v>611</v>
      </c>
      <c r="N6" s="212" t="s">
        <v>205</v>
      </c>
      <c r="P6" s="204">
        <v>8</v>
      </c>
      <c r="Q6" s="204"/>
      <c r="R6" s="203" t="s">
        <v>205</v>
      </c>
      <c r="T6" s="203"/>
      <c r="U6" s="203" t="s">
        <v>299</v>
      </c>
      <c r="V6" s="203" t="s">
        <v>300</v>
      </c>
      <c r="W6" s="203" t="s">
        <v>301</v>
      </c>
      <c r="X6" s="203" t="s">
        <v>302</v>
      </c>
      <c r="Y6" s="203" t="s">
        <v>372</v>
      </c>
      <c r="Z6" s="203" t="s">
        <v>413</v>
      </c>
      <c r="AA6" s="203" t="s">
        <v>432</v>
      </c>
      <c r="AB6" s="203" t="s">
        <v>442</v>
      </c>
      <c r="AC6" s="203" t="s">
        <v>456</v>
      </c>
      <c r="AD6" s="203" t="s">
        <v>474</v>
      </c>
      <c r="AE6" s="203" t="s">
        <v>476</v>
      </c>
      <c r="AF6" s="203" t="s">
        <v>525</v>
      </c>
      <c r="AG6" s="203" t="s">
        <v>205</v>
      </c>
    </row>
    <row r="7" spans="1:33" ht="18.75" x14ac:dyDescent="0.3">
      <c r="A7" s="213" t="s">
        <v>60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P7" s="175"/>
      <c r="Q7" s="175"/>
      <c r="R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 spans="1:33" ht="18.75" x14ac:dyDescent="0.3">
      <c r="A8" s="211" t="s">
        <v>306</v>
      </c>
      <c r="B8" s="214">
        <v>4143470.25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>
        <f>SUM(B8:M8)</f>
        <v>4143470.25</v>
      </c>
      <c r="P8" s="175">
        <f t="shared" ref="P8:P16" si="0">Q8/12*$P$6</f>
        <v>51831346.946666665</v>
      </c>
      <c r="Q8" s="175">
        <f>R8</f>
        <v>77747020.420000002</v>
      </c>
      <c r="R8" s="175">
        <f>AG8</f>
        <v>77747020.420000002</v>
      </c>
      <c r="S8" s="205">
        <f>R8-AG8</f>
        <v>0</v>
      </c>
      <c r="T8" s="175"/>
      <c r="U8" s="175">
        <v>1259181.27</v>
      </c>
      <c r="V8" s="175">
        <v>3842825.02</v>
      </c>
      <c r="W8" s="175">
        <v>6380777.25</v>
      </c>
      <c r="X8" s="175">
        <v>7202321.2999999998</v>
      </c>
      <c r="Y8" s="175">
        <v>8920930.5899999999</v>
      </c>
      <c r="Z8" s="175">
        <v>10255749.529999999</v>
      </c>
      <c r="AA8" s="175">
        <v>11726637.460000001</v>
      </c>
      <c r="AB8" s="175">
        <v>8087466.0499999998</v>
      </c>
      <c r="AC8" s="175">
        <v>266656.84999999998</v>
      </c>
      <c r="AD8" s="175">
        <v>7236728.5999999996</v>
      </c>
      <c r="AE8" s="175">
        <f>6653510.11-618</f>
        <v>6652892.1100000003</v>
      </c>
      <c r="AF8" s="175">
        <v>5914854.3899999997</v>
      </c>
      <c r="AG8" s="175">
        <f>SUM(U8:AF8)</f>
        <v>77747020.420000002</v>
      </c>
    </row>
    <row r="9" spans="1:33" ht="18.75" x14ac:dyDescent="0.3">
      <c r="A9" s="211" t="s">
        <v>314</v>
      </c>
      <c r="B9" s="214">
        <v>297059.51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>
        <f t="shared" ref="N9:N16" si="1">SUM(B9:M9)</f>
        <v>297059.51</v>
      </c>
      <c r="P9" s="175">
        <f t="shared" si="0"/>
        <v>3281448.7466666666</v>
      </c>
      <c r="Q9" s="175">
        <f t="shared" ref="Q9:Q16" si="2">R9</f>
        <v>4922173.12</v>
      </c>
      <c r="R9" s="175">
        <f t="shared" ref="R9:R16" si="3">AG9</f>
        <v>4922173.12</v>
      </c>
      <c r="S9" s="205">
        <f t="shared" ref="S9:S79" si="4">R9-AG9</f>
        <v>0</v>
      </c>
      <c r="T9" s="175"/>
      <c r="U9" s="175">
        <v>236007.94</v>
      </c>
      <c r="V9" s="175">
        <v>379397.28</v>
      </c>
      <c r="W9" s="175">
        <v>545988.51</v>
      </c>
      <c r="X9" s="175">
        <v>295631.26</v>
      </c>
      <c r="Y9" s="175">
        <v>282253.62</v>
      </c>
      <c r="Z9" s="175">
        <v>179199.65</v>
      </c>
      <c r="AA9" s="175">
        <v>396933.84</v>
      </c>
      <c r="AB9" s="175">
        <v>338757.5</v>
      </c>
      <c r="AC9" s="175">
        <v>109856.97</v>
      </c>
      <c r="AD9" s="175">
        <v>773074.05</v>
      </c>
      <c r="AE9" s="175">
        <f>762136.19-149.8</f>
        <v>761986.3899999999</v>
      </c>
      <c r="AF9" s="175">
        <v>623086.11</v>
      </c>
      <c r="AG9" s="175">
        <f t="shared" ref="AG9:AG16" si="5">SUM(U9:AF9)</f>
        <v>4922173.12</v>
      </c>
    </row>
    <row r="10" spans="1:33" ht="18.75" x14ac:dyDescent="0.3">
      <c r="A10" s="211" t="s">
        <v>315</v>
      </c>
      <c r="B10" s="214">
        <v>3247.78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>
        <f t="shared" si="1"/>
        <v>3247.78</v>
      </c>
      <c r="P10" s="175">
        <f t="shared" si="0"/>
        <v>307676.68</v>
      </c>
      <c r="Q10" s="175">
        <f t="shared" si="2"/>
        <v>461515.02</v>
      </c>
      <c r="R10" s="175">
        <f t="shared" si="3"/>
        <v>461515.02</v>
      </c>
      <c r="S10" s="205">
        <f t="shared" si="4"/>
        <v>0</v>
      </c>
      <c r="T10" s="175"/>
      <c r="U10" s="175">
        <v>61335.59</v>
      </c>
      <c r="V10" s="175">
        <v>17413.54</v>
      </c>
      <c r="W10" s="175">
        <v>27676.38</v>
      </c>
      <c r="X10" s="175">
        <v>53826.559999999998</v>
      </c>
      <c r="Y10" s="175">
        <v>37554.74</v>
      </c>
      <c r="Z10" s="175">
        <v>14783.41</v>
      </c>
      <c r="AA10" s="175">
        <v>26033.31</v>
      </c>
      <c r="AB10" s="175">
        <v>26281.37</v>
      </c>
      <c r="AC10" s="175">
        <v>10456.31</v>
      </c>
      <c r="AD10" s="175">
        <v>57531.01</v>
      </c>
      <c r="AE10" s="175">
        <v>9296.07</v>
      </c>
      <c r="AF10" s="175">
        <v>119326.73</v>
      </c>
      <c r="AG10" s="175">
        <f t="shared" si="5"/>
        <v>461515.02</v>
      </c>
    </row>
    <row r="11" spans="1:33" ht="18.75" x14ac:dyDescent="0.3">
      <c r="A11" s="211" t="s">
        <v>373</v>
      </c>
      <c r="B11" s="214">
        <v>15186.7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>
        <f t="shared" si="1"/>
        <v>15186.7</v>
      </c>
      <c r="P11" s="175">
        <f t="shared" si="0"/>
        <v>25784.533333333336</v>
      </c>
      <c r="Q11" s="175">
        <f t="shared" si="2"/>
        <v>38676.800000000003</v>
      </c>
      <c r="R11" s="175">
        <f t="shared" si="3"/>
        <v>38676.800000000003</v>
      </c>
      <c r="S11" s="205">
        <f t="shared" si="4"/>
        <v>0</v>
      </c>
      <c r="T11" s="175"/>
      <c r="U11" s="175">
        <v>0</v>
      </c>
      <c r="V11" s="175">
        <v>0</v>
      </c>
      <c r="W11" s="175">
        <v>0</v>
      </c>
      <c r="X11" s="175">
        <v>0</v>
      </c>
      <c r="Y11" s="175">
        <v>3310.3</v>
      </c>
      <c r="Z11" s="175">
        <v>3202.6</v>
      </c>
      <c r="AA11" s="175">
        <v>6393.6</v>
      </c>
      <c r="AB11" s="175">
        <v>4616.5</v>
      </c>
      <c r="AC11" s="175">
        <v>3544.5</v>
      </c>
      <c r="AD11" s="175">
        <v>0</v>
      </c>
      <c r="AE11" s="175">
        <v>0</v>
      </c>
      <c r="AF11" s="175">
        <v>17609.3</v>
      </c>
      <c r="AG11" s="175">
        <f t="shared" si="5"/>
        <v>38676.800000000003</v>
      </c>
    </row>
    <row r="12" spans="1:33" ht="18.75" x14ac:dyDescent="0.3">
      <c r="A12" s="211" t="s">
        <v>450</v>
      </c>
      <c r="B12" s="214">
        <v>9.99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>
        <f t="shared" si="1"/>
        <v>9.99</v>
      </c>
      <c r="P12" s="175">
        <f t="shared" si="0"/>
        <v>3093.34</v>
      </c>
      <c r="Q12" s="175">
        <f t="shared" si="2"/>
        <v>4640.01</v>
      </c>
      <c r="R12" s="175">
        <f t="shared" si="3"/>
        <v>4640.01</v>
      </c>
      <c r="S12" s="205">
        <f t="shared" si="4"/>
        <v>0</v>
      </c>
      <c r="T12" s="175"/>
      <c r="U12" s="175">
        <v>0</v>
      </c>
      <c r="V12" s="175">
        <v>0</v>
      </c>
      <c r="W12" s="175">
        <v>0</v>
      </c>
      <c r="X12" s="175">
        <v>0</v>
      </c>
      <c r="Y12" s="175">
        <v>0</v>
      </c>
      <c r="Z12" s="175">
        <v>0</v>
      </c>
      <c r="AA12" s="175">
        <v>1473</v>
      </c>
      <c r="AB12" s="175">
        <v>132.97999999999999</v>
      </c>
      <c r="AC12" s="175">
        <v>433.84</v>
      </c>
      <c r="AD12" s="175">
        <v>0</v>
      </c>
      <c r="AE12" s="175">
        <v>2013.81</v>
      </c>
      <c r="AF12" s="175">
        <v>586.38</v>
      </c>
      <c r="AG12" s="175">
        <f t="shared" ref="AG12" si="6">SUM(U12:AF12)</f>
        <v>4640.01</v>
      </c>
    </row>
    <row r="13" spans="1:33" ht="18.75" x14ac:dyDescent="0.3">
      <c r="A13" s="211" t="s">
        <v>316</v>
      </c>
      <c r="B13" s="214">
        <v>6465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>
        <f t="shared" si="1"/>
        <v>6465</v>
      </c>
      <c r="P13" s="175">
        <f t="shared" si="0"/>
        <v>12663.413333333332</v>
      </c>
      <c r="Q13" s="175">
        <f t="shared" si="2"/>
        <v>18995.12</v>
      </c>
      <c r="R13" s="175">
        <f t="shared" si="3"/>
        <v>18995.12</v>
      </c>
      <c r="S13" s="205">
        <f t="shared" si="4"/>
        <v>0</v>
      </c>
      <c r="T13" s="175"/>
      <c r="U13" s="175">
        <v>658</v>
      </c>
      <c r="V13" s="175">
        <v>1919</v>
      </c>
      <c r="W13" s="175">
        <v>477</v>
      </c>
      <c r="X13" s="175">
        <v>592.5</v>
      </c>
      <c r="Y13" s="175">
        <f>1227.5</f>
        <v>1227.5</v>
      </c>
      <c r="Z13" s="175">
        <v>268</v>
      </c>
      <c r="AA13" s="175">
        <v>1265</v>
      </c>
      <c r="AB13" s="175">
        <v>175</v>
      </c>
      <c r="AC13" s="175">
        <v>180</v>
      </c>
      <c r="AD13" s="175">
        <v>0</v>
      </c>
      <c r="AE13" s="175">
        <v>7165.12</v>
      </c>
      <c r="AF13" s="175">
        <v>5068</v>
      </c>
      <c r="AG13" s="175">
        <f t="shared" si="5"/>
        <v>18995.12</v>
      </c>
    </row>
    <row r="14" spans="1:33" ht="18.75" x14ac:dyDescent="0.3">
      <c r="A14" s="211" t="s">
        <v>317</v>
      </c>
      <c r="B14" s="214">
        <v>115692.57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>
        <f t="shared" si="1"/>
        <v>115692.57</v>
      </c>
      <c r="P14" s="175">
        <f t="shared" si="0"/>
        <v>2345788.6666666665</v>
      </c>
      <c r="Q14" s="175">
        <f t="shared" si="2"/>
        <v>3518683</v>
      </c>
      <c r="R14" s="175">
        <f t="shared" si="3"/>
        <v>3518683</v>
      </c>
      <c r="S14" s="205">
        <f t="shared" si="4"/>
        <v>0</v>
      </c>
      <c r="T14" s="175"/>
      <c r="U14" s="175">
        <v>59302.75</v>
      </c>
      <c r="V14" s="175">
        <v>176078.5</v>
      </c>
      <c r="W14" s="175">
        <v>289922.25</v>
      </c>
      <c r="X14" s="175">
        <v>364686</v>
      </c>
      <c r="Y14" s="175">
        <v>414150.75</v>
      </c>
      <c r="Z14" s="175">
        <v>437152</v>
      </c>
      <c r="AA14" s="175">
        <v>559001.75</v>
      </c>
      <c r="AB14" s="175">
        <v>304574.5</v>
      </c>
      <c r="AC14" s="175">
        <v>0</v>
      </c>
      <c r="AD14" s="175">
        <v>382210.5</v>
      </c>
      <c r="AE14" s="175">
        <f>298757.5-23983</f>
        <v>274774.5</v>
      </c>
      <c r="AF14" s="175">
        <v>256829.5</v>
      </c>
      <c r="AG14" s="175">
        <f t="shared" si="5"/>
        <v>3518683</v>
      </c>
    </row>
    <row r="15" spans="1:33" ht="18.75" hidden="1" x14ac:dyDescent="0.3">
      <c r="A15" s="211" t="s">
        <v>318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>
        <f t="shared" si="1"/>
        <v>0</v>
      </c>
      <c r="P15" s="175">
        <f t="shared" si="0"/>
        <v>-50048.646666666667</v>
      </c>
      <c r="Q15" s="175">
        <f t="shared" si="2"/>
        <v>-75072.97</v>
      </c>
      <c r="R15" s="175">
        <f t="shared" si="3"/>
        <v>-75072.97</v>
      </c>
      <c r="S15" s="205">
        <f t="shared" si="4"/>
        <v>0</v>
      </c>
      <c r="T15" s="175"/>
      <c r="U15" s="175">
        <v>-878.76</v>
      </c>
      <c r="V15" s="175">
        <v>0</v>
      </c>
      <c r="W15" s="175">
        <v>0</v>
      </c>
      <c r="X15" s="175">
        <v>-5916</v>
      </c>
      <c r="Y15" s="175">
        <v>0</v>
      </c>
      <c r="Z15" s="175">
        <v>-50883.01</v>
      </c>
      <c r="AA15" s="175">
        <v>-5495.2</v>
      </c>
      <c r="AB15" s="175">
        <f>-11900</f>
        <v>-11900</v>
      </c>
      <c r="AC15" s="175">
        <v>0</v>
      </c>
      <c r="AD15" s="175">
        <v>0</v>
      </c>
      <c r="AE15" s="175">
        <v>0</v>
      </c>
      <c r="AF15" s="175">
        <v>0</v>
      </c>
      <c r="AG15" s="175">
        <f t="shared" ref="AG15" si="7">SUM(U15:AF15)</f>
        <v>-75072.97</v>
      </c>
    </row>
    <row r="16" spans="1:33" ht="18.75" x14ac:dyDescent="0.3">
      <c r="A16" s="211" t="s">
        <v>449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>
        <f t="shared" si="1"/>
        <v>0</v>
      </c>
      <c r="P16" s="175">
        <f t="shared" si="0"/>
        <v>-14867.726666666667</v>
      </c>
      <c r="Q16" s="175">
        <f t="shared" si="2"/>
        <v>-22301.59</v>
      </c>
      <c r="R16" s="175">
        <f t="shared" si="3"/>
        <v>-22301.59</v>
      </c>
      <c r="S16" s="205">
        <f t="shared" si="4"/>
        <v>0</v>
      </c>
      <c r="T16" s="175"/>
      <c r="U16" s="175">
        <v>0</v>
      </c>
      <c r="V16" s="175">
        <v>0</v>
      </c>
      <c r="W16" s="175">
        <v>0</v>
      </c>
      <c r="X16" s="175">
        <v>0</v>
      </c>
      <c r="Y16" s="175">
        <v>0</v>
      </c>
      <c r="Z16" s="175">
        <v>0</v>
      </c>
      <c r="AA16" s="175">
        <v>0</v>
      </c>
      <c r="AB16" s="175">
        <v>-22111.39</v>
      </c>
      <c r="AC16" s="175">
        <v>0</v>
      </c>
      <c r="AD16" s="175">
        <v>0</v>
      </c>
      <c r="AE16" s="175">
        <v>0</v>
      </c>
      <c r="AF16" s="175">
        <v>-190.2</v>
      </c>
      <c r="AG16" s="175">
        <f t="shared" si="5"/>
        <v>-22301.59</v>
      </c>
    </row>
    <row r="17" spans="1:33" ht="18.75" x14ac:dyDescent="0.3">
      <c r="A17" s="213" t="s">
        <v>221</v>
      </c>
      <c r="B17" s="215">
        <f t="shared" ref="B17:N17" si="8">SUM(B8:B16)</f>
        <v>4581131.8000000007</v>
      </c>
      <c r="C17" s="215">
        <f t="shared" si="8"/>
        <v>0</v>
      </c>
      <c r="D17" s="215">
        <f t="shared" si="8"/>
        <v>0</v>
      </c>
      <c r="E17" s="215">
        <f t="shared" si="8"/>
        <v>0</v>
      </c>
      <c r="F17" s="215">
        <f t="shared" si="8"/>
        <v>0</v>
      </c>
      <c r="G17" s="215">
        <f t="shared" si="8"/>
        <v>0</v>
      </c>
      <c r="H17" s="215">
        <f t="shared" si="8"/>
        <v>0</v>
      </c>
      <c r="I17" s="215">
        <f t="shared" ref="I17:L17" si="9">SUM(I8:I16)</f>
        <v>0</v>
      </c>
      <c r="J17" s="215">
        <f t="shared" si="9"/>
        <v>0</v>
      </c>
      <c r="K17" s="215">
        <f t="shared" si="9"/>
        <v>0</v>
      </c>
      <c r="L17" s="215">
        <f t="shared" si="9"/>
        <v>0</v>
      </c>
      <c r="M17" s="215">
        <f t="shared" si="8"/>
        <v>0</v>
      </c>
      <c r="N17" s="215">
        <f t="shared" si="8"/>
        <v>4581131.8000000007</v>
      </c>
      <c r="P17" s="206">
        <f>SUM(P8:P16)</f>
        <v>57742885.953333333</v>
      </c>
      <c r="Q17" s="206">
        <f>SUM(Q8:Q16)</f>
        <v>86614328.930000007</v>
      </c>
      <c r="R17" s="206">
        <f>SUM(R8:R16)</f>
        <v>86614328.930000007</v>
      </c>
      <c r="S17" s="205">
        <f t="shared" si="4"/>
        <v>0</v>
      </c>
      <c r="T17" s="206"/>
      <c r="U17" s="206">
        <f t="shared" ref="U17:AG17" si="10">SUM(U8:U16)</f>
        <v>1615606.79</v>
      </c>
      <c r="V17" s="206">
        <f t="shared" si="10"/>
        <v>4417633.34</v>
      </c>
      <c r="W17" s="206">
        <f t="shared" si="10"/>
        <v>7244841.3899999997</v>
      </c>
      <c r="X17" s="206">
        <f t="shared" si="10"/>
        <v>7911141.6199999992</v>
      </c>
      <c r="Y17" s="206">
        <f t="shared" si="10"/>
        <v>9659427.5</v>
      </c>
      <c r="Z17" s="206">
        <f t="shared" si="10"/>
        <v>10839472.18</v>
      </c>
      <c r="AA17" s="206">
        <f t="shared" si="10"/>
        <v>12712242.760000002</v>
      </c>
      <c r="AB17" s="206">
        <f t="shared" si="10"/>
        <v>8727992.5099999998</v>
      </c>
      <c r="AC17" s="206">
        <f t="shared" si="10"/>
        <v>391128.47</v>
      </c>
      <c r="AD17" s="206">
        <f t="shared" si="10"/>
        <v>8449544.1600000001</v>
      </c>
      <c r="AE17" s="206">
        <f t="shared" si="10"/>
        <v>7708128</v>
      </c>
      <c r="AF17" s="206">
        <f t="shared" si="10"/>
        <v>6937170.21</v>
      </c>
      <c r="AG17" s="206">
        <f t="shared" si="10"/>
        <v>86614328.930000007</v>
      </c>
    </row>
    <row r="18" spans="1:33" ht="18.75" x14ac:dyDescent="0.3">
      <c r="A18" s="211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P18" s="175"/>
      <c r="Q18" s="175"/>
      <c r="R18" s="175"/>
      <c r="S18" s="20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</row>
    <row r="19" spans="1:33" ht="18.75" x14ac:dyDescent="0.3">
      <c r="A19" s="213" t="s">
        <v>277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>
        <f t="shared" ref="N19" si="11">SUM(B19:M19)</f>
        <v>0</v>
      </c>
      <c r="P19" s="175"/>
      <c r="Q19" s="175"/>
      <c r="R19" s="175"/>
      <c r="S19" s="20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>
        <f t="shared" ref="AG19:AG36" si="12">SUM(U19:AF19)</f>
        <v>0</v>
      </c>
    </row>
    <row r="20" spans="1:33" ht="18.75" x14ac:dyDescent="0.3">
      <c r="A20" s="211" t="s">
        <v>307</v>
      </c>
      <c r="B20" s="214">
        <v>4062813.76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>
        <f t="shared" ref="N20:N36" si="13">SUM(B20:M20)</f>
        <v>4062813.76</v>
      </c>
      <c r="P20" s="175">
        <f t="shared" ref="P20:P36" si="14">Q20/12*$P$6</f>
        <v>51545832.259999998</v>
      </c>
      <c r="Q20" s="175">
        <f t="shared" ref="Q20:Q36" si="15">R20</f>
        <v>77318748.390000001</v>
      </c>
      <c r="R20" s="175">
        <f>AG20</f>
        <v>77318748.390000001</v>
      </c>
      <c r="S20" s="205">
        <f t="shared" si="4"/>
        <v>0</v>
      </c>
      <c r="T20" s="175"/>
      <c r="U20" s="175">
        <v>1244716.24</v>
      </c>
      <c r="V20" s="175">
        <v>3821573.32</v>
      </c>
      <c r="W20" s="175">
        <v>6368245.5999999996</v>
      </c>
      <c r="X20" s="175">
        <v>7185367.1200000001</v>
      </c>
      <c r="Y20" s="175">
        <v>8899243.3100000005</v>
      </c>
      <c r="Z20" s="175">
        <v>10161491.619999999</v>
      </c>
      <c r="AA20" s="175">
        <v>11745247.939999999</v>
      </c>
      <c r="AB20" s="175">
        <v>8041925.0800000001</v>
      </c>
      <c r="AC20" s="175">
        <v>234231.39</v>
      </c>
      <c r="AD20" s="175">
        <v>7164460.5999999996</v>
      </c>
      <c r="AE20" s="175">
        <v>6581297.7800000003</v>
      </c>
      <c r="AF20" s="175">
        <v>5870948.3899999997</v>
      </c>
      <c r="AG20" s="175">
        <f t="shared" si="12"/>
        <v>77318748.390000001</v>
      </c>
    </row>
    <row r="21" spans="1:33" ht="18.75" x14ac:dyDescent="0.3">
      <c r="A21" s="211" t="s">
        <v>308</v>
      </c>
      <c r="B21" s="214">
        <v>277260.06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>
        <f t="shared" si="13"/>
        <v>277260.06</v>
      </c>
      <c r="P21" s="175">
        <f t="shared" si="14"/>
        <v>3065361.4600000004</v>
      </c>
      <c r="Q21" s="175">
        <f t="shared" si="15"/>
        <v>4598042.1900000004</v>
      </c>
      <c r="R21" s="175">
        <f t="shared" ref="R21:R36" si="16">AG21</f>
        <v>4598042.1900000004</v>
      </c>
      <c r="S21" s="205">
        <f t="shared" si="4"/>
        <v>0</v>
      </c>
      <c r="T21" s="175"/>
      <c r="U21" s="175">
        <v>220469.8</v>
      </c>
      <c r="V21" s="175">
        <v>359444.27</v>
      </c>
      <c r="W21" s="175">
        <v>528840.88</v>
      </c>
      <c r="X21" s="175">
        <v>274773.03000000003</v>
      </c>
      <c r="Y21" s="175">
        <v>264969.81</v>
      </c>
      <c r="Z21" s="175">
        <v>165716.99</v>
      </c>
      <c r="AA21" s="175">
        <v>318210.40000000002</v>
      </c>
      <c r="AB21" s="175">
        <v>291283.06</v>
      </c>
      <c r="AC21" s="175">
        <v>95156.13</v>
      </c>
      <c r="AD21" s="175">
        <v>746391.81</v>
      </c>
      <c r="AE21" s="175">
        <v>733624.47</v>
      </c>
      <c r="AF21" s="175">
        <v>599161.54</v>
      </c>
      <c r="AG21" s="175">
        <f t="shared" si="12"/>
        <v>4598042.1900000004</v>
      </c>
    </row>
    <row r="22" spans="1:33" ht="18.75" x14ac:dyDescent="0.3">
      <c r="A22" s="211" t="s">
        <v>309</v>
      </c>
      <c r="B22" s="214">
        <v>2873.35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>
        <f t="shared" si="13"/>
        <v>2873.35</v>
      </c>
      <c r="P22" s="175">
        <f t="shared" si="14"/>
        <v>291667.32</v>
      </c>
      <c r="Q22" s="175">
        <f t="shared" si="15"/>
        <v>437500.98000000004</v>
      </c>
      <c r="R22" s="175">
        <f t="shared" si="16"/>
        <v>437500.98000000004</v>
      </c>
      <c r="S22" s="205">
        <f t="shared" si="4"/>
        <v>0</v>
      </c>
      <c r="T22" s="175"/>
      <c r="U22" s="175">
        <v>58837.5</v>
      </c>
      <c r="V22" s="175">
        <v>16027.01</v>
      </c>
      <c r="W22" s="175">
        <v>26000.22</v>
      </c>
      <c r="X22" s="175">
        <v>51375.17</v>
      </c>
      <c r="Y22" s="175">
        <v>34978.86</v>
      </c>
      <c r="Z22" s="175">
        <v>13617.04</v>
      </c>
      <c r="AA22" s="175">
        <v>23523.99</v>
      </c>
      <c r="AB22" s="175">
        <v>22699.23</v>
      </c>
      <c r="AC22" s="175">
        <v>9288.81</v>
      </c>
      <c r="AD22" s="175">
        <v>55962.09</v>
      </c>
      <c r="AE22" s="175">
        <v>8451.02</v>
      </c>
      <c r="AF22" s="175">
        <v>116740.04</v>
      </c>
      <c r="AG22" s="175">
        <f t="shared" si="12"/>
        <v>437500.98000000004</v>
      </c>
    </row>
    <row r="23" spans="1:33" ht="18.75" x14ac:dyDescent="0.3">
      <c r="A23" s="211" t="s">
        <v>374</v>
      </c>
      <c r="B23" s="214">
        <v>14460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>
        <f t="shared" si="13"/>
        <v>14460</v>
      </c>
      <c r="P23" s="175">
        <f t="shared" si="14"/>
        <v>20532</v>
      </c>
      <c r="Q23" s="175">
        <f t="shared" si="15"/>
        <v>30798</v>
      </c>
      <c r="R23" s="175">
        <f t="shared" si="16"/>
        <v>30798</v>
      </c>
      <c r="S23" s="205">
        <f t="shared" si="4"/>
        <v>0</v>
      </c>
      <c r="T23" s="175"/>
      <c r="U23" s="175">
        <v>0</v>
      </c>
      <c r="V23" s="175">
        <v>0</v>
      </c>
      <c r="W23" s="175">
        <v>0</v>
      </c>
      <c r="X23" s="175">
        <v>0</v>
      </c>
      <c r="Y23" s="175">
        <v>2079</v>
      </c>
      <c r="Z23" s="175">
        <v>2011</v>
      </c>
      <c r="AA23" s="175">
        <v>4004</v>
      </c>
      <c r="AB23" s="175">
        <v>2894</v>
      </c>
      <c r="AC23" s="175">
        <v>2154</v>
      </c>
      <c r="AD23" s="175">
        <v>0</v>
      </c>
      <c r="AE23" s="175">
        <v>0</v>
      </c>
      <c r="AF23" s="175">
        <v>17656</v>
      </c>
      <c r="AG23" s="175">
        <f t="shared" si="12"/>
        <v>30798</v>
      </c>
    </row>
    <row r="24" spans="1:33" ht="18.75" x14ac:dyDescent="0.3">
      <c r="A24" s="211" t="s">
        <v>310</v>
      </c>
      <c r="B24" s="214">
        <v>6465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>
        <f t="shared" si="13"/>
        <v>6465</v>
      </c>
      <c r="P24" s="175">
        <f t="shared" si="14"/>
        <v>12663.413333333332</v>
      </c>
      <c r="Q24" s="175">
        <f t="shared" si="15"/>
        <v>18995.12</v>
      </c>
      <c r="R24" s="175">
        <f t="shared" si="16"/>
        <v>18995.12</v>
      </c>
      <c r="S24" s="205"/>
      <c r="T24" s="175"/>
      <c r="U24" s="175">
        <v>658</v>
      </c>
      <c r="V24" s="175">
        <v>1919</v>
      </c>
      <c r="W24" s="175">
        <v>477</v>
      </c>
      <c r="X24" s="175">
        <v>592.5</v>
      </c>
      <c r="Y24" s="175">
        <v>1227.5</v>
      </c>
      <c r="Z24" s="175">
        <v>268</v>
      </c>
      <c r="AA24" s="175">
        <v>1265</v>
      </c>
      <c r="AB24" s="175">
        <v>175</v>
      </c>
      <c r="AC24" s="175">
        <v>180</v>
      </c>
      <c r="AD24" s="175">
        <v>0</v>
      </c>
      <c r="AE24" s="175">
        <v>7165.12</v>
      </c>
      <c r="AF24" s="175">
        <v>5068</v>
      </c>
      <c r="AG24" s="175">
        <f t="shared" si="12"/>
        <v>18995.12</v>
      </c>
    </row>
    <row r="25" spans="1:33" ht="18.75" x14ac:dyDescent="0.3">
      <c r="A25" s="211" t="s">
        <v>436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>
        <f t="shared" si="13"/>
        <v>0</v>
      </c>
      <c r="P25" s="175">
        <f t="shared" si="14"/>
        <v>2344.3333333333335</v>
      </c>
      <c r="Q25" s="175">
        <f t="shared" si="15"/>
        <v>3516.5</v>
      </c>
      <c r="R25" s="175">
        <f t="shared" si="16"/>
        <v>3516.5</v>
      </c>
      <c r="S25" s="205">
        <f t="shared" si="4"/>
        <v>0</v>
      </c>
      <c r="T25" s="175"/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350</v>
      </c>
      <c r="AB25" s="175">
        <v>132.93</v>
      </c>
      <c r="AC25" s="175">
        <v>433.62</v>
      </c>
      <c r="AD25" s="175">
        <v>0</v>
      </c>
      <c r="AE25" s="175">
        <v>2013.62</v>
      </c>
      <c r="AF25" s="175">
        <v>586.33000000000004</v>
      </c>
      <c r="AG25" s="175">
        <f>SUM(U25:AF25)</f>
        <v>3516.5</v>
      </c>
    </row>
    <row r="26" spans="1:33" ht="18.75" x14ac:dyDescent="0.3">
      <c r="A26" s="211" t="s">
        <v>279</v>
      </c>
      <c r="B26" s="214">
        <v>22260.17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>
        <f t="shared" si="13"/>
        <v>22260.17</v>
      </c>
      <c r="P26" s="175">
        <f t="shared" si="14"/>
        <v>312808.87333333335</v>
      </c>
      <c r="Q26" s="175">
        <f t="shared" si="15"/>
        <v>469213.31000000006</v>
      </c>
      <c r="R26" s="175">
        <f t="shared" si="16"/>
        <v>469213.31000000006</v>
      </c>
      <c r="S26" s="205"/>
      <c r="T26" s="175"/>
      <c r="U26" s="175">
        <v>19986.22</v>
      </c>
      <c r="V26" s="175">
        <v>12338.52</v>
      </c>
      <c r="W26" s="175">
        <v>39850.800000000003</v>
      </c>
      <c r="X26" s="175">
        <v>28631.47</v>
      </c>
      <c r="Y26" s="175">
        <v>35548.99</v>
      </c>
      <c r="Z26" s="175">
        <v>67302.78</v>
      </c>
      <c r="AA26" s="175">
        <v>60835.25</v>
      </c>
      <c r="AB26" s="175">
        <v>56171.75</v>
      </c>
      <c r="AC26" s="175">
        <v>9266.6299999999992</v>
      </c>
      <c r="AD26" s="175">
        <v>41962.28</v>
      </c>
      <c r="AE26" s="175">
        <v>50487.98</v>
      </c>
      <c r="AF26" s="175">
        <v>46830.64</v>
      </c>
      <c r="AG26" s="175">
        <f t="shared" si="12"/>
        <v>469213.31000000006</v>
      </c>
    </row>
    <row r="27" spans="1:33" ht="18.75" x14ac:dyDescent="0.3">
      <c r="A27" s="211" t="s">
        <v>311</v>
      </c>
      <c r="B27" s="214">
        <v>1105.05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>
        <f t="shared" si="13"/>
        <v>1105.05</v>
      </c>
      <c r="P27" s="175">
        <f t="shared" si="14"/>
        <v>5584.4333333333343</v>
      </c>
      <c r="Q27" s="175">
        <f t="shared" si="15"/>
        <v>8376.6500000000015</v>
      </c>
      <c r="R27" s="175">
        <f t="shared" si="16"/>
        <v>8376.6500000000015</v>
      </c>
      <c r="S27" s="205"/>
      <c r="T27" s="175"/>
      <c r="U27" s="175">
        <v>-3444.15</v>
      </c>
      <c r="V27" s="175">
        <v>79.5</v>
      </c>
      <c r="W27" s="175">
        <v>-574</v>
      </c>
      <c r="X27" s="175">
        <v>602.98</v>
      </c>
      <c r="Y27" s="175">
        <v>-2955.7</v>
      </c>
      <c r="Z27" s="175">
        <v>-1504.23</v>
      </c>
      <c r="AA27" s="175">
        <v>-2531.09</v>
      </c>
      <c r="AB27" s="175">
        <v>-5366.91</v>
      </c>
      <c r="AC27" s="175">
        <v>20032.54</v>
      </c>
      <c r="AD27" s="175">
        <v>441.51</v>
      </c>
      <c r="AE27" s="175">
        <v>-77.849999999999994</v>
      </c>
      <c r="AF27" s="175">
        <v>3674.05</v>
      </c>
      <c r="AG27" s="175">
        <f t="shared" si="12"/>
        <v>8376.6500000000015</v>
      </c>
    </row>
    <row r="28" spans="1:33" ht="18.75" x14ac:dyDescent="0.3">
      <c r="A28" s="211" t="s">
        <v>418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>
        <f t="shared" si="13"/>
        <v>0</v>
      </c>
      <c r="P28" s="175">
        <f t="shared" si="14"/>
        <v>656.66666666666663</v>
      </c>
      <c r="Q28" s="175">
        <f t="shared" si="15"/>
        <v>985</v>
      </c>
      <c r="R28" s="175">
        <f t="shared" si="16"/>
        <v>985</v>
      </c>
      <c r="S28" s="205"/>
      <c r="T28" s="175"/>
      <c r="U28" s="175">
        <v>0</v>
      </c>
      <c r="V28" s="175">
        <v>0</v>
      </c>
      <c r="W28" s="175">
        <v>0</v>
      </c>
      <c r="X28" s="175">
        <v>0</v>
      </c>
      <c r="Y28" s="175">
        <v>0</v>
      </c>
      <c r="Z28" s="175">
        <v>0</v>
      </c>
      <c r="AA28" s="175">
        <v>4018.23</v>
      </c>
      <c r="AB28" s="175">
        <v>0</v>
      </c>
      <c r="AC28" s="175">
        <v>-3033.23</v>
      </c>
      <c r="AD28" s="175">
        <v>0</v>
      </c>
      <c r="AE28" s="175">
        <v>0</v>
      </c>
      <c r="AF28" s="175">
        <v>0</v>
      </c>
      <c r="AG28" s="175">
        <f t="shared" si="12"/>
        <v>985</v>
      </c>
    </row>
    <row r="29" spans="1:33" ht="18.75" x14ac:dyDescent="0.3">
      <c r="A29" s="211" t="s">
        <v>376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>
        <f t="shared" si="13"/>
        <v>0</v>
      </c>
      <c r="P29" s="175">
        <f t="shared" si="14"/>
        <v>547.19999999999993</v>
      </c>
      <c r="Q29" s="175">
        <f t="shared" si="15"/>
        <v>820.8</v>
      </c>
      <c r="R29" s="175">
        <f t="shared" si="16"/>
        <v>820.8</v>
      </c>
      <c r="S29" s="205">
        <f t="shared" si="4"/>
        <v>0</v>
      </c>
      <c r="T29" s="175"/>
      <c r="U29" s="175">
        <v>0</v>
      </c>
      <c r="V29" s="175">
        <v>0</v>
      </c>
      <c r="W29" s="175">
        <v>0</v>
      </c>
      <c r="X29" s="175">
        <v>820.8</v>
      </c>
      <c r="Y29" s="175">
        <v>0</v>
      </c>
      <c r="Z29" s="175">
        <v>0</v>
      </c>
      <c r="AA29" s="175">
        <v>0</v>
      </c>
      <c r="AB29" s="175">
        <v>0</v>
      </c>
      <c r="AC29" s="175">
        <v>0</v>
      </c>
      <c r="AD29" s="175">
        <v>0</v>
      </c>
      <c r="AE29" s="175">
        <v>0</v>
      </c>
      <c r="AF29" s="175">
        <v>0</v>
      </c>
      <c r="AG29" s="175">
        <f t="shared" si="12"/>
        <v>820.8</v>
      </c>
    </row>
    <row r="30" spans="1:33" ht="18.75" x14ac:dyDescent="0.3">
      <c r="A30" s="211" t="s">
        <v>377</v>
      </c>
      <c r="B30" s="214">
        <v>-42</v>
      </c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>
        <f t="shared" si="13"/>
        <v>-42</v>
      </c>
      <c r="P30" s="175">
        <f t="shared" si="14"/>
        <v>1.28</v>
      </c>
      <c r="Q30" s="175">
        <f t="shared" si="15"/>
        <v>1.92</v>
      </c>
      <c r="R30" s="175">
        <f t="shared" si="16"/>
        <v>1.92</v>
      </c>
      <c r="S30" s="205">
        <f t="shared" si="4"/>
        <v>0</v>
      </c>
      <c r="T30" s="175"/>
      <c r="U30" s="175">
        <v>0</v>
      </c>
      <c r="V30" s="175">
        <v>1.92</v>
      </c>
      <c r="W30" s="175">
        <v>0</v>
      </c>
      <c r="X30" s="175">
        <v>0</v>
      </c>
      <c r="Y30" s="175">
        <v>0</v>
      </c>
      <c r="Z30" s="175">
        <v>0</v>
      </c>
      <c r="AA30" s="175">
        <v>0</v>
      </c>
      <c r="AB30" s="175">
        <v>0</v>
      </c>
      <c r="AC30" s="175">
        <v>0</v>
      </c>
      <c r="AD30" s="175">
        <v>0</v>
      </c>
      <c r="AE30" s="175">
        <v>0</v>
      </c>
      <c r="AF30" s="175">
        <v>0</v>
      </c>
      <c r="AG30" s="175">
        <f t="shared" si="12"/>
        <v>1.92</v>
      </c>
    </row>
    <row r="31" spans="1:33" ht="18.75" x14ac:dyDescent="0.3">
      <c r="A31" s="211" t="s">
        <v>312</v>
      </c>
      <c r="B31" s="214">
        <v>-490.88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>
        <f t="shared" si="13"/>
        <v>-490.88</v>
      </c>
      <c r="P31" s="175">
        <f t="shared" si="14"/>
        <v>3268.8133333333335</v>
      </c>
      <c r="Q31" s="175">
        <f t="shared" si="15"/>
        <v>4903.22</v>
      </c>
      <c r="R31" s="175">
        <f t="shared" si="16"/>
        <v>4903.22</v>
      </c>
      <c r="S31" s="205">
        <f t="shared" si="4"/>
        <v>0</v>
      </c>
      <c r="T31" s="175"/>
      <c r="U31" s="175">
        <v>720.74</v>
      </c>
      <c r="V31" s="175">
        <f>-1643.32</f>
        <v>-1643.32</v>
      </c>
      <c r="W31" s="175">
        <v>3077.78</v>
      </c>
      <c r="X31" s="175">
        <v>0</v>
      </c>
      <c r="Y31" s="175">
        <f>-173.2</f>
        <v>-173.2</v>
      </c>
      <c r="Z31" s="175">
        <v>1377.51</v>
      </c>
      <c r="AA31" s="175">
        <v>0</v>
      </c>
      <c r="AB31" s="175">
        <v>0</v>
      </c>
      <c r="AC31" s="175">
        <v>0</v>
      </c>
      <c r="AD31" s="175">
        <v>42</v>
      </c>
      <c r="AE31" s="175">
        <v>383.88</v>
      </c>
      <c r="AF31" s="175">
        <v>1117.83</v>
      </c>
      <c r="AG31" s="175">
        <f t="shared" si="12"/>
        <v>4903.22</v>
      </c>
    </row>
    <row r="32" spans="1:33" ht="18.75" x14ac:dyDescent="0.3">
      <c r="A32" s="211" t="s">
        <v>323</v>
      </c>
      <c r="B32" s="214">
        <v>-70.069999999999993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>
        <f t="shared" si="13"/>
        <v>-70.069999999999993</v>
      </c>
      <c r="P32" s="175">
        <f t="shared" si="14"/>
        <v>-4.1666666666666652</v>
      </c>
      <c r="Q32" s="175">
        <f t="shared" si="15"/>
        <v>-6.2499999999999982</v>
      </c>
      <c r="R32" s="175">
        <f t="shared" si="16"/>
        <v>-6.2499999999999982</v>
      </c>
      <c r="S32" s="205">
        <f t="shared" si="4"/>
        <v>0</v>
      </c>
      <c r="T32" s="175"/>
      <c r="U32" s="175">
        <v>0</v>
      </c>
      <c r="V32" s="175">
        <v>0</v>
      </c>
      <c r="W32" s="175">
        <v>-3.34</v>
      </c>
      <c r="X32" s="175">
        <v>0</v>
      </c>
      <c r="Y32" s="175">
        <v>-38.909999999999997</v>
      </c>
      <c r="Z32" s="175">
        <v>0</v>
      </c>
      <c r="AA32" s="175">
        <v>-14.22</v>
      </c>
      <c r="AB32" s="175">
        <v>81</v>
      </c>
      <c r="AC32" s="175">
        <v>0</v>
      </c>
      <c r="AD32" s="175">
        <v>0</v>
      </c>
      <c r="AE32" s="175">
        <v>-22.15</v>
      </c>
      <c r="AF32" s="175">
        <v>-8.6300000000000008</v>
      </c>
      <c r="AG32" s="175">
        <f t="shared" si="12"/>
        <v>-6.2499999999999982</v>
      </c>
    </row>
    <row r="33" spans="1:33" ht="18.75" x14ac:dyDescent="0.3">
      <c r="A33" s="211" t="s">
        <v>375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>
        <f t="shared" si="13"/>
        <v>0</v>
      </c>
      <c r="P33" s="175">
        <f t="shared" si="14"/>
        <v>-31.340000000000003</v>
      </c>
      <c r="Q33" s="175">
        <f t="shared" si="15"/>
        <v>-47.010000000000005</v>
      </c>
      <c r="R33" s="175">
        <f t="shared" si="16"/>
        <v>-47.010000000000005</v>
      </c>
      <c r="S33" s="205">
        <f t="shared" si="4"/>
        <v>0</v>
      </c>
      <c r="T33" s="175"/>
      <c r="U33" s="175">
        <v>0</v>
      </c>
      <c r="V33" s="175">
        <v>0</v>
      </c>
      <c r="W33" s="175">
        <v>0</v>
      </c>
      <c r="X33" s="175">
        <v>0</v>
      </c>
      <c r="Y33" s="175">
        <v>-4.2</v>
      </c>
      <c r="Z33" s="175">
        <v>0</v>
      </c>
      <c r="AA33" s="175">
        <v>-74.81</v>
      </c>
      <c r="AB33" s="175">
        <v>0</v>
      </c>
      <c r="AC33" s="175">
        <v>0</v>
      </c>
      <c r="AD33" s="175">
        <v>0</v>
      </c>
      <c r="AE33" s="175">
        <v>32</v>
      </c>
      <c r="AF33" s="175">
        <v>0</v>
      </c>
      <c r="AG33" s="175">
        <f t="shared" si="12"/>
        <v>-47.010000000000005</v>
      </c>
    </row>
    <row r="34" spans="1:33" ht="18.75" x14ac:dyDescent="0.3">
      <c r="A34" s="211" t="s">
        <v>604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>
        <f t="shared" si="13"/>
        <v>0</v>
      </c>
      <c r="P34" s="175"/>
      <c r="Q34" s="175"/>
      <c r="R34" s="175"/>
      <c r="S34" s="20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1:33" ht="18.75" x14ac:dyDescent="0.3">
      <c r="A35" s="211" t="s">
        <v>331</v>
      </c>
      <c r="B35" s="214">
        <v>85637.81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>
        <f t="shared" si="13"/>
        <v>85637.81</v>
      </c>
      <c r="P35" s="175">
        <f t="shared" si="14"/>
        <v>1027923.4</v>
      </c>
      <c r="Q35" s="175">
        <f t="shared" si="15"/>
        <v>1541885.1</v>
      </c>
      <c r="R35" s="175">
        <f t="shared" si="16"/>
        <v>1541885.1</v>
      </c>
      <c r="S35" s="205">
        <f t="shared" si="4"/>
        <v>0</v>
      </c>
      <c r="T35" s="175"/>
      <c r="U35" s="175">
        <v>34120.78</v>
      </c>
      <c r="V35" s="175">
        <v>75014.87</v>
      </c>
      <c r="W35" s="175">
        <v>138492.9</v>
      </c>
      <c r="X35" s="175">
        <v>140698.1</v>
      </c>
      <c r="Y35" s="175">
        <v>179668.82</v>
      </c>
      <c r="Z35" s="175">
        <v>186806.24</v>
      </c>
      <c r="AA35" s="175">
        <v>212480.24</v>
      </c>
      <c r="AB35" s="175">
        <v>145987.63</v>
      </c>
      <c r="AC35" s="175">
        <v>15830.18</v>
      </c>
      <c r="AD35" s="175">
        <v>150449.95000000001</v>
      </c>
      <c r="AE35" s="175">
        <v>144675.84</v>
      </c>
      <c r="AF35" s="175">
        <v>117659.55</v>
      </c>
      <c r="AG35" s="175">
        <f t="shared" si="12"/>
        <v>1541885.1</v>
      </c>
    </row>
    <row r="36" spans="1:33" ht="18.75" x14ac:dyDescent="0.3">
      <c r="A36" s="211" t="s">
        <v>313</v>
      </c>
      <c r="B36" s="214">
        <v>49388.26</v>
      </c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>
        <f t="shared" si="13"/>
        <v>49388.26</v>
      </c>
      <c r="P36" s="175">
        <f t="shared" si="14"/>
        <v>597296.91333333345</v>
      </c>
      <c r="Q36" s="175">
        <f t="shared" si="15"/>
        <v>895945.37000000011</v>
      </c>
      <c r="R36" s="175">
        <f t="shared" si="16"/>
        <v>895945.37000000011</v>
      </c>
      <c r="S36" s="205">
        <f t="shared" si="4"/>
        <v>0</v>
      </c>
      <c r="T36" s="175"/>
      <c r="U36" s="175">
        <v>38830.42</v>
      </c>
      <c r="V36" s="175">
        <v>54101.21</v>
      </c>
      <c r="W36" s="175">
        <v>74590.929999999993</v>
      </c>
      <c r="X36" s="175">
        <v>87541.119999999995</v>
      </c>
      <c r="Y36" s="175">
        <v>119335.27</v>
      </c>
      <c r="Z36" s="175">
        <v>112054.49</v>
      </c>
      <c r="AA36" s="175">
        <v>145061.98000000001</v>
      </c>
      <c r="AB36" s="175">
        <v>93104.73</v>
      </c>
      <c r="AC36" s="175">
        <v>4132.43</v>
      </c>
      <c r="AD36" s="175">
        <v>75452.13</v>
      </c>
      <c r="AE36" s="175">
        <v>53898.69</v>
      </c>
      <c r="AF36" s="175">
        <v>37841.97</v>
      </c>
      <c r="AG36" s="175">
        <f t="shared" si="12"/>
        <v>895945.37000000011</v>
      </c>
    </row>
    <row r="37" spans="1:33" ht="18.75" x14ac:dyDescent="0.3">
      <c r="A37" s="213" t="s">
        <v>280</v>
      </c>
      <c r="B37" s="215">
        <f t="shared" ref="B37:N37" si="17">SUM(B20:B36)</f>
        <v>4521660.5099999979</v>
      </c>
      <c r="C37" s="215">
        <f t="shared" si="17"/>
        <v>0</v>
      </c>
      <c r="D37" s="215">
        <f t="shared" si="17"/>
        <v>0</v>
      </c>
      <c r="E37" s="215">
        <f t="shared" si="17"/>
        <v>0</v>
      </c>
      <c r="F37" s="215">
        <f t="shared" si="17"/>
        <v>0</v>
      </c>
      <c r="G37" s="215">
        <f t="shared" si="17"/>
        <v>0</v>
      </c>
      <c r="H37" s="215">
        <f t="shared" si="17"/>
        <v>0</v>
      </c>
      <c r="I37" s="215">
        <f t="shared" ref="I37:L37" si="18">SUM(I20:I36)</f>
        <v>0</v>
      </c>
      <c r="J37" s="215">
        <f t="shared" si="18"/>
        <v>0</v>
      </c>
      <c r="K37" s="215">
        <f t="shared" si="18"/>
        <v>0</v>
      </c>
      <c r="L37" s="215">
        <f t="shared" si="18"/>
        <v>0</v>
      </c>
      <c r="M37" s="215">
        <f t="shared" si="17"/>
        <v>0</v>
      </c>
      <c r="N37" s="215">
        <f t="shared" si="17"/>
        <v>4521660.5099999979</v>
      </c>
      <c r="P37" s="206">
        <f>SUM(P20:P36)</f>
        <v>56886452.859999999</v>
      </c>
      <c r="Q37" s="206">
        <f t="shared" ref="Q37:R37" si="19">SUM(Q20:Q36)</f>
        <v>85329679.290000007</v>
      </c>
      <c r="R37" s="206">
        <f t="shared" si="19"/>
        <v>85329679.290000007</v>
      </c>
      <c r="S37" s="205">
        <f t="shared" si="4"/>
        <v>0</v>
      </c>
      <c r="T37" s="175"/>
      <c r="U37" s="206">
        <f t="shared" ref="U37:AG37" si="20">SUM(U20:U36)</f>
        <v>1614895.55</v>
      </c>
      <c r="V37" s="206">
        <f t="shared" si="20"/>
        <v>4338856.2999999989</v>
      </c>
      <c r="W37" s="206">
        <f t="shared" si="20"/>
        <v>7178998.7699999996</v>
      </c>
      <c r="X37" s="206">
        <f t="shared" si="20"/>
        <v>7770402.29</v>
      </c>
      <c r="Y37" s="206">
        <f t="shared" si="20"/>
        <v>9533879.5500000026</v>
      </c>
      <c r="Z37" s="206">
        <f t="shared" si="20"/>
        <v>10709141.439999998</v>
      </c>
      <c r="AA37" s="206">
        <f t="shared" si="20"/>
        <v>12512376.91</v>
      </c>
      <c r="AB37" s="206">
        <f t="shared" si="20"/>
        <v>8649087.5000000019</v>
      </c>
      <c r="AC37" s="206">
        <f t="shared" si="20"/>
        <v>387672.5</v>
      </c>
      <c r="AD37" s="206">
        <f t="shared" si="20"/>
        <v>8235162.3700000001</v>
      </c>
      <c r="AE37" s="206">
        <f t="shared" si="20"/>
        <v>7581930.4000000004</v>
      </c>
      <c r="AF37" s="206">
        <f t="shared" si="20"/>
        <v>6817275.709999999</v>
      </c>
      <c r="AG37" s="206">
        <f t="shared" si="20"/>
        <v>85329679.290000007</v>
      </c>
    </row>
    <row r="38" spans="1:33" ht="18.75" x14ac:dyDescent="0.3">
      <c r="A38" s="211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P38" s="175"/>
      <c r="Q38" s="175"/>
      <c r="R38" s="175"/>
      <c r="S38" s="20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</row>
    <row r="39" spans="1:33" ht="19.5" thickBot="1" x14ac:dyDescent="0.35">
      <c r="A39" s="213" t="s">
        <v>209</v>
      </c>
      <c r="B39" s="216">
        <f t="shared" ref="B39:H39" si="21">B17-B37</f>
        <v>59471.290000002831</v>
      </c>
      <c r="C39" s="216">
        <f t="shared" si="21"/>
        <v>0</v>
      </c>
      <c r="D39" s="216">
        <f t="shared" si="21"/>
        <v>0</v>
      </c>
      <c r="E39" s="216">
        <f t="shared" si="21"/>
        <v>0</v>
      </c>
      <c r="F39" s="216">
        <f t="shared" si="21"/>
        <v>0</v>
      </c>
      <c r="G39" s="216">
        <f t="shared" si="21"/>
        <v>0</v>
      </c>
      <c r="H39" s="216">
        <f t="shared" si="21"/>
        <v>0</v>
      </c>
      <c r="I39" s="216">
        <f t="shared" ref="I39" si="22">I17-I37</f>
        <v>0</v>
      </c>
      <c r="J39" s="216">
        <f>J17-J37</f>
        <v>0</v>
      </c>
      <c r="K39" s="216">
        <f>K17-K37</f>
        <v>0</v>
      </c>
      <c r="L39" s="216">
        <f>L17-L37</f>
        <v>0</v>
      </c>
      <c r="M39" s="216">
        <f>M17-M37</f>
        <v>0</v>
      </c>
      <c r="N39" s="216">
        <f>N17-N37</f>
        <v>59471.290000002831</v>
      </c>
      <c r="P39" s="207">
        <f>P17-P37</f>
        <v>856433.09333333373</v>
      </c>
      <c r="Q39" s="207">
        <f t="shared" ref="Q39:R39" si="23">Q17-Q37</f>
        <v>1284649.6400000006</v>
      </c>
      <c r="R39" s="207">
        <f t="shared" si="23"/>
        <v>1284649.6400000006</v>
      </c>
      <c r="S39" s="205"/>
      <c r="T39" s="175"/>
      <c r="U39" s="207">
        <f t="shared" ref="U39:AB39" si="24">U17-U37</f>
        <v>711.23999999999069</v>
      </c>
      <c r="V39" s="207">
        <f t="shared" si="24"/>
        <v>78777.040000000969</v>
      </c>
      <c r="W39" s="207">
        <f t="shared" si="24"/>
        <v>65842.620000000112</v>
      </c>
      <c r="X39" s="207">
        <f t="shared" si="24"/>
        <v>140739.32999999914</v>
      </c>
      <c r="Y39" s="207">
        <f t="shared" si="24"/>
        <v>125547.94999999739</v>
      </c>
      <c r="Z39" s="207">
        <f t="shared" si="24"/>
        <v>130330.74000000209</v>
      </c>
      <c r="AA39" s="207">
        <f t="shared" si="24"/>
        <v>199865.85000000149</v>
      </c>
      <c r="AB39" s="207">
        <f t="shared" si="24"/>
        <v>78905.009999997914</v>
      </c>
      <c r="AC39" s="207">
        <f>AC17-AC37</f>
        <v>3455.9699999999721</v>
      </c>
      <c r="AD39" s="207">
        <f>AD17-AD37</f>
        <v>214381.79000000004</v>
      </c>
      <c r="AE39" s="207">
        <f>AE17-AE37</f>
        <v>126197.59999999963</v>
      </c>
      <c r="AF39" s="207">
        <f>AF17-AF37</f>
        <v>119894.50000000093</v>
      </c>
      <c r="AG39" s="207">
        <f>AG17-AG37</f>
        <v>1284649.6400000006</v>
      </c>
    </row>
    <row r="40" spans="1:33" ht="18.75" x14ac:dyDescent="0.3">
      <c r="A40" s="211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P40" s="175"/>
      <c r="Q40" s="175"/>
      <c r="R40" s="175"/>
      <c r="S40" s="20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</row>
    <row r="41" spans="1:33" ht="18.75" x14ac:dyDescent="0.3">
      <c r="A41" s="213" t="s">
        <v>207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P41" s="175"/>
      <c r="Q41" s="175"/>
      <c r="R41" s="175"/>
      <c r="S41" s="20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</row>
    <row r="42" spans="1:33" ht="18.75" x14ac:dyDescent="0.3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P42" s="175"/>
      <c r="Q42" s="175"/>
      <c r="R42" s="175"/>
      <c r="S42" s="20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</row>
    <row r="43" spans="1:33" ht="18.75" x14ac:dyDescent="0.3">
      <c r="A43" s="213" t="s">
        <v>468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P43" s="175"/>
      <c r="Q43" s="175"/>
      <c r="R43" s="175"/>
      <c r="S43" s="20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</row>
    <row r="44" spans="1:33" ht="18.75" x14ac:dyDescent="0.3">
      <c r="A44" s="211" t="s">
        <v>469</v>
      </c>
      <c r="B44" s="214">
        <v>58937.49</v>
      </c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>
        <f t="shared" ref="N44:N53" si="25">SUM(B44:M44)</f>
        <v>58937.49</v>
      </c>
      <c r="P44" s="175">
        <f t="shared" ref="P44:P60" si="26">Q44/12*$P$6</f>
        <v>400000</v>
      </c>
      <c r="Q44" s="175">
        <v>600000</v>
      </c>
      <c r="R44" s="175">
        <f>AG44</f>
        <v>701959.7</v>
      </c>
      <c r="S44" s="205">
        <f t="shared" si="4"/>
        <v>0</v>
      </c>
      <c r="T44" s="175"/>
      <c r="U44" s="175">
        <v>0</v>
      </c>
      <c r="V44" s="175">
        <v>0</v>
      </c>
      <c r="W44" s="175">
        <v>0</v>
      </c>
      <c r="X44" s="175">
        <v>0</v>
      </c>
      <c r="Y44" s="175">
        <v>0</v>
      </c>
      <c r="Z44" s="175">
        <v>0</v>
      </c>
      <c r="AA44" s="175">
        <v>0</v>
      </c>
      <c r="AB44" s="175">
        <v>0</v>
      </c>
      <c r="AC44" s="175">
        <v>469372.33</v>
      </c>
      <c r="AD44" s="175">
        <v>69208.52</v>
      </c>
      <c r="AE44" s="175">
        <v>55700.959999999999</v>
      </c>
      <c r="AF44" s="175">
        <v>107677.89</v>
      </c>
      <c r="AG44" s="175">
        <f t="shared" ref="AG44:AG52" si="27">SUM(U44:AF44)</f>
        <v>701959.7</v>
      </c>
    </row>
    <row r="45" spans="1:33" ht="18.75" x14ac:dyDescent="0.3">
      <c r="A45" s="211" t="s">
        <v>531</v>
      </c>
      <c r="B45" s="214">
        <v>4803.0200000000004</v>
      </c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>
        <f t="shared" si="25"/>
        <v>4803.0200000000004</v>
      </c>
      <c r="P45" s="175">
        <f t="shared" si="26"/>
        <v>35133.360000000001</v>
      </c>
      <c r="Q45" s="175">
        <f>(4391.67*12)</f>
        <v>52700.04</v>
      </c>
      <c r="R45" s="175">
        <f t="shared" ref="R45:R52" si="28">AG45</f>
        <v>0</v>
      </c>
      <c r="S45" s="205">
        <f t="shared" si="4"/>
        <v>0</v>
      </c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</row>
    <row r="46" spans="1:33" ht="18.75" x14ac:dyDescent="0.3">
      <c r="A46" s="211" t="s">
        <v>581</v>
      </c>
      <c r="B46" s="214">
        <v>368.91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>
        <f t="shared" si="25"/>
        <v>368.91</v>
      </c>
      <c r="P46" s="175"/>
      <c r="Q46" s="175"/>
      <c r="R46" s="175"/>
      <c r="S46" s="20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</row>
    <row r="47" spans="1:33" ht="18.75" x14ac:dyDescent="0.3">
      <c r="A47" s="211" t="s">
        <v>282</v>
      </c>
      <c r="B47" s="214">
        <v>6430.34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>
        <f t="shared" si="25"/>
        <v>6430.34</v>
      </c>
      <c r="P47" s="175">
        <f t="shared" si="26"/>
        <v>37172.379999999997</v>
      </c>
      <c r="Q47" s="175">
        <f t="shared" ref="Q47:Q60" si="29">R47</f>
        <v>55758.57</v>
      </c>
      <c r="R47" s="175">
        <f t="shared" si="28"/>
        <v>55758.57</v>
      </c>
      <c r="S47" s="205">
        <f t="shared" si="4"/>
        <v>0</v>
      </c>
      <c r="T47" s="175"/>
      <c r="U47" s="175">
        <v>0</v>
      </c>
      <c r="V47" s="175">
        <v>0</v>
      </c>
      <c r="W47" s="175">
        <v>0</v>
      </c>
      <c r="X47" s="175">
        <v>0</v>
      </c>
      <c r="Y47" s="175">
        <v>0</v>
      </c>
      <c r="Z47" s="175">
        <v>0</v>
      </c>
      <c r="AA47" s="175">
        <v>0</v>
      </c>
      <c r="AB47" s="175">
        <v>0</v>
      </c>
      <c r="AC47" s="175">
        <v>40004.019999999997</v>
      </c>
      <c r="AD47" s="175">
        <v>4581.62</v>
      </c>
      <c r="AE47" s="175">
        <v>3595.28</v>
      </c>
      <c r="AF47" s="175">
        <v>7577.65</v>
      </c>
      <c r="AG47" s="175">
        <f t="shared" si="27"/>
        <v>55758.57</v>
      </c>
    </row>
    <row r="48" spans="1:33" ht="18.75" x14ac:dyDescent="0.3">
      <c r="A48" s="211" t="s">
        <v>470</v>
      </c>
      <c r="B48" s="214">
        <v>7145.82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>
        <f t="shared" si="25"/>
        <v>7145.82</v>
      </c>
      <c r="P48" s="175">
        <f>Q48/12*$P$6</f>
        <v>40776.080000000002</v>
      </c>
      <c r="Q48" s="175">
        <f>36164.12+25000</f>
        <v>61164.12</v>
      </c>
      <c r="R48" s="175">
        <f t="shared" si="28"/>
        <v>36164.119999999995</v>
      </c>
      <c r="S48" s="205">
        <f t="shared" si="4"/>
        <v>0</v>
      </c>
      <c r="T48" s="175"/>
      <c r="U48" s="175">
        <v>0</v>
      </c>
      <c r="V48" s="175">
        <v>0</v>
      </c>
      <c r="W48" s="175">
        <v>0</v>
      </c>
      <c r="X48" s="175">
        <v>0</v>
      </c>
      <c r="Y48" s="175">
        <v>0</v>
      </c>
      <c r="Z48" s="175">
        <v>0</v>
      </c>
      <c r="AA48" s="175">
        <v>0</v>
      </c>
      <c r="AB48" s="175">
        <v>0</v>
      </c>
      <c r="AC48" s="175">
        <v>26663.29</v>
      </c>
      <c r="AD48" s="175">
        <v>3025.85</v>
      </c>
      <c r="AE48" s="175">
        <v>3179.07</v>
      </c>
      <c r="AF48" s="175">
        <v>3295.91</v>
      </c>
      <c r="AG48" s="175">
        <f t="shared" si="27"/>
        <v>36164.119999999995</v>
      </c>
    </row>
    <row r="49" spans="1:33" ht="18.75" x14ac:dyDescent="0.3">
      <c r="A49" s="211" t="s">
        <v>475</v>
      </c>
      <c r="B49" s="214">
        <v>1085.8800000000001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>
        <f t="shared" si="25"/>
        <v>1085.8800000000001</v>
      </c>
      <c r="P49" s="175">
        <f t="shared" si="26"/>
        <v>6400</v>
      </c>
      <c r="Q49" s="175">
        <f>800*12</f>
        <v>9600</v>
      </c>
      <c r="R49" s="175">
        <f t="shared" si="28"/>
        <v>9124.52</v>
      </c>
      <c r="S49" s="205">
        <f t="shared" si="4"/>
        <v>0</v>
      </c>
      <c r="T49" s="175"/>
      <c r="U49" s="175">
        <v>0</v>
      </c>
      <c r="V49" s="175">
        <v>0</v>
      </c>
      <c r="W49" s="175">
        <v>0</v>
      </c>
      <c r="X49" s="175">
        <v>0</v>
      </c>
      <c r="Y49" s="175">
        <v>0</v>
      </c>
      <c r="Z49" s="175">
        <v>0</v>
      </c>
      <c r="AA49" s="175">
        <v>0</v>
      </c>
      <c r="AB49" s="175">
        <v>0</v>
      </c>
      <c r="AC49" s="175">
        <v>6794.01</v>
      </c>
      <c r="AD49" s="175">
        <v>762.78</v>
      </c>
      <c r="AE49" s="175">
        <v>776.63</v>
      </c>
      <c r="AF49" s="175">
        <v>791.1</v>
      </c>
      <c r="AG49" s="175">
        <f t="shared" si="27"/>
        <v>9124.52</v>
      </c>
    </row>
    <row r="50" spans="1:33" ht="18.75" x14ac:dyDescent="0.3">
      <c r="A50" s="211" t="s">
        <v>471</v>
      </c>
      <c r="B50" s="214">
        <v>2417.75</v>
      </c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>
        <f t="shared" si="25"/>
        <v>2417.75</v>
      </c>
      <c r="P50" s="175">
        <f t="shared" si="26"/>
        <v>18400</v>
      </c>
      <c r="Q50" s="175">
        <v>27600</v>
      </c>
      <c r="R50" s="175">
        <f t="shared" si="28"/>
        <v>18307.82</v>
      </c>
      <c r="S50" s="205">
        <f t="shared" si="4"/>
        <v>0</v>
      </c>
      <c r="T50" s="175"/>
      <c r="U50" s="175">
        <v>0</v>
      </c>
      <c r="V50" s="175">
        <v>0</v>
      </c>
      <c r="W50" s="175">
        <v>0</v>
      </c>
      <c r="X50" s="175">
        <v>0</v>
      </c>
      <c r="Y50" s="175">
        <v>0</v>
      </c>
      <c r="Z50" s="175">
        <v>0</v>
      </c>
      <c r="AA50" s="175">
        <v>0</v>
      </c>
      <c r="AB50" s="175">
        <v>0</v>
      </c>
      <c r="AC50" s="175">
        <v>13656.46</v>
      </c>
      <c r="AD50" s="175">
        <v>1399.01</v>
      </c>
      <c r="AE50" s="175">
        <v>1469.63</v>
      </c>
      <c r="AF50" s="175">
        <v>1782.72</v>
      </c>
      <c r="AG50" s="175">
        <f t="shared" si="27"/>
        <v>18307.82</v>
      </c>
    </row>
    <row r="51" spans="1:33" ht="18.75" x14ac:dyDescent="0.3">
      <c r="A51" s="211" t="s">
        <v>220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>
        <f t="shared" si="25"/>
        <v>0</v>
      </c>
      <c r="P51" s="175"/>
      <c r="Q51" s="175"/>
      <c r="R51" s="175"/>
      <c r="S51" s="20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</row>
    <row r="52" spans="1:33" ht="18.75" x14ac:dyDescent="0.3">
      <c r="A52" s="211" t="s">
        <v>244</v>
      </c>
      <c r="B52" s="214">
        <v>870.95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>
        <f t="shared" si="25"/>
        <v>870.95</v>
      </c>
      <c r="P52" s="175">
        <f t="shared" si="26"/>
        <v>4043.2466666666664</v>
      </c>
      <c r="Q52" s="175">
        <f t="shared" si="29"/>
        <v>6064.87</v>
      </c>
      <c r="R52" s="175">
        <f t="shared" si="28"/>
        <v>6064.87</v>
      </c>
      <c r="S52" s="205">
        <f t="shared" si="4"/>
        <v>0</v>
      </c>
      <c r="T52" s="175"/>
      <c r="U52" s="175">
        <v>0</v>
      </c>
      <c r="V52" s="175">
        <v>0</v>
      </c>
      <c r="W52" s="175">
        <v>0</v>
      </c>
      <c r="X52" s="175">
        <v>0</v>
      </c>
      <c r="Y52" s="175">
        <v>0</v>
      </c>
      <c r="Z52" s="175">
        <v>0</v>
      </c>
      <c r="AA52" s="175">
        <v>0</v>
      </c>
      <c r="AB52" s="175">
        <v>0</v>
      </c>
      <c r="AC52" s="175">
        <v>4564.87</v>
      </c>
      <c r="AD52" s="175">
        <v>500</v>
      </c>
      <c r="AE52" s="175">
        <v>500</v>
      </c>
      <c r="AF52" s="175">
        <v>500</v>
      </c>
      <c r="AG52" s="175">
        <f t="shared" si="27"/>
        <v>6064.87</v>
      </c>
    </row>
    <row r="53" spans="1:33" ht="18.75" x14ac:dyDescent="0.3">
      <c r="A53" s="211" t="s">
        <v>585</v>
      </c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>
        <f t="shared" si="25"/>
        <v>0</v>
      </c>
      <c r="P53" s="175"/>
      <c r="Q53" s="175"/>
      <c r="R53" s="175"/>
      <c r="S53" s="20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</row>
    <row r="54" spans="1:33" ht="18.75" x14ac:dyDescent="0.3">
      <c r="A54" s="213" t="s">
        <v>535</v>
      </c>
      <c r="B54" s="215">
        <f t="shared" ref="B54:G54" si="30">SUM(B44:B53)</f>
        <v>82060.159999999989</v>
      </c>
      <c r="C54" s="215">
        <f t="shared" si="30"/>
        <v>0</v>
      </c>
      <c r="D54" s="215">
        <f t="shared" si="30"/>
        <v>0</v>
      </c>
      <c r="E54" s="215">
        <f t="shared" si="30"/>
        <v>0</v>
      </c>
      <c r="F54" s="215">
        <f t="shared" si="30"/>
        <v>0</v>
      </c>
      <c r="G54" s="215">
        <f t="shared" si="30"/>
        <v>0</v>
      </c>
      <c r="H54" s="215">
        <f t="shared" ref="H54:N54" si="31">SUM(H44:H53)</f>
        <v>0</v>
      </c>
      <c r="I54" s="215">
        <f t="shared" si="31"/>
        <v>0</v>
      </c>
      <c r="J54" s="215">
        <f t="shared" si="31"/>
        <v>0</v>
      </c>
      <c r="K54" s="215">
        <f t="shared" si="31"/>
        <v>0</v>
      </c>
      <c r="L54" s="215">
        <f t="shared" si="31"/>
        <v>0</v>
      </c>
      <c r="M54" s="215">
        <f t="shared" si="31"/>
        <v>0</v>
      </c>
      <c r="N54" s="215">
        <f t="shared" si="31"/>
        <v>82060.159999999989</v>
      </c>
      <c r="P54" s="206">
        <f>SUM(P44:P52)</f>
        <v>541925.06666666677</v>
      </c>
      <c r="Q54" s="206">
        <f t="shared" ref="Q54:R54" si="32">SUM(Q44:Q52)</f>
        <v>812887.6</v>
      </c>
      <c r="R54" s="206">
        <f t="shared" si="32"/>
        <v>827379.59999999986</v>
      </c>
      <c r="S54" s="205">
        <f t="shared" si="4"/>
        <v>0</v>
      </c>
      <c r="T54" s="175"/>
      <c r="U54" s="206">
        <f t="shared" ref="U54:AG54" si="33">SUM(U44:U52)</f>
        <v>0</v>
      </c>
      <c r="V54" s="206">
        <f t="shared" si="33"/>
        <v>0</v>
      </c>
      <c r="W54" s="206">
        <f t="shared" si="33"/>
        <v>0</v>
      </c>
      <c r="X54" s="206">
        <f t="shared" si="33"/>
        <v>0</v>
      </c>
      <c r="Y54" s="206">
        <f t="shared" si="33"/>
        <v>0</v>
      </c>
      <c r="Z54" s="206">
        <f t="shared" si="33"/>
        <v>0</v>
      </c>
      <c r="AA54" s="206">
        <f t="shared" si="33"/>
        <v>0</v>
      </c>
      <c r="AB54" s="206">
        <f t="shared" si="33"/>
        <v>0</v>
      </c>
      <c r="AC54" s="206">
        <f t="shared" si="33"/>
        <v>561054.98</v>
      </c>
      <c r="AD54" s="206">
        <f t="shared" si="33"/>
        <v>79477.78</v>
      </c>
      <c r="AE54" s="206">
        <f t="shared" si="33"/>
        <v>65221.569999999992</v>
      </c>
      <c r="AF54" s="206">
        <f t="shared" si="33"/>
        <v>121625.27</v>
      </c>
      <c r="AG54" s="206">
        <f t="shared" si="33"/>
        <v>827379.59999999986</v>
      </c>
    </row>
    <row r="55" spans="1:33" ht="18.75" x14ac:dyDescent="0.3">
      <c r="A55" s="213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P55" s="175"/>
      <c r="Q55" s="175"/>
      <c r="R55" s="175"/>
      <c r="S55" s="205">
        <f t="shared" si="4"/>
        <v>0</v>
      </c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</row>
    <row r="56" spans="1:33" ht="18.75" x14ac:dyDescent="0.3">
      <c r="A56" s="213" t="s">
        <v>286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P56" s="175"/>
      <c r="Q56" s="175"/>
      <c r="R56" s="175"/>
      <c r="S56" s="205">
        <f t="shared" si="4"/>
        <v>0</v>
      </c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</row>
    <row r="57" spans="1:33" ht="18.75" x14ac:dyDescent="0.3">
      <c r="A57" s="211" t="s">
        <v>232</v>
      </c>
      <c r="B57" s="214">
        <v>5000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>
        <f t="shared" ref="N57:N60" si="34">SUM(B57:M57)</f>
        <v>5000</v>
      </c>
      <c r="P57" s="175">
        <f t="shared" si="26"/>
        <v>40000</v>
      </c>
      <c r="Q57" s="175">
        <f t="shared" si="29"/>
        <v>60000</v>
      </c>
      <c r="R57" s="175">
        <f>AG57</f>
        <v>60000</v>
      </c>
      <c r="S57" s="205">
        <f t="shared" si="4"/>
        <v>0</v>
      </c>
      <c r="T57" s="175"/>
      <c r="U57" s="175">
        <v>0</v>
      </c>
      <c r="V57" s="175">
        <v>0</v>
      </c>
      <c r="W57" s="175">
        <v>0</v>
      </c>
      <c r="X57" s="175">
        <v>0</v>
      </c>
      <c r="Y57" s="175">
        <v>0</v>
      </c>
      <c r="Z57" s="175">
        <v>0</v>
      </c>
      <c r="AA57" s="175">
        <v>0</v>
      </c>
      <c r="AB57" s="175">
        <v>0</v>
      </c>
      <c r="AC57" s="175">
        <v>45000</v>
      </c>
      <c r="AD57" s="175">
        <v>5000</v>
      </c>
      <c r="AE57" s="175">
        <v>5000</v>
      </c>
      <c r="AF57" s="175">
        <v>5000</v>
      </c>
      <c r="AG57" s="175">
        <f>SUM(U57:AF57)</f>
        <v>60000</v>
      </c>
    </row>
    <row r="58" spans="1:33" ht="18.75" hidden="1" x14ac:dyDescent="0.3">
      <c r="A58" s="211" t="s">
        <v>289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>
        <f t="shared" si="34"/>
        <v>0</v>
      </c>
      <c r="P58" s="175">
        <f t="shared" si="26"/>
        <v>1813.1533333333334</v>
      </c>
      <c r="Q58" s="175">
        <f t="shared" si="29"/>
        <v>2719.73</v>
      </c>
      <c r="R58" s="175">
        <f t="shared" ref="R58:R60" si="35">AG58</f>
        <v>2719.73</v>
      </c>
      <c r="S58" s="205">
        <f t="shared" si="4"/>
        <v>0</v>
      </c>
      <c r="T58" s="175"/>
      <c r="U58" s="175">
        <v>838.82</v>
      </c>
      <c r="V58" s="175">
        <v>672.84</v>
      </c>
      <c r="W58" s="175">
        <v>0</v>
      </c>
      <c r="X58" s="175">
        <v>0</v>
      </c>
      <c r="Y58" s="175">
        <v>0</v>
      </c>
      <c r="Z58" s="175">
        <v>0</v>
      </c>
      <c r="AA58" s="175">
        <v>1208.07</v>
      </c>
      <c r="AB58" s="175">
        <v>0</v>
      </c>
      <c r="AC58" s="175">
        <v>0</v>
      </c>
      <c r="AD58" s="175">
        <v>0</v>
      </c>
      <c r="AE58" s="175">
        <v>0</v>
      </c>
      <c r="AF58" s="175">
        <v>0</v>
      </c>
      <c r="AG58" s="175">
        <f>SUM(U58:AF58)</f>
        <v>2719.73</v>
      </c>
    </row>
    <row r="59" spans="1:33" ht="18.75" x14ac:dyDescent="0.3">
      <c r="A59" s="211" t="s">
        <v>236</v>
      </c>
      <c r="B59" s="214">
        <v>440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>
        <f t="shared" si="34"/>
        <v>440</v>
      </c>
      <c r="P59" s="175">
        <f t="shared" si="26"/>
        <v>3960.7400000000002</v>
      </c>
      <c r="Q59" s="175">
        <f t="shared" si="29"/>
        <v>5941.1100000000006</v>
      </c>
      <c r="R59" s="175">
        <f t="shared" si="35"/>
        <v>5941.1100000000006</v>
      </c>
      <c r="S59" s="205">
        <f t="shared" si="4"/>
        <v>0</v>
      </c>
      <c r="T59" s="175"/>
      <c r="U59" s="175">
        <v>0</v>
      </c>
      <c r="V59" s="175">
        <v>0</v>
      </c>
      <c r="W59" s="175">
        <v>0</v>
      </c>
      <c r="X59" s="175">
        <v>0</v>
      </c>
      <c r="Y59" s="175">
        <v>0</v>
      </c>
      <c r="Z59" s="175">
        <v>0</v>
      </c>
      <c r="AA59" s="175">
        <v>0</v>
      </c>
      <c r="AB59" s="175">
        <v>0</v>
      </c>
      <c r="AC59" s="175">
        <v>4557.83</v>
      </c>
      <c r="AD59" s="175">
        <v>502.34</v>
      </c>
      <c r="AE59" s="175">
        <v>440.47</v>
      </c>
      <c r="AF59" s="175">
        <v>440.47</v>
      </c>
      <c r="AG59" s="175">
        <f>SUM(U59:AF59)</f>
        <v>5941.1100000000006</v>
      </c>
    </row>
    <row r="60" spans="1:33" ht="18.75" x14ac:dyDescent="0.3">
      <c r="A60" s="211" t="s">
        <v>290</v>
      </c>
      <c r="B60" s="214">
        <v>418.29</v>
      </c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>
        <f t="shared" si="34"/>
        <v>418.29</v>
      </c>
      <c r="P60" s="175">
        <f t="shared" si="26"/>
        <v>3162.4066666666663</v>
      </c>
      <c r="Q60" s="175">
        <f t="shared" si="29"/>
        <v>4743.6099999999997</v>
      </c>
      <c r="R60" s="175">
        <f t="shared" si="35"/>
        <v>4743.6099999999997</v>
      </c>
      <c r="S60" s="205">
        <f t="shared" si="4"/>
        <v>0</v>
      </c>
      <c r="T60" s="175"/>
      <c r="U60" s="175">
        <v>142.41999999999999</v>
      </c>
      <c r="V60" s="175">
        <v>418.29</v>
      </c>
      <c r="W60" s="175">
        <v>418.29</v>
      </c>
      <c r="X60" s="175">
        <v>418.29</v>
      </c>
      <c r="Y60" s="175">
        <v>418.29</v>
      </c>
      <c r="Z60" s="175">
        <v>418.29</v>
      </c>
      <c r="AA60" s="175">
        <v>418.29</v>
      </c>
      <c r="AB60" s="175">
        <v>418.29</v>
      </c>
      <c r="AC60" s="175">
        <v>418.29</v>
      </c>
      <c r="AD60" s="175">
        <v>418.29</v>
      </c>
      <c r="AE60" s="175">
        <v>418.29</v>
      </c>
      <c r="AF60" s="175">
        <v>418.29</v>
      </c>
      <c r="AG60" s="175">
        <f>SUM(U60:AF60)</f>
        <v>4743.6099999999997</v>
      </c>
    </row>
    <row r="61" spans="1:33" ht="18.75" x14ac:dyDescent="0.3">
      <c r="A61" s="213" t="s">
        <v>330</v>
      </c>
      <c r="B61" s="215">
        <f t="shared" ref="B61:M61" si="36">SUM(B57:B60)</f>
        <v>5858.29</v>
      </c>
      <c r="C61" s="215">
        <f t="shared" si="36"/>
        <v>0</v>
      </c>
      <c r="D61" s="215">
        <f t="shared" si="36"/>
        <v>0</v>
      </c>
      <c r="E61" s="215">
        <f t="shared" si="36"/>
        <v>0</v>
      </c>
      <c r="F61" s="215">
        <f>SUM(F57:F60)</f>
        <v>0</v>
      </c>
      <c r="G61" s="215">
        <f>SUM(G57:G60)</f>
        <v>0</v>
      </c>
      <c r="H61" s="215">
        <f t="shared" ref="H61:L61" si="37">SUM(H57:H60)</f>
        <v>0</v>
      </c>
      <c r="I61" s="215">
        <f t="shared" si="37"/>
        <v>0</v>
      </c>
      <c r="J61" s="215">
        <f t="shared" si="37"/>
        <v>0</v>
      </c>
      <c r="K61" s="215">
        <f t="shared" si="37"/>
        <v>0</v>
      </c>
      <c r="L61" s="215">
        <f t="shared" si="37"/>
        <v>0</v>
      </c>
      <c r="M61" s="215">
        <f t="shared" si="36"/>
        <v>0</v>
      </c>
      <c r="N61" s="215">
        <f>SUM(N57:N60)</f>
        <v>5858.29</v>
      </c>
      <c r="P61" s="206">
        <f>SUM(P57:P60)</f>
        <v>48936.3</v>
      </c>
      <c r="Q61" s="206">
        <f t="shared" ref="Q61:R61" si="38">SUM(Q57:Q60)</f>
        <v>73404.45</v>
      </c>
      <c r="R61" s="206">
        <f t="shared" si="38"/>
        <v>73404.45</v>
      </c>
      <c r="S61" s="205">
        <f t="shared" si="4"/>
        <v>0</v>
      </c>
      <c r="T61" s="175"/>
      <c r="U61" s="206">
        <f t="shared" ref="U61:AF61" si="39">SUM(U57:U60)</f>
        <v>981.24</v>
      </c>
      <c r="V61" s="206">
        <f t="shared" si="39"/>
        <v>1091.1300000000001</v>
      </c>
      <c r="W61" s="206">
        <f t="shared" si="39"/>
        <v>418.29</v>
      </c>
      <c r="X61" s="206">
        <f t="shared" si="39"/>
        <v>418.29</v>
      </c>
      <c r="Y61" s="206">
        <f>SUM(Y57:Y60)</f>
        <v>418.29</v>
      </c>
      <c r="Z61" s="206">
        <f>SUM(Z57:Z60)</f>
        <v>418.29</v>
      </c>
      <c r="AA61" s="206">
        <f t="shared" ref="AA61:AE61" si="40">SUM(AA57:AA60)</f>
        <v>1626.36</v>
      </c>
      <c r="AB61" s="206">
        <f t="shared" si="40"/>
        <v>418.29</v>
      </c>
      <c r="AC61" s="206">
        <f t="shared" si="40"/>
        <v>49976.12</v>
      </c>
      <c r="AD61" s="206">
        <f t="shared" si="40"/>
        <v>5920.63</v>
      </c>
      <c r="AE61" s="206">
        <f t="shared" si="40"/>
        <v>5858.76</v>
      </c>
      <c r="AF61" s="206">
        <f t="shared" si="39"/>
        <v>5858.76</v>
      </c>
      <c r="AG61" s="206">
        <f>SUM(AG57:AG60)</f>
        <v>73404.45</v>
      </c>
    </row>
    <row r="62" spans="1:33" ht="18.75" x14ac:dyDescent="0.3">
      <c r="A62" s="211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P62" s="175"/>
      <c r="Q62" s="175"/>
      <c r="R62" s="175"/>
      <c r="S62" s="20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</row>
    <row r="63" spans="1:33" ht="18.75" x14ac:dyDescent="0.3">
      <c r="A63" s="213" t="s">
        <v>291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P63" s="175"/>
      <c r="Q63" s="175"/>
      <c r="R63" s="175"/>
      <c r="S63" s="20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</row>
    <row r="64" spans="1:33" ht="18.75" x14ac:dyDescent="0.3">
      <c r="A64" s="211" t="s">
        <v>586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>
        <f t="shared" ref="N64:N78" si="41">SUM(B64:M64)</f>
        <v>0</v>
      </c>
      <c r="P64" s="175"/>
      <c r="Q64" s="175"/>
      <c r="R64" s="175"/>
      <c r="S64" s="20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</row>
    <row r="65" spans="1:33" ht="18.75" x14ac:dyDescent="0.3">
      <c r="A65" s="211" t="s">
        <v>250</v>
      </c>
      <c r="B65" s="214">
        <v>110.69</v>
      </c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>
        <f t="shared" si="41"/>
        <v>110.69</v>
      </c>
      <c r="P65" s="175">
        <f t="shared" ref="P65:P78" si="42">Q65/12*$P$6</f>
        <v>3328.8666666666668</v>
      </c>
      <c r="Q65" s="175">
        <f>(9986.6/2)</f>
        <v>4993.3</v>
      </c>
      <c r="R65" s="175">
        <f>AG65</f>
        <v>9986.6</v>
      </c>
      <c r="S65" s="205">
        <f t="shared" si="4"/>
        <v>0</v>
      </c>
      <c r="T65" s="175"/>
      <c r="U65" s="175">
        <v>699.09</v>
      </c>
      <c r="V65" s="175">
        <v>609.66</v>
      </c>
      <c r="W65" s="175">
        <v>670.54</v>
      </c>
      <c r="X65" s="175">
        <v>716.49</v>
      </c>
      <c r="Y65" s="175">
        <v>816.61</v>
      </c>
      <c r="Z65" s="175">
        <v>992.7</v>
      </c>
      <c r="AA65" s="175">
        <v>1326.01</v>
      </c>
      <c r="AB65" s="175">
        <v>1343.92</v>
      </c>
      <c r="AC65" s="175">
        <v>562.4</v>
      </c>
      <c r="AD65" s="175">
        <v>820.72</v>
      </c>
      <c r="AE65" s="175">
        <v>722.29</v>
      </c>
      <c r="AF65" s="175">
        <v>706.17</v>
      </c>
      <c r="AG65" s="175">
        <f t="shared" ref="AG65:AG74" si="43">SUM(U65:AF65)</f>
        <v>9986.6</v>
      </c>
    </row>
    <row r="66" spans="1:33" ht="18.75" x14ac:dyDescent="0.3">
      <c r="A66" s="211" t="s">
        <v>538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>
        <f t="shared" si="41"/>
        <v>0</v>
      </c>
      <c r="P66" s="175">
        <f t="shared" si="42"/>
        <v>2333.3333333333335</v>
      </c>
      <c r="Q66" s="175">
        <v>3500</v>
      </c>
      <c r="R66" s="175">
        <f t="shared" ref="R66:R78" si="44">AG66</f>
        <v>0</v>
      </c>
      <c r="S66" s="205">
        <f t="shared" si="4"/>
        <v>0</v>
      </c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</row>
    <row r="67" spans="1:33" ht="18.75" x14ac:dyDescent="0.3">
      <c r="A67" s="211" t="s">
        <v>618</v>
      </c>
      <c r="B67" s="214">
        <v>28.69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>
        <f t="shared" si="41"/>
        <v>28.69</v>
      </c>
      <c r="P67" s="175"/>
      <c r="Q67" s="175"/>
      <c r="R67" s="175"/>
      <c r="S67" s="20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</row>
    <row r="68" spans="1:33" ht="18.75" x14ac:dyDescent="0.3">
      <c r="A68" s="211" t="s">
        <v>254</v>
      </c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>
        <f t="shared" si="41"/>
        <v>0</v>
      </c>
      <c r="P68" s="175">
        <f t="shared" si="42"/>
        <v>608.32666666666671</v>
      </c>
      <c r="Q68" s="175">
        <f t="shared" ref="Q68:Q78" si="45">R68</f>
        <v>912.49</v>
      </c>
      <c r="R68" s="175">
        <f t="shared" si="44"/>
        <v>912.49</v>
      </c>
      <c r="S68" s="205">
        <f t="shared" si="4"/>
        <v>0</v>
      </c>
      <c r="T68" s="175"/>
      <c r="U68" s="175">
        <v>0</v>
      </c>
      <c r="V68" s="175">
        <v>587.5</v>
      </c>
      <c r="W68" s="175">
        <v>0</v>
      </c>
      <c r="X68" s="175">
        <v>0</v>
      </c>
      <c r="Y68" s="175">
        <v>0</v>
      </c>
      <c r="Z68" s="175">
        <v>99.99</v>
      </c>
      <c r="AA68" s="175">
        <v>0</v>
      </c>
      <c r="AB68" s="175">
        <v>225</v>
      </c>
      <c r="AC68" s="175">
        <v>0</v>
      </c>
      <c r="AD68" s="208" t="s">
        <v>554</v>
      </c>
      <c r="AE68" s="208">
        <v>0</v>
      </c>
      <c r="AF68" s="208">
        <v>0</v>
      </c>
      <c r="AG68" s="175">
        <f t="shared" si="43"/>
        <v>912.49</v>
      </c>
    </row>
    <row r="69" spans="1:33" ht="18.75" x14ac:dyDescent="0.3">
      <c r="A69" s="211" t="s">
        <v>260</v>
      </c>
      <c r="B69" s="214">
        <v>346.52</v>
      </c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>
        <f t="shared" si="41"/>
        <v>346.52</v>
      </c>
      <c r="P69" s="175">
        <f t="shared" si="42"/>
        <v>4838.5933333333332</v>
      </c>
      <c r="Q69" s="175">
        <f t="shared" si="45"/>
        <v>7257.89</v>
      </c>
      <c r="R69" s="175">
        <f t="shared" si="44"/>
        <v>7257.89</v>
      </c>
      <c r="S69" s="205">
        <f t="shared" si="4"/>
        <v>0</v>
      </c>
      <c r="T69" s="175"/>
      <c r="U69" s="175">
        <v>0</v>
      </c>
      <c r="V69" s="175">
        <v>0</v>
      </c>
      <c r="W69" s="175">
        <v>672.84</v>
      </c>
      <c r="X69" s="175">
        <v>672.82</v>
      </c>
      <c r="Y69" s="175">
        <v>672.82</v>
      </c>
      <c r="Z69" s="175">
        <v>672.82</v>
      </c>
      <c r="AA69" s="175">
        <v>1390.99</v>
      </c>
      <c r="AB69" s="175">
        <v>637.99</v>
      </c>
      <c r="AC69" s="175">
        <v>698.79</v>
      </c>
      <c r="AD69" s="175">
        <v>713.83</v>
      </c>
      <c r="AE69" s="175">
        <f>698.79+60.1</f>
        <v>758.89</v>
      </c>
      <c r="AF69" s="175">
        <f>-60.1+426.2</f>
        <v>366.09999999999997</v>
      </c>
      <c r="AG69" s="175">
        <f t="shared" si="43"/>
        <v>7257.89</v>
      </c>
    </row>
    <row r="70" spans="1:33" ht="18.75" x14ac:dyDescent="0.3">
      <c r="A70" s="211" t="s">
        <v>246</v>
      </c>
      <c r="B70" s="214">
        <v>1560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>
        <f t="shared" si="41"/>
        <v>1560</v>
      </c>
      <c r="P70" s="175">
        <f t="shared" si="42"/>
        <v>12480</v>
      </c>
      <c r="Q70" s="175">
        <f>1560*12</f>
        <v>18720</v>
      </c>
      <c r="R70" s="175">
        <f t="shared" si="44"/>
        <v>22738.28</v>
      </c>
      <c r="S70" s="205">
        <f t="shared" si="4"/>
        <v>0</v>
      </c>
      <c r="T70" s="175"/>
      <c r="U70" s="175">
        <v>0</v>
      </c>
      <c r="V70" s="175">
        <v>0</v>
      </c>
      <c r="W70" s="175">
        <v>0</v>
      </c>
      <c r="X70" s="175">
        <v>0</v>
      </c>
      <c r="Y70" s="175">
        <v>0</v>
      </c>
      <c r="Z70" s="175">
        <v>0</v>
      </c>
      <c r="AA70" s="175">
        <v>0</v>
      </c>
      <c r="AB70" s="175">
        <v>0</v>
      </c>
      <c r="AC70" s="175">
        <v>18056.97</v>
      </c>
      <c r="AD70" s="175">
        <v>1560.44</v>
      </c>
      <c r="AE70" s="175">
        <v>1560.44</v>
      </c>
      <c r="AF70" s="175">
        <v>1560.43</v>
      </c>
      <c r="AG70" s="175">
        <f t="shared" ref="AG70:AG71" si="46">SUM(U70:AF70)</f>
        <v>22738.28</v>
      </c>
    </row>
    <row r="71" spans="1:33" ht="18.75" x14ac:dyDescent="0.3">
      <c r="A71" s="211" t="s">
        <v>356</v>
      </c>
      <c r="B71" s="214">
        <v>110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>
        <f t="shared" si="41"/>
        <v>110</v>
      </c>
      <c r="P71" s="175">
        <f t="shared" si="42"/>
        <v>5018.0466666666671</v>
      </c>
      <c r="Q71" s="175">
        <f t="shared" si="45"/>
        <v>7527.0700000000006</v>
      </c>
      <c r="R71" s="175">
        <f t="shared" si="44"/>
        <v>7527.0700000000006</v>
      </c>
      <c r="S71" s="205">
        <f t="shared" si="4"/>
        <v>0</v>
      </c>
      <c r="T71" s="175"/>
      <c r="U71" s="175">
        <v>0</v>
      </c>
      <c r="V71" s="175">
        <v>0</v>
      </c>
      <c r="W71" s="175">
        <v>0</v>
      </c>
      <c r="X71" s="175">
        <v>0</v>
      </c>
      <c r="Y71" s="175">
        <v>0</v>
      </c>
      <c r="Z71" s="175">
        <v>0</v>
      </c>
      <c r="AA71" s="175">
        <v>0</v>
      </c>
      <c r="AB71" s="175">
        <v>0</v>
      </c>
      <c r="AC71" s="175">
        <f>5375.34+-59.98+0.1</f>
        <v>5315.4600000000009</v>
      </c>
      <c r="AD71" s="175">
        <v>1024.25</v>
      </c>
      <c r="AE71" s="175">
        <v>1187.3599999999999</v>
      </c>
      <c r="AF71" s="175">
        <v>0</v>
      </c>
      <c r="AG71" s="175">
        <f t="shared" si="46"/>
        <v>7527.0700000000006</v>
      </c>
    </row>
    <row r="72" spans="1:33" ht="18.75" x14ac:dyDescent="0.3">
      <c r="A72" s="211" t="s">
        <v>378</v>
      </c>
      <c r="B72" s="214">
        <v>385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>
        <f t="shared" si="41"/>
        <v>385</v>
      </c>
      <c r="P72" s="175">
        <f t="shared" si="42"/>
        <v>2683.3333333333335</v>
      </c>
      <c r="Q72" s="175">
        <f>4025</f>
        <v>4025</v>
      </c>
      <c r="R72" s="175">
        <f t="shared" si="44"/>
        <v>12091.89</v>
      </c>
      <c r="S72" s="205">
        <f t="shared" si="4"/>
        <v>0</v>
      </c>
      <c r="T72" s="175"/>
      <c r="U72" s="175">
        <v>3000</v>
      </c>
      <c r="V72" s="175">
        <v>3000</v>
      </c>
      <c r="W72" s="175">
        <v>3000</v>
      </c>
      <c r="X72" s="175">
        <v>3000</v>
      </c>
      <c r="Y72" s="175">
        <v>3000</v>
      </c>
      <c r="Z72" s="175">
        <v>2000</v>
      </c>
      <c r="AA72" s="175">
        <v>2000</v>
      </c>
      <c r="AB72" s="175">
        <v>2000</v>
      </c>
      <c r="AC72" s="175">
        <v>-10897</v>
      </c>
      <c r="AD72" s="175">
        <v>318.75</v>
      </c>
      <c r="AE72" s="175">
        <v>318.75</v>
      </c>
      <c r="AF72" s="175">
        <v>1351.39</v>
      </c>
      <c r="AG72" s="175">
        <f t="shared" si="43"/>
        <v>12091.89</v>
      </c>
    </row>
    <row r="73" spans="1:33" ht="18.75" x14ac:dyDescent="0.3">
      <c r="A73" s="211" t="s">
        <v>355</v>
      </c>
      <c r="B73" s="214">
        <v>3750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>
        <f t="shared" si="41"/>
        <v>3750</v>
      </c>
      <c r="P73" s="175">
        <f t="shared" si="42"/>
        <v>30040.066666666666</v>
      </c>
      <c r="Q73" s="175">
        <f t="shared" si="45"/>
        <v>45060.1</v>
      </c>
      <c r="R73" s="175">
        <f t="shared" si="44"/>
        <v>45060.1</v>
      </c>
      <c r="S73" s="205">
        <f t="shared" si="4"/>
        <v>0</v>
      </c>
      <c r="T73" s="175"/>
      <c r="U73" s="175">
        <v>3750</v>
      </c>
      <c r="V73" s="175">
        <v>3750</v>
      </c>
      <c r="W73" s="175">
        <v>3750</v>
      </c>
      <c r="X73" s="175">
        <v>3750</v>
      </c>
      <c r="Y73" s="175">
        <v>3750</v>
      </c>
      <c r="Z73" s="175">
        <v>3750</v>
      </c>
      <c r="AA73" s="175">
        <v>3750</v>
      </c>
      <c r="AB73" s="175">
        <v>3750</v>
      </c>
      <c r="AC73" s="175">
        <v>3750</v>
      </c>
      <c r="AD73" s="175">
        <v>3750</v>
      </c>
      <c r="AE73" s="175">
        <v>3750</v>
      </c>
      <c r="AF73" s="175">
        <v>3810.1</v>
      </c>
      <c r="AG73" s="175">
        <f t="shared" si="43"/>
        <v>45060.1</v>
      </c>
    </row>
    <row r="74" spans="1:33" ht="18.75" x14ac:dyDescent="0.3">
      <c r="A74" s="211" t="s">
        <v>472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>
        <f t="shared" si="41"/>
        <v>0</v>
      </c>
      <c r="P74" s="175">
        <f t="shared" si="42"/>
        <v>0</v>
      </c>
      <c r="Q74" s="175">
        <v>0</v>
      </c>
      <c r="R74" s="175">
        <f t="shared" si="44"/>
        <v>5191.34</v>
      </c>
      <c r="S74" s="205">
        <f t="shared" si="4"/>
        <v>0</v>
      </c>
      <c r="T74" s="175"/>
      <c r="U74" s="175">
        <v>0</v>
      </c>
      <c r="V74" s="175">
        <v>0</v>
      </c>
      <c r="W74" s="175">
        <v>0</v>
      </c>
      <c r="X74" s="175">
        <v>0</v>
      </c>
      <c r="Y74" s="175">
        <v>0</v>
      </c>
      <c r="Z74" s="175">
        <v>0</v>
      </c>
      <c r="AA74" s="175">
        <v>0</v>
      </c>
      <c r="AB74" s="175">
        <v>0</v>
      </c>
      <c r="AC74" s="175">
        <v>3935.25</v>
      </c>
      <c r="AD74" s="175">
        <v>712.35</v>
      </c>
      <c r="AE74" s="175">
        <v>65.25</v>
      </c>
      <c r="AF74" s="175">
        <v>478.49</v>
      </c>
      <c r="AG74" s="175">
        <f t="shared" si="43"/>
        <v>5191.34</v>
      </c>
    </row>
    <row r="75" spans="1:33" ht="18.75" x14ac:dyDescent="0.3">
      <c r="A75" s="211" t="s">
        <v>379</v>
      </c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>
        <f t="shared" si="41"/>
        <v>0</v>
      </c>
      <c r="P75" s="175">
        <f t="shared" si="42"/>
        <v>312.5866666666667</v>
      </c>
      <c r="Q75" s="175">
        <f t="shared" si="45"/>
        <v>468.88000000000005</v>
      </c>
      <c r="R75" s="175">
        <f t="shared" si="44"/>
        <v>468.88000000000005</v>
      </c>
      <c r="S75" s="205">
        <f t="shared" si="4"/>
        <v>0</v>
      </c>
      <c r="T75" s="175"/>
      <c r="U75" s="175">
        <v>109</v>
      </c>
      <c r="V75" s="175">
        <v>29.99</v>
      </c>
      <c r="W75" s="175">
        <v>29.99</v>
      </c>
      <c r="X75" s="175">
        <v>29.99</v>
      </c>
      <c r="Y75" s="175">
        <v>0</v>
      </c>
      <c r="Z75" s="175">
        <v>29.99</v>
      </c>
      <c r="AA75" s="175">
        <v>29.99</v>
      </c>
      <c r="AB75" s="175">
        <v>29.99</v>
      </c>
      <c r="AC75" s="208">
        <v>119.96</v>
      </c>
      <c r="AD75" s="208">
        <v>0</v>
      </c>
      <c r="AE75" s="208">
        <v>29.99</v>
      </c>
      <c r="AF75" s="208">
        <v>29.99</v>
      </c>
      <c r="AG75" s="175">
        <f>SUM(U75:AF75)</f>
        <v>468.88000000000005</v>
      </c>
    </row>
    <row r="76" spans="1:33" ht="18.75" x14ac:dyDescent="0.3">
      <c r="A76" s="211" t="s">
        <v>245</v>
      </c>
      <c r="B76" s="214">
        <v>159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>
        <f t="shared" si="41"/>
        <v>159</v>
      </c>
      <c r="P76" s="175">
        <f t="shared" si="42"/>
        <v>1880.2533333333333</v>
      </c>
      <c r="Q76" s="175">
        <f t="shared" si="45"/>
        <v>2820.38</v>
      </c>
      <c r="R76" s="175">
        <f t="shared" si="44"/>
        <v>2820.38</v>
      </c>
      <c r="S76" s="205">
        <f t="shared" si="4"/>
        <v>0</v>
      </c>
      <c r="T76" s="175"/>
      <c r="U76" s="175">
        <v>0</v>
      </c>
      <c r="V76" s="175">
        <v>0</v>
      </c>
      <c r="W76" s="175">
        <v>0</v>
      </c>
      <c r="X76" s="175">
        <v>0</v>
      </c>
      <c r="Y76" s="175">
        <v>0</v>
      </c>
      <c r="Z76" s="175">
        <v>0</v>
      </c>
      <c r="AA76" s="175">
        <v>0</v>
      </c>
      <c r="AB76" s="175">
        <v>0</v>
      </c>
      <c r="AC76" s="175">
        <v>2299.5300000000002</v>
      </c>
      <c r="AD76" s="175">
        <v>159.06</v>
      </c>
      <c r="AE76" s="175">
        <v>202.73</v>
      </c>
      <c r="AF76" s="175">
        <v>159.06</v>
      </c>
      <c r="AG76" s="175">
        <f>SUM(U76:AF76)</f>
        <v>2820.38</v>
      </c>
    </row>
    <row r="77" spans="1:33" ht="18.75" x14ac:dyDescent="0.3">
      <c r="A77" s="211" t="s">
        <v>595</v>
      </c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>
        <f t="shared" si="41"/>
        <v>0</v>
      </c>
      <c r="P77" s="175"/>
      <c r="Q77" s="175"/>
      <c r="R77" s="175"/>
      <c r="S77" s="20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</row>
    <row r="78" spans="1:33" ht="18.75" x14ac:dyDescent="0.3">
      <c r="A78" s="211" t="s">
        <v>467</v>
      </c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>
        <f t="shared" si="41"/>
        <v>0</v>
      </c>
      <c r="P78" s="175">
        <f t="shared" si="42"/>
        <v>4760.0199999999995</v>
      </c>
      <c r="Q78" s="175">
        <f t="shared" si="45"/>
        <v>7140.03</v>
      </c>
      <c r="R78" s="175">
        <f t="shared" si="44"/>
        <v>7140.03</v>
      </c>
      <c r="S78" s="205">
        <f t="shared" si="4"/>
        <v>0</v>
      </c>
      <c r="T78" s="175"/>
      <c r="U78" s="175">
        <v>0</v>
      </c>
      <c r="V78" s="175">
        <v>0</v>
      </c>
      <c r="W78" s="175">
        <v>0</v>
      </c>
      <c r="X78" s="175">
        <v>0</v>
      </c>
      <c r="Y78" s="175">
        <v>0</v>
      </c>
      <c r="Z78" s="175">
        <v>0</v>
      </c>
      <c r="AA78" s="175">
        <v>0</v>
      </c>
      <c r="AB78" s="175">
        <v>0</v>
      </c>
      <c r="AC78" s="175">
        <v>7140.03</v>
      </c>
      <c r="AD78" s="175">
        <v>0</v>
      </c>
      <c r="AE78" s="175">
        <v>0</v>
      </c>
      <c r="AF78" s="175">
        <v>0</v>
      </c>
      <c r="AG78" s="175">
        <f>SUM(U78:AF78)</f>
        <v>7140.03</v>
      </c>
    </row>
    <row r="79" spans="1:33" ht="18.75" x14ac:dyDescent="0.3">
      <c r="A79" s="213" t="s">
        <v>294</v>
      </c>
      <c r="B79" s="215">
        <f>SUM(B64:B78)</f>
        <v>6449.9</v>
      </c>
      <c r="C79" s="215">
        <f>SUM(C64:C78)</f>
        <v>0</v>
      </c>
      <c r="D79" s="215">
        <f>SUM(D64:D78)</f>
        <v>0</v>
      </c>
      <c r="E79" s="215">
        <f>SUM(E64:E78)</f>
        <v>0</v>
      </c>
      <c r="F79" s="215">
        <f t="shared" ref="F79:M79" si="47">SUM(F65:F78)</f>
        <v>0</v>
      </c>
      <c r="G79" s="215">
        <f t="shared" si="47"/>
        <v>0</v>
      </c>
      <c r="H79" s="215">
        <f t="shared" si="47"/>
        <v>0</v>
      </c>
      <c r="I79" s="215">
        <f t="shared" si="47"/>
        <v>0</v>
      </c>
      <c r="J79" s="215">
        <f t="shared" ref="J79:L79" si="48">SUM(J65:J78)</f>
        <v>0</v>
      </c>
      <c r="K79" s="215">
        <f t="shared" si="48"/>
        <v>0</v>
      </c>
      <c r="L79" s="215">
        <f t="shared" si="48"/>
        <v>0</v>
      </c>
      <c r="M79" s="215">
        <f t="shared" si="47"/>
        <v>0</v>
      </c>
      <c r="N79" s="215">
        <f>SUM(N64:N78)</f>
        <v>6449.9</v>
      </c>
      <c r="P79" s="206">
        <f>SUM(P62:P78)</f>
        <v>68283.426666666666</v>
      </c>
      <c r="Q79" s="206">
        <f t="shared" ref="Q79:R79" si="49">SUM(Q62:Q78)</f>
        <v>102425.14000000001</v>
      </c>
      <c r="R79" s="206">
        <f t="shared" si="49"/>
        <v>121194.95</v>
      </c>
      <c r="S79" s="205">
        <f t="shared" si="4"/>
        <v>0</v>
      </c>
      <c r="T79" s="175"/>
      <c r="U79" s="206">
        <f t="shared" ref="U79:AG79" si="50">SUM(U65:U78)</f>
        <v>7558.09</v>
      </c>
      <c r="V79" s="206">
        <f t="shared" si="50"/>
        <v>7977.15</v>
      </c>
      <c r="W79" s="206">
        <f t="shared" si="50"/>
        <v>8123.37</v>
      </c>
      <c r="X79" s="206">
        <f t="shared" si="50"/>
        <v>8169.2999999999993</v>
      </c>
      <c r="Y79" s="206">
        <f t="shared" si="50"/>
        <v>8239.43</v>
      </c>
      <c r="Z79" s="206">
        <f t="shared" si="50"/>
        <v>7545.5</v>
      </c>
      <c r="AA79" s="206">
        <f t="shared" si="50"/>
        <v>8496.99</v>
      </c>
      <c r="AB79" s="206">
        <f t="shared" si="50"/>
        <v>7986.9</v>
      </c>
      <c r="AC79" s="206">
        <f t="shared" si="50"/>
        <v>30981.39</v>
      </c>
      <c r="AD79" s="206">
        <f t="shared" si="50"/>
        <v>9059.4</v>
      </c>
      <c r="AE79" s="206">
        <f t="shared" si="50"/>
        <v>8595.6999999999989</v>
      </c>
      <c r="AF79" s="206">
        <f t="shared" si="50"/>
        <v>8461.73</v>
      </c>
      <c r="AG79" s="206">
        <f t="shared" si="50"/>
        <v>121194.95</v>
      </c>
    </row>
    <row r="80" spans="1:33" ht="18.75" x14ac:dyDescent="0.3">
      <c r="A80" s="211" t="s">
        <v>243</v>
      </c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P80" s="175"/>
      <c r="Q80" s="175"/>
      <c r="R80" s="175"/>
      <c r="S80" s="20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</row>
    <row r="81" spans="1:33" ht="18.75" x14ac:dyDescent="0.3">
      <c r="A81" s="213" t="s">
        <v>319</v>
      </c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P81" s="175"/>
      <c r="Q81" s="175"/>
      <c r="R81" s="175"/>
      <c r="S81" s="20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</row>
    <row r="82" spans="1:33" ht="18.75" hidden="1" x14ac:dyDescent="0.3">
      <c r="A82" s="211" t="s">
        <v>320</v>
      </c>
      <c r="B82" s="214">
        <v>0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>
        <f>SUM(B82:M82)</f>
        <v>0</v>
      </c>
      <c r="P82" s="175">
        <f t="shared" ref="P82:P84" si="51">Q82/12*$P$6</f>
        <v>0</v>
      </c>
      <c r="Q82" s="175">
        <f t="shared" ref="Q82:Q84" si="52">R82</f>
        <v>0</v>
      </c>
      <c r="R82" s="175">
        <f>AG82</f>
        <v>0</v>
      </c>
      <c r="S82" s="205">
        <f t="shared" ref="S82:S89" si="53">R82-AG82</f>
        <v>0</v>
      </c>
      <c r="T82" s="175"/>
      <c r="U82" s="175">
        <v>34022.5</v>
      </c>
      <c r="V82" s="175">
        <v>34265</v>
      </c>
      <c r="W82" s="175">
        <v>34451.25</v>
      </c>
      <c r="X82" s="175">
        <v>34845</v>
      </c>
      <c r="Y82" s="175">
        <v>34565</v>
      </c>
      <c r="Z82" s="175">
        <v>34906.25</v>
      </c>
      <c r="AA82" s="175">
        <v>36258.75</v>
      </c>
      <c r="AB82" s="175">
        <v>35423.75</v>
      </c>
      <c r="AC82" s="175">
        <v>-278737.5</v>
      </c>
      <c r="AD82" s="175">
        <v>0</v>
      </c>
      <c r="AE82" s="175">
        <v>0</v>
      </c>
      <c r="AF82" s="175">
        <v>0</v>
      </c>
      <c r="AG82" s="175">
        <f>SUM(U82:AF82)</f>
        <v>0</v>
      </c>
    </row>
    <row r="83" spans="1:33" ht="18.75" x14ac:dyDescent="0.3">
      <c r="A83" s="213" t="s">
        <v>380</v>
      </c>
      <c r="B83" s="214">
        <v>-2821.87</v>
      </c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>
        <f t="shared" ref="N83:N84" si="54">SUM(B83:M83)</f>
        <v>-2821.87</v>
      </c>
      <c r="P83" s="175">
        <f t="shared" si="51"/>
        <v>38798.973333333335</v>
      </c>
      <c r="Q83" s="175">
        <f t="shared" si="52"/>
        <v>58198.46</v>
      </c>
      <c r="R83" s="175">
        <f t="shared" ref="R83:R84" si="55">AG83</f>
        <v>58198.46</v>
      </c>
      <c r="S83" s="205">
        <f t="shared" si="53"/>
        <v>0</v>
      </c>
      <c r="T83" s="175"/>
      <c r="U83" s="175">
        <v>0</v>
      </c>
      <c r="V83" s="175">
        <v>0</v>
      </c>
      <c r="W83" s="175">
        <v>0</v>
      </c>
      <c r="X83" s="175">
        <v>0</v>
      </c>
      <c r="Y83" s="175">
        <v>31752.38</v>
      </c>
      <c r="Z83" s="175">
        <v>5625.56</v>
      </c>
      <c r="AA83" s="175">
        <v>4645.78</v>
      </c>
      <c r="AB83" s="175">
        <v>3846.94</v>
      </c>
      <c r="AC83" s="175">
        <v>3326.21</v>
      </c>
      <c r="AD83" s="175">
        <v>3245.67</v>
      </c>
      <c r="AE83" s="175">
        <v>3067.11</v>
      </c>
      <c r="AF83" s="175">
        <v>2688.81</v>
      </c>
      <c r="AG83" s="175">
        <f>SUM(U83:AF83)</f>
        <v>58198.46</v>
      </c>
    </row>
    <row r="84" spans="1:33" ht="18.75" x14ac:dyDescent="0.3">
      <c r="A84" s="213" t="s">
        <v>268</v>
      </c>
      <c r="B84" s="214">
        <v>723.33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>
        <f t="shared" si="54"/>
        <v>723.33</v>
      </c>
      <c r="P84" s="175">
        <f t="shared" si="51"/>
        <v>-9329.8133333333335</v>
      </c>
      <c r="Q84" s="175">
        <f t="shared" si="52"/>
        <v>-13994.72</v>
      </c>
      <c r="R84" s="175">
        <f t="shared" si="55"/>
        <v>-13994.72</v>
      </c>
      <c r="S84" s="205">
        <f t="shared" si="53"/>
        <v>0</v>
      </c>
      <c r="T84" s="175"/>
      <c r="U84" s="175">
        <v>0</v>
      </c>
      <c r="V84" s="175">
        <v>0</v>
      </c>
      <c r="W84" s="175">
        <v>0</v>
      </c>
      <c r="X84" s="175">
        <v>-219.74</v>
      </c>
      <c r="Y84" s="175">
        <v>-5033.32</v>
      </c>
      <c r="Z84" s="175">
        <v>-1000</v>
      </c>
      <c r="AA84" s="175">
        <v>-1033.33</v>
      </c>
      <c r="AB84" s="175">
        <v>-1033.33</v>
      </c>
      <c r="AC84" s="175">
        <v>-1319.44</v>
      </c>
      <c r="AD84" s="175">
        <v>-1463.89</v>
      </c>
      <c r="AE84" s="175">
        <v>-1416.67</v>
      </c>
      <c r="AF84" s="175">
        <v>-1475</v>
      </c>
      <c r="AG84" s="175">
        <f>SUM(U84:AF84)</f>
        <v>-13994.72</v>
      </c>
    </row>
    <row r="85" spans="1:33" ht="18.75" x14ac:dyDescent="0.3">
      <c r="A85" s="213" t="s">
        <v>321</v>
      </c>
      <c r="B85" s="215">
        <f>SUM(B82:B84)</f>
        <v>-2098.54</v>
      </c>
      <c r="C85" s="215">
        <f t="shared" ref="C85:M85" si="56">SUM(C82:C84)</f>
        <v>0</v>
      </c>
      <c r="D85" s="215">
        <f t="shared" si="56"/>
        <v>0</v>
      </c>
      <c r="E85" s="215">
        <f t="shared" si="56"/>
        <v>0</v>
      </c>
      <c r="F85" s="215">
        <f t="shared" si="56"/>
        <v>0</v>
      </c>
      <c r="G85" s="215">
        <f t="shared" si="56"/>
        <v>0</v>
      </c>
      <c r="H85" s="215">
        <f t="shared" si="56"/>
        <v>0</v>
      </c>
      <c r="I85" s="215">
        <f t="shared" si="56"/>
        <v>0</v>
      </c>
      <c r="J85" s="215">
        <f t="shared" si="56"/>
        <v>0</v>
      </c>
      <c r="K85" s="215">
        <f t="shared" si="56"/>
        <v>0</v>
      </c>
      <c r="L85" s="215">
        <f t="shared" si="56"/>
        <v>0</v>
      </c>
      <c r="M85" s="215">
        <f t="shared" si="56"/>
        <v>0</v>
      </c>
      <c r="N85" s="215">
        <f>SUM(N82:N84)</f>
        <v>-2098.54</v>
      </c>
      <c r="P85" s="206">
        <f>SUM(P82:P84)</f>
        <v>29469.160000000003</v>
      </c>
      <c r="Q85" s="206">
        <f t="shared" ref="Q85:R85" si="57">SUM(Q82:Q84)</f>
        <v>44203.74</v>
      </c>
      <c r="R85" s="206">
        <f t="shared" si="57"/>
        <v>44203.74</v>
      </c>
      <c r="S85" s="205">
        <f t="shared" si="53"/>
        <v>0</v>
      </c>
      <c r="T85" s="175"/>
      <c r="U85" s="206">
        <f>SUM(U82:U84)</f>
        <v>34022.5</v>
      </c>
      <c r="V85" s="206">
        <f t="shared" ref="V85:AF85" si="58">SUM(V82:V84)</f>
        <v>34265</v>
      </c>
      <c r="W85" s="206">
        <f t="shared" si="58"/>
        <v>34451.25</v>
      </c>
      <c r="X85" s="206">
        <f t="shared" si="58"/>
        <v>34625.26</v>
      </c>
      <c r="Y85" s="206">
        <f>SUM(Y82:Y84)</f>
        <v>61284.060000000005</v>
      </c>
      <c r="Z85" s="206">
        <f>SUM(Z82:Z84)</f>
        <v>39531.81</v>
      </c>
      <c r="AA85" s="206">
        <f t="shared" ref="AA85:AE85" si="59">SUM(AA82:AA84)</f>
        <v>39871.199999999997</v>
      </c>
      <c r="AB85" s="206">
        <f t="shared" si="59"/>
        <v>38237.360000000001</v>
      </c>
      <c r="AC85" s="206">
        <f t="shared" si="59"/>
        <v>-276730.73</v>
      </c>
      <c r="AD85" s="206">
        <f t="shared" si="59"/>
        <v>1781.78</v>
      </c>
      <c r="AE85" s="206">
        <f t="shared" si="59"/>
        <v>1650.44</v>
      </c>
      <c r="AF85" s="206">
        <f t="shared" si="58"/>
        <v>1213.81</v>
      </c>
      <c r="AG85" s="206">
        <f>SUM(AG82:AG84)</f>
        <v>44203.74</v>
      </c>
    </row>
    <row r="86" spans="1:33" ht="18.75" x14ac:dyDescent="0.3">
      <c r="A86" s="211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P86" s="175"/>
      <c r="Q86" s="175"/>
      <c r="R86" s="175"/>
      <c r="S86" s="20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</row>
    <row r="87" spans="1:33" ht="19.5" thickBot="1" x14ac:dyDescent="0.35">
      <c r="A87" s="213" t="s">
        <v>208</v>
      </c>
      <c r="B87" s="216">
        <f>B54+B61+B79-B83-B84</f>
        <v>96466.88999999997</v>
      </c>
      <c r="C87" s="216">
        <f>C54+C61+C79-C83-C84</f>
        <v>0</v>
      </c>
      <c r="D87" s="216">
        <f t="shared" ref="D87:M87" si="60">D61+D79+D54</f>
        <v>0</v>
      </c>
      <c r="E87" s="216">
        <f t="shared" si="60"/>
        <v>0</v>
      </c>
      <c r="F87" s="216">
        <f t="shared" si="60"/>
        <v>0</v>
      </c>
      <c r="G87" s="216">
        <f t="shared" si="60"/>
        <v>0</v>
      </c>
      <c r="H87" s="216">
        <f t="shared" si="60"/>
        <v>0</v>
      </c>
      <c r="I87" s="216">
        <f t="shared" si="60"/>
        <v>0</v>
      </c>
      <c r="J87" s="216">
        <f t="shared" si="60"/>
        <v>0</v>
      </c>
      <c r="K87" s="216">
        <f t="shared" si="60"/>
        <v>0</v>
      </c>
      <c r="L87" s="216">
        <f t="shared" si="60"/>
        <v>0</v>
      </c>
      <c r="M87" s="216">
        <f t="shared" si="60"/>
        <v>0</v>
      </c>
      <c r="N87" s="216">
        <f>N54+N61+N79-N83-N84</f>
        <v>96466.88999999997</v>
      </c>
      <c r="P87" s="207">
        <f>P61+P79+P85+P54</f>
        <v>688613.95333333337</v>
      </c>
      <c r="Q87" s="207">
        <f t="shared" ref="Q87:R87" si="61">Q61+Q79+Q85+Q54</f>
        <v>1032920.9299999999</v>
      </c>
      <c r="R87" s="207">
        <f t="shared" si="61"/>
        <v>1066182.7399999998</v>
      </c>
      <c r="S87" s="205">
        <f t="shared" si="53"/>
        <v>0</v>
      </c>
      <c r="T87" s="175"/>
      <c r="U87" s="207">
        <f t="shared" ref="U87:AG87" si="62">U61+U79+U85+U54</f>
        <v>42561.83</v>
      </c>
      <c r="V87" s="207">
        <f t="shared" si="62"/>
        <v>43333.279999999999</v>
      </c>
      <c r="W87" s="207">
        <f t="shared" si="62"/>
        <v>42992.91</v>
      </c>
      <c r="X87" s="207">
        <f t="shared" si="62"/>
        <v>43212.850000000006</v>
      </c>
      <c r="Y87" s="207">
        <f t="shared" si="62"/>
        <v>69941.78</v>
      </c>
      <c r="Z87" s="207">
        <f t="shared" si="62"/>
        <v>47495.6</v>
      </c>
      <c r="AA87" s="207">
        <f t="shared" si="62"/>
        <v>49994.549999999996</v>
      </c>
      <c r="AB87" s="207">
        <f t="shared" si="62"/>
        <v>46642.55</v>
      </c>
      <c r="AC87" s="207">
        <f t="shared" si="62"/>
        <v>365281.76</v>
      </c>
      <c r="AD87" s="207">
        <f t="shared" si="62"/>
        <v>96239.59</v>
      </c>
      <c r="AE87" s="207">
        <f t="shared" si="62"/>
        <v>81326.469999999987</v>
      </c>
      <c r="AF87" s="207">
        <f t="shared" si="62"/>
        <v>137159.57</v>
      </c>
      <c r="AG87" s="207">
        <f t="shared" si="62"/>
        <v>1066182.7399999998</v>
      </c>
    </row>
    <row r="88" spans="1:33" ht="18.75" x14ac:dyDescent="0.3">
      <c r="A88" s="211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P88" s="175"/>
      <c r="Q88" s="175"/>
      <c r="R88" s="175"/>
      <c r="S88" s="20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</row>
    <row r="89" spans="1:33" ht="19.5" thickBot="1" x14ac:dyDescent="0.35">
      <c r="A89" s="213" t="s">
        <v>298</v>
      </c>
      <c r="B89" s="217">
        <f>B39-B87</f>
        <v>-36995.599999997139</v>
      </c>
      <c r="C89" s="217">
        <f t="shared" ref="C89:M89" si="63">C39-C87+C85</f>
        <v>0</v>
      </c>
      <c r="D89" s="217">
        <f t="shared" si="63"/>
        <v>0</v>
      </c>
      <c r="E89" s="217">
        <f t="shared" si="63"/>
        <v>0</v>
      </c>
      <c r="F89" s="217">
        <f t="shared" si="63"/>
        <v>0</v>
      </c>
      <c r="G89" s="217">
        <f t="shared" si="63"/>
        <v>0</v>
      </c>
      <c r="H89" s="217">
        <f t="shared" si="63"/>
        <v>0</v>
      </c>
      <c r="I89" s="217">
        <f t="shared" si="63"/>
        <v>0</v>
      </c>
      <c r="J89" s="217">
        <f t="shared" si="63"/>
        <v>0</v>
      </c>
      <c r="K89" s="217">
        <f t="shared" si="63"/>
        <v>0</v>
      </c>
      <c r="L89" s="217">
        <f t="shared" si="63"/>
        <v>0</v>
      </c>
      <c r="M89" s="217">
        <f t="shared" si="63"/>
        <v>0</v>
      </c>
      <c r="N89" s="217">
        <f>N39-N87</f>
        <v>-36995.599999997139</v>
      </c>
      <c r="P89" s="209">
        <f>P39-P87</f>
        <v>167819.14000000036</v>
      </c>
      <c r="Q89" s="209">
        <f t="shared" ref="Q89:R89" si="64">Q39-Q87</f>
        <v>251728.71000000066</v>
      </c>
      <c r="R89" s="209">
        <f t="shared" si="64"/>
        <v>218466.90000000084</v>
      </c>
      <c r="S89" s="205">
        <f t="shared" si="53"/>
        <v>0</v>
      </c>
      <c r="T89" s="175"/>
      <c r="U89" s="209">
        <f t="shared" ref="U89:AG89" si="65">U39-U87</f>
        <v>-41850.590000000011</v>
      </c>
      <c r="V89" s="209">
        <f t="shared" si="65"/>
        <v>35443.76000000097</v>
      </c>
      <c r="W89" s="209">
        <f t="shared" si="65"/>
        <v>22849.710000000108</v>
      </c>
      <c r="X89" s="209">
        <f t="shared" si="65"/>
        <v>97526.479999999137</v>
      </c>
      <c r="Y89" s="209">
        <f t="shared" si="65"/>
        <v>55606.169999997393</v>
      </c>
      <c r="Z89" s="209">
        <f t="shared" si="65"/>
        <v>82835.14000000208</v>
      </c>
      <c r="AA89" s="209">
        <f t="shared" si="65"/>
        <v>149871.3000000015</v>
      </c>
      <c r="AB89" s="209">
        <f t="shared" si="65"/>
        <v>32262.459999997911</v>
      </c>
      <c r="AC89" s="209">
        <f t="shared" si="65"/>
        <v>-361825.79000000004</v>
      </c>
      <c r="AD89" s="209">
        <f t="shared" si="65"/>
        <v>118142.20000000004</v>
      </c>
      <c r="AE89" s="209">
        <f t="shared" si="65"/>
        <v>44871.129999999641</v>
      </c>
      <c r="AF89" s="209">
        <f t="shared" si="65"/>
        <v>-17265.069999999076</v>
      </c>
      <c r="AG89" s="209">
        <f t="shared" si="65"/>
        <v>218466.90000000084</v>
      </c>
    </row>
    <row r="90" spans="1:33" ht="19.5" thickTop="1" x14ac:dyDescent="0.3">
      <c r="A90" s="211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P90" s="175"/>
      <c r="Q90" s="175"/>
      <c r="R90" s="175"/>
      <c r="S90" s="205"/>
      <c r="T90" s="175"/>
    </row>
    <row r="91" spans="1:33" ht="18.75" x14ac:dyDescent="0.3">
      <c r="A91" s="211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P91" s="175"/>
      <c r="Q91" s="175"/>
      <c r="R91" s="175"/>
      <c r="S91" s="205"/>
      <c r="T91" s="210"/>
    </row>
    <row r="92" spans="1:33" ht="18.75" x14ac:dyDescent="0.3">
      <c r="A92" s="211"/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P92" s="175"/>
      <c r="Q92" s="175"/>
      <c r="R92" s="175"/>
      <c r="S92" s="205"/>
      <c r="T92" s="175"/>
    </row>
    <row r="93" spans="1:33" x14ac:dyDescent="0.25">
      <c r="P93" s="175"/>
      <c r="Q93" s="175"/>
      <c r="R93" s="175"/>
      <c r="S93" s="205"/>
      <c r="T93" s="175"/>
    </row>
    <row r="94" spans="1:33" x14ac:dyDescent="0.25">
      <c r="P94" s="175"/>
      <c r="Q94" s="175"/>
      <c r="R94" s="175"/>
      <c r="S94" s="205"/>
      <c r="T94" s="175"/>
    </row>
    <row r="95" spans="1:33" x14ac:dyDescent="0.25">
      <c r="P95" s="175"/>
      <c r="Q95" s="175"/>
      <c r="R95" s="175"/>
      <c r="S95" s="205"/>
      <c r="T95" s="175"/>
    </row>
    <row r="96" spans="1:33" x14ac:dyDescent="0.25">
      <c r="P96" s="175"/>
      <c r="Q96" s="175"/>
      <c r="R96" s="175"/>
      <c r="S96" s="205"/>
      <c r="T96" s="175"/>
    </row>
    <row r="97" spans="16:20" x14ac:dyDescent="0.25">
      <c r="P97" s="175"/>
      <c r="Q97" s="175"/>
      <c r="R97" s="175"/>
      <c r="S97" s="205"/>
      <c r="T97" s="175"/>
    </row>
    <row r="98" spans="16:20" x14ac:dyDescent="0.25">
      <c r="P98" s="175"/>
      <c r="Q98" s="175"/>
      <c r="R98" s="175"/>
      <c r="S98" s="205"/>
      <c r="T98" s="175"/>
    </row>
    <row r="99" spans="16:20" x14ac:dyDescent="0.25">
      <c r="P99" s="175"/>
      <c r="Q99" s="175"/>
      <c r="R99" s="175"/>
      <c r="S99" s="205"/>
      <c r="T99" s="175"/>
    </row>
    <row r="100" spans="16:20" x14ac:dyDescent="0.25">
      <c r="P100" s="175"/>
      <c r="Q100" s="175"/>
      <c r="R100" s="175"/>
      <c r="S100" s="205"/>
      <c r="T100" s="175"/>
    </row>
    <row r="101" spans="16:20" x14ac:dyDescent="0.25">
      <c r="P101" s="175"/>
      <c r="Q101" s="175"/>
      <c r="R101" s="175"/>
      <c r="S101" s="205"/>
      <c r="T101" s="175"/>
    </row>
    <row r="102" spans="16:20" x14ac:dyDescent="0.25">
      <c r="P102" s="175"/>
      <c r="Q102" s="175"/>
      <c r="R102" s="175"/>
      <c r="S102" s="205"/>
      <c r="T102" s="175"/>
    </row>
    <row r="103" spans="16:20" x14ac:dyDescent="0.25">
      <c r="P103" s="175"/>
      <c r="Q103" s="175"/>
      <c r="R103" s="175"/>
      <c r="S103" s="205"/>
      <c r="T103" s="175"/>
    </row>
    <row r="104" spans="16:20" x14ac:dyDescent="0.25">
      <c r="P104" s="175"/>
      <c r="Q104" s="175"/>
      <c r="R104" s="175"/>
      <c r="S104" s="205"/>
      <c r="T104" s="175"/>
    </row>
    <row r="105" spans="16:20" x14ac:dyDescent="0.25">
      <c r="P105" s="175"/>
      <c r="Q105" s="175"/>
      <c r="R105" s="175"/>
      <c r="S105" s="205"/>
      <c r="T105" s="175"/>
    </row>
    <row r="106" spans="16:20" x14ac:dyDescent="0.25">
      <c r="P106" s="175"/>
      <c r="Q106" s="175"/>
      <c r="R106" s="175"/>
      <c r="S106" s="205"/>
      <c r="T106" s="175"/>
    </row>
    <row r="107" spans="16:20" x14ac:dyDescent="0.25">
      <c r="P107" s="175"/>
      <c r="Q107" s="175"/>
      <c r="R107" s="175"/>
      <c r="S107" s="205"/>
      <c r="T107" s="175"/>
    </row>
    <row r="108" spans="16:20" x14ac:dyDescent="0.25">
      <c r="P108" s="175"/>
      <c r="Q108" s="175"/>
      <c r="R108" s="175"/>
      <c r="S108" s="205"/>
      <c r="T108" s="175"/>
    </row>
    <row r="109" spans="16:20" x14ac:dyDescent="0.25">
      <c r="P109" s="175"/>
      <c r="Q109" s="175"/>
      <c r="R109" s="175"/>
      <c r="S109" s="205"/>
      <c r="T109" s="175"/>
    </row>
    <row r="110" spans="16:20" x14ac:dyDescent="0.25">
      <c r="P110" s="175"/>
      <c r="Q110" s="175"/>
      <c r="R110" s="175"/>
      <c r="S110" s="205"/>
      <c r="T110" s="175"/>
    </row>
    <row r="111" spans="16:20" x14ac:dyDescent="0.25">
      <c r="P111" s="175"/>
      <c r="Q111" s="175"/>
      <c r="R111" s="175"/>
      <c r="S111" s="205"/>
      <c r="T111" s="175"/>
    </row>
    <row r="112" spans="16:20" x14ac:dyDescent="0.25">
      <c r="P112" s="175"/>
      <c r="Q112" s="175"/>
      <c r="R112" s="175"/>
      <c r="S112" s="205"/>
      <c r="T112" s="175"/>
    </row>
    <row r="113" spans="16:20" x14ac:dyDescent="0.25">
      <c r="P113" s="175"/>
      <c r="Q113" s="175"/>
      <c r="R113" s="175"/>
      <c r="S113" s="205"/>
      <c r="T113" s="175"/>
    </row>
    <row r="114" spans="16:20" x14ac:dyDescent="0.25">
      <c r="P114" s="175"/>
      <c r="Q114" s="175"/>
      <c r="R114" s="175"/>
      <c r="S114" s="205"/>
      <c r="T114" s="175"/>
    </row>
    <row r="115" spans="16:20" x14ac:dyDescent="0.25">
      <c r="P115" s="175"/>
      <c r="Q115" s="175"/>
      <c r="R115" s="175"/>
      <c r="S115" s="205"/>
      <c r="T115" s="175"/>
    </row>
    <row r="116" spans="16:20" x14ac:dyDescent="0.25">
      <c r="P116" s="175"/>
      <c r="Q116" s="175"/>
      <c r="R116" s="175"/>
      <c r="S116" s="205"/>
      <c r="T116" s="175"/>
    </row>
    <row r="117" spans="16:20" x14ac:dyDescent="0.25">
      <c r="P117" s="175"/>
      <c r="Q117" s="175"/>
      <c r="R117" s="175"/>
      <c r="T117" s="175"/>
    </row>
    <row r="118" spans="16:20" x14ac:dyDescent="0.25">
      <c r="P118" s="175"/>
      <c r="Q118" s="175"/>
      <c r="R118" s="175"/>
      <c r="T118" s="175"/>
    </row>
    <row r="119" spans="16:20" x14ac:dyDescent="0.25">
      <c r="P119" s="175"/>
      <c r="Q119" s="175"/>
      <c r="R119" s="175"/>
      <c r="T119" s="175"/>
    </row>
    <row r="120" spans="16:20" x14ac:dyDescent="0.25">
      <c r="P120" s="175"/>
      <c r="Q120" s="175"/>
      <c r="R120" s="175"/>
      <c r="T120" s="175"/>
    </row>
    <row r="121" spans="16:20" x14ac:dyDescent="0.25">
      <c r="P121" s="175"/>
      <c r="Q121" s="175"/>
      <c r="R121" s="175"/>
      <c r="T121" s="175"/>
    </row>
    <row r="122" spans="16:20" x14ac:dyDescent="0.25">
      <c r="P122" s="175"/>
      <c r="Q122" s="175"/>
      <c r="R122" s="175"/>
      <c r="T122" s="175"/>
    </row>
    <row r="123" spans="16:20" x14ac:dyDescent="0.25">
      <c r="P123" s="206"/>
      <c r="Q123" s="206"/>
      <c r="R123" s="206"/>
      <c r="T123" s="175"/>
    </row>
    <row r="124" spans="16:20" x14ac:dyDescent="0.25">
      <c r="P124" s="175"/>
      <c r="Q124" s="175"/>
      <c r="R124" s="175"/>
      <c r="T124" s="175"/>
    </row>
    <row r="125" spans="16:20" x14ac:dyDescent="0.25">
      <c r="P125" s="175"/>
      <c r="Q125" s="175"/>
      <c r="R125" s="175"/>
      <c r="T125" s="175"/>
    </row>
    <row r="126" spans="16:20" x14ac:dyDescent="0.25">
      <c r="P126" s="175"/>
      <c r="Q126" s="175"/>
      <c r="R126" s="175"/>
      <c r="T126" s="175"/>
    </row>
    <row r="127" spans="16:20" x14ac:dyDescent="0.25">
      <c r="P127" s="175"/>
      <c r="Q127" s="175"/>
      <c r="R127" s="175"/>
      <c r="T127" s="175"/>
    </row>
    <row r="128" spans="16:20" x14ac:dyDescent="0.25">
      <c r="P128" s="175"/>
      <c r="Q128" s="175"/>
      <c r="R128" s="175"/>
      <c r="T128" s="175"/>
    </row>
    <row r="129" spans="16:20" x14ac:dyDescent="0.25">
      <c r="P129" s="175"/>
      <c r="Q129" s="175"/>
      <c r="R129" s="175"/>
      <c r="T129" s="175"/>
    </row>
    <row r="130" spans="16:20" x14ac:dyDescent="0.25">
      <c r="P130" s="175"/>
      <c r="Q130" s="175"/>
      <c r="R130" s="175"/>
      <c r="T130" s="175"/>
    </row>
    <row r="131" spans="16:20" x14ac:dyDescent="0.25">
      <c r="P131" s="175"/>
      <c r="Q131" s="175"/>
      <c r="R131" s="175"/>
      <c r="T131" s="175"/>
    </row>
    <row r="132" spans="16:20" x14ac:dyDescent="0.25">
      <c r="P132" s="175"/>
      <c r="Q132" s="175"/>
      <c r="R132" s="175"/>
      <c r="T132" s="175"/>
    </row>
    <row r="133" spans="16:20" x14ac:dyDescent="0.25">
      <c r="P133" s="175"/>
      <c r="Q133" s="175"/>
      <c r="R133" s="175"/>
      <c r="T133" s="175"/>
    </row>
    <row r="134" spans="16:20" x14ac:dyDescent="0.25">
      <c r="P134" s="175"/>
      <c r="Q134" s="175"/>
      <c r="R134" s="175"/>
      <c r="T134" s="175"/>
    </row>
    <row r="135" spans="16:20" x14ac:dyDescent="0.25">
      <c r="P135" s="175"/>
      <c r="Q135" s="175"/>
      <c r="R135" s="175"/>
      <c r="T135" s="175"/>
    </row>
    <row r="136" spans="16:20" x14ac:dyDescent="0.25">
      <c r="P136" s="175"/>
      <c r="Q136" s="175"/>
      <c r="R136" s="175"/>
      <c r="T136" s="175"/>
    </row>
    <row r="137" spans="16:20" x14ac:dyDescent="0.25">
      <c r="P137" s="175"/>
      <c r="Q137" s="175"/>
      <c r="R137" s="175"/>
      <c r="T137" s="175"/>
    </row>
    <row r="138" spans="16:20" x14ac:dyDescent="0.25">
      <c r="P138" s="175"/>
      <c r="Q138" s="175"/>
      <c r="R138" s="175"/>
      <c r="T138" s="175"/>
    </row>
    <row r="139" spans="16:20" x14ac:dyDescent="0.25">
      <c r="P139" s="175"/>
      <c r="Q139" s="175"/>
      <c r="R139" s="175"/>
      <c r="T139" s="175"/>
    </row>
    <row r="140" spans="16:20" x14ac:dyDescent="0.25">
      <c r="P140" s="175"/>
      <c r="Q140" s="175"/>
      <c r="R140" s="175"/>
      <c r="T140" s="175"/>
    </row>
    <row r="141" spans="16:20" x14ac:dyDescent="0.25">
      <c r="P141" s="175"/>
      <c r="Q141" s="175"/>
      <c r="R141" s="175"/>
      <c r="T141" s="175"/>
    </row>
    <row r="142" spans="16:20" x14ac:dyDescent="0.25">
      <c r="P142" s="175"/>
      <c r="Q142" s="175"/>
      <c r="R142" s="175"/>
      <c r="T142" s="175"/>
    </row>
    <row r="143" spans="16:20" x14ac:dyDescent="0.25">
      <c r="P143" s="175"/>
      <c r="Q143" s="175"/>
      <c r="R143" s="175"/>
      <c r="T143" s="175"/>
    </row>
    <row r="144" spans="16:20" x14ac:dyDescent="0.25">
      <c r="P144" s="175"/>
      <c r="Q144" s="175"/>
      <c r="R144" s="175"/>
      <c r="T144" s="175"/>
    </row>
    <row r="145" spans="16:20" x14ac:dyDescent="0.25">
      <c r="P145" s="175"/>
      <c r="Q145" s="175"/>
      <c r="R145" s="175"/>
      <c r="T145" s="175"/>
    </row>
    <row r="146" spans="16:20" x14ac:dyDescent="0.25">
      <c r="P146" s="175"/>
      <c r="Q146" s="175"/>
      <c r="R146" s="175"/>
      <c r="T146" s="175"/>
    </row>
    <row r="147" spans="16:20" x14ac:dyDescent="0.25">
      <c r="P147" s="175"/>
      <c r="Q147" s="175"/>
      <c r="R147" s="175"/>
      <c r="T147" s="175"/>
    </row>
    <row r="148" spans="16:20" x14ac:dyDescent="0.25">
      <c r="P148" s="175"/>
      <c r="Q148" s="175"/>
      <c r="R148" s="175"/>
      <c r="T148" s="175"/>
    </row>
    <row r="149" spans="16:20" x14ac:dyDescent="0.25">
      <c r="P149" s="175"/>
      <c r="Q149" s="175"/>
      <c r="R149" s="175"/>
      <c r="T149" s="175"/>
    </row>
    <row r="150" spans="16:20" x14ac:dyDescent="0.25">
      <c r="P150" s="175"/>
      <c r="Q150" s="175"/>
      <c r="R150" s="175"/>
      <c r="T150" s="175"/>
    </row>
    <row r="151" spans="16:20" x14ac:dyDescent="0.25">
      <c r="P151" s="175"/>
      <c r="Q151" s="175"/>
      <c r="R151" s="175"/>
      <c r="T151" s="175"/>
    </row>
    <row r="152" spans="16:20" x14ac:dyDescent="0.25">
      <c r="P152" s="175"/>
      <c r="Q152" s="175"/>
      <c r="R152" s="175"/>
      <c r="T152" s="175"/>
    </row>
    <row r="153" spans="16:20" x14ac:dyDescent="0.25">
      <c r="P153" s="175"/>
      <c r="Q153" s="175"/>
      <c r="R153" s="175"/>
      <c r="T153" s="175"/>
    </row>
    <row r="154" spans="16:20" x14ac:dyDescent="0.25">
      <c r="P154" s="175"/>
      <c r="Q154" s="175"/>
      <c r="R154" s="175"/>
      <c r="T154" s="175"/>
    </row>
    <row r="155" spans="16:20" x14ac:dyDescent="0.25">
      <c r="P155" s="175"/>
      <c r="Q155" s="175"/>
      <c r="R155" s="175"/>
      <c r="T155" s="175"/>
    </row>
    <row r="156" spans="16:20" x14ac:dyDescent="0.25">
      <c r="P156" s="175"/>
      <c r="Q156" s="175"/>
      <c r="R156" s="175"/>
      <c r="T156" s="175"/>
    </row>
    <row r="157" spans="16:20" x14ac:dyDescent="0.25">
      <c r="P157" s="175"/>
      <c r="Q157" s="175"/>
      <c r="R157" s="175"/>
      <c r="T157" s="175"/>
    </row>
    <row r="158" spans="16:20" x14ac:dyDescent="0.25">
      <c r="P158" s="175"/>
      <c r="Q158" s="175"/>
      <c r="R158" s="175"/>
      <c r="T158" s="175"/>
    </row>
    <row r="159" spans="16:20" x14ac:dyDescent="0.25">
      <c r="P159" s="175"/>
      <c r="Q159" s="175"/>
      <c r="R159" s="175"/>
      <c r="T159" s="175"/>
    </row>
    <row r="160" spans="16:20" x14ac:dyDescent="0.25">
      <c r="P160" s="175"/>
      <c r="Q160" s="175"/>
      <c r="R160" s="175"/>
      <c r="T160" s="175"/>
    </row>
    <row r="161" spans="16:20" x14ac:dyDescent="0.25">
      <c r="P161" s="175"/>
      <c r="Q161" s="175"/>
      <c r="R161" s="175"/>
      <c r="T161" s="175"/>
    </row>
    <row r="162" spans="16:20" x14ac:dyDescent="0.25">
      <c r="P162" s="175"/>
      <c r="Q162" s="175"/>
      <c r="R162" s="175"/>
      <c r="T162" s="175"/>
    </row>
    <row r="163" spans="16:20" x14ac:dyDescent="0.25">
      <c r="P163" s="175"/>
      <c r="Q163" s="175"/>
      <c r="R163" s="175"/>
      <c r="T163" s="175"/>
    </row>
    <row r="164" spans="16:20" x14ac:dyDescent="0.25">
      <c r="P164" s="175"/>
      <c r="Q164" s="175"/>
      <c r="R164" s="175"/>
      <c r="T164" s="175"/>
    </row>
    <row r="165" spans="16:20" x14ac:dyDescent="0.25">
      <c r="P165" s="175"/>
      <c r="Q165" s="175"/>
      <c r="R165" s="175"/>
      <c r="T165" s="175"/>
    </row>
    <row r="166" spans="16:20" x14ac:dyDescent="0.25">
      <c r="P166" s="175"/>
      <c r="Q166" s="175"/>
      <c r="R166" s="175"/>
      <c r="T166" s="175"/>
    </row>
    <row r="167" spans="16:20" x14ac:dyDescent="0.25">
      <c r="P167" s="175"/>
      <c r="Q167" s="175"/>
      <c r="R167" s="175"/>
      <c r="T167" s="175"/>
    </row>
    <row r="168" spans="16:20" x14ac:dyDescent="0.25">
      <c r="P168" s="175"/>
      <c r="Q168" s="175"/>
      <c r="R168" s="175"/>
      <c r="T168" s="175"/>
    </row>
    <row r="169" spans="16:20" x14ac:dyDescent="0.25">
      <c r="P169" s="175"/>
      <c r="Q169" s="175"/>
      <c r="R169" s="175"/>
      <c r="T169" s="175"/>
    </row>
    <row r="170" spans="16:20" x14ac:dyDescent="0.25">
      <c r="P170" s="175"/>
      <c r="Q170" s="175"/>
      <c r="R170" s="175"/>
      <c r="T170" s="175"/>
    </row>
    <row r="171" spans="16:20" x14ac:dyDescent="0.25">
      <c r="P171" s="175"/>
      <c r="Q171" s="175"/>
      <c r="R171" s="175"/>
      <c r="T171" s="175"/>
    </row>
    <row r="172" spans="16:20" x14ac:dyDescent="0.25">
      <c r="P172" s="175"/>
      <c r="Q172" s="175"/>
      <c r="R172" s="175"/>
      <c r="T172" s="175"/>
    </row>
    <row r="173" spans="16:20" x14ac:dyDescent="0.25">
      <c r="P173" s="175"/>
      <c r="Q173" s="175"/>
      <c r="R173" s="175"/>
      <c r="T173" s="175"/>
    </row>
    <row r="174" spans="16:20" x14ac:dyDescent="0.25">
      <c r="P174" s="175"/>
      <c r="Q174" s="175"/>
      <c r="R174" s="175"/>
      <c r="T174" s="175"/>
    </row>
    <row r="175" spans="16:20" x14ac:dyDescent="0.25">
      <c r="P175" s="175"/>
      <c r="Q175" s="175"/>
      <c r="R175" s="175"/>
      <c r="T175" s="175"/>
    </row>
    <row r="176" spans="16:20" x14ac:dyDescent="0.25">
      <c r="P176" s="175"/>
      <c r="Q176" s="175"/>
      <c r="R176" s="175"/>
      <c r="T176" s="175"/>
    </row>
    <row r="177" spans="16:20" x14ac:dyDescent="0.25">
      <c r="P177" s="175"/>
      <c r="Q177" s="175"/>
      <c r="R177" s="175"/>
      <c r="T177" s="175"/>
    </row>
    <row r="178" spans="16:20" x14ac:dyDescent="0.25">
      <c r="P178" s="175"/>
      <c r="Q178" s="175"/>
      <c r="R178" s="175"/>
      <c r="T178" s="175"/>
    </row>
    <row r="179" spans="16:20" x14ac:dyDescent="0.25">
      <c r="P179" s="175"/>
      <c r="Q179" s="175"/>
      <c r="R179" s="175"/>
      <c r="T179" s="175"/>
    </row>
    <row r="180" spans="16:20" x14ac:dyDescent="0.25">
      <c r="P180" s="175"/>
      <c r="Q180" s="175"/>
      <c r="R180" s="175"/>
      <c r="T180" s="175"/>
    </row>
    <row r="181" spans="16:20" x14ac:dyDescent="0.25">
      <c r="P181" s="175"/>
      <c r="Q181" s="175"/>
      <c r="R181" s="175"/>
      <c r="T181" s="175"/>
    </row>
    <row r="182" spans="16:20" x14ac:dyDescent="0.25">
      <c r="P182" s="175"/>
      <c r="Q182" s="175"/>
      <c r="R182" s="175"/>
      <c r="T182" s="175"/>
    </row>
    <row r="183" spans="16:20" x14ac:dyDescent="0.25">
      <c r="P183" s="175"/>
      <c r="Q183" s="175"/>
      <c r="R183" s="175"/>
      <c r="T183" s="175"/>
    </row>
    <row r="184" spans="16:20" x14ac:dyDescent="0.25">
      <c r="P184" s="175"/>
      <c r="Q184" s="175"/>
      <c r="R184" s="175"/>
      <c r="T184" s="175"/>
    </row>
    <row r="185" spans="16:20" x14ac:dyDescent="0.25">
      <c r="P185" s="175"/>
      <c r="Q185" s="175"/>
      <c r="R185" s="175"/>
      <c r="T185" s="175"/>
    </row>
    <row r="186" spans="16:20" x14ac:dyDescent="0.25">
      <c r="P186" s="175"/>
      <c r="Q186" s="175"/>
      <c r="R186" s="175"/>
      <c r="T186" s="175"/>
    </row>
    <row r="187" spans="16:20" x14ac:dyDescent="0.25">
      <c r="P187" s="175"/>
      <c r="Q187" s="175"/>
      <c r="R187" s="175"/>
      <c r="T187" s="175"/>
    </row>
    <row r="188" spans="16:20" x14ac:dyDescent="0.25">
      <c r="P188" s="175"/>
      <c r="Q188" s="175"/>
      <c r="R188" s="175"/>
      <c r="T188" s="175"/>
    </row>
    <row r="189" spans="16:20" x14ac:dyDescent="0.25">
      <c r="P189" s="175"/>
      <c r="Q189" s="175"/>
      <c r="R189" s="175"/>
      <c r="T189" s="175"/>
    </row>
    <row r="190" spans="16:20" x14ac:dyDescent="0.25">
      <c r="P190" s="203"/>
      <c r="Q190" s="203"/>
      <c r="R190" s="203"/>
      <c r="T190" s="203"/>
    </row>
    <row r="191" spans="16:20" x14ac:dyDescent="0.25">
      <c r="P191" s="175"/>
      <c r="Q191" s="175"/>
      <c r="R191" s="175"/>
      <c r="T191" s="175"/>
    </row>
    <row r="192" spans="16:20" x14ac:dyDescent="0.25">
      <c r="P192" s="175"/>
      <c r="Q192" s="175"/>
      <c r="R192" s="175"/>
      <c r="T192" s="175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rowBreaks count="3" manualBreakCount="3">
    <brk id="18" max="13" man="1"/>
    <brk id="40" max="13" man="1"/>
    <brk id="62" max="13" man="1"/>
  </rowBreaks>
  <colBreaks count="1" manualBreakCount="1">
    <brk id="14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zoomScaleNormal="100" workbookViewId="0">
      <pane ySplit="6" topLeftCell="A7" activePane="bottomLeft" state="frozen"/>
      <selection activeCell="A92" sqref="A92"/>
      <selection pane="bottomLeft" activeCell="Q25" sqref="Q25"/>
    </sheetView>
  </sheetViews>
  <sheetFormatPr defaultRowHeight="15" x14ac:dyDescent="0.25"/>
  <cols>
    <col min="1" max="1" width="41.28515625" bestFit="1" customWidth="1"/>
    <col min="2" max="2" width="13.42578125" style="2" bestFit="1" customWidth="1"/>
    <col min="3" max="13" width="13.28515625" style="2" hidden="1" customWidth="1"/>
    <col min="14" max="14" width="14.42578125" style="2" bestFit="1" customWidth="1"/>
    <col min="15" max="15" width="9.140625" style="2" customWidth="1"/>
    <col min="16" max="18" width="26.28515625" style="38" customWidth="1"/>
    <col min="19" max="19" width="6.140625" style="93" bestFit="1" customWidth="1"/>
    <col min="20" max="20" width="4.7109375" style="93" customWidth="1"/>
    <col min="21" max="30" width="11.140625" bestFit="1" customWidth="1"/>
    <col min="32" max="32" width="10.85546875" bestFit="1" customWidth="1"/>
    <col min="33" max="33" width="10.140625" bestFit="1" customWidth="1"/>
  </cols>
  <sheetData>
    <row r="1" spans="1:33" ht="21" x14ac:dyDescent="0.35">
      <c r="A1" s="259" t="s">
        <v>325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33" ht="21" x14ac:dyDescent="0.3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33" ht="21" x14ac:dyDescent="0.35">
      <c r="A3" s="259">
        <v>2020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3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257" t="s">
        <v>551</v>
      </c>
      <c r="Q4" s="257" t="s">
        <v>546</v>
      </c>
      <c r="R4" s="257" t="s">
        <v>550</v>
      </c>
    </row>
    <row r="5" spans="1:33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258"/>
      <c r="Q5" s="258"/>
      <c r="R5" s="258"/>
    </row>
    <row r="6" spans="1:33" x14ac:dyDescent="0.25">
      <c r="B6" s="7" t="s">
        <v>299</v>
      </c>
      <c r="C6" s="7" t="s">
        <v>300</v>
      </c>
      <c r="D6" s="7" t="s">
        <v>301</v>
      </c>
      <c r="E6" s="7" t="s">
        <v>302</v>
      </c>
      <c r="F6" s="7" t="s">
        <v>372</v>
      </c>
      <c r="G6" s="7" t="s">
        <v>605</v>
      </c>
      <c r="H6" s="7" t="s">
        <v>606</v>
      </c>
      <c r="I6" s="7" t="s">
        <v>607</v>
      </c>
      <c r="J6" s="7" t="s">
        <v>608</v>
      </c>
      <c r="K6" s="7" t="s">
        <v>609</v>
      </c>
      <c r="L6" s="7" t="s">
        <v>610</v>
      </c>
      <c r="M6" s="7" t="s">
        <v>611</v>
      </c>
      <c r="N6" s="7" t="s">
        <v>205</v>
      </c>
      <c r="P6" s="92">
        <v>9</v>
      </c>
      <c r="Q6" s="92"/>
      <c r="R6" s="7" t="s">
        <v>205</v>
      </c>
      <c r="U6" s="7" t="s">
        <v>299</v>
      </c>
      <c r="V6" s="7" t="s">
        <v>300</v>
      </c>
      <c r="W6" s="7" t="s">
        <v>301</v>
      </c>
      <c r="X6" s="7" t="s">
        <v>302</v>
      </c>
      <c r="Y6" s="7" t="s">
        <v>372</v>
      </c>
      <c r="Z6" s="7" t="s">
        <v>413</v>
      </c>
      <c r="AA6" s="7" t="s">
        <v>432</v>
      </c>
      <c r="AB6" s="7" t="s">
        <v>442</v>
      </c>
      <c r="AC6" s="7" t="s">
        <v>456</v>
      </c>
      <c r="AD6" s="7" t="s">
        <v>474</v>
      </c>
      <c r="AE6" s="7" t="s">
        <v>476</v>
      </c>
      <c r="AF6" s="7" t="s">
        <v>525</v>
      </c>
      <c r="AG6" s="7" t="s">
        <v>205</v>
      </c>
    </row>
    <row r="7" spans="1:33" x14ac:dyDescent="0.25">
      <c r="P7" s="2"/>
      <c r="Q7" s="2"/>
      <c r="R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2" customFormat="1" x14ac:dyDescent="0.25">
      <c r="A8" s="1" t="s">
        <v>291</v>
      </c>
      <c r="S8" s="94"/>
      <c r="T8" s="94"/>
    </row>
    <row r="9" spans="1:33" s="2" customFormat="1" x14ac:dyDescent="0.25">
      <c r="A9" t="s">
        <v>532</v>
      </c>
      <c r="N9" s="2">
        <f>SUM(B9:M9)</f>
        <v>0</v>
      </c>
      <c r="P9" s="2">
        <f t="shared" ref="P9:P18" si="0">Q9/12*$P$6</f>
        <v>3225</v>
      </c>
      <c r="Q9" s="2">
        <v>4300</v>
      </c>
      <c r="R9" s="2">
        <f>AG9</f>
        <v>4281.26</v>
      </c>
      <c r="S9" s="2">
        <f>R9-AG9</f>
        <v>0</v>
      </c>
      <c r="T9" s="94"/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4281.26</v>
      </c>
      <c r="AG9" s="2">
        <f>SUM(U9:AF9)</f>
        <v>4281.26</v>
      </c>
    </row>
    <row r="10" spans="1:33" s="2" customFormat="1" x14ac:dyDescent="0.25">
      <c r="A10" t="s">
        <v>250</v>
      </c>
      <c r="B10" s="2">
        <v>1.99</v>
      </c>
      <c r="N10" s="2">
        <f>SUM(B10:M10)</f>
        <v>1.99</v>
      </c>
      <c r="P10" s="2">
        <f t="shared" si="0"/>
        <v>907.12124999999992</v>
      </c>
      <c r="Q10" s="2">
        <f>2418.99/2</f>
        <v>1209.4949999999999</v>
      </c>
      <c r="R10" s="2">
        <f t="shared" ref="R10:R13" si="1">AG10</f>
        <v>2418.9900000000002</v>
      </c>
      <c r="S10" s="2">
        <f t="shared" ref="S10:S22" si="2">R10-AG10</f>
        <v>0</v>
      </c>
      <c r="T10" s="94"/>
      <c r="U10" s="2">
        <v>218.79</v>
      </c>
      <c r="V10" s="2">
        <v>218.72</v>
      </c>
      <c r="W10" s="2">
        <v>219.51</v>
      </c>
      <c r="X10" s="2">
        <v>218.41</v>
      </c>
      <c r="Y10" s="2">
        <v>216.38</v>
      </c>
      <c r="Z10" s="2">
        <v>185.13</v>
      </c>
      <c r="AA10" s="2">
        <v>185.13</v>
      </c>
      <c r="AB10" s="2">
        <v>185.13</v>
      </c>
      <c r="AC10" s="2">
        <v>186.01</v>
      </c>
      <c r="AD10" s="2">
        <v>196.3</v>
      </c>
      <c r="AE10" s="2">
        <v>185.36</v>
      </c>
      <c r="AF10" s="2">
        <v>204.12</v>
      </c>
      <c r="AG10" s="2">
        <f>SUM(U10:AF10)</f>
        <v>2418.9900000000002</v>
      </c>
    </row>
    <row r="11" spans="1:33" s="2" customFormat="1" x14ac:dyDescent="0.25">
      <c r="A11" t="s">
        <v>326</v>
      </c>
      <c r="B11" s="2">
        <v>110</v>
      </c>
      <c r="N11" s="2">
        <f>SUM(B11:M11)</f>
        <v>110</v>
      </c>
      <c r="P11" s="2">
        <f t="shared" si="0"/>
        <v>81.75</v>
      </c>
      <c r="Q11" s="2">
        <f t="shared" ref="Q11:Q18" si="3">R11</f>
        <v>109</v>
      </c>
      <c r="R11" s="2">
        <f t="shared" si="1"/>
        <v>109</v>
      </c>
      <c r="S11" s="2">
        <f t="shared" si="2"/>
        <v>0</v>
      </c>
      <c r="T11" s="94"/>
      <c r="U11" s="2">
        <v>109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f>SUM(U11:AF11)</f>
        <v>109</v>
      </c>
    </row>
    <row r="12" spans="1:33" s="2" customFormat="1" hidden="1" x14ac:dyDescent="0.25">
      <c r="A12" t="s">
        <v>356</v>
      </c>
      <c r="N12" s="2">
        <f>SUM(B12:M12)</f>
        <v>0</v>
      </c>
      <c r="P12" s="2">
        <f t="shared" si="0"/>
        <v>0</v>
      </c>
      <c r="Q12" s="2">
        <v>0</v>
      </c>
      <c r="R12" s="2">
        <f t="shared" si="1"/>
        <v>22500</v>
      </c>
      <c r="S12" s="2">
        <f t="shared" si="2"/>
        <v>0</v>
      </c>
      <c r="T12" s="94"/>
      <c r="U12" s="2">
        <v>0</v>
      </c>
      <c r="V12" s="2">
        <v>0</v>
      </c>
      <c r="W12" s="2">
        <v>0</v>
      </c>
      <c r="X12" s="2">
        <v>0</v>
      </c>
      <c r="Y12" s="2">
        <v>1250</v>
      </c>
      <c r="Z12" s="2">
        <v>1250</v>
      </c>
      <c r="AA12" s="2">
        <v>1250</v>
      </c>
      <c r="AB12" s="2">
        <v>3750</v>
      </c>
      <c r="AC12" s="2">
        <v>3750</v>
      </c>
      <c r="AD12" s="2">
        <v>3750</v>
      </c>
      <c r="AE12" s="2">
        <v>3750</v>
      </c>
      <c r="AF12" s="2">
        <v>3750</v>
      </c>
      <c r="AG12" s="2">
        <f>SUM(U12:AF12)</f>
        <v>22500</v>
      </c>
    </row>
    <row r="13" spans="1:33" s="2" customFormat="1" x14ac:dyDescent="0.25">
      <c r="A13" t="s">
        <v>415</v>
      </c>
      <c r="B13" s="2">
        <v>250</v>
      </c>
      <c r="N13" s="2">
        <f>SUM(B13:M13)</f>
        <v>250</v>
      </c>
      <c r="P13" s="2">
        <f t="shared" si="0"/>
        <v>1440</v>
      </c>
      <c r="Q13" s="2">
        <f>160*12</f>
        <v>1920</v>
      </c>
      <c r="R13" s="2">
        <f t="shared" si="1"/>
        <v>2575.0000000000005</v>
      </c>
      <c r="S13" s="2">
        <f t="shared" si="2"/>
        <v>0</v>
      </c>
      <c r="T13" s="9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270</v>
      </c>
      <c r="AA13" s="2">
        <v>384.17</v>
      </c>
      <c r="AB13" s="2">
        <v>384.17</v>
      </c>
      <c r="AC13" s="2">
        <v>384.17</v>
      </c>
      <c r="AD13" s="2">
        <v>384.17</v>
      </c>
      <c r="AE13" s="2">
        <v>384.17</v>
      </c>
      <c r="AF13" s="2">
        <v>384.15</v>
      </c>
      <c r="AG13" s="2">
        <f>SUM(U13:AF13)</f>
        <v>2575.0000000000005</v>
      </c>
    </row>
    <row r="14" spans="1:33" s="2" customFormat="1" x14ac:dyDescent="0.25">
      <c r="A14" s="1" t="s">
        <v>294</v>
      </c>
      <c r="B14" s="4">
        <f t="shared" ref="B14:N14" si="4">SUM(B9:B13)</f>
        <v>361.99</v>
      </c>
      <c r="C14" s="4">
        <f t="shared" si="4"/>
        <v>0</v>
      </c>
      <c r="D14" s="4">
        <f t="shared" si="4"/>
        <v>0</v>
      </c>
      <c r="E14" s="4">
        <f t="shared" si="4"/>
        <v>0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4">
        <f t="shared" si="4"/>
        <v>0</v>
      </c>
      <c r="J14" s="4">
        <f t="shared" si="4"/>
        <v>0</v>
      </c>
      <c r="K14" s="4">
        <f t="shared" si="4"/>
        <v>0</v>
      </c>
      <c r="L14" s="4">
        <f t="shared" si="4"/>
        <v>0</v>
      </c>
      <c r="M14" s="4">
        <f t="shared" si="4"/>
        <v>0</v>
      </c>
      <c r="N14" s="4">
        <f t="shared" si="4"/>
        <v>361.99</v>
      </c>
      <c r="P14" s="4">
        <f>SUM(P9:P13)</f>
        <v>5653.8712500000001</v>
      </c>
      <c r="Q14" s="4">
        <f t="shared" ref="Q14:R14" si="5">SUM(Q9:Q13)</f>
        <v>7538.4949999999999</v>
      </c>
      <c r="R14" s="4">
        <f t="shared" si="5"/>
        <v>31884.25</v>
      </c>
      <c r="S14" s="2">
        <f t="shared" si="2"/>
        <v>0</v>
      </c>
      <c r="T14" s="94"/>
      <c r="U14" s="4">
        <f t="shared" ref="U14:AG14" si="6">SUM(U9:U13)</f>
        <v>327.78999999999996</v>
      </c>
      <c r="V14" s="4">
        <f t="shared" si="6"/>
        <v>218.72</v>
      </c>
      <c r="W14" s="4">
        <f t="shared" si="6"/>
        <v>219.51</v>
      </c>
      <c r="X14" s="4">
        <f t="shared" si="6"/>
        <v>218.41</v>
      </c>
      <c r="Y14" s="4">
        <f t="shared" si="6"/>
        <v>1466.38</v>
      </c>
      <c r="Z14" s="4">
        <f t="shared" si="6"/>
        <v>1705.13</v>
      </c>
      <c r="AA14" s="4">
        <f t="shared" si="6"/>
        <v>1819.3000000000002</v>
      </c>
      <c r="AB14" s="4">
        <f t="shared" si="6"/>
        <v>4319.3</v>
      </c>
      <c r="AC14" s="4">
        <f t="shared" si="6"/>
        <v>4320.18</v>
      </c>
      <c r="AD14" s="4">
        <f t="shared" si="6"/>
        <v>4330.47</v>
      </c>
      <c r="AE14" s="4">
        <f t="shared" si="6"/>
        <v>4319.53</v>
      </c>
      <c r="AF14" s="4">
        <f t="shared" si="6"/>
        <v>8619.5300000000007</v>
      </c>
      <c r="AG14" s="4">
        <f t="shared" si="6"/>
        <v>31884.25</v>
      </c>
    </row>
    <row r="15" spans="1:33" s="2" customFormat="1" x14ac:dyDescent="0.25">
      <c r="A15" t="s">
        <v>243</v>
      </c>
      <c r="T15" s="94"/>
    </row>
    <row r="16" spans="1:33" s="2" customFormat="1" x14ac:dyDescent="0.25">
      <c r="A16" s="1" t="s">
        <v>319</v>
      </c>
      <c r="T16" s="94"/>
    </row>
    <row r="17" spans="1:33" s="2" customFormat="1" x14ac:dyDescent="0.25">
      <c r="A17" t="s">
        <v>268</v>
      </c>
      <c r="B17" s="2">
        <v>5844.62</v>
      </c>
      <c r="N17" s="2">
        <f>SUM(B17:M17)</f>
        <v>5844.62</v>
      </c>
      <c r="P17" s="2">
        <f t="shared" si="0"/>
        <v>38946.944999999992</v>
      </c>
      <c r="Q17" s="2">
        <f>R17</f>
        <v>51929.259999999995</v>
      </c>
      <c r="R17" s="2">
        <f>AG17</f>
        <v>51929.259999999995</v>
      </c>
      <c r="S17" s="2">
        <f t="shared" si="2"/>
        <v>0</v>
      </c>
      <c r="T17" s="94"/>
      <c r="U17" s="2">
        <v>3744.3</v>
      </c>
      <c r="V17" s="2">
        <v>2815.01</v>
      </c>
      <c r="W17" s="2">
        <v>3116.6</v>
      </c>
      <c r="X17" s="2">
        <v>2687.25</v>
      </c>
      <c r="Y17" s="2">
        <v>3286.89</v>
      </c>
      <c r="Z17" s="2">
        <v>5798.93</v>
      </c>
      <c r="AA17" s="2">
        <v>5986.2</v>
      </c>
      <c r="AB17" s="2">
        <v>8330.66</v>
      </c>
      <c r="AC17" s="2">
        <v>3960.03</v>
      </c>
      <c r="AD17" s="2">
        <v>4092.03</v>
      </c>
      <c r="AE17" s="2">
        <v>4126.74</v>
      </c>
      <c r="AF17" s="2">
        <v>3984.62</v>
      </c>
      <c r="AG17" s="2">
        <f>SUM(U17:AF17)</f>
        <v>51929.259999999995</v>
      </c>
    </row>
    <row r="18" spans="1:33" s="2" customFormat="1" x14ac:dyDescent="0.25">
      <c r="A18" t="s">
        <v>269</v>
      </c>
      <c r="B18" s="2">
        <v>-1516.72</v>
      </c>
      <c r="N18" s="2">
        <f>SUM(B18:M18)</f>
        <v>-1516.72</v>
      </c>
      <c r="P18" s="2">
        <f t="shared" si="0"/>
        <v>-4059.1950000000002</v>
      </c>
      <c r="Q18" s="2">
        <f t="shared" si="3"/>
        <v>-5412.26</v>
      </c>
      <c r="R18" s="2">
        <f>AG18</f>
        <v>-5412.26</v>
      </c>
      <c r="S18" s="2">
        <f t="shared" si="2"/>
        <v>0</v>
      </c>
      <c r="T18" s="94"/>
      <c r="U18" s="2">
        <v>-881.76</v>
      </c>
      <c r="V18" s="2">
        <v>-506.4</v>
      </c>
      <c r="W18" s="2">
        <v>-560.66</v>
      </c>
      <c r="X18" s="2">
        <v>-542.57000000000005</v>
      </c>
      <c r="Y18" s="2">
        <v>-280.69</v>
      </c>
      <c r="Z18" s="2">
        <v>-562.42999999999995</v>
      </c>
      <c r="AA18" s="2">
        <v>-581.17999999999995</v>
      </c>
      <c r="AB18" s="2">
        <v>-554.73</v>
      </c>
      <c r="AC18" s="2">
        <v>-231.6</v>
      </c>
      <c r="AD18" s="2">
        <v>-239.32</v>
      </c>
      <c r="AE18" s="2">
        <v>-231.6</v>
      </c>
      <c r="AF18" s="2">
        <v>-239.32</v>
      </c>
      <c r="AG18" s="2">
        <f>SUM(U18:AF18)</f>
        <v>-5412.26</v>
      </c>
    </row>
    <row r="19" spans="1:33" s="2" customFormat="1" x14ac:dyDescent="0.25">
      <c r="A19" t="s">
        <v>582</v>
      </c>
      <c r="N19" s="2">
        <f>SUM(B19:M19)</f>
        <v>0</v>
      </c>
      <c r="T19" s="94"/>
    </row>
    <row r="20" spans="1:33" s="2" customFormat="1" x14ac:dyDescent="0.25">
      <c r="A20" s="1" t="s">
        <v>321</v>
      </c>
      <c r="B20" s="4">
        <f t="shared" ref="B20:M20" si="7">SUM(B17:B18)</f>
        <v>4327.8999999999996</v>
      </c>
      <c r="C20" s="4">
        <f t="shared" si="7"/>
        <v>0</v>
      </c>
      <c r="D20" s="4">
        <f>SUM(D17:M19)</f>
        <v>0</v>
      </c>
      <c r="E20" s="4">
        <f t="shared" si="7"/>
        <v>0</v>
      </c>
      <c r="F20" s="4">
        <f t="shared" si="7"/>
        <v>0</v>
      </c>
      <c r="G20" s="4">
        <f t="shared" si="7"/>
        <v>0</v>
      </c>
      <c r="H20" s="4">
        <f t="shared" si="7"/>
        <v>0</v>
      </c>
      <c r="I20" s="4">
        <f t="shared" ref="I20:L20" si="8">SUM(I17:I18)</f>
        <v>0</v>
      </c>
      <c r="J20" s="4">
        <f t="shared" si="8"/>
        <v>0</v>
      </c>
      <c r="K20" s="4">
        <f t="shared" si="8"/>
        <v>0</v>
      </c>
      <c r="L20" s="4">
        <f t="shared" si="8"/>
        <v>0</v>
      </c>
      <c r="M20" s="4">
        <f t="shared" si="7"/>
        <v>0</v>
      </c>
      <c r="N20" s="4">
        <f>SUM(N17:N19)</f>
        <v>4327.8999999999996</v>
      </c>
      <c r="P20" s="4">
        <f>SUM(P17:P18)</f>
        <v>34887.749999999993</v>
      </c>
      <c r="Q20" s="4">
        <f t="shared" ref="Q20:R20" si="9">SUM(Q17:Q18)</f>
        <v>46516.999999999993</v>
      </c>
      <c r="R20" s="4">
        <f t="shared" si="9"/>
        <v>46516.999999999993</v>
      </c>
      <c r="S20" s="2">
        <f t="shared" si="2"/>
        <v>0</v>
      </c>
      <c r="T20" s="94"/>
      <c r="U20" s="4">
        <f t="shared" ref="U20:AG20" si="10">SUM(U17:U18)</f>
        <v>2862.54</v>
      </c>
      <c r="V20" s="4">
        <f t="shared" si="10"/>
        <v>2308.61</v>
      </c>
      <c r="W20" s="4">
        <f t="shared" si="10"/>
        <v>2555.94</v>
      </c>
      <c r="X20" s="4">
        <f t="shared" si="10"/>
        <v>2144.6799999999998</v>
      </c>
      <c r="Y20" s="4">
        <f t="shared" si="10"/>
        <v>3006.2</v>
      </c>
      <c r="Z20" s="4">
        <f t="shared" si="10"/>
        <v>5236.5</v>
      </c>
      <c r="AA20" s="4">
        <f t="shared" si="10"/>
        <v>5405.0199999999995</v>
      </c>
      <c r="AB20" s="4">
        <f t="shared" si="10"/>
        <v>7775.93</v>
      </c>
      <c r="AC20" s="4">
        <f t="shared" si="10"/>
        <v>3728.4300000000003</v>
      </c>
      <c r="AD20" s="4">
        <f t="shared" si="10"/>
        <v>3852.71</v>
      </c>
      <c r="AE20" s="4">
        <f t="shared" si="10"/>
        <v>3895.14</v>
      </c>
      <c r="AF20" s="4">
        <f t="shared" si="10"/>
        <v>3745.2999999999997</v>
      </c>
      <c r="AG20" s="4">
        <f t="shared" si="10"/>
        <v>46516.999999999993</v>
      </c>
    </row>
    <row r="21" spans="1:33" x14ac:dyDescent="0.25">
      <c r="P21" s="2"/>
      <c r="Q21" s="2"/>
      <c r="R21" s="2"/>
      <c r="S21" s="2"/>
      <c r="T21" s="9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thickBot="1" x14ac:dyDescent="0.3">
      <c r="A22" s="1" t="s">
        <v>298</v>
      </c>
      <c r="B22" s="6">
        <f t="shared" ref="B22:R22" si="11">B20-B14</f>
        <v>3965.91</v>
      </c>
      <c r="C22" s="6">
        <f t="shared" si="11"/>
        <v>0</v>
      </c>
      <c r="D22" s="6">
        <f t="shared" si="11"/>
        <v>0</v>
      </c>
      <c r="E22" s="6">
        <f t="shared" si="11"/>
        <v>0</v>
      </c>
      <c r="F22" s="6">
        <f t="shared" si="11"/>
        <v>0</v>
      </c>
      <c r="G22" s="6">
        <f t="shared" si="11"/>
        <v>0</v>
      </c>
      <c r="H22" s="6">
        <f t="shared" si="11"/>
        <v>0</v>
      </c>
      <c r="I22" s="6">
        <f t="shared" ref="I22:L22" si="12">I20-I14</f>
        <v>0</v>
      </c>
      <c r="J22" s="6">
        <f t="shared" si="12"/>
        <v>0</v>
      </c>
      <c r="K22" s="6">
        <f t="shared" si="12"/>
        <v>0</v>
      </c>
      <c r="L22" s="6">
        <f t="shared" si="12"/>
        <v>0</v>
      </c>
      <c r="M22" s="6">
        <f t="shared" si="11"/>
        <v>0</v>
      </c>
      <c r="N22" s="6">
        <f t="shared" si="11"/>
        <v>3965.91</v>
      </c>
      <c r="O22"/>
      <c r="P22" s="6">
        <f t="shared" si="11"/>
        <v>29233.878749999993</v>
      </c>
      <c r="Q22" s="6">
        <f t="shared" si="11"/>
        <v>38978.50499999999</v>
      </c>
      <c r="R22" s="6">
        <f t="shared" si="11"/>
        <v>14632.749999999993</v>
      </c>
      <c r="S22" s="2">
        <f t="shared" si="2"/>
        <v>0</v>
      </c>
      <c r="T22" s="94"/>
      <c r="U22" s="6">
        <f t="shared" ref="U22:AG22" si="13">U20-U14</f>
        <v>2534.75</v>
      </c>
      <c r="V22" s="6">
        <f t="shared" si="13"/>
        <v>2089.8900000000003</v>
      </c>
      <c r="W22" s="6">
        <f t="shared" si="13"/>
        <v>2336.4300000000003</v>
      </c>
      <c r="X22" s="6">
        <f t="shared" si="13"/>
        <v>1926.2699999999998</v>
      </c>
      <c r="Y22" s="6">
        <f t="shared" si="13"/>
        <v>1539.8199999999997</v>
      </c>
      <c r="Z22" s="6">
        <f t="shared" si="13"/>
        <v>3531.37</v>
      </c>
      <c r="AA22" s="6">
        <f t="shared" si="13"/>
        <v>3585.7199999999993</v>
      </c>
      <c r="AB22" s="6">
        <f t="shared" si="13"/>
        <v>3456.63</v>
      </c>
      <c r="AC22" s="6">
        <f t="shared" si="13"/>
        <v>-591.75</v>
      </c>
      <c r="AD22" s="6">
        <f t="shared" si="13"/>
        <v>-477.76000000000022</v>
      </c>
      <c r="AE22" s="6">
        <f t="shared" si="13"/>
        <v>-424.38999999999987</v>
      </c>
      <c r="AF22" s="6">
        <f t="shared" si="13"/>
        <v>-4874.2300000000014</v>
      </c>
      <c r="AG22" s="6">
        <f t="shared" si="13"/>
        <v>14632.749999999993</v>
      </c>
    </row>
    <row r="23" spans="1:33" ht="15.75" thickTop="1" x14ac:dyDescent="0.25">
      <c r="P23" s="2"/>
      <c r="Q23" s="2"/>
      <c r="R23" s="2"/>
      <c r="S23" s="94"/>
      <c r="T23" s="94"/>
    </row>
    <row r="24" spans="1:33" x14ac:dyDescent="0.25">
      <c r="P24" s="2"/>
      <c r="Q24" s="2"/>
      <c r="R24" s="2"/>
      <c r="S24" s="2"/>
      <c r="T24" s="2"/>
    </row>
    <row r="25" spans="1:33" x14ac:dyDescent="0.25">
      <c r="P25" s="2"/>
      <c r="Q25" s="2"/>
      <c r="R25" s="2"/>
      <c r="S25" s="2"/>
      <c r="T25" s="2"/>
    </row>
    <row r="26" spans="1:33" x14ac:dyDescent="0.25">
      <c r="P26" s="2"/>
      <c r="Q26" s="2"/>
      <c r="R26" s="2"/>
      <c r="S26" s="2"/>
      <c r="T26" s="2"/>
    </row>
    <row r="27" spans="1:33" x14ac:dyDescent="0.25">
      <c r="P27" s="2"/>
      <c r="Q27" s="2"/>
      <c r="R27" s="2"/>
      <c r="S27" s="2"/>
      <c r="T27" s="2"/>
    </row>
    <row r="28" spans="1:33" x14ac:dyDescent="0.25">
      <c r="P28" s="2"/>
      <c r="Q28" s="2"/>
      <c r="R28" s="2"/>
      <c r="S28" s="2"/>
      <c r="T28" s="2"/>
    </row>
    <row r="29" spans="1:33" x14ac:dyDescent="0.25">
      <c r="P29" s="2"/>
      <c r="Q29" s="2"/>
      <c r="R29" s="2"/>
      <c r="S29" s="2"/>
      <c r="T29" s="2"/>
    </row>
    <row r="30" spans="1:33" x14ac:dyDescent="0.25">
      <c r="P30" s="2"/>
      <c r="Q30" s="2"/>
      <c r="R30" s="2"/>
      <c r="S30" s="2"/>
      <c r="T30" s="2"/>
    </row>
    <row r="31" spans="1:33" x14ac:dyDescent="0.25">
      <c r="P31" s="2"/>
      <c r="Q31" s="2"/>
      <c r="R31" s="2"/>
      <c r="S31" s="2"/>
      <c r="T31" s="2"/>
    </row>
    <row r="32" spans="1:33" x14ac:dyDescent="0.25">
      <c r="P32" s="2"/>
      <c r="Q32" s="2"/>
      <c r="R32" s="2"/>
      <c r="S32" s="2"/>
      <c r="T32" s="2"/>
    </row>
    <row r="33" spans="16:20" x14ac:dyDescent="0.25">
      <c r="P33" s="2"/>
      <c r="Q33" s="2"/>
      <c r="R33" s="2"/>
      <c r="S33" s="2"/>
      <c r="T33" s="2"/>
    </row>
    <row r="34" spans="16:20" x14ac:dyDescent="0.25">
      <c r="P34" s="2"/>
      <c r="Q34" s="2"/>
      <c r="R34" s="2"/>
      <c r="S34" s="2"/>
      <c r="T34" s="2"/>
    </row>
    <row r="35" spans="16:20" x14ac:dyDescent="0.25">
      <c r="P35" s="2"/>
      <c r="Q35" s="2"/>
      <c r="R35" s="2"/>
      <c r="S35" s="2"/>
      <c r="T35" s="2"/>
    </row>
    <row r="36" spans="16:20" x14ac:dyDescent="0.25">
      <c r="P36" s="2"/>
      <c r="Q36" s="2"/>
      <c r="R36" s="2"/>
      <c r="S36" s="2"/>
      <c r="T36" s="2"/>
    </row>
    <row r="37" spans="16:20" x14ac:dyDescent="0.25">
      <c r="P37" s="2"/>
      <c r="Q37" s="2"/>
      <c r="R37" s="2"/>
      <c r="S37" s="2"/>
      <c r="T37" s="2"/>
    </row>
    <row r="38" spans="16:20" x14ac:dyDescent="0.25">
      <c r="P38" s="2"/>
      <c r="Q38" s="2"/>
      <c r="R38" s="2"/>
      <c r="S38" s="2"/>
      <c r="T38" s="2"/>
    </row>
    <row r="39" spans="16:20" x14ac:dyDescent="0.25">
      <c r="P39" s="2"/>
      <c r="Q39" s="2"/>
      <c r="R39" s="2"/>
      <c r="S39" s="2"/>
      <c r="T39" s="2"/>
    </row>
    <row r="40" spans="16:20" x14ac:dyDescent="0.25">
      <c r="P40" s="2"/>
      <c r="Q40" s="2"/>
      <c r="R40" s="2"/>
      <c r="S40" s="2"/>
      <c r="T40" s="2"/>
    </row>
    <row r="41" spans="16:20" x14ac:dyDescent="0.25">
      <c r="P41" s="2"/>
      <c r="Q41" s="2"/>
      <c r="R41" s="2"/>
      <c r="S41" s="2"/>
      <c r="T41" s="2"/>
    </row>
    <row r="42" spans="16:20" x14ac:dyDescent="0.25">
      <c r="P42" s="2"/>
      <c r="Q42" s="2"/>
      <c r="R42" s="2"/>
      <c r="S42" s="2"/>
      <c r="T42" s="2"/>
    </row>
    <row r="43" spans="16:20" x14ac:dyDescent="0.25">
      <c r="P43" s="2"/>
      <c r="Q43" s="2"/>
      <c r="R43" s="2"/>
      <c r="S43" s="2"/>
      <c r="T43" s="2"/>
    </row>
    <row r="44" spans="16:20" x14ac:dyDescent="0.25">
      <c r="P44" s="2"/>
      <c r="Q44" s="2"/>
      <c r="R44" s="2"/>
      <c r="S44" s="2"/>
      <c r="T44" s="2"/>
    </row>
    <row r="45" spans="16:20" x14ac:dyDescent="0.25">
      <c r="P45" s="2"/>
      <c r="Q45" s="2"/>
      <c r="R45" s="2"/>
      <c r="S45" s="2"/>
      <c r="T45" s="2"/>
    </row>
    <row r="46" spans="16:20" x14ac:dyDescent="0.25">
      <c r="P46" s="2"/>
      <c r="Q46" s="2"/>
      <c r="R46" s="2"/>
      <c r="S46" s="2"/>
      <c r="T46" s="2"/>
    </row>
    <row r="47" spans="16:20" x14ac:dyDescent="0.25">
      <c r="P47" s="2"/>
      <c r="Q47" s="2"/>
      <c r="R47" s="2"/>
      <c r="S47" s="2"/>
      <c r="T47" s="2"/>
    </row>
    <row r="48" spans="16:20" x14ac:dyDescent="0.25">
      <c r="P48" s="2"/>
      <c r="Q48" s="2"/>
      <c r="R48" s="2"/>
      <c r="S48" s="2"/>
      <c r="T48" s="2"/>
    </row>
    <row r="49" spans="16:20" x14ac:dyDescent="0.25">
      <c r="P49" s="2"/>
      <c r="Q49" s="2"/>
      <c r="R49" s="2"/>
      <c r="S49" s="2"/>
      <c r="T49" s="2"/>
    </row>
    <row r="50" spans="16:20" x14ac:dyDescent="0.25">
      <c r="P50" s="2"/>
      <c r="Q50" s="2"/>
      <c r="R50" s="2"/>
      <c r="S50" s="2"/>
      <c r="T50" s="2"/>
    </row>
    <row r="51" spans="16:20" x14ac:dyDescent="0.25">
      <c r="P51" s="2"/>
      <c r="Q51" s="2"/>
      <c r="R51" s="2"/>
      <c r="S51" s="2"/>
      <c r="T51" s="2"/>
    </row>
    <row r="52" spans="16:20" x14ac:dyDescent="0.25">
      <c r="P52" s="2"/>
      <c r="Q52" s="2"/>
      <c r="R52" s="2"/>
      <c r="S52" s="2"/>
      <c r="T52" s="2"/>
    </row>
    <row r="53" spans="16:20" x14ac:dyDescent="0.25">
      <c r="P53" s="2"/>
      <c r="Q53" s="2"/>
      <c r="R53" s="2"/>
      <c r="S53" s="2"/>
      <c r="T53" s="2"/>
    </row>
    <row r="54" spans="16:20" x14ac:dyDescent="0.25">
      <c r="P54" s="2"/>
      <c r="Q54" s="2"/>
      <c r="R54" s="2"/>
      <c r="S54" s="2"/>
      <c r="T54" s="2"/>
    </row>
    <row r="55" spans="16:20" x14ac:dyDescent="0.25">
      <c r="P55" s="2"/>
      <c r="Q55" s="2"/>
      <c r="R55" s="2"/>
      <c r="S55" s="2"/>
      <c r="T55" s="2"/>
    </row>
    <row r="56" spans="16:20" x14ac:dyDescent="0.25">
      <c r="P56" s="2"/>
      <c r="Q56" s="2"/>
      <c r="R56" s="2"/>
      <c r="S56" s="2"/>
      <c r="T56" s="2"/>
    </row>
    <row r="57" spans="16:20" x14ac:dyDescent="0.25">
      <c r="P57" s="2"/>
      <c r="Q57" s="2"/>
      <c r="R57" s="2"/>
      <c r="S57" s="2"/>
      <c r="T57" s="2"/>
    </row>
    <row r="58" spans="16:20" x14ac:dyDescent="0.25">
      <c r="P58" s="2"/>
      <c r="Q58" s="2"/>
      <c r="R58" s="2"/>
      <c r="S58" s="2"/>
      <c r="T58" s="2"/>
    </row>
    <row r="59" spans="16:20" x14ac:dyDescent="0.25">
      <c r="P59" s="2"/>
      <c r="Q59" s="2"/>
      <c r="R59" s="2"/>
      <c r="S59" s="2"/>
      <c r="T59" s="2"/>
    </row>
    <row r="60" spans="16:20" x14ac:dyDescent="0.25">
      <c r="P60" s="2"/>
      <c r="Q60" s="2"/>
      <c r="R60" s="2"/>
      <c r="S60" s="2"/>
      <c r="T60" s="2"/>
    </row>
    <row r="61" spans="16:20" x14ac:dyDescent="0.25">
      <c r="P61" s="2"/>
      <c r="Q61" s="2"/>
      <c r="R61" s="2"/>
      <c r="S61" s="2"/>
      <c r="T61" s="2"/>
    </row>
    <row r="62" spans="16:20" x14ac:dyDescent="0.25">
      <c r="P62" s="2"/>
      <c r="Q62" s="2"/>
      <c r="R62" s="2"/>
      <c r="S62" s="2"/>
      <c r="T62" s="2"/>
    </row>
    <row r="63" spans="16:20" x14ac:dyDescent="0.25">
      <c r="P63" s="2"/>
      <c r="Q63" s="2"/>
      <c r="R63" s="2"/>
      <c r="S63" s="2"/>
      <c r="T63" s="2"/>
    </row>
    <row r="64" spans="16:20" x14ac:dyDescent="0.25">
      <c r="P64" s="2"/>
      <c r="Q64" s="2"/>
      <c r="R64" s="2"/>
      <c r="S64" s="2"/>
      <c r="T64" s="2"/>
    </row>
    <row r="65" spans="16:20" x14ac:dyDescent="0.25">
      <c r="P65" s="2"/>
      <c r="Q65" s="2"/>
      <c r="R65" s="2"/>
      <c r="S65" s="2"/>
      <c r="T65" s="2"/>
    </row>
    <row r="66" spans="16:20" x14ac:dyDescent="0.25">
      <c r="P66" s="2"/>
      <c r="Q66" s="2"/>
      <c r="R66" s="2"/>
      <c r="S66" s="2"/>
      <c r="T66" s="2"/>
    </row>
    <row r="67" spans="16:20" x14ac:dyDescent="0.25">
      <c r="P67" s="2"/>
      <c r="Q67" s="2"/>
      <c r="R67" s="2"/>
      <c r="S67" s="2"/>
      <c r="T67" s="2"/>
    </row>
    <row r="68" spans="16:20" x14ac:dyDescent="0.25">
      <c r="P68" s="2"/>
      <c r="Q68" s="2"/>
      <c r="R68" s="2"/>
      <c r="S68" s="2"/>
      <c r="T68" s="2"/>
    </row>
    <row r="69" spans="16:20" x14ac:dyDescent="0.25">
      <c r="P69" s="2"/>
      <c r="Q69" s="2"/>
      <c r="R69" s="2"/>
      <c r="S69" s="2"/>
      <c r="T69" s="2"/>
    </row>
    <row r="70" spans="16:20" x14ac:dyDescent="0.25">
      <c r="P70" s="2"/>
      <c r="Q70" s="2"/>
      <c r="R70" s="2"/>
      <c r="S70" s="2"/>
      <c r="T70" s="2"/>
    </row>
    <row r="71" spans="16:20" x14ac:dyDescent="0.25">
      <c r="P71" s="2"/>
      <c r="Q71" s="2"/>
      <c r="R71" s="2"/>
      <c r="S71" s="2"/>
      <c r="T71" s="2"/>
    </row>
    <row r="72" spans="16:20" x14ac:dyDescent="0.25">
      <c r="P72" s="2"/>
      <c r="Q72" s="2"/>
      <c r="R72" s="2"/>
      <c r="S72" s="2"/>
      <c r="T72" s="2"/>
    </row>
    <row r="73" spans="16:20" x14ac:dyDescent="0.25">
      <c r="P73" s="2"/>
      <c r="Q73" s="2"/>
      <c r="R73" s="2"/>
      <c r="S73" s="2"/>
      <c r="T73" s="2"/>
    </row>
    <row r="74" spans="16:20" x14ac:dyDescent="0.25">
      <c r="P74" s="2"/>
      <c r="Q74" s="2"/>
      <c r="R74" s="2"/>
      <c r="S74" s="2"/>
      <c r="T74" s="2"/>
    </row>
    <row r="75" spans="16:20" x14ac:dyDescent="0.25">
      <c r="P75" s="2"/>
      <c r="Q75" s="2"/>
      <c r="R75" s="2"/>
      <c r="S75" s="2"/>
      <c r="T75" s="2"/>
    </row>
    <row r="76" spans="16:20" x14ac:dyDescent="0.25">
      <c r="P76" s="2"/>
      <c r="Q76" s="2"/>
      <c r="R76" s="2"/>
      <c r="S76" s="2"/>
      <c r="T76" s="2"/>
    </row>
    <row r="77" spans="16:20" x14ac:dyDescent="0.25">
      <c r="P77" s="2"/>
      <c r="Q77" s="2"/>
      <c r="R77" s="2"/>
      <c r="S77" s="2"/>
      <c r="T77" s="2"/>
    </row>
    <row r="78" spans="16:20" x14ac:dyDescent="0.25">
      <c r="P78" s="2"/>
      <c r="Q78" s="2"/>
      <c r="R78" s="2"/>
      <c r="S78" s="2"/>
      <c r="T78" s="2"/>
    </row>
    <row r="79" spans="16:20" x14ac:dyDescent="0.25">
      <c r="P79" s="2"/>
      <c r="Q79" s="2"/>
      <c r="R79" s="2"/>
      <c r="S79" s="2"/>
      <c r="T79" s="2"/>
    </row>
    <row r="80" spans="16:20" x14ac:dyDescent="0.25">
      <c r="P80" s="2"/>
      <c r="Q80" s="2"/>
      <c r="R80" s="2"/>
      <c r="S80" s="2"/>
      <c r="T80" s="2"/>
    </row>
    <row r="81" spans="16:20" x14ac:dyDescent="0.25">
      <c r="P81" s="2"/>
      <c r="Q81" s="2"/>
      <c r="R81" s="2"/>
      <c r="S81" s="2"/>
      <c r="T81" s="2"/>
    </row>
    <row r="82" spans="16:20" x14ac:dyDescent="0.25">
      <c r="P82" s="2"/>
      <c r="Q82" s="2"/>
      <c r="R82" s="2"/>
      <c r="S82" s="2"/>
      <c r="T82" s="2"/>
    </row>
    <row r="83" spans="16:20" x14ac:dyDescent="0.25">
      <c r="P83" s="2"/>
      <c r="Q83" s="2"/>
      <c r="R83" s="2"/>
      <c r="S83" s="2"/>
      <c r="T83" s="2"/>
    </row>
    <row r="84" spans="16:20" x14ac:dyDescent="0.25">
      <c r="P84" s="2"/>
      <c r="Q84" s="2"/>
      <c r="R84" s="2"/>
      <c r="S84" s="2"/>
      <c r="T84" s="2"/>
    </row>
    <row r="85" spans="16:20" x14ac:dyDescent="0.25">
      <c r="P85" s="2"/>
      <c r="Q85" s="2"/>
      <c r="R85" s="2"/>
      <c r="S85" s="2"/>
      <c r="T85" s="2"/>
    </row>
    <row r="86" spans="16:20" x14ac:dyDescent="0.25">
      <c r="P86" s="2"/>
      <c r="Q86" s="2"/>
      <c r="R86" s="2"/>
      <c r="S86" s="2"/>
      <c r="T86" s="2"/>
    </row>
    <row r="87" spans="16:20" x14ac:dyDescent="0.25">
      <c r="P87" s="2"/>
      <c r="Q87" s="2"/>
      <c r="R87" s="2"/>
      <c r="S87" s="2"/>
      <c r="T87" s="2"/>
    </row>
    <row r="88" spans="16:20" x14ac:dyDescent="0.25">
      <c r="P88" s="2"/>
      <c r="Q88" s="2"/>
      <c r="R88" s="2"/>
      <c r="S88" s="2"/>
      <c r="T88" s="2"/>
    </row>
    <row r="89" spans="16:20" x14ac:dyDescent="0.25">
      <c r="P89" s="2"/>
      <c r="Q89" s="2"/>
      <c r="R89" s="2"/>
      <c r="S89" s="2"/>
      <c r="T89" s="2"/>
    </row>
    <row r="90" spans="16:20" x14ac:dyDescent="0.25">
      <c r="P90" s="2"/>
      <c r="Q90" s="2"/>
      <c r="R90" s="2"/>
      <c r="S90" s="2"/>
      <c r="T90" s="2"/>
    </row>
    <row r="91" spans="16:20" x14ac:dyDescent="0.25">
      <c r="P91" s="2"/>
      <c r="Q91" s="2"/>
      <c r="R91" s="2"/>
      <c r="S91" s="2"/>
      <c r="T91" s="2"/>
    </row>
    <row r="92" spans="16:20" x14ac:dyDescent="0.25">
      <c r="P92" s="2"/>
      <c r="Q92" s="2"/>
      <c r="R92" s="2"/>
      <c r="S92" s="2"/>
      <c r="T92" s="2"/>
    </row>
    <row r="93" spans="16:20" x14ac:dyDescent="0.25">
      <c r="P93" s="2"/>
      <c r="Q93" s="2"/>
      <c r="R93" s="2"/>
      <c r="S93" s="2"/>
      <c r="T93" s="2"/>
    </row>
    <row r="94" spans="16:20" x14ac:dyDescent="0.25">
      <c r="P94" s="2"/>
      <c r="Q94" s="2"/>
      <c r="R94" s="2"/>
      <c r="S94" s="2"/>
      <c r="T94" s="2"/>
    </row>
    <row r="95" spans="16:20" x14ac:dyDescent="0.25">
      <c r="P95" s="2"/>
      <c r="Q95" s="2"/>
      <c r="R95" s="2"/>
      <c r="S95" s="2"/>
      <c r="T95" s="2"/>
    </row>
    <row r="96" spans="16:20" x14ac:dyDescent="0.25">
      <c r="P96" s="2"/>
      <c r="Q96" s="2"/>
      <c r="R96" s="2"/>
      <c r="S96" s="2"/>
      <c r="T96" s="2"/>
    </row>
    <row r="97" spans="16:20" x14ac:dyDescent="0.25">
      <c r="P97" s="2"/>
      <c r="Q97" s="2"/>
      <c r="R97" s="2"/>
      <c r="S97" s="2"/>
      <c r="T97" s="2"/>
    </row>
    <row r="98" spans="16:20" x14ac:dyDescent="0.25">
      <c r="P98" s="2"/>
      <c r="Q98" s="2"/>
      <c r="R98" s="2"/>
      <c r="S98" s="2"/>
      <c r="T98" s="2"/>
    </row>
    <row r="99" spans="16:20" x14ac:dyDescent="0.25">
      <c r="P99" s="2"/>
      <c r="Q99" s="2"/>
      <c r="R99" s="2"/>
      <c r="S99" s="2"/>
      <c r="T99" s="2"/>
    </row>
    <row r="100" spans="16:20" x14ac:dyDescent="0.25">
      <c r="P100" s="2"/>
      <c r="Q100" s="2"/>
      <c r="R100" s="2"/>
      <c r="S100" s="2"/>
      <c r="T100" s="2"/>
    </row>
    <row r="101" spans="16:20" x14ac:dyDescent="0.25">
      <c r="P101" s="2"/>
      <c r="Q101" s="2"/>
      <c r="R101" s="2"/>
      <c r="S101" s="2"/>
      <c r="T101" s="2"/>
    </row>
    <row r="102" spans="16:20" x14ac:dyDescent="0.25">
      <c r="P102" s="2"/>
      <c r="Q102" s="2"/>
      <c r="R102" s="2"/>
      <c r="S102" s="2"/>
      <c r="T102" s="2"/>
    </row>
    <row r="103" spans="16:20" x14ac:dyDescent="0.25">
      <c r="P103" s="2"/>
      <c r="Q103" s="2"/>
      <c r="R103" s="2"/>
      <c r="S103" s="2"/>
      <c r="T103" s="2"/>
    </row>
    <row r="104" spans="16:20" x14ac:dyDescent="0.25">
      <c r="P104" s="2"/>
      <c r="Q104" s="2"/>
      <c r="R104" s="2"/>
      <c r="S104" s="2"/>
      <c r="T104" s="2"/>
    </row>
    <row r="105" spans="16:20" x14ac:dyDescent="0.25">
      <c r="P105" s="2"/>
      <c r="Q105" s="2"/>
      <c r="R105" s="2"/>
      <c r="S105" s="2"/>
      <c r="T105" s="2"/>
    </row>
    <row r="106" spans="16:20" x14ac:dyDescent="0.25">
      <c r="P106" s="2"/>
      <c r="Q106" s="2"/>
      <c r="R106" s="2"/>
      <c r="S106" s="2"/>
      <c r="T106" s="2"/>
    </row>
    <row r="107" spans="16:20" x14ac:dyDescent="0.25">
      <c r="P107" s="2"/>
      <c r="Q107" s="2"/>
      <c r="R107" s="2"/>
      <c r="S107" s="2"/>
      <c r="T107" s="2"/>
    </row>
    <row r="108" spans="16:20" x14ac:dyDescent="0.25">
      <c r="P108" s="2"/>
      <c r="Q108" s="2"/>
      <c r="R108" s="2"/>
      <c r="S108" s="2"/>
      <c r="T108" s="2"/>
    </row>
    <row r="109" spans="16:20" x14ac:dyDescent="0.25">
      <c r="P109" s="2"/>
      <c r="Q109" s="2"/>
      <c r="R109" s="2"/>
      <c r="S109" s="2"/>
      <c r="T109" s="2"/>
    </row>
    <row r="110" spans="16:20" x14ac:dyDescent="0.25">
      <c r="P110" s="2"/>
      <c r="Q110" s="2"/>
      <c r="R110" s="2"/>
      <c r="S110" s="2"/>
      <c r="T110" s="2"/>
    </row>
    <row r="111" spans="16:20" x14ac:dyDescent="0.25">
      <c r="P111" s="2"/>
      <c r="Q111" s="2"/>
      <c r="R111" s="2"/>
      <c r="S111" s="2"/>
      <c r="T111" s="2"/>
    </row>
    <row r="112" spans="16:20" x14ac:dyDescent="0.25">
      <c r="P112" s="2"/>
      <c r="Q112" s="2"/>
      <c r="R112" s="2"/>
      <c r="S112" s="2"/>
      <c r="T112" s="2"/>
    </row>
    <row r="113" spans="16:20" x14ac:dyDescent="0.25">
      <c r="P113" s="2"/>
      <c r="Q113" s="2"/>
      <c r="R113" s="2"/>
      <c r="S113" s="2"/>
      <c r="T113" s="2"/>
    </row>
    <row r="114" spans="16:20" x14ac:dyDescent="0.25">
      <c r="P114" s="2"/>
      <c r="Q114" s="2"/>
      <c r="R114" s="2"/>
      <c r="S114" s="2"/>
      <c r="T114" s="2"/>
    </row>
    <row r="115" spans="16:20" x14ac:dyDescent="0.25">
      <c r="P115" s="2"/>
      <c r="Q115" s="2"/>
      <c r="R115" s="2"/>
      <c r="S115" s="2"/>
      <c r="T115" s="2"/>
    </row>
    <row r="116" spans="16:20" x14ac:dyDescent="0.25">
      <c r="P116" s="2"/>
      <c r="Q116" s="2"/>
      <c r="R116" s="2"/>
      <c r="S116" s="2"/>
      <c r="T116" s="2"/>
    </row>
    <row r="117" spans="16:20" x14ac:dyDescent="0.25">
      <c r="P117" s="2"/>
      <c r="Q117" s="2"/>
      <c r="R117" s="2"/>
      <c r="S117" s="2"/>
      <c r="T117" s="2"/>
    </row>
    <row r="118" spans="16:20" x14ac:dyDescent="0.25">
      <c r="P118" s="2"/>
      <c r="Q118" s="2"/>
      <c r="R118" s="2"/>
      <c r="S118" s="2"/>
      <c r="T118" s="2"/>
    </row>
    <row r="119" spans="16:20" x14ac:dyDescent="0.25">
      <c r="P119" s="2"/>
      <c r="Q119" s="2"/>
      <c r="R119" s="2"/>
      <c r="S119" s="2"/>
      <c r="T119" s="2"/>
    </row>
    <row r="120" spans="16:20" x14ac:dyDescent="0.25">
      <c r="P120" s="2"/>
      <c r="Q120" s="2"/>
      <c r="R120" s="2"/>
      <c r="S120" s="2"/>
      <c r="T120" s="2"/>
    </row>
    <row r="121" spans="16:20" x14ac:dyDescent="0.25">
      <c r="P121" s="2"/>
      <c r="Q121" s="2"/>
      <c r="R121" s="2"/>
      <c r="S121" s="2"/>
      <c r="T121" s="2"/>
    </row>
    <row r="122" spans="16:20" x14ac:dyDescent="0.25">
      <c r="P122" s="2"/>
      <c r="Q122" s="2"/>
      <c r="R122" s="2"/>
      <c r="S122" s="2"/>
      <c r="T122" s="2"/>
    </row>
    <row r="123" spans="16:20" x14ac:dyDescent="0.25">
      <c r="P123" s="2"/>
      <c r="Q123" s="2"/>
      <c r="R123" s="2"/>
      <c r="S123" s="2"/>
      <c r="T123" s="2"/>
    </row>
    <row r="124" spans="16:20" x14ac:dyDescent="0.25">
      <c r="P124" s="2"/>
      <c r="Q124" s="2"/>
      <c r="R124" s="2"/>
      <c r="S124" s="2"/>
      <c r="T124" s="2"/>
    </row>
    <row r="125" spans="16:20" x14ac:dyDescent="0.25">
      <c r="P125" s="2"/>
      <c r="Q125" s="2"/>
      <c r="R125" s="2"/>
      <c r="S125" s="2"/>
      <c r="T125" s="2"/>
    </row>
    <row r="126" spans="16:20" x14ac:dyDescent="0.25">
      <c r="P126" s="2"/>
      <c r="Q126" s="2"/>
      <c r="R126" s="2"/>
      <c r="S126" s="2"/>
      <c r="T126" s="2"/>
    </row>
    <row r="127" spans="16:20" x14ac:dyDescent="0.25">
      <c r="P127" s="2"/>
      <c r="Q127" s="2"/>
      <c r="R127" s="2"/>
      <c r="S127" s="2"/>
      <c r="T127" s="2"/>
    </row>
    <row r="128" spans="16:20" x14ac:dyDescent="0.25">
      <c r="P128" s="2"/>
      <c r="Q128" s="2"/>
      <c r="R128" s="2"/>
      <c r="S128" s="2"/>
      <c r="T128" s="2"/>
    </row>
    <row r="129" spans="16:20" x14ac:dyDescent="0.25">
      <c r="P129" s="2"/>
      <c r="Q129" s="2"/>
      <c r="R129" s="2"/>
      <c r="S129" s="2"/>
      <c r="T129" s="2"/>
    </row>
    <row r="130" spans="16:20" x14ac:dyDescent="0.25">
      <c r="P130" s="2"/>
      <c r="Q130" s="2"/>
      <c r="R130" s="2"/>
      <c r="S130" s="2"/>
      <c r="T130" s="2"/>
    </row>
    <row r="131" spans="16:20" x14ac:dyDescent="0.25">
      <c r="P131" s="2"/>
      <c r="Q131" s="2"/>
      <c r="R131" s="2"/>
      <c r="S131" s="2"/>
      <c r="T131" s="2"/>
    </row>
    <row r="132" spans="16:20" x14ac:dyDescent="0.25">
      <c r="P132" s="2"/>
      <c r="Q132" s="2"/>
      <c r="R132" s="2"/>
      <c r="S132" s="2"/>
      <c r="T132" s="2"/>
    </row>
    <row r="133" spans="16:20" x14ac:dyDescent="0.25">
      <c r="P133" s="2"/>
      <c r="Q133" s="2"/>
      <c r="R133" s="2"/>
      <c r="S133" s="2"/>
      <c r="T133" s="2"/>
    </row>
    <row r="134" spans="16:20" x14ac:dyDescent="0.25">
      <c r="P134" s="2"/>
      <c r="Q134" s="2"/>
      <c r="R134" s="2"/>
      <c r="S134" s="2"/>
      <c r="T134" s="2"/>
    </row>
    <row r="135" spans="16:20" x14ac:dyDescent="0.25">
      <c r="P135" s="2"/>
      <c r="Q135" s="2"/>
      <c r="R135" s="2"/>
      <c r="S135" s="2"/>
      <c r="T135" s="2"/>
    </row>
    <row r="136" spans="16:20" x14ac:dyDescent="0.25">
      <c r="P136" s="2"/>
      <c r="Q136" s="2"/>
      <c r="R136" s="2"/>
      <c r="S136" s="2"/>
      <c r="T136" s="2"/>
    </row>
    <row r="137" spans="16:20" x14ac:dyDescent="0.25">
      <c r="P137" s="2"/>
      <c r="Q137" s="2"/>
      <c r="R137" s="2"/>
      <c r="S137" s="2"/>
      <c r="T137" s="2"/>
    </row>
    <row r="138" spans="16:20" x14ac:dyDescent="0.25">
      <c r="P138" s="2"/>
      <c r="Q138" s="2"/>
      <c r="R138" s="2"/>
      <c r="S138" s="2"/>
      <c r="T138" s="2"/>
    </row>
    <row r="139" spans="16:20" x14ac:dyDescent="0.25">
      <c r="P139" s="2"/>
      <c r="Q139" s="2"/>
      <c r="R139" s="2"/>
      <c r="S139" s="2"/>
      <c r="T139" s="2"/>
    </row>
    <row r="140" spans="16:20" x14ac:dyDescent="0.25">
      <c r="P140" s="2"/>
      <c r="Q140" s="2"/>
      <c r="R140" s="2"/>
      <c r="S140" s="2"/>
      <c r="T140" s="2"/>
    </row>
    <row r="141" spans="16:20" x14ac:dyDescent="0.25">
      <c r="P141" s="2"/>
      <c r="Q141" s="2"/>
      <c r="R141" s="2"/>
      <c r="S141" s="2"/>
      <c r="T141" s="2"/>
    </row>
    <row r="142" spans="16:20" x14ac:dyDescent="0.25">
      <c r="P142" s="2"/>
      <c r="Q142" s="2"/>
      <c r="R142" s="2"/>
      <c r="S142" s="2"/>
      <c r="T142" s="2"/>
    </row>
    <row r="143" spans="16:20" x14ac:dyDescent="0.25">
      <c r="P143" s="2"/>
      <c r="Q143" s="2"/>
      <c r="R143" s="2"/>
      <c r="S143" s="2"/>
      <c r="T143" s="2"/>
    </row>
    <row r="144" spans="16:20" x14ac:dyDescent="0.25">
      <c r="P144" s="2"/>
      <c r="Q144" s="2"/>
      <c r="R144" s="2"/>
      <c r="S144" s="2"/>
      <c r="T144" s="2"/>
    </row>
    <row r="145" spans="16:20" x14ac:dyDescent="0.25">
      <c r="P145" s="2"/>
      <c r="Q145" s="2"/>
      <c r="R145" s="2"/>
      <c r="S145" s="2"/>
      <c r="T145" s="2"/>
    </row>
    <row r="146" spans="16:20" x14ac:dyDescent="0.25">
      <c r="P146" s="2"/>
      <c r="Q146" s="2"/>
      <c r="R146" s="2"/>
      <c r="S146" s="2"/>
      <c r="T146" s="2"/>
    </row>
    <row r="147" spans="16:20" x14ac:dyDescent="0.25">
      <c r="P147" s="2"/>
      <c r="Q147" s="2"/>
      <c r="R147" s="2"/>
      <c r="S147" s="2"/>
      <c r="T147" s="2"/>
    </row>
    <row r="148" spans="16:20" x14ac:dyDescent="0.25">
      <c r="P148" s="2"/>
      <c r="Q148" s="2"/>
      <c r="R148" s="2"/>
      <c r="S148" s="2"/>
      <c r="T148" s="2"/>
    </row>
    <row r="149" spans="16:20" x14ac:dyDescent="0.25">
      <c r="P149" s="2"/>
      <c r="Q149" s="2"/>
      <c r="R149" s="2"/>
      <c r="S149" s="2"/>
      <c r="T149" s="2"/>
    </row>
    <row r="150" spans="16:20" x14ac:dyDescent="0.25">
      <c r="P150" s="2"/>
      <c r="Q150" s="2"/>
      <c r="R150" s="2"/>
      <c r="S150" s="2"/>
      <c r="T150" s="2"/>
    </row>
    <row r="151" spans="16:20" x14ac:dyDescent="0.25">
      <c r="P151" s="2"/>
      <c r="Q151" s="2"/>
      <c r="R151" s="2"/>
      <c r="S151" s="2"/>
      <c r="T151" s="2"/>
    </row>
    <row r="152" spans="16:20" x14ac:dyDescent="0.25">
      <c r="P152" s="2"/>
      <c r="Q152" s="2"/>
      <c r="R152" s="2"/>
      <c r="S152" s="2"/>
      <c r="T152" s="2"/>
    </row>
    <row r="153" spans="16:20" x14ac:dyDescent="0.25">
      <c r="P153" s="2"/>
      <c r="Q153" s="2"/>
      <c r="R153" s="2"/>
      <c r="S153" s="2"/>
      <c r="T153" s="2"/>
    </row>
    <row r="154" spans="16:20" x14ac:dyDescent="0.25">
      <c r="P154" s="2"/>
      <c r="Q154" s="2"/>
      <c r="R154" s="2"/>
      <c r="S154" s="2"/>
      <c r="T154" s="2"/>
    </row>
    <row r="155" spans="16:20" x14ac:dyDescent="0.25">
      <c r="P155" s="2"/>
      <c r="Q155" s="2"/>
      <c r="R155" s="2"/>
      <c r="S155" s="2"/>
      <c r="T155" s="2"/>
    </row>
    <row r="156" spans="16:20" x14ac:dyDescent="0.25">
      <c r="P156" s="2"/>
      <c r="Q156" s="2"/>
      <c r="R156" s="2"/>
      <c r="S156" s="2"/>
      <c r="T156" s="2"/>
    </row>
    <row r="157" spans="16:20" x14ac:dyDescent="0.25">
      <c r="P157" s="2"/>
      <c r="Q157" s="2"/>
      <c r="R157" s="2"/>
      <c r="S157" s="2"/>
      <c r="T157" s="2"/>
    </row>
    <row r="158" spans="16:20" x14ac:dyDescent="0.25">
      <c r="P158" s="2"/>
      <c r="Q158" s="2"/>
      <c r="R158" s="2"/>
      <c r="S158" s="2"/>
      <c r="T158" s="2"/>
    </row>
    <row r="159" spans="16:20" x14ac:dyDescent="0.25">
      <c r="P159" s="2"/>
      <c r="Q159" s="2"/>
      <c r="R159" s="2"/>
      <c r="S159" s="2"/>
      <c r="T159" s="2"/>
    </row>
    <row r="160" spans="16:20" x14ac:dyDescent="0.25">
      <c r="P160" s="2"/>
      <c r="Q160" s="2"/>
      <c r="R160" s="2"/>
      <c r="S160" s="2"/>
      <c r="T160" s="2"/>
    </row>
    <row r="161" spans="16:20" x14ac:dyDescent="0.25">
      <c r="P161" s="2"/>
      <c r="Q161" s="2"/>
      <c r="R161" s="2"/>
      <c r="S161" s="2"/>
      <c r="T161" s="2"/>
    </row>
    <row r="162" spans="16:20" x14ac:dyDescent="0.25">
      <c r="P162" s="2"/>
      <c r="Q162" s="2"/>
      <c r="R162" s="2"/>
      <c r="S162" s="2"/>
      <c r="T162" s="2"/>
    </row>
    <row r="163" spans="16:20" x14ac:dyDescent="0.25">
      <c r="P163" s="2"/>
      <c r="Q163" s="2"/>
      <c r="R163" s="2"/>
      <c r="S163" s="2"/>
      <c r="T163" s="2"/>
    </row>
    <row r="164" spans="16:20" x14ac:dyDescent="0.25">
      <c r="P164" s="2"/>
      <c r="Q164" s="2"/>
      <c r="R164" s="2"/>
      <c r="S164" s="2"/>
      <c r="T164" s="2"/>
    </row>
    <row r="165" spans="16:20" x14ac:dyDescent="0.25">
      <c r="P165" s="2"/>
      <c r="Q165" s="2"/>
      <c r="R165" s="2"/>
      <c r="S165" s="2"/>
      <c r="T165" s="2"/>
    </row>
    <row r="166" spans="16:20" x14ac:dyDescent="0.25">
      <c r="P166" s="2"/>
      <c r="Q166" s="2"/>
      <c r="R166" s="2"/>
      <c r="S166" s="2"/>
      <c r="T166" s="2"/>
    </row>
    <row r="167" spans="16:20" x14ac:dyDescent="0.25">
      <c r="P167" s="2"/>
      <c r="Q167" s="2"/>
      <c r="R167" s="2"/>
      <c r="S167" s="2"/>
      <c r="T167" s="2"/>
    </row>
    <row r="168" spans="16:20" x14ac:dyDescent="0.25">
      <c r="P168" s="2"/>
      <c r="Q168" s="2"/>
      <c r="R168" s="2"/>
      <c r="S168" s="2"/>
      <c r="T168" s="2"/>
    </row>
    <row r="169" spans="16:20" x14ac:dyDescent="0.25">
      <c r="P169" s="2"/>
      <c r="Q169" s="2"/>
      <c r="R169" s="2"/>
      <c r="S169" s="2"/>
      <c r="T169" s="2"/>
    </row>
    <row r="170" spans="16:20" x14ac:dyDescent="0.25">
      <c r="P170" s="2"/>
      <c r="Q170" s="2"/>
      <c r="R170" s="2"/>
      <c r="S170" s="2"/>
      <c r="T170" s="2"/>
    </row>
    <row r="171" spans="16:20" x14ac:dyDescent="0.25">
      <c r="P171" s="2"/>
      <c r="Q171" s="2"/>
      <c r="R171" s="2"/>
      <c r="S171" s="2"/>
      <c r="T171" s="2"/>
    </row>
    <row r="172" spans="16:20" x14ac:dyDescent="0.25">
      <c r="P172" s="2"/>
      <c r="Q172" s="2"/>
      <c r="R172" s="2"/>
      <c r="S172" s="2"/>
      <c r="T172" s="2"/>
    </row>
    <row r="173" spans="16:20" x14ac:dyDescent="0.25">
      <c r="P173" s="2"/>
      <c r="Q173" s="2"/>
      <c r="R173" s="2"/>
      <c r="S173" s="2"/>
      <c r="T173" s="2"/>
    </row>
    <row r="174" spans="16:20" x14ac:dyDescent="0.25">
      <c r="P174" s="2"/>
      <c r="Q174" s="2"/>
      <c r="R174" s="2"/>
      <c r="S174" s="2"/>
      <c r="T174" s="2"/>
    </row>
    <row r="175" spans="16:20" x14ac:dyDescent="0.25">
      <c r="P175" s="2"/>
      <c r="Q175" s="2"/>
      <c r="R175" s="2"/>
      <c r="S175" s="2"/>
      <c r="T175" s="2"/>
    </row>
    <row r="176" spans="16:20" x14ac:dyDescent="0.25">
      <c r="P176" s="2"/>
      <c r="Q176" s="2"/>
      <c r="R176" s="2"/>
      <c r="S176" s="2"/>
      <c r="T176" s="2"/>
    </row>
    <row r="177" spans="16:20" x14ac:dyDescent="0.25">
      <c r="P177" s="2"/>
      <c r="Q177" s="2"/>
      <c r="R177" s="2"/>
      <c r="S177" s="2"/>
      <c r="T177" s="2"/>
    </row>
    <row r="178" spans="16:20" x14ac:dyDescent="0.25">
      <c r="P178" s="2"/>
      <c r="Q178" s="2"/>
      <c r="R178" s="2"/>
      <c r="S178" s="2"/>
      <c r="T178" s="2"/>
    </row>
    <row r="179" spans="16:20" x14ac:dyDescent="0.25">
      <c r="P179" s="2"/>
      <c r="Q179" s="2"/>
      <c r="R179" s="2"/>
      <c r="S179" s="2"/>
      <c r="T179" s="2"/>
    </row>
    <row r="180" spans="16:20" x14ac:dyDescent="0.25">
      <c r="P180" s="2"/>
      <c r="Q180" s="2"/>
      <c r="R180" s="2"/>
      <c r="S180" s="2"/>
      <c r="T180" s="2"/>
    </row>
    <row r="181" spans="16:20" x14ac:dyDescent="0.25">
      <c r="P181" s="2"/>
      <c r="Q181" s="2"/>
      <c r="R181" s="2"/>
      <c r="S181" s="2"/>
      <c r="T181" s="2"/>
    </row>
    <row r="182" spans="16:20" x14ac:dyDescent="0.25">
      <c r="P182" s="2"/>
      <c r="Q182" s="2"/>
      <c r="R182" s="2"/>
      <c r="S182" s="2"/>
      <c r="T182" s="2"/>
    </row>
    <row r="183" spans="16:20" x14ac:dyDescent="0.25">
      <c r="P183" s="2"/>
      <c r="Q183" s="2"/>
      <c r="R183" s="2"/>
      <c r="S183" s="2"/>
      <c r="T183" s="2"/>
    </row>
    <row r="184" spans="16:20" x14ac:dyDescent="0.25">
      <c r="P184" s="2"/>
      <c r="Q184" s="2"/>
      <c r="R184" s="2"/>
      <c r="S184" s="2"/>
      <c r="T184" s="2"/>
    </row>
    <row r="185" spans="16:20" x14ac:dyDescent="0.25">
      <c r="P185" s="2"/>
      <c r="Q185" s="2"/>
      <c r="R185" s="2"/>
    </row>
    <row r="186" spans="16:20" x14ac:dyDescent="0.25">
      <c r="P186" s="2"/>
      <c r="Q186" s="2"/>
      <c r="R186" s="2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6"/>
  <sheetViews>
    <sheetView zoomScaleNormal="100" workbookViewId="0">
      <pane ySplit="6" topLeftCell="A56" activePane="bottomLeft" state="frozen"/>
      <selection activeCell="A92" sqref="A92"/>
      <selection pane="bottomLeft" activeCell="B11" sqref="B11"/>
    </sheetView>
  </sheetViews>
  <sheetFormatPr defaultRowHeight="15" x14ac:dyDescent="0.25"/>
  <cols>
    <col min="1" max="1" width="44.42578125" bestFit="1" customWidth="1"/>
    <col min="2" max="2" width="13.140625" style="2" bestFit="1" customWidth="1"/>
    <col min="3" max="3" width="13" style="2" hidden="1" customWidth="1"/>
    <col min="4" max="4" width="13.42578125" style="2" hidden="1" customWidth="1"/>
    <col min="5" max="13" width="13" style="2" hidden="1" customWidth="1"/>
    <col min="14" max="14" width="13.5703125" style="2" bestFit="1" customWidth="1"/>
    <col min="15" max="15" width="9.140625" style="2" customWidth="1"/>
    <col min="16" max="18" width="26.28515625" style="38" customWidth="1"/>
    <col min="19" max="19" width="6.140625" style="93" bestFit="1" customWidth="1"/>
    <col min="20" max="20" width="12.28515625" bestFit="1" customWidth="1"/>
    <col min="21" max="21" width="11.85546875" bestFit="1" customWidth="1"/>
    <col min="22" max="25" width="12.28515625" bestFit="1" customWidth="1"/>
    <col min="26" max="26" width="11.85546875" bestFit="1" customWidth="1"/>
    <col min="27" max="28" width="12.28515625" bestFit="1" customWidth="1"/>
    <col min="29" max="29" width="10.7109375" bestFit="1" customWidth="1"/>
    <col min="30" max="30" width="11.28515625" bestFit="1" customWidth="1"/>
    <col min="31" max="32" width="11.140625" bestFit="1" customWidth="1"/>
  </cols>
  <sheetData>
    <row r="1" spans="1:32" ht="21" x14ac:dyDescent="0.35">
      <c r="A1" s="259" t="s">
        <v>342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32" ht="21" x14ac:dyDescent="0.35">
      <c r="A2" s="259" t="s">
        <v>272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32" ht="21" x14ac:dyDescent="0.35">
      <c r="A3" s="259">
        <v>2020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257" t="s">
        <v>551</v>
      </c>
      <c r="Q4" s="257" t="s">
        <v>546</v>
      </c>
      <c r="R4" s="257" t="s">
        <v>550</v>
      </c>
    </row>
    <row r="5" spans="1:32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258"/>
      <c r="Q5" s="258"/>
      <c r="R5" s="258"/>
    </row>
    <row r="6" spans="1:32" x14ac:dyDescent="0.25">
      <c r="B6" s="7" t="s">
        <v>299</v>
      </c>
      <c r="C6" s="7" t="s">
        <v>300</v>
      </c>
      <c r="D6" s="7" t="s">
        <v>301</v>
      </c>
      <c r="E6" s="7" t="s">
        <v>302</v>
      </c>
      <c r="F6" s="7" t="s">
        <v>372</v>
      </c>
      <c r="G6" s="7" t="s">
        <v>605</v>
      </c>
      <c r="H6" s="7" t="s">
        <v>606</v>
      </c>
      <c r="I6" s="7" t="s">
        <v>607</v>
      </c>
      <c r="J6" s="7" t="s">
        <v>608</v>
      </c>
      <c r="K6" s="7" t="s">
        <v>609</v>
      </c>
      <c r="L6" s="7" t="s">
        <v>610</v>
      </c>
      <c r="M6" s="7" t="s">
        <v>611</v>
      </c>
      <c r="N6" s="7" t="s">
        <v>205</v>
      </c>
      <c r="P6" s="92">
        <v>9</v>
      </c>
      <c r="Q6" s="92"/>
      <c r="R6" s="7" t="s">
        <v>205</v>
      </c>
      <c r="T6" s="7" t="s">
        <v>299</v>
      </c>
      <c r="U6" s="7" t="s">
        <v>300</v>
      </c>
      <c r="V6" s="7" t="s">
        <v>301</v>
      </c>
      <c r="W6" s="7" t="s">
        <v>302</v>
      </c>
      <c r="X6" s="7" t="s">
        <v>372</v>
      </c>
      <c r="Y6" s="7" t="s">
        <v>413</v>
      </c>
      <c r="Z6" s="7" t="s">
        <v>432</v>
      </c>
      <c r="AA6" s="7" t="s">
        <v>442</v>
      </c>
      <c r="AB6" s="7" t="s">
        <v>456</v>
      </c>
      <c r="AC6" s="7" t="s">
        <v>474</v>
      </c>
      <c r="AD6" s="7" t="s">
        <v>476</v>
      </c>
      <c r="AE6" s="7" t="s">
        <v>525</v>
      </c>
      <c r="AF6" s="7" t="s">
        <v>205</v>
      </c>
    </row>
    <row r="7" spans="1:32" x14ac:dyDescent="0.25">
      <c r="A7" s="1" t="s">
        <v>60</v>
      </c>
      <c r="P7" s="2"/>
      <c r="Q7" s="2"/>
      <c r="R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t="s">
        <v>479</v>
      </c>
      <c r="B8" s="2">
        <v>0</v>
      </c>
      <c r="N8" s="2">
        <f t="shared" ref="N8:N13" si="0">SUM(B8:M8)</f>
        <v>0</v>
      </c>
      <c r="P8" s="2">
        <f t="shared" ref="P8:P13" si="1">Q8/12*$P$6</f>
        <v>1209</v>
      </c>
      <c r="Q8" s="2">
        <f>R8</f>
        <v>1612</v>
      </c>
      <c r="R8" s="2">
        <v>1612</v>
      </c>
      <c r="S8" s="94">
        <f>R8-AF8</f>
        <v>0</v>
      </c>
      <c r="T8" s="2">
        <v>365</v>
      </c>
      <c r="U8" s="2">
        <v>372</v>
      </c>
      <c r="V8" s="2">
        <v>340</v>
      </c>
      <c r="W8" s="2">
        <v>208</v>
      </c>
      <c r="X8" s="2">
        <v>0</v>
      </c>
      <c r="Y8" s="2">
        <v>65</v>
      </c>
      <c r="Z8" s="2">
        <v>0</v>
      </c>
      <c r="AA8" s="2">
        <v>0</v>
      </c>
      <c r="AB8" s="2">
        <v>0</v>
      </c>
      <c r="AC8" s="2">
        <v>262</v>
      </c>
      <c r="AD8" s="2">
        <v>0</v>
      </c>
      <c r="AE8" s="2">
        <v>0</v>
      </c>
      <c r="AF8" s="2">
        <f>SUM(T8:AE8)</f>
        <v>1612</v>
      </c>
    </row>
    <row r="9" spans="1:32" x14ac:dyDescent="0.25">
      <c r="A9" t="s">
        <v>343</v>
      </c>
      <c r="B9" s="2">
        <v>0</v>
      </c>
      <c r="N9" s="2">
        <f t="shared" si="0"/>
        <v>0</v>
      </c>
      <c r="P9" s="2">
        <f t="shared" si="1"/>
        <v>5824.32</v>
      </c>
      <c r="Q9" s="2">
        <f t="shared" ref="Q9:Q13" si="2">R9</f>
        <v>7765.76</v>
      </c>
      <c r="R9" s="2">
        <v>7765.76</v>
      </c>
      <c r="S9" s="94">
        <f t="shared" ref="S9:S71" si="3">R9-AF9</f>
        <v>0</v>
      </c>
      <c r="T9" s="2">
        <v>697</v>
      </c>
      <c r="U9" s="2">
        <v>736</v>
      </c>
      <c r="V9" s="2">
        <v>692</v>
      </c>
      <c r="W9" s="2">
        <v>462</v>
      </c>
      <c r="X9" s="2">
        <v>0</v>
      </c>
      <c r="Y9" s="2">
        <v>89</v>
      </c>
      <c r="Z9" s="2">
        <v>0</v>
      </c>
      <c r="AA9" s="2">
        <v>0</v>
      </c>
      <c r="AB9" s="2">
        <v>0</v>
      </c>
      <c r="AC9" s="2">
        <v>327</v>
      </c>
      <c r="AD9" s="2">
        <v>4762.76</v>
      </c>
      <c r="AE9" s="2">
        <v>0</v>
      </c>
      <c r="AF9" s="2">
        <f t="shared" ref="AF9:AF13" si="4">SUM(T9:AE9)</f>
        <v>7765.76</v>
      </c>
    </row>
    <row r="10" spans="1:32" x14ac:dyDescent="0.25">
      <c r="A10" t="s">
        <v>366</v>
      </c>
      <c r="B10" s="2">
        <v>0</v>
      </c>
      <c r="N10" s="2">
        <f t="shared" si="0"/>
        <v>0</v>
      </c>
      <c r="P10" s="2">
        <f t="shared" si="1"/>
        <v>841.75500000000011</v>
      </c>
      <c r="Q10" s="2">
        <f t="shared" si="2"/>
        <v>1122.3400000000001</v>
      </c>
      <c r="R10" s="2">
        <v>1122.3400000000001</v>
      </c>
      <c r="S10" s="94">
        <f t="shared" si="3"/>
        <v>0</v>
      </c>
      <c r="T10" s="2">
        <v>207.81</v>
      </c>
      <c r="U10" s="2">
        <v>0</v>
      </c>
      <c r="V10" s="2">
        <v>101.02</v>
      </c>
      <c r="W10" s="2">
        <f>55.84+184</f>
        <v>239.84</v>
      </c>
      <c r="X10" s="2">
        <v>52.71</v>
      </c>
      <c r="Y10" s="2">
        <v>12.7</v>
      </c>
      <c r="Z10" s="2">
        <v>0</v>
      </c>
      <c r="AA10" s="2">
        <v>0</v>
      </c>
      <c r="AB10" s="2">
        <v>0</v>
      </c>
      <c r="AC10" s="2">
        <v>72.95</v>
      </c>
      <c r="AD10" s="2">
        <v>62.31</v>
      </c>
      <c r="AE10" s="2">
        <v>373</v>
      </c>
      <c r="AF10" s="2">
        <f t="shared" si="4"/>
        <v>1122.3400000000001</v>
      </c>
    </row>
    <row r="11" spans="1:32" x14ac:dyDescent="0.25">
      <c r="A11" t="s">
        <v>345</v>
      </c>
      <c r="B11" s="2">
        <v>1035.51</v>
      </c>
      <c r="N11" s="2">
        <f t="shared" si="0"/>
        <v>1035.51</v>
      </c>
      <c r="P11" s="2">
        <f t="shared" si="1"/>
        <v>5598.21</v>
      </c>
      <c r="Q11" s="2">
        <f t="shared" si="2"/>
        <v>7464.28</v>
      </c>
      <c r="R11" s="2">
        <v>7464.28</v>
      </c>
      <c r="S11" s="94">
        <f t="shared" si="3"/>
        <v>0</v>
      </c>
      <c r="T11" s="2">
        <v>904.5</v>
      </c>
      <c r="U11" s="2">
        <v>1299.6300000000001</v>
      </c>
      <c r="V11" s="2">
        <v>1258.3699999999999</v>
      </c>
      <c r="W11" s="2">
        <v>992.9</v>
      </c>
      <c r="X11" s="2">
        <v>403.64</v>
      </c>
      <c r="Y11" s="2">
        <v>147.37</v>
      </c>
      <c r="Z11" s="2">
        <v>0</v>
      </c>
      <c r="AA11" s="2">
        <v>76.73</v>
      </c>
      <c r="AB11" s="2">
        <v>1350</v>
      </c>
      <c r="AC11" s="2">
        <v>58.37</v>
      </c>
      <c r="AD11" s="2">
        <v>227.76</v>
      </c>
      <c r="AE11" s="2">
        <v>745.01</v>
      </c>
      <c r="AF11" s="2">
        <f t="shared" si="4"/>
        <v>7464.28</v>
      </c>
    </row>
    <row r="12" spans="1:32" hidden="1" x14ac:dyDescent="0.25">
      <c r="A12" t="s">
        <v>344</v>
      </c>
      <c r="N12" s="2">
        <f t="shared" si="0"/>
        <v>0</v>
      </c>
      <c r="P12" s="2">
        <f t="shared" si="1"/>
        <v>41.737500000000004</v>
      </c>
      <c r="Q12" s="2">
        <f t="shared" si="2"/>
        <v>55.65</v>
      </c>
      <c r="R12" s="2">
        <v>55.65</v>
      </c>
      <c r="S12" s="94">
        <f t="shared" si="3"/>
        <v>0</v>
      </c>
      <c r="T12" s="2">
        <v>55.65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f t="shared" si="4"/>
        <v>55.65</v>
      </c>
    </row>
    <row r="13" spans="1:32" x14ac:dyDescent="0.25">
      <c r="A13" t="s">
        <v>346</v>
      </c>
      <c r="B13" s="2">
        <v>138789.85999999999</v>
      </c>
      <c r="N13" s="2">
        <f t="shared" si="0"/>
        <v>138789.85999999999</v>
      </c>
      <c r="P13" s="2">
        <f t="shared" si="1"/>
        <v>581137.88250000007</v>
      </c>
      <c r="Q13" s="2">
        <f t="shared" si="2"/>
        <v>774850.51000000013</v>
      </c>
      <c r="R13" s="2">
        <v>774850.51000000013</v>
      </c>
      <c r="S13" s="94">
        <f t="shared" si="3"/>
        <v>0</v>
      </c>
      <c r="T13" s="2">
        <v>140541.41</v>
      </c>
      <c r="U13" s="2">
        <v>129527.17</v>
      </c>
      <c r="V13" s="2">
        <v>122190.47</v>
      </c>
      <c r="W13" s="2">
        <v>75732.429999999993</v>
      </c>
      <c r="X13" s="2">
        <v>28298</v>
      </c>
      <c r="Y13" s="2">
        <v>13693.62</v>
      </c>
      <c r="Z13" s="2">
        <v>7035</v>
      </c>
      <c r="AA13" s="2">
        <v>12270</v>
      </c>
      <c r="AB13" s="2">
        <v>6947</v>
      </c>
      <c r="AC13" s="2">
        <v>14567</v>
      </c>
      <c r="AD13" s="2">
        <v>124746.5</v>
      </c>
      <c r="AE13" s="2">
        <v>99301.91</v>
      </c>
      <c r="AF13" s="2">
        <f t="shared" si="4"/>
        <v>774850.51000000013</v>
      </c>
    </row>
    <row r="14" spans="1:32" s="2" customFormat="1" x14ac:dyDescent="0.25">
      <c r="A14" s="1" t="s">
        <v>221</v>
      </c>
      <c r="B14" s="4">
        <f t="shared" ref="B14:N14" si="5">SUM(B8:B13)</f>
        <v>139825.37</v>
      </c>
      <c r="C14" s="4">
        <f t="shared" si="5"/>
        <v>0</v>
      </c>
      <c r="D14" s="4">
        <f t="shared" si="5"/>
        <v>0</v>
      </c>
      <c r="E14" s="4">
        <f t="shared" si="5"/>
        <v>0</v>
      </c>
      <c r="F14" s="4">
        <f t="shared" si="5"/>
        <v>0</v>
      </c>
      <c r="G14" s="4">
        <f t="shared" si="5"/>
        <v>0</v>
      </c>
      <c r="H14" s="4">
        <f t="shared" si="5"/>
        <v>0</v>
      </c>
      <c r="I14" s="4">
        <f t="shared" si="5"/>
        <v>0</v>
      </c>
      <c r="J14" s="4">
        <f t="shared" si="5"/>
        <v>0</v>
      </c>
      <c r="K14" s="4">
        <f t="shared" si="5"/>
        <v>0</v>
      </c>
      <c r="L14" s="4">
        <f t="shared" ref="L14" si="6">SUM(L8:L13)</f>
        <v>0</v>
      </c>
      <c r="M14" s="4">
        <f t="shared" si="5"/>
        <v>0</v>
      </c>
      <c r="N14" s="4">
        <f t="shared" si="5"/>
        <v>139825.37</v>
      </c>
      <c r="P14" s="4">
        <f>SUM(P8:P13)</f>
        <v>594652.90500000003</v>
      </c>
      <c r="Q14" s="4">
        <f>SUM(Q8:Q13)</f>
        <v>792870.54000000015</v>
      </c>
      <c r="R14" s="4">
        <v>792870.54000000015</v>
      </c>
      <c r="S14" s="94">
        <f t="shared" si="3"/>
        <v>0</v>
      </c>
      <c r="T14" s="4">
        <f t="shared" ref="T14:AF14" si="7">SUM(T8:T13)</f>
        <v>142771.37</v>
      </c>
      <c r="U14" s="4">
        <f t="shared" si="7"/>
        <v>131934.79999999999</v>
      </c>
      <c r="V14" s="4">
        <f t="shared" si="7"/>
        <v>124581.86</v>
      </c>
      <c r="W14" s="4">
        <f t="shared" si="7"/>
        <v>77635.17</v>
      </c>
      <c r="X14" s="4">
        <f t="shared" si="7"/>
        <v>28754.35</v>
      </c>
      <c r="Y14" s="4">
        <f t="shared" si="7"/>
        <v>14007.69</v>
      </c>
      <c r="Z14" s="4">
        <f t="shared" si="7"/>
        <v>7035</v>
      </c>
      <c r="AA14" s="4">
        <f t="shared" si="7"/>
        <v>12346.73</v>
      </c>
      <c r="AB14" s="4">
        <f t="shared" si="7"/>
        <v>8297</v>
      </c>
      <c r="AC14" s="4">
        <f t="shared" si="7"/>
        <v>15287.32</v>
      </c>
      <c r="AD14" s="4">
        <f t="shared" ref="AD14" si="8">SUM(AD8:AD13)</f>
        <v>129799.33</v>
      </c>
      <c r="AE14" s="4">
        <f t="shared" si="7"/>
        <v>100419.92</v>
      </c>
      <c r="AF14" s="4">
        <f t="shared" si="7"/>
        <v>792870.54000000015</v>
      </c>
    </row>
    <row r="15" spans="1:32" x14ac:dyDescent="0.25">
      <c r="P15" s="2"/>
      <c r="Q15" s="2"/>
      <c r="R15" s="2"/>
      <c r="S15" s="94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s="2" customFormat="1" x14ac:dyDescent="0.25">
      <c r="A16" s="1"/>
      <c r="S16" s="94"/>
    </row>
    <row r="17" spans="1:32" s="2" customFormat="1" x14ac:dyDescent="0.25">
      <c r="A17" t="s">
        <v>347</v>
      </c>
      <c r="B17" s="2">
        <v>550.32000000000005</v>
      </c>
      <c r="N17" s="2">
        <f>SUM(B17:M17)</f>
        <v>550.32000000000005</v>
      </c>
      <c r="P17" s="2">
        <f>Q17/12*$P$6</f>
        <v>1447.0574999999999</v>
      </c>
      <c r="Q17" s="2">
        <f>R17</f>
        <v>1929.4099999999999</v>
      </c>
      <c r="R17" s="2">
        <v>1929.4099999999999</v>
      </c>
      <c r="S17" s="94">
        <f t="shared" si="3"/>
        <v>0</v>
      </c>
      <c r="T17" s="2">
        <v>489.92</v>
      </c>
      <c r="U17" s="2">
        <v>578.66999999999996</v>
      </c>
      <c r="V17" s="2">
        <v>0</v>
      </c>
      <c r="W17" s="2">
        <v>0</v>
      </c>
      <c r="X17" s="2">
        <v>0</v>
      </c>
      <c r="Y17" s="2">
        <v>579.63</v>
      </c>
      <c r="Z17" s="2">
        <v>0</v>
      </c>
      <c r="AA17" s="2">
        <v>0</v>
      </c>
      <c r="AB17" s="2">
        <v>0</v>
      </c>
      <c r="AC17" s="2">
        <v>0</v>
      </c>
      <c r="AD17" s="2">
        <v>281.19</v>
      </c>
      <c r="AE17" s="2">
        <v>0</v>
      </c>
      <c r="AF17" s="2">
        <f>SUM(T17:AE17)</f>
        <v>1929.4099999999999</v>
      </c>
    </row>
    <row r="18" spans="1:32" s="2" customFormat="1" x14ac:dyDescent="0.25">
      <c r="A18" s="1" t="s">
        <v>280</v>
      </c>
      <c r="B18" s="4">
        <f t="shared" ref="B18:M18" si="9">SUM(B17:B17)</f>
        <v>550.32000000000005</v>
      </c>
      <c r="C18" s="4">
        <f t="shared" si="9"/>
        <v>0</v>
      </c>
      <c r="D18" s="4">
        <f t="shared" si="9"/>
        <v>0</v>
      </c>
      <c r="E18" s="4">
        <f t="shared" si="9"/>
        <v>0</v>
      </c>
      <c r="F18" s="4">
        <f>SUM(F17:F17)</f>
        <v>0</v>
      </c>
      <c r="G18" s="4">
        <f t="shared" ref="G18:L18" si="10">SUM(G17:G17)</f>
        <v>0</v>
      </c>
      <c r="H18" s="4">
        <f t="shared" si="10"/>
        <v>0</v>
      </c>
      <c r="I18" s="4">
        <f t="shared" si="10"/>
        <v>0</v>
      </c>
      <c r="J18" s="4">
        <f t="shared" si="10"/>
        <v>0</v>
      </c>
      <c r="K18" s="4">
        <f t="shared" si="10"/>
        <v>0</v>
      </c>
      <c r="L18" s="4">
        <f t="shared" si="10"/>
        <v>0</v>
      </c>
      <c r="M18" s="4">
        <f t="shared" si="9"/>
        <v>0</v>
      </c>
      <c r="N18" s="4">
        <f>SUM(N17:N17)</f>
        <v>550.32000000000005</v>
      </c>
      <c r="P18" s="4">
        <f>P17</f>
        <v>1447.0574999999999</v>
      </c>
      <c r="Q18" s="4">
        <f>Q17</f>
        <v>1929.4099999999999</v>
      </c>
      <c r="R18" s="4">
        <v>1929.4099999999999</v>
      </c>
      <c r="S18" s="94">
        <f t="shared" si="3"/>
        <v>0</v>
      </c>
      <c r="T18" s="4">
        <f t="shared" ref="T18:AE18" si="11">SUM(T17:T17)</f>
        <v>489.92</v>
      </c>
      <c r="U18" s="4">
        <f t="shared" si="11"/>
        <v>578.66999999999996</v>
      </c>
      <c r="V18" s="4">
        <f t="shared" si="11"/>
        <v>0</v>
      </c>
      <c r="W18" s="4">
        <f t="shared" si="11"/>
        <v>0</v>
      </c>
      <c r="X18" s="4">
        <f>SUM(X17:X17)</f>
        <v>0</v>
      </c>
      <c r="Y18" s="4">
        <f t="shared" ref="Y18:AD18" si="12">SUM(Y17:Y17)</f>
        <v>579.63</v>
      </c>
      <c r="Z18" s="4">
        <f t="shared" si="12"/>
        <v>0</v>
      </c>
      <c r="AA18" s="4">
        <f t="shared" si="12"/>
        <v>0</v>
      </c>
      <c r="AB18" s="4">
        <f t="shared" si="12"/>
        <v>0</v>
      </c>
      <c r="AC18" s="4">
        <f t="shared" si="12"/>
        <v>0</v>
      </c>
      <c r="AD18" s="4">
        <f t="shared" si="12"/>
        <v>281.19</v>
      </c>
      <c r="AE18" s="4">
        <f t="shared" si="11"/>
        <v>0</v>
      </c>
      <c r="AF18" s="4">
        <f>SUM(AF17:AF17)</f>
        <v>1929.4099999999999</v>
      </c>
    </row>
    <row r="19" spans="1:32" x14ac:dyDescent="0.25">
      <c r="P19" s="2"/>
      <c r="Q19" s="2"/>
      <c r="R19" s="2"/>
      <c r="S19" s="9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s="2" customFormat="1" ht="15.75" thickBot="1" x14ac:dyDescent="0.3">
      <c r="A20" s="1" t="s">
        <v>209</v>
      </c>
      <c r="B20" s="5">
        <f t="shared" ref="B20:M20" si="13">B14-B18</f>
        <v>139275.04999999999</v>
      </c>
      <c r="C20" s="5">
        <f t="shared" si="13"/>
        <v>0</v>
      </c>
      <c r="D20" s="5">
        <f t="shared" si="13"/>
        <v>0</v>
      </c>
      <c r="E20" s="5">
        <f t="shared" si="13"/>
        <v>0</v>
      </c>
      <c r="F20" s="5">
        <f>F14-F18</f>
        <v>0</v>
      </c>
      <c r="G20" s="5">
        <f t="shared" ref="G20:L20" si="14">G14-G18</f>
        <v>0</v>
      </c>
      <c r="H20" s="5">
        <f t="shared" si="14"/>
        <v>0</v>
      </c>
      <c r="I20" s="5">
        <f t="shared" si="14"/>
        <v>0</v>
      </c>
      <c r="J20" s="5">
        <f t="shared" si="14"/>
        <v>0</v>
      </c>
      <c r="K20" s="5">
        <f t="shared" si="14"/>
        <v>0</v>
      </c>
      <c r="L20" s="5">
        <f t="shared" si="14"/>
        <v>0</v>
      </c>
      <c r="M20" s="5">
        <f t="shared" si="13"/>
        <v>0</v>
      </c>
      <c r="N20" s="5">
        <f>N14-N18</f>
        <v>139275.04999999999</v>
      </c>
      <c r="P20" s="5">
        <f>P14-P18</f>
        <v>593205.84750000003</v>
      </c>
      <c r="Q20" s="5">
        <f>Q14-Q18</f>
        <v>790941.13000000012</v>
      </c>
      <c r="R20" s="5">
        <v>790941.13000000012</v>
      </c>
      <c r="S20" s="94">
        <f t="shared" si="3"/>
        <v>0</v>
      </c>
      <c r="T20" s="5">
        <f t="shared" ref="T20:AE20" si="15">T14-T18</f>
        <v>142281.44999999998</v>
      </c>
      <c r="U20" s="5">
        <f t="shared" si="15"/>
        <v>131356.12999999998</v>
      </c>
      <c r="V20" s="5">
        <f t="shared" si="15"/>
        <v>124581.86</v>
      </c>
      <c r="W20" s="5">
        <f t="shared" si="15"/>
        <v>77635.17</v>
      </c>
      <c r="X20" s="5">
        <f>X14-X18</f>
        <v>28754.35</v>
      </c>
      <c r="Y20" s="5">
        <f t="shared" ref="Y20:AD20" si="16">Y14-Y18</f>
        <v>13428.060000000001</v>
      </c>
      <c r="Z20" s="5">
        <f t="shared" si="16"/>
        <v>7035</v>
      </c>
      <c r="AA20" s="5">
        <f t="shared" si="16"/>
        <v>12346.73</v>
      </c>
      <c r="AB20" s="5">
        <f t="shared" si="16"/>
        <v>8297</v>
      </c>
      <c r="AC20" s="5">
        <f t="shared" si="16"/>
        <v>15287.32</v>
      </c>
      <c r="AD20" s="5">
        <f t="shared" si="16"/>
        <v>129518.14</v>
      </c>
      <c r="AE20" s="5">
        <f t="shared" si="15"/>
        <v>100419.92</v>
      </c>
      <c r="AF20" s="5">
        <f>AF14-AF18</f>
        <v>790941.13000000012</v>
      </c>
    </row>
    <row r="21" spans="1:32" x14ac:dyDescent="0.25">
      <c r="P21" s="2"/>
      <c r="Q21" s="2"/>
      <c r="R21" s="2"/>
      <c r="S21" s="94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s="2" customFormat="1" x14ac:dyDescent="0.25">
      <c r="A22" s="1" t="s">
        <v>207</v>
      </c>
      <c r="S22" s="94"/>
    </row>
    <row r="23" spans="1:32" s="2" customFormat="1" x14ac:dyDescent="0.25">
      <c r="A23" s="1" t="s">
        <v>223</v>
      </c>
      <c r="S23" s="94"/>
      <c r="AF23" s="2">
        <f>SUM(T23:W23)</f>
        <v>0</v>
      </c>
    </row>
    <row r="24" spans="1:32" s="2" customFormat="1" x14ac:dyDescent="0.25">
      <c r="A24" t="s">
        <v>281</v>
      </c>
      <c r="B24" s="2">
        <v>32259.4</v>
      </c>
      <c r="N24" s="2">
        <f t="shared" ref="N24:N32" si="17">SUM(B24:M24)</f>
        <v>32259.4</v>
      </c>
      <c r="P24" s="2">
        <f t="shared" ref="P24:P32" si="18">Q24/12*$P$6</f>
        <v>181044.04499999998</v>
      </c>
      <c r="Q24" s="2">
        <f>R24</f>
        <v>241392.05999999997</v>
      </c>
      <c r="R24" s="2">
        <v>241392.05999999997</v>
      </c>
      <c r="S24" s="94">
        <f t="shared" si="3"/>
        <v>0</v>
      </c>
      <c r="T24" s="2">
        <v>15834.2</v>
      </c>
      <c r="U24" s="2">
        <v>24166.18</v>
      </c>
      <c r="V24" s="2">
        <v>37081.71</v>
      </c>
      <c r="W24" s="2">
        <v>20886.21</v>
      </c>
      <c r="X24" s="2">
        <v>18251.09</v>
      </c>
      <c r="Y24" s="2">
        <v>16382.41</v>
      </c>
      <c r="Z24" s="2">
        <v>15402.13</v>
      </c>
      <c r="AA24" s="2">
        <v>14659.46</v>
      </c>
      <c r="AB24" s="2">
        <v>15909.62</v>
      </c>
      <c r="AC24" s="2">
        <v>12807.31</v>
      </c>
      <c r="AD24" s="2">
        <v>23364.080000000002</v>
      </c>
      <c r="AE24" s="2">
        <v>26647.66</v>
      </c>
      <c r="AF24" s="2">
        <f t="shared" ref="AF24:AF32" si="19">SUM(T24:AE24)</f>
        <v>241392.05999999997</v>
      </c>
    </row>
    <row r="25" spans="1:32" s="2" customFormat="1" x14ac:dyDescent="0.25">
      <c r="A25" t="s">
        <v>534</v>
      </c>
      <c r="B25" s="2">
        <v>0</v>
      </c>
      <c r="N25" s="2">
        <f t="shared" si="17"/>
        <v>0</v>
      </c>
      <c r="P25" s="2">
        <f t="shared" si="18"/>
        <v>4404.375</v>
      </c>
      <c r="Q25" s="2">
        <f t="shared" ref="Q25:Q32" si="20">R25</f>
        <v>5872.5</v>
      </c>
      <c r="R25" s="2">
        <v>5872.5</v>
      </c>
      <c r="S25" s="94">
        <f t="shared" si="3"/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5872.5</v>
      </c>
      <c r="AF25" s="2">
        <f t="shared" si="19"/>
        <v>5872.5</v>
      </c>
    </row>
    <row r="26" spans="1:32" s="2" customFormat="1" x14ac:dyDescent="0.25">
      <c r="A26" t="s">
        <v>282</v>
      </c>
      <c r="B26" s="2">
        <v>3798.44</v>
      </c>
      <c r="N26" s="2">
        <f t="shared" si="17"/>
        <v>3798.44</v>
      </c>
      <c r="P26" s="2">
        <f t="shared" si="18"/>
        <v>15688.710000000003</v>
      </c>
      <c r="Q26" s="2">
        <f t="shared" si="20"/>
        <v>20918.280000000002</v>
      </c>
      <c r="R26" s="2">
        <v>20918.280000000002</v>
      </c>
      <c r="S26" s="94">
        <f t="shared" si="3"/>
        <v>0</v>
      </c>
      <c r="T26" s="2">
        <v>1521.73</v>
      </c>
      <c r="U26" s="2">
        <v>2302.9</v>
      </c>
      <c r="V26" s="2">
        <v>3377.89</v>
      </c>
      <c r="W26" s="2">
        <v>1767.49</v>
      </c>
      <c r="X26" s="2">
        <v>1425.45</v>
      </c>
      <c r="Y26" s="2">
        <v>1258.53</v>
      </c>
      <c r="Z26" s="2">
        <v>1187.17</v>
      </c>
      <c r="AA26" s="2">
        <v>1193.8399999999999</v>
      </c>
      <c r="AB26" s="2">
        <v>1151.3499999999999</v>
      </c>
      <c r="AC26" s="2">
        <v>1003.79</v>
      </c>
      <c r="AD26" s="2">
        <v>1919.04</v>
      </c>
      <c r="AE26" s="2">
        <v>2809.1</v>
      </c>
      <c r="AF26" s="2">
        <f t="shared" si="19"/>
        <v>20918.280000000002</v>
      </c>
    </row>
    <row r="27" spans="1:32" s="2" customFormat="1" x14ac:dyDescent="0.25">
      <c r="A27" t="s">
        <v>283</v>
      </c>
      <c r="B27" s="2">
        <v>5213.25</v>
      </c>
      <c r="F27" s="175"/>
      <c r="N27" s="2">
        <f t="shared" si="17"/>
        <v>5213.25</v>
      </c>
      <c r="P27" s="2">
        <f t="shared" si="18"/>
        <v>44129.16</v>
      </c>
      <c r="Q27" s="2">
        <f t="shared" si="20"/>
        <v>58838.880000000005</v>
      </c>
      <c r="R27" s="2">
        <v>58838.880000000005</v>
      </c>
      <c r="S27" s="94">
        <f t="shared" si="3"/>
        <v>0</v>
      </c>
      <c r="T27" s="2">
        <v>5181.21</v>
      </c>
      <c r="U27" s="2">
        <v>5181.21</v>
      </c>
      <c r="V27" s="2">
        <v>5370.82</v>
      </c>
      <c r="W27" s="2">
        <v>5181.21</v>
      </c>
      <c r="X27" s="2">
        <v>5181.21</v>
      </c>
      <c r="Y27" s="2">
        <v>5181.21</v>
      </c>
      <c r="Z27" s="2">
        <v>4324.3999999999996</v>
      </c>
      <c r="AA27" s="2">
        <v>4597.0200000000004</v>
      </c>
      <c r="AB27" s="2">
        <v>4597.0200000000004</v>
      </c>
      <c r="AC27" s="2">
        <v>4597.0200000000004</v>
      </c>
      <c r="AD27" s="2">
        <v>4597.0200000000004</v>
      </c>
      <c r="AE27" s="2">
        <v>4849.53</v>
      </c>
      <c r="AF27" s="2">
        <f t="shared" si="19"/>
        <v>58838.880000000005</v>
      </c>
    </row>
    <row r="28" spans="1:32" s="2" customFormat="1" x14ac:dyDescent="0.25">
      <c r="A28" t="s">
        <v>284</v>
      </c>
      <c r="B28" s="2">
        <v>341.94</v>
      </c>
      <c r="F28" s="175"/>
      <c r="N28" s="2">
        <f t="shared" si="17"/>
        <v>341.94</v>
      </c>
      <c r="P28" s="2">
        <f t="shared" si="18"/>
        <v>2803.1850000000004</v>
      </c>
      <c r="Q28" s="2">
        <f t="shared" si="20"/>
        <v>3737.5800000000004</v>
      </c>
      <c r="R28" s="2">
        <v>3737.5800000000004</v>
      </c>
      <c r="S28" s="94">
        <f t="shared" si="3"/>
        <v>0</v>
      </c>
      <c r="T28" s="2">
        <v>362.79</v>
      </c>
      <c r="U28" s="2">
        <v>362.79</v>
      </c>
      <c r="V28" s="2">
        <v>0</v>
      </c>
      <c r="W28" s="2">
        <v>362.79</v>
      </c>
      <c r="X28" s="2">
        <v>362.79</v>
      </c>
      <c r="Y28" s="2">
        <v>362.79</v>
      </c>
      <c r="Z28" s="2">
        <v>288.14999999999998</v>
      </c>
      <c r="AA28" s="2">
        <v>325.47000000000003</v>
      </c>
      <c r="AB28" s="2">
        <v>325.47000000000003</v>
      </c>
      <c r="AC28" s="2">
        <v>325.47000000000003</v>
      </c>
      <c r="AD28" s="2">
        <v>325.47000000000003</v>
      </c>
      <c r="AE28" s="2">
        <v>333.6</v>
      </c>
      <c r="AF28" s="2">
        <f t="shared" si="19"/>
        <v>3737.5800000000004</v>
      </c>
    </row>
    <row r="29" spans="1:32" s="2" customFormat="1" x14ac:dyDescent="0.25">
      <c r="A29" t="s">
        <v>349</v>
      </c>
      <c r="B29" s="2">
        <v>174.32</v>
      </c>
      <c r="N29" s="2">
        <f t="shared" si="17"/>
        <v>174.32</v>
      </c>
      <c r="P29" s="2">
        <f t="shared" si="18"/>
        <v>958.89</v>
      </c>
      <c r="Q29" s="2">
        <f t="shared" si="20"/>
        <v>1278.52</v>
      </c>
      <c r="R29" s="2">
        <v>1278.52</v>
      </c>
      <c r="S29" s="94">
        <f t="shared" si="3"/>
        <v>0</v>
      </c>
      <c r="T29" s="2">
        <v>131.22999999999999</v>
      </c>
      <c r="U29" s="2">
        <v>131.22999999999999</v>
      </c>
      <c r="V29" s="2">
        <v>131.13</v>
      </c>
      <c r="W29" s="2">
        <v>131.22999999999999</v>
      </c>
      <c r="X29" s="2">
        <v>131.22999999999999</v>
      </c>
      <c r="Y29" s="2">
        <v>131.22999999999999</v>
      </c>
      <c r="Z29" s="2">
        <v>76.239999999999995</v>
      </c>
      <c r="AA29" s="2">
        <v>103.75</v>
      </c>
      <c r="AB29" s="2">
        <v>103.75</v>
      </c>
      <c r="AC29" s="2">
        <v>103.75</v>
      </c>
      <c r="AD29" s="2">
        <v>103.75</v>
      </c>
      <c r="AE29" s="2">
        <v>0</v>
      </c>
      <c r="AF29" s="2">
        <f t="shared" si="19"/>
        <v>1278.52</v>
      </c>
    </row>
    <row r="30" spans="1:32" s="2" customFormat="1" x14ac:dyDescent="0.25">
      <c r="A30" t="s">
        <v>328</v>
      </c>
      <c r="B30" s="2">
        <v>500</v>
      </c>
      <c r="N30" s="2">
        <f t="shared" si="17"/>
        <v>500</v>
      </c>
      <c r="P30" s="2">
        <f t="shared" si="18"/>
        <v>4515.7050000000008</v>
      </c>
      <c r="Q30" s="2">
        <f t="shared" si="20"/>
        <v>6020.9400000000005</v>
      </c>
      <c r="R30" s="2">
        <v>6020.9400000000005</v>
      </c>
      <c r="S30" s="94">
        <f t="shared" si="3"/>
        <v>0</v>
      </c>
      <c r="T30" s="2">
        <v>450</v>
      </c>
      <c r="U30" s="2">
        <v>450</v>
      </c>
      <c r="V30" s="2">
        <v>450</v>
      </c>
      <c r="W30" s="2">
        <v>450</v>
      </c>
      <c r="X30" s="2">
        <v>450</v>
      </c>
      <c r="Y30" s="2">
        <v>500</v>
      </c>
      <c r="Z30" s="2">
        <v>500</v>
      </c>
      <c r="AA30" s="2">
        <v>500</v>
      </c>
      <c r="AB30" s="2">
        <v>500</v>
      </c>
      <c r="AC30" s="2">
        <v>500</v>
      </c>
      <c r="AD30" s="2">
        <v>500</v>
      </c>
      <c r="AE30" s="2">
        <v>770.94</v>
      </c>
      <c r="AF30" s="2">
        <f t="shared" si="19"/>
        <v>6020.9400000000005</v>
      </c>
    </row>
    <row r="31" spans="1:32" s="2" customFormat="1" x14ac:dyDescent="0.25">
      <c r="A31" t="s">
        <v>285</v>
      </c>
      <c r="N31" s="2">
        <f t="shared" si="17"/>
        <v>0</v>
      </c>
      <c r="P31" s="2">
        <f t="shared" si="18"/>
        <v>1181.6624999999999</v>
      </c>
      <c r="Q31" s="2">
        <f t="shared" si="20"/>
        <v>1575.55</v>
      </c>
      <c r="R31" s="2">
        <v>1575.55</v>
      </c>
      <c r="S31" s="94">
        <f t="shared" si="3"/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1575.5</v>
      </c>
      <c r="Z31" s="2">
        <v>0</v>
      </c>
      <c r="AA31" s="2">
        <v>0</v>
      </c>
      <c r="AB31" s="2">
        <v>0.05</v>
      </c>
      <c r="AC31" s="2">
        <v>0</v>
      </c>
      <c r="AD31" s="2">
        <v>0</v>
      </c>
      <c r="AE31" s="2">
        <v>0</v>
      </c>
      <c r="AF31" s="2">
        <f t="shared" si="19"/>
        <v>1575.55</v>
      </c>
    </row>
    <row r="32" spans="1:32" s="2" customFormat="1" x14ac:dyDescent="0.25">
      <c r="A32" t="s">
        <v>348</v>
      </c>
      <c r="B32" s="2">
        <v>12482.4</v>
      </c>
      <c r="N32" s="2">
        <f t="shared" si="17"/>
        <v>12482.4</v>
      </c>
      <c r="P32" s="2">
        <f t="shared" si="18"/>
        <v>54785.924999999996</v>
      </c>
      <c r="Q32" s="2">
        <f t="shared" si="20"/>
        <v>73047.899999999994</v>
      </c>
      <c r="R32" s="2">
        <v>73047.899999999994</v>
      </c>
      <c r="S32" s="94">
        <f t="shared" si="3"/>
        <v>0</v>
      </c>
      <c r="T32" s="2">
        <v>6984.2</v>
      </c>
      <c r="U32" s="2">
        <v>11650.4</v>
      </c>
      <c r="V32" s="2">
        <v>16897.400000000001</v>
      </c>
      <c r="W32" s="2">
        <v>4709.3999999999996</v>
      </c>
      <c r="X32" s="2">
        <v>1677.6</v>
      </c>
      <c r="Y32" s="2">
        <v>1704</v>
      </c>
      <c r="Z32" s="2">
        <v>2415</v>
      </c>
      <c r="AA32" s="2">
        <v>1907.5</v>
      </c>
      <c r="AB32" s="2">
        <v>1785</v>
      </c>
      <c r="AC32" s="2">
        <v>2634.1</v>
      </c>
      <c r="AD32" s="2">
        <v>9853.4</v>
      </c>
      <c r="AE32" s="2">
        <v>10829.9</v>
      </c>
      <c r="AF32" s="2">
        <f t="shared" si="19"/>
        <v>73047.899999999994</v>
      </c>
    </row>
    <row r="33" spans="1:32" s="2" customFormat="1" x14ac:dyDescent="0.25">
      <c r="A33" s="1" t="s">
        <v>231</v>
      </c>
      <c r="B33" s="4">
        <f>SUM(B24:B32)</f>
        <v>54769.750000000007</v>
      </c>
      <c r="C33" s="4">
        <f t="shared" ref="C33:E33" si="21">SUM(C24:C32)</f>
        <v>0</v>
      </c>
      <c r="D33" s="4">
        <f t="shared" si="21"/>
        <v>0</v>
      </c>
      <c r="E33" s="4">
        <f t="shared" si="21"/>
        <v>0</v>
      </c>
      <c r="F33" s="4">
        <f t="shared" ref="F33:M33" si="22">SUM(F24:F32)</f>
        <v>0</v>
      </c>
      <c r="G33" s="4">
        <f t="shared" si="22"/>
        <v>0</v>
      </c>
      <c r="H33" s="4">
        <f t="shared" si="22"/>
        <v>0</v>
      </c>
      <c r="I33" s="4">
        <f t="shared" si="22"/>
        <v>0</v>
      </c>
      <c r="J33" s="4">
        <f t="shared" si="22"/>
        <v>0</v>
      </c>
      <c r="K33" s="4">
        <f t="shared" ref="K33:L33" si="23">SUM(K24:K32)</f>
        <v>0</v>
      </c>
      <c r="L33" s="4">
        <f t="shared" si="23"/>
        <v>0</v>
      </c>
      <c r="M33" s="4">
        <f t="shared" si="22"/>
        <v>0</v>
      </c>
      <c r="N33" s="4">
        <f>SUM(N24:N32)</f>
        <v>54769.750000000007</v>
      </c>
      <c r="P33" s="4">
        <f>SUM(P24:P32)</f>
        <v>309511.65749999997</v>
      </c>
      <c r="Q33" s="4">
        <f>SUM(Q24:Q32)</f>
        <v>412682.20999999996</v>
      </c>
      <c r="R33" s="4">
        <v>412682.20999999996</v>
      </c>
      <c r="S33" s="94">
        <f t="shared" si="3"/>
        <v>0</v>
      </c>
      <c r="T33" s="4">
        <f>SUM(T24:T32)</f>
        <v>30465.360000000001</v>
      </c>
      <c r="U33" s="4">
        <f t="shared" ref="U33:AE33" si="24">SUM(U24:U32)</f>
        <v>44244.71</v>
      </c>
      <c r="V33" s="4">
        <f t="shared" si="24"/>
        <v>63308.95</v>
      </c>
      <c r="W33" s="4">
        <f t="shared" si="24"/>
        <v>33488.33</v>
      </c>
      <c r="X33" s="4">
        <f t="shared" si="24"/>
        <v>27479.37</v>
      </c>
      <c r="Y33" s="4">
        <f t="shared" si="24"/>
        <v>27095.67</v>
      </c>
      <c r="Z33" s="4">
        <f t="shared" si="24"/>
        <v>24193.09</v>
      </c>
      <c r="AA33" s="4">
        <f t="shared" si="24"/>
        <v>23287.040000000001</v>
      </c>
      <c r="AB33" s="4">
        <f t="shared" si="24"/>
        <v>24372.260000000002</v>
      </c>
      <c r="AC33" s="4">
        <f t="shared" si="24"/>
        <v>21971.439999999999</v>
      </c>
      <c r="AD33" s="4">
        <f t="shared" si="24"/>
        <v>40662.76</v>
      </c>
      <c r="AE33" s="4">
        <f t="shared" si="24"/>
        <v>52113.23</v>
      </c>
      <c r="AF33" s="4">
        <f>SUM(AF24:AF32)</f>
        <v>412682.20999999996</v>
      </c>
    </row>
    <row r="34" spans="1:32" s="2" customFormat="1" x14ac:dyDescent="0.25">
      <c r="A34" t="s">
        <v>59</v>
      </c>
      <c r="S34" s="94"/>
    </row>
    <row r="35" spans="1:32" s="2" customFormat="1" x14ac:dyDescent="0.25">
      <c r="A35" s="1" t="s">
        <v>286</v>
      </c>
      <c r="S35" s="94"/>
    </row>
    <row r="36" spans="1:32" s="2" customFormat="1" x14ac:dyDescent="0.25">
      <c r="A36" t="s">
        <v>232</v>
      </c>
      <c r="B36" s="2">
        <v>1000</v>
      </c>
      <c r="N36" s="2">
        <f t="shared" ref="N36:N56" si="25">SUM(B36:M36)</f>
        <v>1000</v>
      </c>
      <c r="P36" s="2">
        <f>Q36/12*$P$6</f>
        <v>9000</v>
      </c>
      <c r="Q36" s="2">
        <f>R36</f>
        <v>12000</v>
      </c>
      <c r="R36" s="2">
        <v>12000</v>
      </c>
      <c r="S36" s="94">
        <f t="shared" si="3"/>
        <v>0</v>
      </c>
      <c r="T36" s="2">
        <v>1000</v>
      </c>
      <c r="U36" s="2">
        <v>1000</v>
      </c>
      <c r="V36" s="2">
        <v>1000</v>
      </c>
      <c r="W36" s="2">
        <v>1000</v>
      </c>
      <c r="X36" s="2">
        <v>1000</v>
      </c>
      <c r="Y36" s="2">
        <v>1000</v>
      </c>
      <c r="Z36" s="2">
        <v>1000</v>
      </c>
      <c r="AA36" s="2">
        <v>1000</v>
      </c>
      <c r="AB36" s="2">
        <v>1000</v>
      </c>
      <c r="AC36" s="2">
        <v>1000</v>
      </c>
      <c r="AD36" s="2">
        <v>1000</v>
      </c>
      <c r="AE36" s="2">
        <v>1000</v>
      </c>
      <c r="AF36" s="2">
        <f t="shared" ref="AF36:AF56" si="26">SUM(T36:AE36)</f>
        <v>12000</v>
      </c>
    </row>
    <row r="37" spans="1:32" s="2" customFormat="1" x14ac:dyDescent="0.25">
      <c r="A37" t="s">
        <v>234</v>
      </c>
      <c r="B37" s="2">
        <v>12511.96</v>
      </c>
      <c r="N37" s="2">
        <f t="shared" si="25"/>
        <v>12511.96</v>
      </c>
      <c r="P37" s="2">
        <f t="shared" ref="P37:P56" si="27">Q37/12*$P$6</f>
        <v>55827.277500000011</v>
      </c>
      <c r="Q37" s="2">
        <f t="shared" ref="Q37:Q56" si="28">R37</f>
        <v>74436.37000000001</v>
      </c>
      <c r="R37" s="2">
        <v>74436.37000000001</v>
      </c>
      <c r="S37" s="94">
        <f t="shared" si="3"/>
        <v>0</v>
      </c>
      <c r="T37" s="2">
        <v>18970.560000000001</v>
      </c>
      <c r="U37" s="2">
        <v>2008.94</v>
      </c>
      <c r="V37" s="2">
        <v>22275.65</v>
      </c>
      <c r="W37" s="2">
        <v>11359.93</v>
      </c>
      <c r="X37" s="2">
        <v>3739.77</v>
      </c>
      <c r="Y37" s="2">
        <v>91.8</v>
      </c>
      <c r="Z37" s="2">
        <v>583.80999999999995</v>
      </c>
      <c r="AA37" s="2">
        <v>487.15</v>
      </c>
      <c r="AB37" s="2">
        <v>507.76</v>
      </c>
      <c r="AC37" s="2">
        <v>918.67</v>
      </c>
      <c r="AD37" s="2">
        <v>5326.84</v>
      </c>
      <c r="AE37" s="2">
        <v>8165.49</v>
      </c>
      <c r="AF37" s="2">
        <f t="shared" si="26"/>
        <v>74436.37000000001</v>
      </c>
    </row>
    <row r="38" spans="1:32" s="2" customFormat="1" x14ac:dyDescent="0.25">
      <c r="A38" t="s">
        <v>233</v>
      </c>
      <c r="B38" s="2">
        <v>883.5</v>
      </c>
      <c r="N38" s="2">
        <f t="shared" si="25"/>
        <v>883.5</v>
      </c>
      <c r="P38" s="2">
        <f t="shared" si="27"/>
        <v>5338.125</v>
      </c>
      <c r="Q38" s="2">
        <f t="shared" si="28"/>
        <v>7117.5</v>
      </c>
      <c r="R38" s="2">
        <v>7117.5</v>
      </c>
      <c r="S38" s="94">
        <f t="shared" si="3"/>
        <v>0</v>
      </c>
      <c r="T38" s="2">
        <v>883.5</v>
      </c>
      <c r="U38" s="2">
        <v>864.5</v>
      </c>
      <c r="V38" s="2">
        <v>800</v>
      </c>
      <c r="W38" s="2">
        <v>739.5</v>
      </c>
      <c r="X38" s="2">
        <v>416</v>
      </c>
      <c r="Y38" s="2">
        <v>379.5</v>
      </c>
      <c r="Z38" s="2">
        <v>446</v>
      </c>
      <c r="AA38" s="2">
        <v>439.5</v>
      </c>
      <c r="AB38" s="2">
        <v>416</v>
      </c>
      <c r="AC38" s="2">
        <v>364.5</v>
      </c>
      <c r="AD38" s="2">
        <v>586</v>
      </c>
      <c r="AE38" s="2">
        <v>782.5</v>
      </c>
      <c r="AF38" s="2">
        <f t="shared" si="26"/>
        <v>7117.5</v>
      </c>
    </row>
    <row r="39" spans="1:32" s="2" customFormat="1" x14ac:dyDescent="0.25">
      <c r="A39" t="s">
        <v>333</v>
      </c>
      <c r="N39" s="2">
        <f t="shared" si="25"/>
        <v>0</v>
      </c>
      <c r="P39" s="2">
        <f t="shared" si="27"/>
        <v>1665.825</v>
      </c>
      <c r="Q39" s="2">
        <f t="shared" si="28"/>
        <v>2221.1</v>
      </c>
      <c r="R39" s="2">
        <v>2221.1</v>
      </c>
      <c r="S39" s="94">
        <f t="shared" si="3"/>
        <v>0</v>
      </c>
      <c r="T39" s="2">
        <v>233.88</v>
      </c>
      <c r="U39" s="2">
        <v>0</v>
      </c>
      <c r="V39" s="2">
        <v>0</v>
      </c>
      <c r="W39" s="2">
        <v>0</v>
      </c>
      <c r="X39" s="2">
        <v>1298.1400000000001</v>
      </c>
      <c r="Y39" s="2">
        <v>0</v>
      </c>
      <c r="Z39" s="2">
        <v>0</v>
      </c>
      <c r="AA39" s="2">
        <v>0</v>
      </c>
      <c r="AB39" s="2">
        <v>500</v>
      </c>
      <c r="AC39" s="2">
        <v>189.08</v>
      </c>
      <c r="AD39" s="2">
        <v>0</v>
      </c>
      <c r="AE39" s="2">
        <v>0</v>
      </c>
      <c r="AF39" s="2">
        <f t="shared" si="26"/>
        <v>2221.1</v>
      </c>
    </row>
    <row r="40" spans="1:32" s="2" customFormat="1" x14ac:dyDescent="0.25">
      <c r="A40" t="s">
        <v>288</v>
      </c>
      <c r="B40" s="2">
        <v>954.58</v>
      </c>
      <c r="N40" s="2">
        <f t="shared" si="25"/>
        <v>954.58</v>
      </c>
      <c r="P40" s="2">
        <f t="shared" si="27"/>
        <v>5994.6525000000001</v>
      </c>
      <c r="Q40" s="2">
        <f t="shared" si="28"/>
        <v>7992.87</v>
      </c>
      <c r="R40" s="2">
        <v>7992.87</v>
      </c>
      <c r="S40" s="94">
        <f t="shared" si="3"/>
        <v>0</v>
      </c>
      <c r="T40" s="2">
        <v>624.76</v>
      </c>
      <c r="U40" s="2">
        <v>504.76</v>
      </c>
      <c r="V40" s="2">
        <v>624.76</v>
      </c>
      <c r="W40" s="2">
        <v>624.76</v>
      </c>
      <c r="X40" s="2">
        <v>624.76</v>
      </c>
      <c r="Y40" s="2">
        <v>624.76</v>
      </c>
      <c r="Z40" s="2">
        <v>624.76</v>
      </c>
      <c r="AA40" s="2">
        <v>747.91</v>
      </c>
      <c r="AB40" s="2">
        <v>747.91</v>
      </c>
      <c r="AC40" s="2">
        <v>747.91</v>
      </c>
      <c r="AD40" s="2">
        <v>747.91</v>
      </c>
      <c r="AE40" s="2">
        <v>747.91</v>
      </c>
      <c r="AF40" s="2">
        <f t="shared" si="26"/>
        <v>7992.87</v>
      </c>
    </row>
    <row r="41" spans="1:32" s="2" customFormat="1" hidden="1" x14ac:dyDescent="0.25">
      <c r="A41" t="s">
        <v>437</v>
      </c>
      <c r="N41" s="2">
        <f t="shared" si="25"/>
        <v>0</v>
      </c>
      <c r="P41" s="2">
        <f t="shared" si="27"/>
        <v>0</v>
      </c>
      <c r="Q41" s="2">
        <f t="shared" si="28"/>
        <v>0</v>
      </c>
      <c r="R41" s="2">
        <v>0</v>
      </c>
      <c r="S41" s="94">
        <f t="shared" si="3"/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f t="shared" si="26"/>
        <v>0</v>
      </c>
    </row>
    <row r="42" spans="1:32" s="2" customFormat="1" x14ac:dyDescent="0.25">
      <c r="A42" t="s">
        <v>351</v>
      </c>
      <c r="B42" s="2">
        <v>597.65</v>
      </c>
      <c r="N42" s="2">
        <f t="shared" si="25"/>
        <v>597.65</v>
      </c>
      <c r="P42" s="2">
        <f t="shared" si="27"/>
        <v>8594.73</v>
      </c>
      <c r="Q42" s="2">
        <f t="shared" si="28"/>
        <v>11459.64</v>
      </c>
      <c r="R42" s="2">
        <v>11459.64</v>
      </c>
      <c r="S42" s="94">
        <f t="shared" si="3"/>
        <v>0</v>
      </c>
      <c r="T42" s="2">
        <v>990</v>
      </c>
      <c r="U42" s="2">
        <v>399.19</v>
      </c>
      <c r="V42" s="2">
        <f>292.3+700.49</f>
        <v>992.79</v>
      </c>
      <c r="W42" s="2">
        <v>0</v>
      </c>
      <c r="X42" s="2">
        <v>0</v>
      </c>
      <c r="Y42" s="2">
        <v>66.2</v>
      </c>
      <c r="Z42" s="2">
        <f>360+106.4</f>
        <v>466.4</v>
      </c>
      <c r="AA42" s="2">
        <v>0</v>
      </c>
      <c r="AB42" s="2">
        <v>0</v>
      </c>
      <c r="AC42" s="2">
        <v>1497.22</v>
      </c>
      <c r="AD42" s="2">
        <f>600</f>
        <v>600</v>
      </c>
      <c r="AE42" s="2">
        <v>6447.84</v>
      </c>
      <c r="AF42" s="2">
        <f t="shared" si="26"/>
        <v>11459.64</v>
      </c>
    </row>
    <row r="43" spans="1:32" s="2" customFormat="1" x14ac:dyDescent="0.25">
      <c r="A43" t="s">
        <v>352</v>
      </c>
      <c r="B43" s="2">
        <v>1728.62</v>
      </c>
      <c r="N43" s="2">
        <f t="shared" si="25"/>
        <v>1728.62</v>
      </c>
      <c r="P43" s="2">
        <f t="shared" si="27"/>
        <v>8654.0399999999991</v>
      </c>
      <c r="Q43" s="2">
        <f t="shared" si="28"/>
        <v>11538.72</v>
      </c>
      <c r="R43" s="2">
        <v>11538.72</v>
      </c>
      <c r="S43" s="94">
        <f t="shared" si="3"/>
        <v>0</v>
      </c>
      <c r="T43" s="2">
        <v>1367.42</v>
      </c>
      <c r="U43" s="2">
        <v>0</v>
      </c>
      <c r="V43" s="2">
        <v>573.99</v>
      </c>
      <c r="W43" s="2">
        <v>425.44</v>
      </c>
      <c r="X43" s="2">
        <v>1130</v>
      </c>
      <c r="Y43" s="2">
        <v>3112</v>
      </c>
      <c r="Z43" s="2">
        <v>0</v>
      </c>
      <c r="AA43" s="2">
        <v>470</v>
      </c>
      <c r="AB43" s="2">
        <v>0</v>
      </c>
      <c r="AC43" s="2">
        <v>3732.42</v>
      </c>
      <c r="AD43" s="2">
        <v>505.9</v>
      </c>
      <c r="AE43" s="2">
        <v>221.55</v>
      </c>
      <c r="AF43" s="2">
        <f t="shared" si="26"/>
        <v>11538.72</v>
      </c>
    </row>
    <row r="44" spans="1:32" s="2" customFormat="1" x14ac:dyDescent="0.25">
      <c r="A44" t="s">
        <v>353</v>
      </c>
      <c r="B44" s="2">
        <f>111.72+4560.78</f>
        <v>4672.5</v>
      </c>
      <c r="N44" s="2">
        <f t="shared" si="25"/>
        <v>4672.5</v>
      </c>
      <c r="P44" s="2">
        <f t="shared" si="27"/>
        <v>14905.484999999997</v>
      </c>
      <c r="Q44" s="2">
        <f t="shared" si="28"/>
        <v>19873.979999999996</v>
      </c>
      <c r="R44" s="2">
        <v>19873.979999999996</v>
      </c>
      <c r="S44" s="94">
        <f t="shared" si="3"/>
        <v>0</v>
      </c>
      <c r="T44" s="2">
        <f>103.4+4531.26</f>
        <v>4634.66</v>
      </c>
      <c r="U44" s="2">
        <f>106.4+1356.39</f>
        <v>1462.7900000000002</v>
      </c>
      <c r="V44" s="2">
        <f>106.4+1345.43</f>
        <v>1451.8300000000002</v>
      </c>
      <c r="W44" s="2">
        <f>106.4+873.33</f>
        <v>979.73</v>
      </c>
      <c r="X44" s="2">
        <f>106.4+1079.16</f>
        <v>1185.5600000000002</v>
      </c>
      <c r="Y44" s="2">
        <f>281.25+106.4</f>
        <v>387.65</v>
      </c>
      <c r="Z44" s="2">
        <v>1838.18</v>
      </c>
      <c r="AA44" s="2">
        <f>106.4+977.97</f>
        <v>1084.3700000000001</v>
      </c>
      <c r="AB44" s="2">
        <f>106.4+248.19</f>
        <v>354.59000000000003</v>
      </c>
      <c r="AC44" s="2">
        <f>106.4+3037.27</f>
        <v>3143.67</v>
      </c>
      <c r="AD44" s="2">
        <f>106.4+1662.77</f>
        <v>1769.17</v>
      </c>
      <c r="AE44" s="2">
        <f>106.4+1475.38</f>
        <v>1581.7800000000002</v>
      </c>
      <c r="AF44" s="2">
        <f t="shared" si="26"/>
        <v>19873.979999999996</v>
      </c>
    </row>
    <row r="45" spans="1:32" s="2" customFormat="1" x14ac:dyDescent="0.25">
      <c r="A45" t="s">
        <v>237</v>
      </c>
      <c r="B45" s="2">
        <v>231.72</v>
      </c>
      <c r="N45" s="2">
        <f t="shared" si="25"/>
        <v>231.72</v>
      </c>
      <c r="P45" s="2">
        <f t="shared" si="27"/>
        <v>554.75249999999994</v>
      </c>
      <c r="Q45" s="2">
        <f t="shared" si="28"/>
        <v>739.67</v>
      </c>
      <c r="R45" s="2">
        <v>739.67</v>
      </c>
      <c r="S45" s="94">
        <f t="shared" si="3"/>
        <v>0</v>
      </c>
      <c r="T45" s="2">
        <v>0</v>
      </c>
      <c r="U45" s="2">
        <v>0</v>
      </c>
      <c r="V45" s="2">
        <v>0</v>
      </c>
      <c r="W45" s="2">
        <v>233.66</v>
      </c>
      <c r="X45" s="2">
        <v>0</v>
      </c>
      <c r="Y45" s="2">
        <v>0</v>
      </c>
      <c r="Z45" s="2">
        <v>253.01</v>
      </c>
      <c r="AA45" s="2">
        <v>0</v>
      </c>
      <c r="AB45" s="2">
        <v>0</v>
      </c>
      <c r="AC45" s="2">
        <v>253</v>
      </c>
      <c r="AD45" s="2">
        <v>0</v>
      </c>
      <c r="AE45" s="2">
        <v>0</v>
      </c>
      <c r="AF45" s="2">
        <f t="shared" si="26"/>
        <v>739.67</v>
      </c>
    </row>
    <row r="46" spans="1:32" s="2" customFormat="1" hidden="1" x14ac:dyDescent="0.25">
      <c r="A46" t="s">
        <v>238</v>
      </c>
      <c r="N46" s="2">
        <f t="shared" si="25"/>
        <v>0</v>
      </c>
      <c r="P46" s="2">
        <f t="shared" si="27"/>
        <v>0</v>
      </c>
      <c r="Q46" s="2">
        <f t="shared" si="28"/>
        <v>0</v>
      </c>
      <c r="R46" s="2">
        <v>0</v>
      </c>
      <c r="S46" s="94">
        <f t="shared" si="3"/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f t="shared" si="26"/>
        <v>0</v>
      </c>
    </row>
    <row r="47" spans="1:32" s="2" customFormat="1" x14ac:dyDescent="0.25">
      <c r="A47" t="s">
        <v>236</v>
      </c>
      <c r="B47" s="2">
        <v>2648.59</v>
      </c>
      <c r="N47" s="2">
        <f t="shared" si="25"/>
        <v>2648.59</v>
      </c>
      <c r="P47" s="2">
        <f t="shared" si="27"/>
        <v>21944.497499999998</v>
      </c>
      <c r="Q47" s="2">
        <f t="shared" si="28"/>
        <v>29259.329999999998</v>
      </c>
      <c r="R47" s="2">
        <v>29259.329999999998</v>
      </c>
      <c r="S47" s="94">
        <f t="shared" si="3"/>
        <v>0</v>
      </c>
      <c r="T47" s="2">
        <v>2424</v>
      </c>
      <c r="U47" s="2">
        <v>2424</v>
      </c>
      <c r="V47" s="2">
        <v>2424</v>
      </c>
      <c r="W47" s="2">
        <v>2424</v>
      </c>
      <c r="X47" s="2">
        <v>2426</v>
      </c>
      <c r="Y47" s="2">
        <v>2424</v>
      </c>
      <c r="Z47" s="2">
        <v>2424</v>
      </c>
      <c r="AA47" s="2">
        <v>2424</v>
      </c>
      <c r="AB47" s="2">
        <v>2424</v>
      </c>
      <c r="AC47" s="2">
        <v>2416</v>
      </c>
      <c r="AD47" s="2">
        <v>2512.67</v>
      </c>
      <c r="AE47" s="2">
        <v>2512.66</v>
      </c>
      <c r="AF47" s="2">
        <f t="shared" si="26"/>
        <v>29259.329999999998</v>
      </c>
    </row>
    <row r="48" spans="1:32" s="2" customFormat="1" x14ac:dyDescent="0.25">
      <c r="A48" t="s">
        <v>350</v>
      </c>
      <c r="B48" s="2">
        <v>110</v>
      </c>
      <c r="N48" s="2">
        <f t="shared" si="25"/>
        <v>110</v>
      </c>
      <c r="P48" s="2">
        <f t="shared" si="27"/>
        <v>1248.75</v>
      </c>
      <c r="Q48" s="2">
        <f t="shared" si="28"/>
        <v>1665</v>
      </c>
      <c r="R48" s="2">
        <v>1665</v>
      </c>
      <c r="S48" s="94">
        <f t="shared" si="3"/>
        <v>0</v>
      </c>
      <c r="T48" s="2">
        <v>109</v>
      </c>
      <c r="U48" s="2">
        <v>0</v>
      </c>
      <c r="V48" s="2">
        <v>456</v>
      </c>
      <c r="W48" s="2">
        <v>0</v>
      </c>
      <c r="Y48" s="2">
        <v>0</v>
      </c>
      <c r="Z48" s="2">
        <v>0</v>
      </c>
      <c r="AA48" s="2">
        <v>300</v>
      </c>
      <c r="AB48" s="2">
        <v>0</v>
      </c>
      <c r="AC48" s="2">
        <v>100</v>
      </c>
      <c r="AD48" s="2">
        <v>700</v>
      </c>
      <c r="AE48" s="2">
        <v>0</v>
      </c>
      <c r="AF48" s="2">
        <f t="shared" si="26"/>
        <v>1665</v>
      </c>
    </row>
    <row r="49" spans="1:32" s="2" customFormat="1" x14ac:dyDescent="0.25">
      <c r="A49" t="s">
        <v>365</v>
      </c>
      <c r="N49" s="2">
        <f t="shared" si="25"/>
        <v>0</v>
      </c>
      <c r="P49" s="2">
        <f t="shared" si="27"/>
        <v>3326.5574999999999</v>
      </c>
      <c r="Q49" s="2">
        <f t="shared" si="28"/>
        <v>4435.41</v>
      </c>
      <c r="R49" s="2">
        <v>4435.41</v>
      </c>
      <c r="S49" s="94">
        <f t="shared" si="3"/>
        <v>0</v>
      </c>
      <c r="T49" s="2">
        <v>0</v>
      </c>
      <c r="U49" s="2">
        <v>0</v>
      </c>
      <c r="V49" s="2">
        <v>803.9</v>
      </c>
      <c r="W49" s="2">
        <v>0</v>
      </c>
      <c r="X49" s="2">
        <v>1736.17</v>
      </c>
      <c r="Y49" s="2">
        <v>378.9</v>
      </c>
      <c r="Z49" s="2">
        <v>0</v>
      </c>
      <c r="AA49" s="2">
        <v>0</v>
      </c>
      <c r="AB49" s="2">
        <v>1137.54</v>
      </c>
      <c r="AC49" s="2">
        <v>0</v>
      </c>
      <c r="AD49" s="2">
        <v>378.9</v>
      </c>
      <c r="AE49" s="2">
        <v>0</v>
      </c>
      <c r="AF49" s="2">
        <f t="shared" si="26"/>
        <v>4435.41</v>
      </c>
    </row>
    <row r="50" spans="1:32" s="2" customFormat="1" x14ac:dyDescent="0.25">
      <c r="A50" t="s">
        <v>239</v>
      </c>
      <c r="N50" s="2">
        <f t="shared" si="25"/>
        <v>0</v>
      </c>
      <c r="P50" s="2">
        <f t="shared" si="27"/>
        <v>1063.1325000000002</v>
      </c>
      <c r="Q50" s="2">
        <f t="shared" si="28"/>
        <v>1417.5100000000002</v>
      </c>
      <c r="R50" s="2">
        <v>1417.5100000000002</v>
      </c>
      <c r="S50" s="94">
        <f t="shared" si="3"/>
        <v>0</v>
      </c>
      <c r="T50" s="2">
        <v>491.08</v>
      </c>
      <c r="U50" s="2">
        <v>758.32</v>
      </c>
      <c r="V50" s="2">
        <v>0</v>
      </c>
      <c r="W50" s="2">
        <v>168.11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f t="shared" si="26"/>
        <v>1417.5100000000002</v>
      </c>
    </row>
    <row r="51" spans="1:32" s="2" customFormat="1" hidden="1" x14ac:dyDescent="0.25">
      <c r="A51" t="s">
        <v>246</v>
      </c>
      <c r="N51" s="2">
        <f t="shared" si="25"/>
        <v>0</v>
      </c>
      <c r="P51" s="2">
        <f t="shared" si="27"/>
        <v>0</v>
      </c>
      <c r="Q51" s="2">
        <f t="shared" si="28"/>
        <v>0</v>
      </c>
      <c r="R51" s="2">
        <v>0</v>
      </c>
      <c r="S51" s="94">
        <f t="shared" si="3"/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f t="shared" si="26"/>
        <v>0</v>
      </c>
    </row>
    <row r="52" spans="1:32" s="2" customFormat="1" hidden="1" x14ac:dyDescent="0.25">
      <c r="A52" t="s">
        <v>240</v>
      </c>
      <c r="N52" s="2">
        <f t="shared" si="25"/>
        <v>0</v>
      </c>
      <c r="P52" s="2">
        <f t="shared" si="27"/>
        <v>0</v>
      </c>
      <c r="Q52" s="2">
        <f t="shared" si="28"/>
        <v>0</v>
      </c>
      <c r="R52" s="2">
        <v>0</v>
      </c>
      <c r="S52" s="94">
        <f t="shared" si="3"/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f t="shared" si="26"/>
        <v>0</v>
      </c>
    </row>
    <row r="53" spans="1:32" s="2" customFormat="1" x14ac:dyDescent="0.25">
      <c r="A53" t="s">
        <v>290</v>
      </c>
      <c r="B53" s="2">
        <v>8414.0300000000007</v>
      </c>
      <c r="N53" s="2">
        <f t="shared" si="25"/>
        <v>8414.0300000000007</v>
      </c>
      <c r="P53" s="2">
        <f t="shared" si="27"/>
        <v>83006.242500000008</v>
      </c>
      <c r="Q53" s="2">
        <f t="shared" si="28"/>
        <v>110674.99</v>
      </c>
      <c r="R53" s="2">
        <v>110674.99</v>
      </c>
      <c r="S53" s="94">
        <f t="shared" si="3"/>
        <v>0</v>
      </c>
      <c r="T53" s="2">
        <v>9382.49</v>
      </c>
      <c r="U53" s="2">
        <v>9382.09</v>
      </c>
      <c r="V53" s="2">
        <v>9382.09</v>
      </c>
      <c r="W53" s="2">
        <v>9382.09</v>
      </c>
      <c r="X53" s="2">
        <v>9382.09</v>
      </c>
      <c r="Y53" s="2">
        <v>9382.09</v>
      </c>
      <c r="Z53" s="2">
        <v>9382.09</v>
      </c>
      <c r="AA53" s="2">
        <v>9429.58</v>
      </c>
      <c r="AB53" s="2">
        <v>9491.2900000000009</v>
      </c>
      <c r="AC53" s="2">
        <v>8693.16</v>
      </c>
      <c r="AD53" s="2">
        <v>8693.16</v>
      </c>
      <c r="AE53" s="2">
        <v>8692.77</v>
      </c>
      <c r="AF53" s="2">
        <f t="shared" si="26"/>
        <v>110674.99</v>
      </c>
    </row>
    <row r="54" spans="1:32" s="2" customFormat="1" hidden="1" x14ac:dyDescent="0.25">
      <c r="A54" t="s">
        <v>293</v>
      </c>
      <c r="N54" s="2">
        <f t="shared" si="25"/>
        <v>0</v>
      </c>
      <c r="P54" s="2">
        <f t="shared" si="27"/>
        <v>0</v>
      </c>
      <c r="Q54" s="2">
        <f t="shared" si="28"/>
        <v>0</v>
      </c>
      <c r="R54" s="2">
        <v>0</v>
      </c>
      <c r="S54" s="94">
        <f t="shared" si="3"/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f t="shared" si="26"/>
        <v>0</v>
      </c>
    </row>
    <row r="55" spans="1:32" s="2" customFormat="1" hidden="1" x14ac:dyDescent="0.25">
      <c r="A55" t="s">
        <v>362</v>
      </c>
      <c r="N55" s="2">
        <f t="shared" si="25"/>
        <v>0</v>
      </c>
      <c r="P55" s="2">
        <f t="shared" si="27"/>
        <v>1779.5925</v>
      </c>
      <c r="Q55" s="2">
        <f t="shared" si="28"/>
        <v>2372.79</v>
      </c>
      <c r="R55" s="2">
        <v>2372.79</v>
      </c>
      <c r="S55" s="94">
        <f t="shared" si="3"/>
        <v>0</v>
      </c>
      <c r="T55" s="2">
        <v>0</v>
      </c>
      <c r="U55" s="2">
        <v>2048</v>
      </c>
      <c r="V55" s="2">
        <v>0</v>
      </c>
      <c r="W55" s="2">
        <v>324.79000000000002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f t="shared" si="26"/>
        <v>2372.79</v>
      </c>
    </row>
    <row r="56" spans="1:32" s="2" customFormat="1" x14ac:dyDescent="0.25">
      <c r="A56" t="s">
        <v>363</v>
      </c>
      <c r="B56" s="2">
        <v>823.61</v>
      </c>
      <c r="N56" s="2">
        <f t="shared" si="25"/>
        <v>823.61</v>
      </c>
      <c r="P56" s="2">
        <f t="shared" si="27"/>
        <v>4966.6499999999996</v>
      </c>
      <c r="Q56" s="2">
        <f t="shared" si="28"/>
        <v>6622.1999999999989</v>
      </c>
      <c r="R56" s="2">
        <v>6622.1999999999989</v>
      </c>
      <c r="S56" s="94">
        <f t="shared" si="3"/>
        <v>0</v>
      </c>
      <c r="T56" s="2">
        <v>1140.8399999999999</v>
      </c>
      <c r="U56" s="2">
        <v>925.84</v>
      </c>
      <c r="V56" s="2">
        <v>0</v>
      </c>
      <c r="W56" s="2">
        <v>795.42</v>
      </c>
      <c r="X56" s="2">
        <v>345.42</v>
      </c>
      <c r="Y56" s="2">
        <v>359.24</v>
      </c>
      <c r="Z56" s="2">
        <v>809.24</v>
      </c>
      <c r="AA56" s="2">
        <v>359.24</v>
      </c>
      <c r="AB56" s="2">
        <v>359.24</v>
      </c>
      <c r="AC56" s="2">
        <v>359.24</v>
      </c>
      <c r="AD56" s="2">
        <v>809.24</v>
      </c>
      <c r="AE56" s="2">
        <v>359.24</v>
      </c>
      <c r="AF56" s="2">
        <f t="shared" si="26"/>
        <v>6622.1999999999989</v>
      </c>
    </row>
    <row r="57" spans="1:32" s="2" customFormat="1" x14ac:dyDescent="0.25">
      <c r="A57" s="1" t="s">
        <v>330</v>
      </c>
      <c r="B57" s="4">
        <f t="shared" ref="B57:N57" si="29">SUM(B36:B56)</f>
        <v>34576.76</v>
      </c>
      <c r="C57" s="4">
        <f t="shared" si="29"/>
        <v>0</v>
      </c>
      <c r="D57" s="4">
        <f t="shared" si="29"/>
        <v>0</v>
      </c>
      <c r="E57" s="4">
        <f t="shared" si="29"/>
        <v>0</v>
      </c>
      <c r="F57" s="4">
        <f t="shared" si="29"/>
        <v>0</v>
      </c>
      <c r="G57" s="4">
        <f t="shared" si="29"/>
        <v>0</v>
      </c>
      <c r="H57" s="4">
        <f t="shared" si="29"/>
        <v>0</v>
      </c>
      <c r="I57" s="4">
        <f t="shared" si="29"/>
        <v>0</v>
      </c>
      <c r="J57" s="4">
        <f t="shared" si="29"/>
        <v>0</v>
      </c>
      <c r="K57" s="4">
        <f t="shared" si="29"/>
        <v>0</v>
      </c>
      <c r="L57" s="4">
        <f t="shared" si="29"/>
        <v>0</v>
      </c>
      <c r="M57" s="4">
        <f t="shared" si="29"/>
        <v>0</v>
      </c>
      <c r="N57" s="4">
        <f t="shared" si="29"/>
        <v>34576.76</v>
      </c>
      <c r="P57" s="4">
        <f>SUM(P36:P56)</f>
        <v>227870.31</v>
      </c>
      <c r="Q57" s="4">
        <f>SUM(Q36:Q56)</f>
        <v>303827.08</v>
      </c>
      <c r="R57" s="4">
        <v>303827.08</v>
      </c>
      <c r="S57" s="94">
        <f t="shared" si="3"/>
        <v>0</v>
      </c>
      <c r="T57" s="4">
        <f t="shared" ref="T57:AF57" si="30">SUM(T36:T56)</f>
        <v>42252.19</v>
      </c>
      <c r="U57" s="4">
        <f t="shared" si="30"/>
        <v>21778.43</v>
      </c>
      <c r="V57" s="4">
        <f t="shared" si="30"/>
        <v>40785.010000000009</v>
      </c>
      <c r="W57" s="4">
        <f t="shared" si="30"/>
        <v>28457.43</v>
      </c>
      <c r="X57" s="4">
        <f t="shared" si="30"/>
        <v>23283.91</v>
      </c>
      <c r="Y57" s="4">
        <f t="shared" si="30"/>
        <v>18206.140000000003</v>
      </c>
      <c r="Z57" s="4">
        <f t="shared" si="30"/>
        <v>17827.490000000002</v>
      </c>
      <c r="AA57" s="4">
        <f t="shared" si="30"/>
        <v>16741.75</v>
      </c>
      <c r="AB57" s="4">
        <f t="shared" si="30"/>
        <v>16938.330000000002</v>
      </c>
      <c r="AC57" s="4">
        <f t="shared" si="30"/>
        <v>23414.87</v>
      </c>
      <c r="AD57" s="4">
        <f t="shared" si="30"/>
        <v>23629.79</v>
      </c>
      <c r="AE57" s="4">
        <f t="shared" si="30"/>
        <v>30511.739999999998</v>
      </c>
      <c r="AF57" s="4">
        <f t="shared" si="30"/>
        <v>303827.08</v>
      </c>
    </row>
    <row r="58" spans="1:32" x14ac:dyDescent="0.25">
      <c r="P58" s="2"/>
      <c r="Q58" s="2"/>
      <c r="R58" s="2"/>
      <c r="S58" s="94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2" customFormat="1" x14ac:dyDescent="0.25">
      <c r="A59" s="1" t="s">
        <v>291</v>
      </c>
      <c r="S59" s="94"/>
    </row>
    <row r="60" spans="1:32" s="2" customFormat="1" x14ac:dyDescent="0.25">
      <c r="A60" t="s">
        <v>249</v>
      </c>
      <c r="B60" s="2">
        <v>509.71</v>
      </c>
      <c r="N60" s="2">
        <f t="shared" ref="N60:N70" si="31">SUM(B60:M60)</f>
        <v>509.71</v>
      </c>
      <c r="P60" s="2">
        <f>Q60/12*$P$6</f>
        <v>2798.19</v>
      </c>
      <c r="Q60" s="2">
        <f>R60</f>
        <v>3730.92</v>
      </c>
      <c r="R60" s="2">
        <v>3730.92</v>
      </c>
      <c r="S60" s="94">
        <f t="shared" si="3"/>
        <v>0</v>
      </c>
      <c r="T60" s="2">
        <v>312.36</v>
      </c>
      <c r="U60" s="2">
        <v>716.18</v>
      </c>
      <c r="V60" s="2">
        <v>449.5</v>
      </c>
      <c r="W60" s="2">
        <v>269.7</v>
      </c>
      <c r="X60" s="2">
        <v>285.98</v>
      </c>
      <c r="Y60" s="2">
        <v>195.44</v>
      </c>
      <c r="Z60" s="2">
        <v>201.76</v>
      </c>
      <c r="AA60" s="2">
        <v>295.45999999999998</v>
      </c>
      <c r="AB60" s="2">
        <v>200.18</v>
      </c>
      <c r="AC60" s="2">
        <v>206.5</v>
      </c>
      <c r="AD60" s="2">
        <v>282.33999999999997</v>
      </c>
      <c r="AE60" s="2">
        <v>315.52</v>
      </c>
      <c r="AF60" s="2">
        <f t="shared" ref="AF60:AF70" si="32">SUM(T60:AE60)</f>
        <v>3730.92</v>
      </c>
    </row>
    <row r="61" spans="1:32" s="2" customFormat="1" ht="14.25" customHeight="1" x14ac:dyDescent="0.25">
      <c r="A61" t="s">
        <v>250</v>
      </c>
      <c r="N61" s="2">
        <f t="shared" si="31"/>
        <v>0</v>
      </c>
      <c r="P61" s="2">
        <f t="shared" ref="P61:P70" si="33">Q61/12*$P$6</f>
        <v>2579.3024999999993</v>
      </c>
      <c r="Q61" s="2">
        <f t="shared" ref="Q61:Q70" si="34">R61</f>
        <v>3439.0699999999993</v>
      </c>
      <c r="R61" s="2">
        <v>3439.0699999999993</v>
      </c>
      <c r="S61" s="94">
        <f t="shared" si="3"/>
        <v>0</v>
      </c>
      <c r="T61" s="2">
        <v>695.17</v>
      </c>
      <c r="U61" s="2">
        <v>459.08</v>
      </c>
      <c r="V61" s="2">
        <v>395.17</v>
      </c>
      <c r="W61" s="2">
        <v>502.1</v>
      </c>
      <c r="X61" s="2">
        <v>-70.98</v>
      </c>
      <c r="Y61" s="2">
        <v>481.53</v>
      </c>
      <c r="Z61" s="2">
        <v>-592.38</v>
      </c>
      <c r="AA61" s="2">
        <v>238</v>
      </c>
      <c r="AB61" s="2">
        <v>220.43</v>
      </c>
      <c r="AC61" s="2">
        <v>210.76</v>
      </c>
      <c r="AD61" s="2">
        <v>396.31</v>
      </c>
      <c r="AE61" s="2">
        <v>503.88</v>
      </c>
      <c r="AF61" s="2">
        <f t="shared" si="32"/>
        <v>3439.0699999999993</v>
      </c>
    </row>
    <row r="62" spans="1:32" s="2" customFormat="1" ht="14.25" customHeight="1" x14ac:dyDescent="0.25">
      <c r="A62" t="s">
        <v>357</v>
      </c>
      <c r="B62" s="2">
        <v>995.74</v>
      </c>
      <c r="N62" s="2">
        <f t="shared" si="31"/>
        <v>995.74</v>
      </c>
      <c r="P62" s="2">
        <f t="shared" si="33"/>
        <v>3588.6675</v>
      </c>
      <c r="Q62" s="2">
        <f t="shared" si="34"/>
        <v>4784.8900000000003</v>
      </c>
      <c r="R62" s="2">
        <v>4784.8900000000003</v>
      </c>
      <c r="S62" s="94">
        <f t="shared" si="3"/>
        <v>0</v>
      </c>
      <c r="T62" s="2">
        <v>485.42</v>
      </c>
      <c r="U62" s="2">
        <v>636.49</v>
      </c>
      <c r="V62" s="2">
        <v>407.96</v>
      </c>
      <c r="W62" s="2">
        <v>543.39</v>
      </c>
      <c r="X62" s="2">
        <v>372.65</v>
      </c>
      <c r="Y62" s="2">
        <v>279.72000000000003</v>
      </c>
      <c r="Z62" s="2">
        <v>177.55</v>
      </c>
      <c r="AA62" s="2">
        <v>395.46</v>
      </c>
      <c r="AB62" s="2">
        <v>197.06</v>
      </c>
      <c r="AC62" s="2">
        <v>389.43</v>
      </c>
      <c r="AD62" s="2">
        <v>197.56</v>
      </c>
      <c r="AE62" s="2">
        <v>702.2</v>
      </c>
      <c r="AF62" s="2">
        <f t="shared" si="32"/>
        <v>4784.8900000000003</v>
      </c>
    </row>
    <row r="63" spans="1:32" s="2" customFormat="1" x14ac:dyDescent="0.25">
      <c r="A63" t="s">
        <v>292</v>
      </c>
      <c r="N63" s="2">
        <f t="shared" si="31"/>
        <v>0</v>
      </c>
      <c r="P63" s="2">
        <f t="shared" si="33"/>
        <v>1950</v>
      </c>
      <c r="Q63" s="2">
        <f t="shared" si="34"/>
        <v>2600</v>
      </c>
      <c r="R63" s="2">
        <v>2600</v>
      </c>
      <c r="S63" s="94">
        <f t="shared" si="3"/>
        <v>0</v>
      </c>
      <c r="T63" s="2">
        <v>0</v>
      </c>
      <c r="U63" s="2">
        <v>200</v>
      </c>
      <c r="V63" s="2">
        <v>250</v>
      </c>
      <c r="W63" s="2">
        <v>300</v>
      </c>
      <c r="X63" s="2">
        <v>850</v>
      </c>
      <c r="Y63" s="2">
        <v>0</v>
      </c>
      <c r="Z63" s="2">
        <v>1000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f t="shared" si="32"/>
        <v>2600</v>
      </c>
    </row>
    <row r="64" spans="1:32" s="2" customFormat="1" x14ac:dyDescent="0.25">
      <c r="A64" t="s">
        <v>304</v>
      </c>
      <c r="B64" s="2">
        <v>1277.1500000000001</v>
      </c>
      <c r="N64" s="2">
        <f t="shared" si="31"/>
        <v>1277.1500000000001</v>
      </c>
      <c r="P64" s="2">
        <f t="shared" si="33"/>
        <v>1294.8974999999998</v>
      </c>
      <c r="Q64" s="2">
        <f t="shared" si="34"/>
        <v>1726.5299999999995</v>
      </c>
      <c r="R64" s="2">
        <v>1726.5299999999995</v>
      </c>
      <c r="S64" s="94">
        <f t="shared" si="3"/>
        <v>0</v>
      </c>
      <c r="T64" s="2">
        <v>265.62</v>
      </c>
      <c r="U64" s="2">
        <v>265.62</v>
      </c>
      <c r="V64" s="2">
        <v>0</v>
      </c>
      <c r="W64" s="2">
        <v>132.81</v>
      </c>
      <c r="X64" s="2">
        <v>132.81</v>
      </c>
      <c r="Y64" s="2">
        <v>132.81</v>
      </c>
      <c r="Z64" s="2">
        <v>132.81</v>
      </c>
      <c r="AA64" s="2">
        <v>132.81</v>
      </c>
      <c r="AB64" s="2">
        <v>132.81</v>
      </c>
      <c r="AC64" s="2">
        <v>132.81</v>
      </c>
      <c r="AD64" s="2">
        <v>132.81</v>
      </c>
      <c r="AE64" s="2">
        <v>132.81</v>
      </c>
      <c r="AF64" s="2">
        <f t="shared" si="32"/>
        <v>1726.5299999999995</v>
      </c>
    </row>
    <row r="65" spans="1:32" s="2" customFormat="1" x14ac:dyDescent="0.25">
      <c r="A65" t="s">
        <v>364</v>
      </c>
      <c r="N65" s="2">
        <f t="shared" si="31"/>
        <v>0</v>
      </c>
      <c r="P65" s="2">
        <f t="shared" si="33"/>
        <v>10520.550000000001</v>
      </c>
      <c r="Q65" s="2">
        <f t="shared" si="34"/>
        <v>14027.4</v>
      </c>
      <c r="R65" s="2">
        <v>14027.4</v>
      </c>
      <c r="S65" s="94">
        <f t="shared" si="3"/>
        <v>0</v>
      </c>
      <c r="T65" s="2">
        <v>0</v>
      </c>
      <c r="U65" s="2">
        <v>7242.01</v>
      </c>
      <c r="V65" s="2">
        <v>0</v>
      </c>
      <c r="W65" s="2">
        <v>3087.89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3697.5</v>
      </c>
      <c r="AF65" s="2">
        <f t="shared" si="32"/>
        <v>14027.4</v>
      </c>
    </row>
    <row r="66" spans="1:32" s="2" customFormat="1" x14ac:dyDescent="0.25">
      <c r="A66" t="s">
        <v>251</v>
      </c>
      <c r="B66" s="2">
        <v>89.68</v>
      </c>
      <c r="N66" s="2">
        <f t="shared" si="31"/>
        <v>89.68</v>
      </c>
      <c r="P66" s="2">
        <f t="shared" si="33"/>
        <v>801.15</v>
      </c>
      <c r="Q66" s="2">
        <f t="shared" si="34"/>
        <v>1068.2</v>
      </c>
      <c r="R66" s="2">
        <v>1068.2</v>
      </c>
      <c r="S66" s="94">
        <f t="shared" si="3"/>
        <v>0</v>
      </c>
      <c r="T66" s="2">
        <v>792.59</v>
      </c>
      <c r="U66" s="2">
        <v>18.940000000000001</v>
      </c>
      <c r="V66" s="2">
        <v>0</v>
      </c>
      <c r="W66" s="2">
        <v>164.03</v>
      </c>
      <c r="X66" s="2">
        <v>0</v>
      </c>
      <c r="Y66" s="2">
        <v>0</v>
      </c>
      <c r="Z66" s="2">
        <v>0</v>
      </c>
      <c r="AA66" s="2">
        <v>12.74</v>
      </c>
      <c r="AB66" s="2">
        <v>79.900000000000006</v>
      </c>
      <c r="AC66" s="2">
        <v>0</v>
      </c>
      <c r="AD66" s="2">
        <v>0</v>
      </c>
      <c r="AE66" s="2">
        <v>0</v>
      </c>
      <c r="AF66" s="2">
        <f t="shared" si="32"/>
        <v>1068.2</v>
      </c>
    </row>
    <row r="67" spans="1:32" s="2" customFormat="1" x14ac:dyDescent="0.25">
      <c r="A67" t="s">
        <v>354</v>
      </c>
      <c r="B67" s="2">
        <v>250</v>
      </c>
      <c r="N67" s="2">
        <f t="shared" si="31"/>
        <v>250</v>
      </c>
      <c r="P67" s="2">
        <f t="shared" si="33"/>
        <v>1800</v>
      </c>
      <c r="Q67" s="2">
        <f>2400</f>
        <v>2400</v>
      </c>
      <c r="R67" s="2">
        <v>5375</v>
      </c>
      <c r="S67" s="94">
        <f t="shared" si="3"/>
        <v>0</v>
      </c>
      <c r="T67" s="2">
        <v>550</v>
      </c>
      <c r="U67" s="2">
        <v>550</v>
      </c>
      <c r="V67" s="2">
        <v>550</v>
      </c>
      <c r="W67" s="2">
        <v>550</v>
      </c>
      <c r="X67" s="2">
        <v>550</v>
      </c>
      <c r="Y67" s="2">
        <v>375</v>
      </c>
      <c r="Z67" s="2">
        <v>375</v>
      </c>
      <c r="AA67" s="2">
        <v>375</v>
      </c>
      <c r="AB67" s="2">
        <v>375</v>
      </c>
      <c r="AC67" s="2">
        <v>375</v>
      </c>
      <c r="AD67" s="2">
        <v>375</v>
      </c>
      <c r="AE67" s="2">
        <v>375</v>
      </c>
      <c r="AF67" s="2">
        <f t="shared" si="32"/>
        <v>5375</v>
      </c>
    </row>
    <row r="68" spans="1:32" s="2" customFormat="1" x14ac:dyDescent="0.25">
      <c r="A68" t="s">
        <v>355</v>
      </c>
      <c r="B68" s="2">
        <v>1500</v>
      </c>
      <c r="N68" s="2">
        <f t="shared" si="31"/>
        <v>1500</v>
      </c>
      <c r="P68" s="2">
        <f t="shared" si="33"/>
        <v>13500</v>
      </c>
      <c r="Q68" s="2">
        <f t="shared" si="34"/>
        <v>18000</v>
      </c>
      <c r="R68" s="2">
        <v>18000</v>
      </c>
      <c r="S68" s="94">
        <f t="shared" si="3"/>
        <v>0</v>
      </c>
      <c r="T68" s="2">
        <v>1500</v>
      </c>
      <c r="U68" s="2">
        <v>1500</v>
      </c>
      <c r="V68" s="2">
        <v>1500</v>
      </c>
      <c r="W68" s="2">
        <v>1500</v>
      </c>
      <c r="X68" s="2">
        <v>1500</v>
      </c>
      <c r="Y68" s="2">
        <v>1500</v>
      </c>
      <c r="Z68" s="2">
        <v>1500</v>
      </c>
      <c r="AA68" s="2">
        <v>1500</v>
      </c>
      <c r="AB68" s="2">
        <v>1500</v>
      </c>
      <c r="AC68" s="2">
        <v>1500</v>
      </c>
      <c r="AD68" s="2">
        <v>1500</v>
      </c>
      <c r="AE68" s="2">
        <v>1500</v>
      </c>
      <c r="AF68" s="2">
        <f t="shared" si="32"/>
        <v>18000</v>
      </c>
    </row>
    <row r="69" spans="1:32" s="2" customFormat="1" hidden="1" x14ac:dyDescent="0.25">
      <c r="A69" t="s">
        <v>356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N69" s="2">
        <f t="shared" si="31"/>
        <v>0</v>
      </c>
      <c r="P69" s="2">
        <f t="shared" si="33"/>
        <v>0</v>
      </c>
      <c r="Q69" s="2">
        <f t="shared" si="34"/>
        <v>0</v>
      </c>
      <c r="R69" s="2">
        <v>0</v>
      </c>
      <c r="S69" s="94">
        <f t="shared" si="3"/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f t="shared" si="32"/>
        <v>0</v>
      </c>
    </row>
    <row r="70" spans="1:32" s="2" customFormat="1" hidden="1" x14ac:dyDescent="0.25">
      <c r="A70" t="s">
        <v>254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N70" s="2">
        <f t="shared" si="31"/>
        <v>0</v>
      </c>
      <c r="P70" s="2">
        <f t="shared" si="33"/>
        <v>481.5</v>
      </c>
      <c r="Q70" s="2">
        <f t="shared" si="34"/>
        <v>642</v>
      </c>
      <c r="R70" s="2">
        <v>642</v>
      </c>
      <c r="S70" s="94">
        <f t="shared" si="3"/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642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f t="shared" si="32"/>
        <v>642</v>
      </c>
    </row>
    <row r="71" spans="1:32" s="2" customFormat="1" x14ac:dyDescent="0.25">
      <c r="A71" s="1" t="s">
        <v>294</v>
      </c>
      <c r="B71" s="4">
        <f>SUM(B60:B70)</f>
        <v>4622.2800000000007</v>
      </c>
      <c r="C71" s="4">
        <f t="shared" ref="C71:E71" si="35">SUM(C60:C70)</f>
        <v>0</v>
      </c>
      <c r="D71" s="4">
        <f t="shared" si="35"/>
        <v>0</v>
      </c>
      <c r="E71" s="4">
        <f t="shared" si="35"/>
        <v>0</v>
      </c>
      <c r="F71" s="4">
        <f t="shared" ref="F71:M71" si="36">SUM(F60:F70)</f>
        <v>0</v>
      </c>
      <c r="G71" s="4">
        <f t="shared" si="36"/>
        <v>0</v>
      </c>
      <c r="H71" s="4">
        <f t="shared" si="36"/>
        <v>0</v>
      </c>
      <c r="I71" s="4">
        <f t="shared" si="36"/>
        <v>0</v>
      </c>
      <c r="J71" s="4">
        <f t="shared" si="36"/>
        <v>0</v>
      </c>
      <c r="K71" s="4">
        <f t="shared" ref="K71:L71" si="37">SUM(K60:K70)</f>
        <v>0</v>
      </c>
      <c r="L71" s="4">
        <f t="shared" si="37"/>
        <v>0</v>
      </c>
      <c r="M71" s="4">
        <f t="shared" si="36"/>
        <v>0</v>
      </c>
      <c r="N71" s="4">
        <f>SUM(N60:N70)</f>
        <v>4622.2800000000007</v>
      </c>
      <c r="P71" s="4">
        <f>SUM(P60:P70)</f>
        <v>39314.2575</v>
      </c>
      <c r="Q71" s="4">
        <f>SUM(Q60:Q70)</f>
        <v>52419.009999999995</v>
      </c>
      <c r="R71" s="4">
        <v>55394.009999999995</v>
      </c>
      <c r="S71" s="94">
        <f t="shared" si="3"/>
        <v>0</v>
      </c>
      <c r="T71" s="4">
        <f>SUM(P71:Q71)</f>
        <v>91733.267499999987</v>
      </c>
      <c r="U71" s="4">
        <f t="shared" ref="U71:AE71" si="38">SUM(U60:U70)</f>
        <v>11588.320000000002</v>
      </c>
      <c r="V71" s="4">
        <f t="shared" si="38"/>
        <v>3552.63</v>
      </c>
      <c r="W71" s="4">
        <f t="shared" si="38"/>
        <v>7049.9199999999992</v>
      </c>
      <c r="X71" s="4">
        <f t="shared" si="38"/>
        <v>3620.46</v>
      </c>
      <c r="Y71" s="4">
        <f t="shared" si="38"/>
        <v>3606.5</v>
      </c>
      <c r="Z71" s="4">
        <f t="shared" si="38"/>
        <v>2794.74</v>
      </c>
      <c r="AA71" s="4">
        <f t="shared" si="38"/>
        <v>2949.4700000000003</v>
      </c>
      <c r="AB71" s="4">
        <f t="shared" si="38"/>
        <v>2705.38</v>
      </c>
      <c r="AC71" s="4">
        <f t="shared" si="38"/>
        <v>2814.5</v>
      </c>
      <c r="AD71" s="4">
        <f t="shared" si="38"/>
        <v>2884.02</v>
      </c>
      <c r="AE71" s="4">
        <f t="shared" si="38"/>
        <v>7226.91</v>
      </c>
      <c r="AF71" s="4">
        <f>SUM(AF60:AF70)</f>
        <v>55394.009999999995</v>
      </c>
    </row>
    <row r="72" spans="1:32" s="2" customFormat="1" x14ac:dyDescent="0.25">
      <c r="A72" t="s">
        <v>243</v>
      </c>
      <c r="S72" s="94"/>
    </row>
    <row r="73" spans="1:32" s="2" customFormat="1" ht="15.75" thickBot="1" x14ac:dyDescent="0.3">
      <c r="A73" s="1" t="s">
        <v>208</v>
      </c>
      <c r="B73" s="5">
        <f t="shared" ref="B73:N73" si="39">B33+B57+B71</f>
        <v>93968.790000000008</v>
      </c>
      <c r="C73" s="5">
        <f t="shared" si="39"/>
        <v>0</v>
      </c>
      <c r="D73" s="5">
        <f t="shared" si="39"/>
        <v>0</v>
      </c>
      <c r="E73" s="5">
        <f t="shared" si="39"/>
        <v>0</v>
      </c>
      <c r="F73" s="5">
        <f t="shared" si="39"/>
        <v>0</v>
      </c>
      <c r="G73" s="5">
        <f t="shared" si="39"/>
        <v>0</v>
      </c>
      <c r="H73" s="5">
        <f t="shared" si="39"/>
        <v>0</v>
      </c>
      <c r="I73" s="5">
        <f t="shared" si="39"/>
        <v>0</v>
      </c>
      <c r="J73" s="5">
        <f t="shared" si="39"/>
        <v>0</v>
      </c>
      <c r="K73" s="5">
        <f t="shared" si="39"/>
        <v>0</v>
      </c>
      <c r="L73" s="5">
        <f t="shared" si="39"/>
        <v>0</v>
      </c>
      <c r="M73" s="5">
        <f t="shared" si="39"/>
        <v>0</v>
      </c>
      <c r="N73" s="5">
        <f t="shared" si="39"/>
        <v>93968.790000000008</v>
      </c>
      <c r="P73" s="5">
        <f>P71+P57+P33</f>
        <v>576696.22499999998</v>
      </c>
      <c r="Q73" s="5">
        <f>Q71+Q57+Q33</f>
        <v>768928.3</v>
      </c>
      <c r="R73" s="5">
        <v>771903.3</v>
      </c>
      <c r="S73" s="94">
        <f t="shared" ref="S73:S84" si="40">R73-AF73</f>
        <v>0</v>
      </c>
      <c r="T73" s="5">
        <f t="shared" ref="T73:AF73" si="41">T33+T57+T71</f>
        <v>164450.8175</v>
      </c>
      <c r="U73" s="5">
        <f t="shared" si="41"/>
        <v>77611.460000000006</v>
      </c>
      <c r="V73" s="5">
        <f t="shared" si="41"/>
        <v>107646.59000000001</v>
      </c>
      <c r="W73" s="5">
        <f t="shared" si="41"/>
        <v>68995.680000000008</v>
      </c>
      <c r="X73" s="5">
        <f t="shared" si="41"/>
        <v>54383.74</v>
      </c>
      <c r="Y73" s="5">
        <f t="shared" si="41"/>
        <v>48908.31</v>
      </c>
      <c r="Z73" s="5">
        <f t="shared" si="41"/>
        <v>44815.32</v>
      </c>
      <c r="AA73" s="5">
        <f t="shared" si="41"/>
        <v>42978.26</v>
      </c>
      <c r="AB73" s="5">
        <f t="shared" si="41"/>
        <v>44015.97</v>
      </c>
      <c r="AC73" s="5">
        <f t="shared" si="41"/>
        <v>48200.81</v>
      </c>
      <c r="AD73" s="5">
        <f t="shared" si="41"/>
        <v>67176.570000000007</v>
      </c>
      <c r="AE73" s="5">
        <f t="shared" si="41"/>
        <v>89851.88</v>
      </c>
      <c r="AF73" s="5">
        <f t="shared" si="41"/>
        <v>771903.3</v>
      </c>
    </row>
    <row r="74" spans="1:32" x14ac:dyDescent="0.25">
      <c r="P74" s="2"/>
      <c r="Q74" s="2"/>
      <c r="R74" s="2"/>
      <c r="S74" s="94">
        <f t="shared" si="40"/>
        <v>0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s="2" customFormat="1" x14ac:dyDescent="0.25">
      <c r="A75" s="1" t="s">
        <v>295</v>
      </c>
      <c r="S75" s="94"/>
    </row>
    <row r="76" spans="1:32" s="2" customFormat="1" x14ac:dyDescent="0.25">
      <c r="A76" t="s">
        <v>359</v>
      </c>
      <c r="B76" s="2">
        <v>5000</v>
      </c>
      <c r="N76" s="2">
        <f t="shared" ref="N76:N81" si="42">SUM(B76:M76)</f>
        <v>5000</v>
      </c>
      <c r="P76" s="2">
        <f>Q76/12*$P$6</f>
        <v>45000</v>
      </c>
      <c r="Q76" s="2">
        <f>R76</f>
        <v>60000</v>
      </c>
      <c r="R76" s="2">
        <v>60000</v>
      </c>
      <c r="S76" s="94">
        <f t="shared" si="40"/>
        <v>0</v>
      </c>
      <c r="T76" s="2">
        <v>5000</v>
      </c>
      <c r="U76" s="2">
        <v>5000</v>
      </c>
      <c r="V76" s="2">
        <v>5000</v>
      </c>
      <c r="W76" s="2">
        <v>5000</v>
      </c>
      <c r="X76" s="2">
        <v>5000</v>
      </c>
      <c r="Y76" s="2">
        <v>5000</v>
      </c>
      <c r="Z76" s="2">
        <v>5000</v>
      </c>
      <c r="AA76" s="2">
        <v>5000</v>
      </c>
      <c r="AB76" s="2">
        <v>5000</v>
      </c>
      <c r="AC76" s="2">
        <v>5000</v>
      </c>
      <c r="AD76" s="2">
        <v>5000</v>
      </c>
      <c r="AE76" s="2">
        <v>5000</v>
      </c>
      <c r="AF76" s="2">
        <f>SUM(T76:AE76)</f>
        <v>60000</v>
      </c>
    </row>
    <row r="77" spans="1:32" s="2" customFormat="1" x14ac:dyDescent="0.25">
      <c r="A77" t="s">
        <v>358</v>
      </c>
      <c r="N77" s="2">
        <f t="shared" si="42"/>
        <v>0</v>
      </c>
      <c r="P77" s="2">
        <f t="shared" ref="P77:P81" si="43">Q77/12*$P$6</f>
        <v>3750</v>
      </c>
      <c r="Q77" s="2">
        <f t="shared" ref="Q77:Q81" si="44">R77</f>
        <v>5000</v>
      </c>
      <c r="R77" s="2">
        <v>5000</v>
      </c>
      <c r="S77" s="94">
        <f t="shared" si="40"/>
        <v>0</v>
      </c>
      <c r="T77" s="2">
        <v>1000</v>
      </c>
      <c r="U77" s="2">
        <v>1000</v>
      </c>
      <c r="V77" s="2">
        <v>1000</v>
      </c>
      <c r="W77" s="2">
        <v>1000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1000</v>
      </c>
      <c r="AF77" s="2">
        <f>SUM(T77:AE77)</f>
        <v>5000</v>
      </c>
    </row>
    <row r="78" spans="1:32" s="2" customFormat="1" x14ac:dyDescent="0.25">
      <c r="A78" t="s">
        <v>268</v>
      </c>
      <c r="B78" s="2">
        <v>645.83000000000004</v>
      </c>
      <c r="N78" s="2">
        <f t="shared" si="42"/>
        <v>645.83000000000004</v>
      </c>
      <c r="S78" s="94"/>
    </row>
    <row r="79" spans="1:32" s="2" customFormat="1" hidden="1" x14ac:dyDescent="0.25">
      <c r="A79" t="s">
        <v>480</v>
      </c>
      <c r="N79" s="2">
        <f t="shared" si="42"/>
        <v>0</v>
      </c>
      <c r="P79" s="2">
        <f t="shared" si="43"/>
        <v>1434.7349999999999</v>
      </c>
      <c r="Q79" s="2">
        <f t="shared" si="44"/>
        <v>1912.98</v>
      </c>
      <c r="R79" s="2">
        <v>1912.98</v>
      </c>
      <c r="S79" s="94">
        <f t="shared" si="40"/>
        <v>0</v>
      </c>
      <c r="T79" s="2">
        <v>1833.08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79.900000000000006</v>
      </c>
      <c r="AC79" s="2">
        <v>0</v>
      </c>
      <c r="AD79" s="2">
        <v>0</v>
      </c>
      <c r="AE79" s="2">
        <v>0</v>
      </c>
      <c r="AF79" s="2">
        <f>SUM(T79:AE79)</f>
        <v>1912.98</v>
      </c>
    </row>
    <row r="80" spans="1:32" s="2" customFormat="1" x14ac:dyDescent="0.25">
      <c r="A80" t="s">
        <v>360</v>
      </c>
      <c r="B80" s="2">
        <v>-3252.99</v>
      </c>
      <c r="N80" s="2">
        <f t="shared" si="42"/>
        <v>-3252.99</v>
      </c>
      <c r="P80" s="2">
        <f t="shared" si="43"/>
        <v>-32336.234999999997</v>
      </c>
      <c r="Q80" s="2">
        <f t="shared" si="44"/>
        <v>-43114.979999999996</v>
      </c>
      <c r="R80" s="2">
        <v>-43114.979999999996</v>
      </c>
      <c r="S80" s="94">
        <f t="shared" si="40"/>
        <v>0</v>
      </c>
      <c r="T80" s="2">
        <v>-3691.03</v>
      </c>
      <c r="U80" s="2">
        <v>-3673.36</v>
      </c>
      <c r="V80" s="2">
        <v>-3655.63</v>
      </c>
      <c r="W80" s="2">
        <v>-3637.86</v>
      </c>
      <c r="X80" s="2">
        <v>-3620.04</v>
      </c>
      <c r="Y80" s="2">
        <v>-3602.17</v>
      </c>
      <c r="Z80" s="2">
        <v>-3584.24</v>
      </c>
      <c r="AA80" s="2">
        <v>-3566.27</v>
      </c>
      <c r="AB80" s="2">
        <v>-3548.25</v>
      </c>
      <c r="AC80" s="2">
        <v>-3530.18</v>
      </c>
      <c r="AD80" s="2">
        <v>-3512.06</v>
      </c>
      <c r="AE80" s="2">
        <v>-3493.89</v>
      </c>
      <c r="AF80" s="2">
        <f>SUM(T80:AE80)</f>
        <v>-43114.979999999996</v>
      </c>
    </row>
    <row r="81" spans="1:32" s="2" customFormat="1" x14ac:dyDescent="0.25">
      <c r="A81" t="s">
        <v>361</v>
      </c>
      <c r="B81" s="2">
        <v>-6058.71</v>
      </c>
      <c r="N81" s="2">
        <f t="shared" si="42"/>
        <v>-6058.71</v>
      </c>
      <c r="P81" s="2">
        <f t="shared" si="43"/>
        <v>-54528.39</v>
      </c>
      <c r="Q81" s="2">
        <f t="shared" si="44"/>
        <v>-72704.52</v>
      </c>
      <c r="R81" s="2">
        <v>-72704.52</v>
      </c>
      <c r="S81" s="94">
        <f t="shared" si="40"/>
        <v>0</v>
      </c>
      <c r="T81" s="2">
        <v>-6058.71</v>
      </c>
      <c r="U81" s="2">
        <v>-6058.71</v>
      </c>
      <c r="V81" s="2">
        <v>-6058.71</v>
      </c>
      <c r="W81" s="2">
        <v>-6058.71</v>
      </c>
      <c r="X81" s="2">
        <v>-6058.71</v>
      </c>
      <c r="Y81" s="2">
        <v>-6058.71</v>
      </c>
      <c r="Z81" s="2">
        <v>-6058.71</v>
      </c>
      <c r="AA81" s="2">
        <v>-6058.71</v>
      </c>
      <c r="AB81" s="2">
        <v>-6058.71</v>
      </c>
      <c r="AC81" s="2">
        <v>-6058.71</v>
      </c>
      <c r="AD81" s="2">
        <v>-6058.71</v>
      </c>
      <c r="AE81" s="2">
        <v>-6058.71</v>
      </c>
      <c r="AF81" s="2">
        <f>SUM(T81:AE81)</f>
        <v>-72704.52</v>
      </c>
    </row>
    <row r="82" spans="1:32" x14ac:dyDescent="0.25">
      <c r="A82" s="1" t="s">
        <v>297</v>
      </c>
      <c r="B82" s="4">
        <f t="shared" ref="B82:M82" si="45">SUM(B76:B81)</f>
        <v>-3665.87</v>
      </c>
      <c r="C82" s="4">
        <f t="shared" si="45"/>
        <v>0</v>
      </c>
      <c r="D82" s="4">
        <f t="shared" si="45"/>
        <v>0</v>
      </c>
      <c r="E82" s="4">
        <f t="shared" si="45"/>
        <v>0</v>
      </c>
      <c r="F82" s="4">
        <f>SUM(F76:F81)</f>
        <v>0</v>
      </c>
      <c r="G82" s="4">
        <f t="shared" ref="G82:L82" si="46">SUM(G76:G81)</f>
        <v>0</v>
      </c>
      <c r="H82" s="4">
        <f t="shared" si="46"/>
        <v>0</v>
      </c>
      <c r="I82" s="4">
        <f t="shared" si="46"/>
        <v>0</v>
      </c>
      <c r="J82" s="4">
        <f t="shared" si="46"/>
        <v>0</v>
      </c>
      <c r="K82" s="4">
        <f t="shared" si="46"/>
        <v>0</v>
      </c>
      <c r="L82" s="4">
        <f t="shared" si="46"/>
        <v>0</v>
      </c>
      <c r="M82" s="4">
        <f t="shared" si="45"/>
        <v>0</v>
      </c>
      <c r="N82" s="4">
        <f>SUM(N76:N81)</f>
        <v>-3665.87</v>
      </c>
      <c r="P82" s="4">
        <f>SUM(P76:P81)</f>
        <v>-36679.89</v>
      </c>
      <c r="Q82" s="4">
        <f>SUM(Q76:Q81)</f>
        <v>-48906.520000000004</v>
      </c>
      <c r="R82" s="4">
        <f>SUM(R76:R81)</f>
        <v>-48906.520000000004</v>
      </c>
      <c r="S82" s="94">
        <f t="shared" si="40"/>
        <v>0</v>
      </c>
      <c r="T82" s="4">
        <f t="shared" ref="T82:AE82" si="47">SUM(T76:T81)</f>
        <v>-1916.6600000000008</v>
      </c>
      <c r="U82" s="4">
        <f t="shared" si="47"/>
        <v>-3732.07</v>
      </c>
      <c r="V82" s="4">
        <f t="shared" si="47"/>
        <v>-3714.34</v>
      </c>
      <c r="W82" s="4">
        <f t="shared" si="47"/>
        <v>-3696.57</v>
      </c>
      <c r="X82" s="4">
        <f>SUM(X76:X81)</f>
        <v>-4678.75</v>
      </c>
      <c r="Y82" s="4">
        <f t="shared" ref="Y82:AD82" si="48">SUM(Y76:Y81)</f>
        <v>-4660.88</v>
      </c>
      <c r="Z82" s="4">
        <f t="shared" si="48"/>
        <v>-4642.95</v>
      </c>
      <c r="AA82" s="4">
        <f t="shared" si="48"/>
        <v>-4624.9799999999996</v>
      </c>
      <c r="AB82" s="4">
        <f t="shared" si="48"/>
        <v>-4527.0600000000004</v>
      </c>
      <c r="AC82" s="4">
        <f t="shared" si="48"/>
        <v>-4588.8899999999994</v>
      </c>
      <c r="AD82" s="4">
        <f t="shared" si="48"/>
        <v>-4570.7700000000004</v>
      </c>
      <c r="AE82" s="4">
        <f t="shared" si="47"/>
        <v>-3552.6</v>
      </c>
      <c r="AF82" s="4">
        <f>SUM(AF76:AF81)</f>
        <v>-48906.520000000004</v>
      </c>
    </row>
    <row r="83" spans="1:32" x14ac:dyDescent="0.25">
      <c r="P83" s="2"/>
      <c r="Q83" s="2"/>
      <c r="R83" s="2"/>
      <c r="S83" s="94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thickBot="1" x14ac:dyDescent="0.3">
      <c r="A84" s="1" t="s">
        <v>298</v>
      </c>
      <c r="B84" s="6">
        <f t="shared" ref="B84:N84" si="49">B20-B73+B82</f>
        <v>41640.389999999978</v>
      </c>
      <c r="C84" s="6">
        <f t="shared" si="49"/>
        <v>0</v>
      </c>
      <c r="D84" s="6">
        <f t="shared" si="49"/>
        <v>0</v>
      </c>
      <c r="E84" s="6">
        <f t="shared" si="49"/>
        <v>0</v>
      </c>
      <c r="F84" s="6">
        <f t="shared" si="49"/>
        <v>0</v>
      </c>
      <c r="G84" s="6">
        <f t="shared" si="49"/>
        <v>0</v>
      </c>
      <c r="H84" s="6">
        <f t="shared" si="49"/>
        <v>0</v>
      </c>
      <c r="I84" s="6">
        <f t="shared" si="49"/>
        <v>0</v>
      </c>
      <c r="J84" s="6">
        <f t="shared" si="49"/>
        <v>0</v>
      </c>
      <c r="K84" s="6">
        <f t="shared" si="49"/>
        <v>0</v>
      </c>
      <c r="L84" s="6">
        <f t="shared" si="49"/>
        <v>0</v>
      </c>
      <c r="M84" s="6">
        <f t="shared" si="49"/>
        <v>0</v>
      </c>
      <c r="N84" s="6">
        <f t="shared" si="49"/>
        <v>41640.389999999978</v>
      </c>
      <c r="O84"/>
      <c r="P84" s="6">
        <f>P20-P73+P82</f>
        <v>-20170.267499999944</v>
      </c>
      <c r="Q84" s="6">
        <f>Q20-Q73+Q82</f>
        <v>-26893.68999999993</v>
      </c>
      <c r="R84" s="6">
        <v>-29868.68999999993</v>
      </c>
      <c r="S84" s="94">
        <f t="shared" si="40"/>
        <v>0</v>
      </c>
      <c r="T84" s="6">
        <f t="shared" ref="T84:AF84" si="50">T20-T73+T82</f>
        <v>-24086.027500000022</v>
      </c>
      <c r="U84" s="6">
        <f t="shared" si="50"/>
        <v>50012.599999999969</v>
      </c>
      <c r="V84" s="6">
        <f t="shared" si="50"/>
        <v>13220.929999999989</v>
      </c>
      <c r="W84" s="6">
        <f t="shared" si="50"/>
        <v>4942.919999999991</v>
      </c>
      <c r="X84" s="6">
        <f t="shared" si="50"/>
        <v>-30308.14</v>
      </c>
      <c r="Y84" s="6">
        <f t="shared" si="50"/>
        <v>-40141.129999999997</v>
      </c>
      <c r="Z84" s="6">
        <f t="shared" si="50"/>
        <v>-42423.27</v>
      </c>
      <c r="AA84" s="6">
        <f t="shared" si="50"/>
        <v>-35256.51</v>
      </c>
      <c r="AB84" s="6">
        <f t="shared" si="50"/>
        <v>-40246.03</v>
      </c>
      <c r="AC84" s="6">
        <f t="shared" si="50"/>
        <v>-37502.379999999997</v>
      </c>
      <c r="AD84" s="6">
        <f t="shared" si="50"/>
        <v>57770.799999999988</v>
      </c>
      <c r="AE84" s="6">
        <f t="shared" si="50"/>
        <v>7015.4399999999932</v>
      </c>
      <c r="AF84" s="6">
        <f t="shared" si="50"/>
        <v>-29868.68999999993</v>
      </c>
    </row>
    <row r="85" spans="1:32" ht="15.75" thickTop="1" x14ac:dyDescent="0.25">
      <c r="P85" s="2"/>
      <c r="Q85" s="2"/>
      <c r="R85"/>
      <c r="S85" s="94"/>
    </row>
    <row r="86" spans="1:32" x14ac:dyDescent="0.25">
      <c r="P86" s="2"/>
      <c r="Q86" s="2"/>
      <c r="R86"/>
      <c r="S86" s="94"/>
    </row>
    <row r="87" spans="1:32" x14ac:dyDescent="0.25">
      <c r="B87" s="2">
        <f t="shared" ref="B87:M87" si="51">B84-B86</f>
        <v>41640.389999999978</v>
      </c>
      <c r="C87" s="2">
        <f t="shared" si="51"/>
        <v>0</v>
      </c>
      <c r="D87" s="2">
        <f t="shared" si="51"/>
        <v>0</v>
      </c>
      <c r="E87" s="2">
        <f t="shared" si="51"/>
        <v>0</v>
      </c>
      <c r="F87" s="2">
        <f t="shared" si="51"/>
        <v>0</v>
      </c>
      <c r="G87" s="2">
        <f>G84-G86</f>
        <v>0</v>
      </c>
      <c r="H87" s="2">
        <f t="shared" ref="H87:L87" si="52">H84-H86</f>
        <v>0</v>
      </c>
      <c r="I87" s="2">
        <f t="shared" si="52"/>
        <v>0</v>
      </c>
      <c r="J87" s="2">
        <f t="shared" si="52"/>
        <v>0</v>
      </c>
      <c r="K87" s="2">
        <f t="shared" si="52"/>
        <v>0</v>
      </c>
      <c r="L87" s="2">
        <f t="shared" si="52"/>
        <v>0</v>
      </c>
      <c r="M87" s="2">
        <f t="shared" si="51"/>
        <v>0</v>
      </c>
      <c r="N87" s="2">
        <f>N84-N86</f>
        <v>41640.389999999978</v>
      </c>
      <c r="P87" s="2"/>
      <c r="Q87" s="2"/>
      <c r="R87"/>
      <c r="S87" s="94"/>
    </row>
    <row r="88" spans="1:32" x14ac:dyDescent="0.25">
      <c r="P88" s="2"/>
      <c r="Q88" s="2"/>
      <c r="R88"/>
      <c r="S88" s="94"/>
    </row>
    <row r="89" spans="1:32" x14ac:dyDescent="0.25">
      <c r="P89" s="2"/>
      <c r="Q89" s="2"/>
      <c r="R89"/>
      <c r="S89" s="94"/>
    </row>
    <row r="90" spans="1:32" x14ac:dyDescent="0.25">
      <c r="P90" s="2"/>
      <c r="Q90" s="2"/>
      <c r="R90"/>
      <c r="S90" s="94"/>
    </row>
    <row r="91" spans="1:32" x14ac:dyDescent="0.25">
      <c r="P91" s="2"/>
      <c r="Q91" s="2"/>
      <c r="R91"/>
      <c r="S91" s="94"/>
    </row>
    <row r="92" spans="1:32" x14ac:dyDescent="0.25">
      <c r="P92" s="2"/>
      <c r="Q92" s="2"/>
      <c r="R92"/>
      <c r="S92" s="94"/>
    </row>
    <row r="93" spans="1:32" x14ac:dyDescent="0.25">
      <c r="P93" s="2"/>
      <c r="Q93" s="2"/>
      <c r="R93"/>
      <c r="S93" s="94"/>
    </row>
    <row r="94" spans="1:32" x14ac:dyDescent="0.25">
      <c r="P94" s="2"/>
      <c r="Q94" s="2"/>
      <c r="R94"/>
      <c r="S94" s="94"/>
    </row>
    <row r="95" spans="1:32" x14ac:dyDescent="0.25">
      <c r="P95" s="2"/>
      <c r="Q95" s="2"/>
      <c r="R95"/>
      <c r="S95" s="94"/>
    </row>
    <row r="96" spans="1:32" x14ac:dyDescent="0.25">
      <c r="P96" s="2"/>
      <c r="Q96" s="2"/>
      <c r="R96"/>
      <c r="S96" s="94"/>
    </row>
    <row r="97" spans="16:19" x14ac:dyDescent="0.25">
      <c r="P97" s="2"/>
      <c r="Q97" s="2"/>
      <c r="R97"/>
      <c r="S97" s="94"/>
    </row>
    <row r="98" spans="16:19" x14ac:dyDescent="0.25">
      <c r="P98" s="2"/>
      <c r="Q98" s="2"/>
      <c r="R98"/>
      <c r="S98" s="94"/>
    </row>
    <row r="99" spans="16:19" x14ac:dyDescent="0.25">
      <c r="P99" s="2"/>
      <c r="Q99" s="2"/>
      <c r="R99"/>
      <c r="S99" s="94"/>
    </row>
    <row r="100" spans="16:19" x14ac:dyDescent="0.25">
      <c r="P100" s="2"/>
      <c r="Q100" s="2"/>
      <c r="R100"/>
      <c r="S100" s="94"/>
    </row>
    <row r="101" spans="16:19" x14ac:dyDescent="0.25">
      <c r="P101" s="2"/>
      <c r="Q101" s="2"/>
      <c r="R101"/>
      <c r="S101" s="94"/>
    </row>
    <row r="102" spans="16:19" x14ac:dyDescent="0.25">
      <c r="P102" s="2"/>
      <c r="Q102" s="2"/>
      <c r="R102"/>
      <c r="S102" s="94"/>
    </row>
    <row r="103" spans="16:19" x14ac:dyDescent="0.25">
      <c r="P103" s="2"/>
      <c r="Q103" s="2"/>
      <c r="R103"/>
      <c r="S103" s="94"/>
    </row>
    <row r="104" spans="16:19" x14ac:dyDescent="0.25">
      <c r="P104" s="2"/>
      <c r="Q104" s="2"/>
      <c r="R104"/>
      <c r="S104" s="94"/>
    </row>
    <row r="105" spans="16:19" x14ac:dyDescent="0.25">
      <c r="P105" s="2"/>
      <c r="Q105" s="2"/>
      <c r="R105"/>
      <c r="S105" s="94"/>
    </row>
    <row r="106" spans="16:19" x14ac:dyDescent="0.25">
      <c r="P106" s="2"/>
      <c r="Q106" s="2"/>
      <c r="R106"/>
      <c r="S106" s="94"/>
    </row>
    <row r="107" spans="16:19" x14ac:dyDescent="0.25">
      <c r="P107" s="2"/>
      <c r="Q107" s="2"/>
      <c r="R107"/>
      <c r="S107" s="94"/>
    </row>
    <row r="108" spans="16:19" x14ac:dyDescent="0.25">
      <c r="P108" s="2"/>
      <c r="Q108" s="2"/>
      <c r="R108"/>
      <c r="S108" s="94"/>
    </row>
    <row r="109" spans="16:19" x14ac:dyDescent="0.25">
      <c r="P109" s="2"/>
      <c r="Q109" s="2"/>
      <c r="R109"/>
      <c r="S109" s="94"/>
    </row>
    <row r="110" spans="16:19" x14ac:dyDescent="0.25">
      <c r="P110" s="2"/>
      <c r="Q110" s="2"/>
      <c r="R110"/>
      <c r="S110" s="94"/>
    </row>
    <row r="111" spans="16:19" x14ac:dyDescent="0.25">
      <c r="P111" s="2"/>
      <c r="Q111" s="2"/>
      <c r="R111"/>
      <c r="S111" s="94"/>
    </row>
    <row r="112" spans="16:19" x14ac:dyDescent="0.25">
      <c r="P112" s="2"/>
      <c r="Q112" s="2"/>
      <c r="R112"/>
      <c r="S112" s="94"/>
    </row>
    <row r="113" spans="16:19" x14ac:dyDescent="0.25">
      <c r="P113" s="2"/>
      <c r="Q113" s="2"/>
      <c r="R113"/>
      <c r="S113" s="94"/>
    </row>
    <row r="114" spans="16:19" x14ac:dyDescent="0.25">
      <c r="P114" s="2"/>
      <c r="Q114" s="2"/>
      <c r="R114"/>
      <c r="S114" s="94"/>
    </row>
    <row r="115" spans="16:19" x14ac:dyDescent="0.25">
      <c r="P115" s="2"/>
      <c r="Q115" s="2"/>
      <c r="R115"/>
      <c r="S115" s="94"/>
    </row>
    <row r="116" spans="16:19" x14ac:dyDescent="0.25">
      <c r="P116" s="2"/>
      <c r="Q116" s="2"/>
      <c r="R116"/>
      <c r="S116" s="94"/>
    </row>
    <row r="117" spans="16:19" x14ac:dyDescent="0.25">
      <c r="P117" s="2"/>
      <c r="Q117" s="2"/>
      <c r="R117"/>
      <c r="S117" s="94"/>
    </row>
    <row r="118" spans="16:19" x14ac:dyDescent="0.25">
      <c r="P118" s="2"/>
      <c r="Q118" s="2"/>
      <c r="R118"/>
      <c r="S118" s="94"/>
    </row>
    <row r="119" spans="16:19" x14ac:dyDescent="0.25">
      <c r="P119" s="2"/>
      <c r="Q119" s="2"/>
      <c r="R119"/>
      <c r="S119" s="94"/>
    </row>
    <row r="120" spans="16:19" x14ac:dyDescent="0.25">
      <c r="P120" s="2"/>
      <c r="Q120" s="2"/>
      <c r="R120"/>
      <c r="S120" s="94"/>
    </row>
    <row r="121" spans="16:19" x14ac:dyDescent="0.25">
      <c r="P121" s="2"/>
      <c r="Q121" s="2"/>
      <c r="R121"/>
      <c r="S121" s="94"/>
    </row>
    <row r="122" spans="16:19" x14ac:dyDescent="0.25">
      <c r="P122" s="2"/>
      <c r="Q122" s="2"/>
      <c r="R122"/>
      <c r="S122" s="94"/>
    </row>
    <row r="123" spans="16:19" x14ac:dyDescent="0.25">
      <c r="P123" s="2"/>
      <c r="Q123" s="2"/>
      <c r="R123"/>
      <c r="S123" s="94"/>
    </row>
    <row r="124" spans="16:19" x14ac:dyDescent="0.25">
      <c r="P124" s="2"/>
      <c r="Q124" s="2"/>
      <c r="R124"/>
      <c r="S124" s="94"/>
    </row>
    <row r="125" spans="16:19" x14ac:dyDescent="0.25">
      <c r="P125" s="2"/>
      <c r="Q125" s="2"/>
      <c r="R125"/>
      <c r="S125" s="94"/>
    </row>
    <row r="126" spans="16:19" x14ac:dyDescent="0.25">
      <c r="P126" s="2"/>
      <c r="Q126" s="2"/>
      <c r="R126"/>
      <c r="S126" s="94"/>
    </row>
    <row r="127" spans="16:19" x14ac:dyDescent="0.25">
      <c r="P127" s="2"/>
      <c r="Q127" s="2"/>
      <c r="R127"/>
      <c r="S127" s="94"/>
    </row>
    <row r="128" spans="16:19" x14ac:dyDescent="0.25">
      <c r="P128" s="2"/>
      <c r="Q128" s="2"/>
      <c r="R128"/>
      <c r="S128" s="94"/>
    </row>
    <row r="129" spans="16:19" x14ac:dyDescent="0.25">
      <c r="P129" s="2"/>
      <c r="Q129" s="2"/>
      <c r="R129"/>
      <c r="S129" s="94"/>
    </row>
    <row r="130" spans="16:19" x14ac:dyDescent="0.25">
      <c r="P130" s="2"/>
      <c r="Q130" s="2"/>
      <c r="R130"/>
      <c r="S130" s="94"/>
    </row>
    <row r="131" spans="16:19" x14ac:dyDescent="0.25">
      <c r="P131" s="2"/>
      <c r="Q131" s="2"/>
      <c r="R131"/>
      <c r="S131" s="94"/>
    </row>
    <row r="132" spans="16:19" x14ac:dyDescent="0.25">
      <c r="P132" s="2"/>
      <c r="Q132" s="2"/>
      <c r="R132"/>
      <c r="S132" s="94"/>
    </row>
    <row r="133" spans="16:19" x14ac:dyDescent="0.25">
      <c r="P133" s="2"/>
      <c r="Q133" s="2"/>
      <c r="R133"/>
      <c r="S133" s="94"/>
    </row>
    <row r="134" spans="16:19" x14ac:dyDescent="0.25">
      <c r="P134" s="2"/>
      <c r="Q134" s="2"/>
      <c r="R134"/>
      <c r="S134" s="94"/>
    </row>
    <row r="135" spans="16:19" x14ac:dyDescent="0.25">
      <c r="P135" s="2"/>
      <c r="Q135" s="2"/>
      <c r="R135"/>
      <c r="S135" s="94"/>
    </row>
    <row r="136" spans="16:19" x14ac:dyDescent="0.25">
      <c r="P136" s="2"/>
      <c r="Q136" s="2"/>
      <c r="R136"/>
      <c r="S136" s="94"/>
    </row>
    <row r="137" spans="16:19" x14ac:dyDescent="0.25">
      <c r="P137" s="2"/>
      <c r="Q137" s="2"/>
      <c r="R137"/>
      <c r="S137" s="94"/>
    </row>
    <row r="138" spans="16:19" x14ac:dyDescent="0.25">
      <c r="P138" s="2"/>
      <c r="Q138" s="2"/>
      <c r="R138"/>
      <c r="S138" s="94"/>
    </row>
    <row r="139" spans="16:19" x14ac:dyDescent="0.25">
      <c r="P139" s="2"/>
      <c r="Q139" s="2"/>
      <c r="R139"/>
      <c r="S139" s="94"/>
    </row>
    <row r="140" spans="16:19" x14ac:dyDescent="0.25">
      <c r="P140" s="2"/>
      <c r="Q140" s="2"/>
      <c r="R140"/>
      <c r="S140" s="94"/>
    </row>
    <row r="141" spans="16:19" x14ac:dyDescent="0.25">
      <c r="P141" s="2"/>
      <c r="Q141" s="2"/>
      <c r="R141"/>
      <c r="S141" s="94"/>
    </row>
    <row r="142" spans="16:19" x14ac:dyDescent="0.25">
      <c r="P142" s="2"/>
      <c r="Q142" s="2"/>
      <c r="R142"/>
      <c r="S142" s="94"/>
    </row>
    <row r="143" spans="16:19" x14ac:dyDescent="0.25">
      <c r="P143" s="2"/>
      <c r="Q143" s="2"/>
      <c r="R143"/>
      <c r="S143" s="94"/>
    </row>
    <row r="144" spans="16:19" x14ac:dyDescent="0.25">
      <c r="P144" s="2"/>
      <c r="Q144" s="2"/>
      <c r="R144"/>
      <c r="S144" s="94"/>
    </row>
    <row r="145" spans="16:19" x14ac:dyDescent="0.25">
      <c r="P145" s="2"/>
      <c r="Q145" s="2"/>
      <c r="R145"/>
      <c r="S145" s="94"/>
    </row>
    <row r="146" spans="16:19" x14ac:dyDescent="0.25">
      <c r="P146" s="2"/>
      <c r="Q146" s="2"/>
      <c r="R146"/>
      <c r="S146" s="94"/>
    </row>
    <row r="147" spans="16:19" x14ac:dyDescent="0.25">
      <c r="P147" s="2"/>
      <c r="Q147" s="2"/>
      <c r="R147"/>
      <c r="S147" s="94"/>
    </row>
    <row r="148" spans="16:19" x14ac:dyDescent="0.25">
      <c r="P148" s="2"/>
      <c r="Q148" s="2"/>
      <c r="R148"/>
      <c r="S148" s="94"/>
    </row>
    <row r="149" spans="16:19" x14ac:dyDescent="0.25">
      <c r="P149" s="2"/>
      <c r="Q149" s="2"/>
      <c r="R149"/>
      <c r="S149" s="94"/>
    </row>
    <row r="150" spans="16:19" x14ac:dyDescent="0.25">
      <c r="P150" s="2"/>
      <c r="Q150" s="2"/>
      <c r="R150"/>
      <c r="S150" s="94"/>
    </row>
    <row r="151" spans="16:19" x14ac:dyDescent="0.25">
      <c r="P151" s="2"/>
      <c r="Q151" s="2"/>
      <c r="R151"/>
      <c r="S151" s="94"/>
    </row>
    <row r="152" spans="16:19" x14ac:dyDescent="0.25">
      <c r="P152" s="2"/>
      <c r="Q152" s="2"/>
      <c r="R152"/>
      <c r="S152" s="94"/>
    </row>
    <row r="153" spans="16:19" x14ac:dyDescent="0.25">
      <c r="P153" s="2"/>
      <c r="Q153" s="2"/>
      <c r="R153"/>
      <c r="S153" s="94"/>
    </row>
    <row r="154" spans="16:19" x14ac:dyDescent="0.25">
      <c r="P154" s="2"/>
      <c r="Q154" s="2"/>
      <c r="R154"/>
      <c r="S154" s="94"/>
    </row>
    <row r="155" spans="16:19" x14ac:dyDescent="0.25">
      <c r="P155" s="2"/>
      <c r="Q155" s="2"/>
      <c r="R155"/>
      <c r="S155" s="94"/>
    </row>
    <row r="156" spans="16:19" x14ac:dyDescent="0.25">
      <c r="P156" s="2"/>
      <c r="Q156" s="2"/>
      <c r="R156"/>
      <c r="S156" s="94"/>
    </row>
    <row r="157" spans="16:19" x14ac:dyDescent="0.25">
      <c r="P157" s="2"/>
      <c r="Q157" s="2"/>
      <c r="R157"/>
      <c r="S157" s="94"/>
    </row>
    <row r="158" spans="16:19" x14ac:dyDescent="0.25">
      <c r="P158" s="2"/>
      <c r="Q158" s="2"/>
      <c r="R158"/>
      <c r="S158" s="94"/>
    </row>
    <row r="159" spans="16:19" x14ac:dyDescent="0.25">
      <c r="P159" s="2"/>
      <c r="Q159" s="2"/>
      <c r="R159"/>
      <c r="S159" s="94"/>
    </row>
    <row r="160" spans="16:19" x14ac:dyDescent="0.25">
      <c r="P160" s="2"/>
      <c r="Q160" s="2"/>
      <c r="R160"/>
      <c r="S160" s="94"/>
    </row>
    <row r="161" spans="16:19" x14ac:dyDescent="0.25">
      <c r="P161" s="2"/>
      <c r="Q161" s="2"/>
      <c r="R161"/>
      <c r="S161" s="94"/>
    </row>
    <row r="162" spans="16:19" x14ac:dyDescent="0.25">
      <c r="P162" s="2"/>
      <c r="Q162" s="2"/>
      <c r="R162"/>
      <c r="S162" s="94"/>
    </row>
    <row r="163" spans="16:19" x14ac:dyDescent="0.25">
      <c r="P163" s="2"/>
      <c r="Q163" s="2"/>
      <c r="R163"/>
      <c r="S163" s="94"/>
    </row>
    <row r="164" spans="16:19" x14ac:dyDescent="0.25">
      <c r="P164" s="2"/>
      <c r="Q164" s="2"/>
      <c r="R164"/>
      <c r="S164" s="94"/>
    </row>
    <row r="165" spans="16:19" x14ac:dyDescent="0.25">
      <c r="P165" s="2"/>
      <c r="Q165" s="2"/>
      <c r="R165"/>
      <c r="S165" s="94"/>
    </row>
    <row r="166" spans="16:19" x14ac:dyDescent="0.25">
      <c r="P166" s="2"/>
      <c r="Q166" s="2"/>
      <c r="R166"/>
      <c r="S166" s="94"/>
    </row>
    <row r="167" spans="16:19" x14ac:dyDescent="0.25">
      <c r="P167" s="2"/>
      <c r="Q167" s="2"/>
      <c r="R167"/>
      <c r="S167" s="94"/>
    </row>
    <row r="168" spans="16:19" x14ac:dyDescent="0.25">
      <c r="P168" s="2"/>
      <c r="Q168" s="2"/>
      <c r="R168"/>
      <c r="S168" s="94"/>
    </row>
    <row r="169" spans="16:19" x14ac:dyDescent="0.25">
      <c r="P169" s="2"/>
      <c r="Q169" s="2"/>
      <c r="R169"/>
      <c r="S169" s="94"/>
    </row>
    <row r="170" spans="16:19" x14ac:dyDescent="0.25">
      <c r="P170" s="2"/>
      <c r="Q170" s="2"/>
      <c r="R170"/>
      <c r="S170" s="94"/>
    </row>
    <row r="171" spans="16:19" x14ac:dyDescent="0.25">
      <c r="P171" s="2"/>
      <c r="Q171" s="2"/>
      <c r="R171"/>
      <c r="S171" s="94"/>
    </row>
    <row r="172" spans="16:19" x14ac:dyDescent="0.25">
      <c r="P172" s="2"/>
      <c r="Q172" s="2"/>
      <c r="R172"/>
      <c r="S172" s="94"/>
    </row>
    <row r="173" spans="16:19" x14ac:dyDescent="0.25">
      <c r="P173" s="2"/>
      <c r="Q173" s="2"/>
      <c r="R173"/>
      <c r="S173" s="94"/>
    </row>
    <row r="174" spans="16:19" x14ac:dyDescent="0.25">
      <c r="P174" s="2"/>
      <c r="Q174" s="2"/>
      <c r="R174"/>
      <c r="S174" s="94"/>
    </row>
    <row r="175" spans="16:19" x14ac:dyDescent="0.25">
      <c r="P175" s="2"/>
      <c r="Q175" s="2"/>
      <c r="R175"/>
      <c r="S175" s="94"/>
    </row>
    <row r="176" spans="16:19" x14ac:dyDescent="0.25">
      <c r="P176" s="2"/>
      <c r="Q176" s="2"/>
      <c r="R176"/>
      <c r="S176" s="94"/>
    </row>
    <row r="177" spans="16:19" x14ac:dyDescent="0.25">
      <c r="P177" s="2"/>
      <c r="Q177" s="2"/>
      <c r="R177"/>
      <c r="S177" s="94"/>
    </row>
    <row r="178" spans="16:19" x14ac:dyDescent="0.25">
      <c r="P178" s="2"/>
      <c r="Q178" s="2"/>
      <c r="R178"/>
      <c r="S178" s="94"/>
    </row>
    <row r="179" spans="16:19" x14ac:dyDescent="0.25">
      <c r="P179" s="2"/>
      <c r="Q179" s="2"/>
      <c r="R179" s="2"/>
      <c r="S179" s="94"/>
    </row>
    <row r="180" spans="16:19" x14ac:dyDescent="0.25">
      <c r="P180" s="2"/>
      <c r="Q180" s="2"/>
      <c r="R180" s="2"/>
      <c r="S180" s="94"/>
    </row>
    <row r="181" spans="16:19" x14ac:dyDescent="0.25">
      <c r="P181" s="2"/>
      <c r="Q181" s="2"/>
      <c r="R181" s="2"/>
      <c r="S181" s="94"/>
    </row>
    <row r="182" spans="16:19" x14ac:dyDescent="0.25">
      <c r="P182" s="2"/>
      <c r="Q182" s="2"/>
      <c r="R182" s="2"/>
      <c r="S182" s="94"/>
    </row>
    <row r="183" spans="16:19" x14ac:dyDescent="0.25">
      <c r="P183" s="2"/>
      <c r="Q183" s="2"/>
      <c r="R183" s="2"/>
    </row>
    <row r="184" spans="16:19" x14ac:dyDescent="0.25">
      <c r="P184" s="2"/>
      <c r="Q184" s="2"/>
      <c r="R184" s="2"/>
    </row>
    <row r="185" spans="16:19" x14ac:dyDescent="0.25">
      <c r="P185" s="2"/>
      <c r="Q185" s="2"/>
      <c r="R185" s="2"/>
    </row>
    <row r="186" spans="16:19" x14ac:dyDescent="0.25">
      <c r="P186" s="2"/>
      <c r="Q186" s="2"/>
      <c r="R186" s="2"/>
    </row>
    <row r="187" spans="16:19" x14ac:dyDescent="0.25">
      <c r="P187" s="2"/>
      <c r="Q187" s="2"/>
      <c r="R187" s="2"/>
    </row>
    <row r="188" spans="16:19" x14ac:dyDescent="0.25">
      <c r="P188" s="2"/>
      <c r="Q188" s="2"/>
      <c r="R188" s="2"/>
    </row>
    <row r="189" spans="16:19" x14ac:dyDescent="0.25">
      <c r="P189" s="2"/>
      <c r="Q189" s="2"/>
      <c r="R189" s="2"/>
    </row>
    <row r="190" spans="16:19" x14ac:dyDescent="0.25">
      <c r="P190" s="2"/>
      <c r="Q190" s="2"/>
      <c r="R190" s="2"/>
    </row>
    <row r="191" spans="16:19" x14ac:dyDescent="0.25">
      <c r="P191" s="2"/>
      <c r="Q191" s="2"/>
      <c r="R191" s="2"/>
    </row>
    <row r="192" spans="16:19" x14ac:dyDescent="0.25">
      <c r="P192" s="2"/>
      <c r="Q192" s="2"/>
      <c r="R192" s="2"/>
    </row>
    <row r="193" spans="16:18" x14ac:dyDescent="0.25">
      <c r="P193" s="2"/>
      <c r="Q193" s="2"/>
      <c r="R193" s="2"/>
    </row>
    <row r="194" spans="16:18" x14ac:dyDescent="0.25">
      <c r="P194" s="2"/>
      <c r="Q194" s="2"/>
      <c r="R194" s="2"/>
    </row>
    <row r="195" spans="16:18" x14ac:dyDescent="0.25">
      <c r="P195" s="2"/>
      <c r="Q195" s="2"/>
      <c r="R195" s="2"/>
    </row>
    <row r="196" spans="16:18" x14ac:dyDescent="0.25">
      <c r="P196" s="2"/>
      <c r="Q196" s="2"/>
      <c r="R196" s="2"/>
    </row>
    <row r="197" spans="16:18" x14ac:dyDescent="0.25">
      <c r="P197" s="2"/>
      <c r="Q197" s="2"/>
      <c r="R197" s="2"/>
    </row>
    <row r="198" spans="16:18" x14ac:dyDescent="0.25">
      <c r="P198" s="2"/>
      <c r="Q198" s="2"/>
      <c r="R198" s="2"/>
    </row>
    <row r="199" spans="16:18" x14ac:dyDescent="0.25">
      <c r="P199" s="2"/>
      <c r="Q199" s="2"/>
      <c r="R199" s="2"/>
    </row>
    <row r="200" spans="16:18" x14ac:dyDescent="0.25">
      <c r="P200" s="2"/>
      <c r="Q200" s="2"/>
      <c r="R200" s="2"/>
    </row>
    <row r="201" spans="16:18" x14ac:dyDescent="0.25">
      <c r="P201" s="2"/>
      <c r="Q201" s="2"/>
      <c r="R201" s="2"/>
    </row>
    <row r="202" spans="16:18" x14ac:dyDescent="0.25">
      <c r="P202" s="2"/>
      <c r="Q202" s="2"/>
      <c r="R202" s="2"/>
    </row>
    <row r="203" spans="16:18" x14ac:dyDescent="0.25">
      <c r="P203" s="2"/>
      <c r="Q203" s="2"/>
      <c r="R203" s="2"/>
    </row>
    <row r="204" spans="16:18" x14ac:dyDescent="0.25">
      <c r="P204" s="2"/>
      <c r="Q204" s="2"/>
      <c r="R204" s="2"/>
    </row>
    <row r="205" spans="16:18" x14ac:dyDescent="0.25">
      <c r="P205" s="2"/>
      <c r="Q205" s="2"/>
      <c r="R205" s="2"/>
    </row>
    <row r="206" spans="16:18" x14ac:dyDescent="0.25">
      <c r="P206" s="2"/>
      <c r="Q206" s="2"/>
      <c r="R206" s="2"/>
    </row>
    <row r="207" spans="16:18" x14ac:dyDescent="0.25">
      <c r="P207" s="2"/>
      <c r="Q207" s="2"/>
      <c r="R207" s="2"/>
    </row>
    <row r="208" spans="16:18" x14ac:dyDescent="0.25">
      <c r="P208" s="2"/>
      <c r="Q208" s="2"/>
      <c r="R208" s="2"/>
    </row>
    <row r="209" spans="16:18" x14ac:dyDescent="0.25">
      <c r="P209" s="2"/>
      <c r="Q209" s="2"/>
      <c r="R209" s="2"/>
    </row>
    <row r="210" spans="16:18" x14ac:dyDescent="0.25">
      <c r="P210" s="2"/>
      <c r="Q210" s="2"/>
      <c r="R210" s="2"/>
    </row>
    <row r="211" spans="16:18" x14ac:dyDescent="0.25">
      <c r="P211" s="2"/>
      <c r="Q211" s="2"/>
      <c r="R211" s="2"/>
    </row>
    <row r="212" spans="16:18" x14ac:dyDescent="0.25">
      <c r="P212" s="2"/>
      <c r="Q212" s="2"/>
      <c r="R212" s="2"/>
    </row>
    <row r="213" spans="16:18" x14ac:dyDescent="0.25">
      <c r="P213" s="2"/>
      <c r="Q213" s="2"/>
      <c r="R213" s="2"/>
    </row>
    <row r="214" spans="16:18" x14ac:dyDescent="0.25">
      <c r="P214" s="2"/>
      <c r="Q214" s="2"/>
      <c r="R214" s="2"/>
    </row>
    <row r="215" spans="16:18" x14ac:dyDescent="0.25">
      <c r="P215" s="2"/>
      <c r="Q215" s="2"/>
      <c r="R215" s="2"/>
    </row>
    <row r="216" spans="16:18" x14ac:dyDescent="0.25">
      <c r="P216" s="2"/>
      <c r="Q216" s="2"/>
      <c r="R216" s="2"/>
    </row>
    <row r="217" spans="16:18" x14ac:dyDescent="0.25">
      <c r="P217" s="2"/>
      <c r="Q217" s="2"/>
      <c r="R217" s="2"/>
    </row>
    <row r="218" spans="16:18" x14ac:dyDescent="0.25">
      <c r="P218" s="2"/>
      <c r="Q218" s="2"/>
      <c r="R218" s="2"/>
    </row>
    <row r="219" spans="16:18" x14ac:dyDescent="0.25">
      <c r="P219" s="2"/>
      <c r="Q219" s="2"/>
      <c r="R219" s="2"/>
    </row>
    <row r="220" spans="16:18" x14ac:dyDescent="0.25">
      <c r="P220" s="2"/>
      <c r="Q220" s="2"/>
      <c r="R220" s="2"/>
    </row>
    <row r="221" spans="16:18" x14ac:dyDescent="0.25">
      <c r="P221" s="2"/>
      <c r="Q221" s="2"/>
      <c r="R221" s="2"/>
    </row>
    <row r="222" spans="16:18" x14ac:dyDescent="0.25">
      <c r="P222" s="2"/>
      <c r="Q222" s="2"/>
      <c r="R222" s="2"/>
    </row>
    <row r="223" spans="16:18" x14ac:dyDescent="0.25">
      <c r="P223" s="2"/>
      <c r="Q223" s="2"/>
      <c r="R223" s="2"/>
    </row>
    <row r="224" spans="16:18" x14ac:dyDescent="0.25">
      <c r="P224" s="2"/>
      <c r="Q224" s="2"/>
      <c r="R224" s="2"/>
    </row>
    <row r="225" spans="16:18" x14ac:dyDescent="0.25">
      <c r="P225" s="2"/>
      <c r="Q225" s="2"/>
      <c r="R225" s="2"/>
    </row>
    <row r="226" spans="16:18" x14ac:dyDescent="0.25">
      <c r="P226" s="2"/>
      <c r="Q226" s="2"/>
      <c r="R226" s="2"/>
    </row>
    <row r="227" spans="16:18" x14ac:dyDescent="0.25">
      <c r="P227" s="2"/>
      <c r="Q227" s="2"/>
      <c r="R227" s="2"/>
    </row>
    <row r="228" spans="16:18" x14ac:dyDescent="0.25">
      <c r="P228" s="2"/>
      <c r="Q228" s="2"/>
      <c r="R228" s="2"/>
    </row>
    <row r="229" spans="16:18" x14ac:dyDescent="0.25">
      <c r="P229" s="2"/>
      <c r="Q229" s="2"/>
      <c r="R229" s="2"/>
    </row>
    <row r="230" spans="16:18" x14ac:dyDescent="0.25">
      <c r="P230" s="2"/>
      <c r="Q230" s="2"/>
      <c r="R230" s="2"/>
    </row>
    <row r="231" spans="16:18" x14ac:dyDescent="0.25">
      <c r="P231" s="2"/>
      <c r="Q231" s="2"/>
      <c r="R231" s="2"/>
    </row>
    <row r="232" spans="16:18" x14ac:dyDescent="0.25">
      <c r="P232" s="2"/>
      <c r="Q232" s="2"/>
      <c r="R232" s="2"/>
    </row>
    <row r="233" spans="16:18" x14ac:dyDescent="0.25">
      <c r="P233" s="2"/>
      <c r="Q233" s="2"/>
      <c r="R233" s="2"/>
    </row>
    <row r="234" spans="16:18" x14ac:dyDescent="0.25">
      <c r="P234" s="2"/>
      <c r="Q234" s="2"/>
      <c r="R234" s="2"/>
    </row>
    <row r="235" spans="16:18" x14ac:dyDescent="0.25">
      <c r="P235" s="2"/>
      <c r="Q235" s="2"/>
      <c r="R235" s="2"/>
    </row>
    <row r="236" spans="16:18" x14ac:dyDescent="0.25">
      <c r="P236" s="2"/>
      <c r="Q236" s="2"/>
      <c r="R236" s="2"/>
    </row>
    <row r="237" spans="16:18" x14ac:dyDescent="0.25">
      <c r="P237" s="2"/>
      <c r="Q237" s="2"/>
      <c r="R237" s="2"/>
    </row>
    <row r="238" spans="16:18" x14ac:dyDescent="0.25">
      <c r="P238" s="2"/>
      <c r="Q238" s="2"/>
      <c r="R238" s="2"/>
    </row>
    <row r="239" spans="16:18" x14ac:dyDescent="0.25">
      <c r="P239" s="2"/>
      <c r="Q239" s="2"/>
      <c r="R239" s="2"/>
    </row>
    <row r="240" spans="16:18" x14ac:dyDescent="0.25">
      <c r="P240" s="2"/>
      <c r="Q240" s="2"/>
      <c r="R240" s="2"/>
    </row>
    <row r="241" spans="16:18" x14ac:dyDescent="0.25">
      <c r="P241" s="2"/>
      <c r="Q241" s="2"/>
      <c r="R241" s="2"/>
    </row>
    <row r="242" spans="16:18" x14ac:dyDescent="0.25">
      <c r="P242" s="2"/>
      <c r="Q242" s="2"/>
      <c r="R242" s="2"/>
    </row>
    <row r="243" spans="16:18" x14ac:dyDescent="0.25">
      <c r="P243" s="2"/>
      <c r="Q243" s="2"/>
      <c r="R243" s="2"/>
    </row>
    <row r="244" spans="16:18" x14ac:dyDescent="0.25">
      <c r="P244" s="2"/>
      <c r="Q244" s="2"/>
      <c r="R244" s="2"/>
    </row>
    <row r="245" spans="16:18" x14ac:dyDescent="0.25">
      <c r="P245" s="2"/>
      <c r="Q245" s="2"/>
      <c r="R245" s="2"/>
    </row>
    <row r="246" spans="16:18" x14ac:dyDescent="0.25">
      <c r="P246" s="2"/>
      <c r="Q246" s="2"/>
      <c r="R246" s="2"/>
    </row>
    <row r="247" spans="16:18" x14ac:dyDescent="0.25">
      <c r="P247" s="2"/>
      <c r="Q247" s="2"/>
      <c r="R247" s="2"/>
    </row>
    <row r="248" spans="16:18" x14ac:dyDescent="0.25">
      <c r="P248" s="2"/>
      <c r="Q248" s="2"/>
      <c r="R248" s="2"/>
    </row>
    <row r="249" spans="16:18" x14ac:dyDescent="0.25">
      <c r="P249" s="2"/>
      <c r="Q249" s="2"/>
      <c r="R249" s="2"/>
    </row>
    <row r="250" spans="16:18" x14ac:dyDescent="0.25">
      <c r="P250" s="2"/>
      <c r="Q250" s="2"/>
      <c r="R250" s="2"/>
    </row>
    <row r="251" spans="16:18" x14ac:dyDescent="0.25">
      <c r="P251" s="2"/>
      <c r="Q251" s="2"/>
      <c r="R251" s="2"/>
    </row>
    <row r="252" spans="16:18" x14ac:dyDescent="0.25">
      <c r="P252" s="2"/>
      <c r="Q252" s="2"/>
      <c r="R252" s="2"/>
    </row>
    <row r="253" spans="16:18" x14ac:dyDescent="0.25">
      <c r="P253" s="2"/>
      <c r="Q253" s="2"/>
      <c r="R253" s="2"/>
    </row>
    <row r="254" spans="16:18" x14ac:dyDescent="0.25">
      <c r="P254" s="2"/>
      <c r="Q254" s="2"/>
      <c r="R254" s="2"/>
    </row>
    <row r="255" spans="16:18" x14ac:dyDescent="0.25">
      <c r="P255" s="2"/>
      <c r="Q255" s="2"/>
      <c r="R255" s="2"/>
    </row>
    <row r="256" spans="16:18" x14ac:dyDescent="0.25">
      <c r="P256" s="2"/>
      <c r="Q256" s="2"/>
      <c r="R256" s="2"/>
    </row>
    <row r="257" spans="16:18" x14ac:dyDescent="0.25">
      <c r="P257" s="2"/>
      <c r="Q257" s="2"/>
      <c r="R257" s="2"/>
    </row>
    <row r="258" spans="16:18" x14ac:dyDescent="0.25">
      <c r="P258" s="2"/>
      <c r="Q258" s="2"/>
      <c r="R258" s="2"/>
    </row>
    <row r="259" spans="16:18" x14ac:dyDescent="0.25">
      <c r="P259" s="2"/>
      <c r="Q259" s="2"/>
      <c r="R259" s="2"/>
    </row>
    <row r="260" spans="16:18" x14ac:dyDescent="0.25">
      <c r="P260" s="2"/>
      <c r="Q260" s="2"/>
      <c r="R260" s="2"/>
    </row>
    <row r="261" spans="16:18" x14ac:dyDescent="0.25">
      <c r="P261" s="2"/>
      <c r="Q261" s="2"/>
      <c r="R261" s="2"/>
    </row>
    <row r="262" spans="16:18" x14ac:dyDescent="0.25">
      <c r="P262" s="2"/>
      <c r="Q262" s="2"/>
      <c r="R262" s="2"/>
    </row>
    <row r="263" spans="16:18" x14ac:dyDescent="0.25">
      <c r="P263" s="2"/>
      <c r="Q263" s="2"/>
      <c r="R263" s="2"/>
    </row>
    <row r="264" spans="16:18" x14ac:dyDescent="0.25">
      <c r="P264" s="2"/>
      <c r="Q264" s="2"/>
      <c r="R264" s="2"/>
    </row>
    <row r="265" spans="16:18" x14ac:dyDescent="0.25">
      <c r="P265" s="2"/>
      <c r="Q265" s="2"/>
      <c r="R265" s="2"/>
    </row>
    <row r="266" spans="16:18" x14ac:dyDescent="0.25">
      <c r="P266" s="2"/>
      <c r="Q266" s="2"/>
      <c r="R266" s="2"/>
    </row>
    <row r="267" spans="16:18" x14ac:dyDescent="0.25">
      <c r="P267" s="2"/>
      <c r="Q267" s="2"/>
      <c r="R267" s="2"/>
    </row>
    <row r="268" spans="16:18" x14ac:dyDescent="0.25">
      <c r="P268" s="2"/>
      <c r="Q268" s="2"/>
      <c r="R268" s="2"/>
    </row>
    <row r="269" spans="16:18" x14ac:dyDescent="0.25">
      <c r="P269" s="2"/>
      <c r="Q269" s="2"/>
      <c r="R269" s="2"/>
    </row>
    <row r="270" spans="16:18" x14ac:dyDescent="0.25">
      <c r="P270" s="2"/>
      <c r="Q270" s="2"/>
      <c r="R270" s="2"/>
    </row>
    <row r="271" spans="16:18" x14ac:dyDescent="0.25">
      <c r="P271" s="2"/>
      <c r="Q271" s="2"/>
      <c r="R271" s="2"/>
    </row>
    <row r="272" spans="16:18" x14ac:dyDescent="0.25">
      <c r="P272" s="2"/>
      <c r="Q272" s="2"/>
      <c r="R272" s="2"/>
    </row>
    <row r="273" spans="16:18" x14ac:dyDescent="0.25">
      <c r="P273" s="2"/>
      <c r="Q273" s="2"/>
      <c r="R273" s="2"/>
    </row>
    <row r="274" spans="16:18" x14ac:dyDescent="0.25">
      <c r="P274" s="2"/>
      <c r="Q274" s="2"/>
      <c r="R274" s="2"/>
    </row>
    <row r="275" spans="16:18" x14ac:dyDescent="0.25">
      <c r="P275" s="2"/>
      <c r="Q275" s="2"/>
      <c r="R275" s="2"/>
    </row>
    <row r="276" spans="16:18" x14ac:dyDescent="0.25">
      <c r="P276" s="2"/>
      <c r="Q276" s="2"/>
      <c r="R276" s="2"/>
    </row>
    <row r="277" spans="16:18" x14ac:dyDescent="0.25">
      <c r="P277" s="2"/>
      <c r="Q277" s="2"/>
      <c r="R277" s="2"/>
    </row>
    <row r="278" spans="16:18" x14ac:dyDescent="0.25">
      <c r="P278" s="2"/>
      <c r="Q278" s="2"/>
      <c r="R278" s="2"/>
    </row>
    <row r="279" spans="16:18" x14ac:dyDescent="0.25">
      <c r="P279" s="2"/>
      <c r="Q279" s="2"/>
      <c r="R279" s="2"/>
    </row>
    <row r="280" spans="16:18" x14ac:dyDescent="0.25">
      <c r="P280" s="2"/>
      <c r="Q280" s="2"/>
      <c r="R280" s="2"/>
    </row>
    <row r="281" spans="16:18" x14ac:dyDescent="0.25">
      <c r="P281" s="2"/>
      <c r="Q281" s="2"/>
      <c r="R281" s="2"/>
    </row>
    <row r="282" spans="16:18" x14ac:dyDescent="0.25">
      <c r="P282" s="2"/>
      <c r="Q282" s="2"/>
      <c r="R282" s="2"/>
    </row>
    <row r="283" spans="16:18" x14ac:dyDescent="0.25">
      <c r="P283" s="2"/>
      <c r="Q283" s="2"/>
      <c r="R283" s="2"/>
    </row>
    <row r="284" spans="16:18" x14ac:dyDescent="0.25">
      <c r="P284" s="2"/>
      <c r="Q284" s="2"/>
      <c r="R284" s="2"/>
    </row>
    <row r="285" spans="16:18" x14ac:dyDescent="0.25">
      <c r="P285" s="2"/>
      <c r="Q285" s="2"/>
      <c r="R285" s="2"/>
    </row>
    <row r="286" spans="16:18" x14ac:dyDescent="0.25">
      <c r="P286" s="2"/>
      <c r="Q286" s="2"/>
      <c r="R286" s="2"/>
    </row>
    <row r="287" spans="16:18" x14ac:dyDescent="0.25">
      <c r="P287" s="2"/>
      <c r="Q287" s="2"/>
      <c r="R287" s="2"/>
    </row>
    <row r="288" spans="16:18" x14ac:dyDescent="0.25">
      <c r="P288" s="2"/>
      <c r="Q288" s="2"/>
      <c r="R288" s="2"/>
    </row>
    <row r="289" spans="16:18" x14ac:dyDescent="0.25">
      <c r="P289" s="2"/>
      <c r="Q289" s="2"/>
      <c r="R289" s="2"/>
    </row>
    <row r="290" spans="16:18" x14ac:dyDescent="0.25">
      <c r="P290" s="2"/>
      <c r="Q290" s="2"/>
      <c r="R290" s="2"/>
    </row>
    <row r="291" spans="16:18" x14ac:dyDescent="0.25">
      <c r="P291" s="2"/>
      <c r="Q291" s="2"/>
      <c r="R291" s="2"/>
    </row>
    <row r="292" spans="16:18" x14ac:dyDescent="0.25">
      <c r="P292" s="2"/>
      <c r="Q292" s="2"/>
      <c r="R292" s="2"/>
    </row>
    <row r="293" spans="16:18" x14ac:dyDescent="0.25">
      <c r="P293" s="2"/>
      <c r="Q293" s="2"/>
      <c r="R293" s="2"/>
    </row>
    <row r="294" spans="16:18" x14ac:dyDescent="0.25">
      <c r="P294" s="7"/>
      <c r="Q294" s="7"/>
      <c r="R294" s="7"/>
    </row>
    <row r="295" spans="16:18" x14ac:dyDescent="0.25">
      <c r="P295" s="2"/>
      <c r="Q295" s="2"/>
      <c r="R295" s="2"/>
    </row>
    <row r="296" spans="16:18" x14ac:dyDescent="0.25">
      <c r="P296" s="2"/>
      <c r="Q296" s="2"/>
      <c r="R296" s="2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fitToHeight="0" orientation="portrait" r:id="rId1"/>
  <headerFooter>
    <oddFooter>&amp;CPage &amp;P of &amp;N</oddFooter>
  </headerFooter>
  <rowBreaks count="2" manualBreakCount="2">
    <brk id="21" max="13" man="1"/>
    <brk id="58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2020-02-18T17:03:38Z</cp:lastPrinted>
  <dcterms:created xsi:type="dcterms:W3CDTF">2018-05-13T15:03:39Z</dcterms:created>
  <dcterms:modified xsi:type="dcterms:W3CDTF">2020-02-18T19:49:29Z</dcterms:modified>
</cp:coreProperties>
</file>