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1504821A-592A-4370-ADC5-1131BFCB8F30}" xr6:coauthVersionLast="46" xr6:coauthVersionMax="46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  <externalReference r:id="rId19"/>
  </externalReferences>
  <definedNames>
    <definedName name="_xlnm.Print_Area" localSheetId="8">'722 Bedford St'!$A$1:$F$81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3" i="7" l="1"/>
  <c r="N160" i="7" l="1"/>
  <c r="L160" i="7"/>
  <c r="J160" i="7"/>
  <c r="H160" i="7"/>
  <c r="F160" i="7"/>
  <c r="N157" i="7"/>
  <c r="L157" i="7"/>
  <c r="J157" i="7"/>
  <c r="F157" i="7"/>
  <c r="D157" i="7"/>
  <c r="B157" i="7"/>
  <c r="N63" i="7"/>
  <c r="N64" i="7"/>
  <c r="E44" i="14"/>
  <c r="J63" i="7"/>
  <c r="F49" i="8"/>
  <c r="U161" i="1" l="1"/>
  <c r="H157" i="7" l="1"/>
  <c r="B106" i="7" l="1"/>
  <c r="U135" i="1"/>
  <c r="B9" i="7" l="1"/>
  <c r="F77" i="7"/>
  <c r="J106" i="7"/>
  <c r="F73" i="8"/>
  <c r="B12" i="7" l="1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6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U148" i="1"/>
  <c r="U63" i="1"/>
  <c r="AL59" i="7" l="1"/>
  <c r="J15" i="7"/>
  <c r="J12" i="7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96" i="7" l="1"/>
  <c r="E80" i="14"/>
  <c r="F90" i="7"/>
  <c r="B90" i="7"/>
  <c r="B133" i="7"/>
  <c r="AP110" i="7"/>
  <c r="AJ110" i="7"/>
  <c r="B110" i="7"/>
  <c r="P110" i="7" s="1"/>
  <c r="AH110" i="7" s="1"/>
  <c r="U163" i="1"/>
  <c r="AL110" i="7" l="1"/>
  <c r="AF112" i="7"/>
  <c r="F42" i="7" l="1"/>
  <c r="U49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49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5" i="3"/>
  <c r="U56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13" i="7"/>
  <c r="B39" i="7"/>
  <c r="B36" i="7"/>
  <c r="B27" i="7"/>
  <c r="P27" i="7" s="1"/>
  <c r="AH27" i="7" s="1"/>
  <c r="H154" i="7"/>
  <c r="H155" i="7" s="1"/>
  <c r="D130" i="7"/>
  <c r="D129" i="7"/>
  <c r="D160" i="7" s="1"/>
  <c r="H83" i="7"/>
  <c r="H38" i="12" s="1"/>
  <c r="F130" i="7"/>
  <c r="F129" i="7"/>
  <c r="F75" i="7"/>
  <c r="F11" i="7"/>
  <c r="F13" i="12" s="1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48" i="7"/>
  <c r="N33" i="7"/>
  <c r="AD33" i="7"/>
  <c r="AJ112" i="7"/>
  <c r="AJ93" i="7"/>
  <c r="AJ94" i="7"/>
  <c r="AJ99" i="7"/>
  <c r="AJ100" i="7"/>
  <c r="AJ101" i="7"/>
  <c r="AJ107" i="7"/>
  <c r="AJ74" i="7"/>
  <c r="AD46" i="12"/>
  <c r="AD43" i="7"/>
  <c r="AD14" i="12"/>
  <c r="E65" i="14"/>
  <c r="E58" i="14"/>
  <c r="E59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50" i="3"/>
  <c r="U66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84" i="8"/>
  <c r="F78" i="8"/>
  <c r="F74" i="8"/>
  <c r="F53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154" i="7" s="1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5" i="1"/>
  <c r="B48" i="7"/>
  <c r="U89" i="1" l="1"/>
  <c r="U166" i="1" s="1"/>
  <c r="AD45" i="7"/>
  <c r="B33" i="7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54" i="8"/>
  <c r="D33" i="7"/>
  <c r="AD10" i="12"/>
  <c r="AD22" i="12" s="1"/>
  <c r="Z22" i="12"/>
  <c r="P23" i="7"/>
  <c r="AH23" i="7" s="1"/>
  <c r="AL23" i="7" s="1"/>
  <c r="B26" i="12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66" i="14"/>
  <c r="E81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9" i="8"/>
  <c r="F85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45" i="14" s="1"/>
  <c r="U27" i="5"/>
  <c r="B14" i="12"/>
  <c r="U68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45" i="7" l="1"/>
  <c r="B69" i="7" s="1"/>
  <c r="AJ48" i="7"/>
  <c r="AN48" i="7" s="1"/>
  <c r="AP48" i="7" s="1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83" i="14"/>
  <c r="N124" i="7"/>
  <c r="F46" i="16"/>
  <c r="F74" i="9"/>
  <c r="AL13" i="7"/>
  <c r="AN91" i="7"/>
  <c r="AP91" i="7" s="1"/>
  <c r="AL11" i="7"/>
  <c r="AL15" i="7"/>
  <c r="U70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X124" i="7"/>
  <c r="X141" i="7"/>
  <c r="AL91" i="7"/>
  <c r="AN53" i="7"/>
  <c r="AP53" i="7" s="1"/>
  <c r="AL53" i="7"/>
  <c r="AH65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7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AL48" i="7" l="1"/>
  <c r="B46" i="7"/>
  <c r="P45" i="7"/>
  <c r="P69" i="7" s="1"/>
  <c r="AF45" i="7"/>
  <c r="X142" i="7"/>
  <c r="X61" i="12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F69" i="7" l="1"/>
  <c r="P142" i="7"/>
  <c r="R60" i="12"/>
  <c r="AL42" i="12"/>
  <c r="AF43" i="12"/>
  <c r="AF50" i="12" s="1"/>
  <c r="R62" i="12"/>
  <c r="AL45" i="7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L43" i="12" l="1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  <c r="B160" i="7" l="1"/>
</calcChain>
</file>

<file path=xl/sharedStrings.xml><?xml version="1.0" encoding="utf-8"?>
<sst xmlns="http://schemas.openxmlformats.org/spreadsheetml/2006/main" count="1915" uniqueCount="775">
  <si>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</si>
  <si>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</si>
  <si>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</si>
  <si>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</si>
  <si>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</si>
  <si>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</si>
  <si>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</si>
  <si>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</si>
  <si>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</si>
  <si>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</si>
  <si>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</si>
  <si>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</si>
  <si>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</si>
  <si>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</si>
  <si>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</si>
  <si>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</si>
  <si>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</si>
  <si>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</si>
  <si>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</si>
  <si>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</si>
  <si>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</si>
  <si>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</si>
  <si>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</si>
  <si>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</si>
  <si>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</si>
  <si>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</si>
  <si>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</si>
  <si>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</si>
  <si>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</si>
  <si>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</si>
  <si>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</si>
  <si>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</si>
  <si>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</si>
  <si>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</si>
  <si>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</si>
  <si>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</si>
  <si>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</si>
  <si>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</si>
  <si>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</si>
  <si>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</si>
  <si>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</si>
  <si>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</si>
  <si>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</si>
  <si>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</si>
  <si>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</si>
  <si>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</si>
  <si>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</si>
  <si>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</si>
  <si>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</si>
  <si>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</si>
  <si>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</si>
  <si>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</si>
  <si>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</si>
  <si>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</si>
  <si>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</si>
  <si>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</si>
  <si>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</si>
  <si>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</si>
  <si>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</si>
  <si>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</si>
  <si>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</si>
  <si>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</si>
  <si>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</si>
  <si>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</si>
  <si>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</si>
  <si>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</si>
  <si>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</si>
  <si>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</si>
  <si>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</si>
  <si>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</si>
  <si>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</si>
  <si>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</si>
  <si>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</si>
  <si>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</si>
  <si>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</si>
  <si>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</si>
  <si>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</si>
  <si>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</si>
  <si>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</si>
  <si>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</si>
  <si>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</si>
  <si>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</si>
  <si>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</si>
  <si>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</si>
  <si>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</si>
  <si>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</si>
  <si>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</si>
  <si>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</si>
  <si>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</si>
  <si>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</si>
  <si>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</si>
  <si>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</si>
  <si>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</si>
  <si>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</si>
  <si>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</si>
  <si>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</si>
  <si>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</si>
  <si>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</si>
  <si>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</si>
  <si>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</si>
  <si>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</si>
  <si>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</si>
  <si>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</si>
  <si>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</si>
  <si>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</si>
  <si>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</si>
  <si>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</si>
  <si>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</si>
  <si>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</si>
  <si>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</si>
  <si>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</si>
  <si>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</si>
  <si>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</si>
  <si>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</si>
  <si>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</si>
  <si>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</si>
  <si>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</si>
  <si>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</si>
  <si>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</si>
  <si>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</si>
  <si>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</si>
  <si>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</si>
  <si>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</si>
  <si>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</si>
  <si>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</si>
  <si>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</si>
  <si>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</si>
  <si>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</si>
  <si>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</si>
  <si>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</si>
  <si>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</si>
  <si>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</si>
  <si>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</si>
  <si>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</si>
  <si>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</si>
  <si>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</si>
  <si>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</si>
  <si>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</si>
  <si>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</si>
  <si>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</si>
  <si>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</si>
  <si>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</si>
  <si>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</si>
  <si>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</si>
  <si>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</si>
  <si>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</si>
  <si>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</si>
  <si>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</si>
  <si>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</si>
  <si>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</si>
  <si>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</si>
  <si>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</si>
  <si>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</si>
  <si>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</si>
  <si>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</si>
  <si>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</si>
  <si>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</si>
  <si>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</si>
  <si>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</si>
  <si>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</si>
  <si>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</si>
  <si>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</si>
  <si>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</si>
  <si>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</si>
  <si>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</si>
  <si>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</si>
  <si>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</si>
  <si>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</si>
  <si>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</si>
  <si>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</si>
  <si>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</si>
  <si>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</si>
  <si>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</si>
  <si>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</si>
  <si>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</si>
  <si>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</si>
  <si>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</si>
  <si>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</si>
  <si>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</si>
  <si>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</si>
  <si>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</si>
  <si>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</si>
  <si>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</si>
  <si>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</si>
  <si>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</si>
  <si>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</si>
  <si>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</si>
  <si>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</si>
  <si>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</si>
  <si>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</si>
  <si>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</si>
  <si>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</si>
  <si>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</si>
  <si>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</si>
  <si>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</si>
  <si>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</si>
  <si>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</si>
  <si>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</si>
  <si>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</si>
  <si>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</si>
  <si>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</si>
  <si>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</si>
  <si>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</si>
  <si>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</si>
  <si>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</si>
  <si>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</si>
  <si>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</si>
  <si>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</si>
  <si>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</si>
  <si>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</si>
  <si>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</si>
  <si>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</si>
  <si>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</si>
  <si>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</si>
  <si>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</si>
  <si>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</si>
  <si>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</si>
  <si>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</si>
  <si>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</si>
  <si>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</si>
  <si>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</si>
  <si>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</si>
  <si>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</si>
  <si>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</si>
  <si>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</si>
  <si>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</si>
  <si>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</si>
  <si>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</si>
  <si>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</si>
  <si>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</si>
  <si>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</si>
  <si>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</si>
  <si>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</si>
  <si>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</si>
  <si>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</si>
  <si>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</si>
  <si>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</si>
  <si>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</si>
  <si>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</si>
  <si>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</si>
  <si>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</si>
  <si>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</si>
  <si>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</si>
  <si>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</si>
  <si>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</si>
  <si>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</si>
  <si>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</si>
  <si>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</si>
  <si>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</si>
  <si>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</si>
  <si>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</si>
  <si>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</si>
  <si>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</si>
  <si>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</si>
  <si>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</si>
  <si>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</si>
  <si>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</si>
  <si>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</si>
  <si>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</si>
  <si>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</si>
  <si>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</si>
  <si>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</si>
  <si>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</si>
  <si>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</si>
  <si>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</si>
  <si>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</si>
  <si>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</si>
  <si>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</si>
  <si>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</si>
  <si>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</si>
  <si>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</si>
  <si>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</si>
  <si>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</si>
  <si>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</si>
  <si>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</si>
  <si>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</si>
  <si>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</si>
  <si>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</si>
  <si>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</si>
  <si>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</si>
  <si>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</si>
  <si>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</si>
  <si>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</si>
  <si>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</si>
  <si>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</si>
  <si>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</si>
  <si>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</si>
  <si>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</si>
  <si>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</si>
  <si>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</si>
  <si>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</si>
  <si>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</si>
  <si>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</si>
  <si>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</si>
  <si>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</si>
  <si>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</si>
  <si>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</si>
  <si>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</si>
  <si>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</si>
  <si>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</si>
  <si>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</si>
  <si>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</si>
  <si>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</si>
  <si>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</si>
  <si>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</si>
  <si>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</si>
  <si>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</si>
  <si>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</si>
  <si>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</si>
  <si>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</si>
  <si>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</si>
  <si>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</si>
  <si>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</si>
  <si>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</si>
  <si>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</si>
  <si>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</si>
  <si>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</si>
  <si>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</si>
  <si>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</si>
  <si>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</si>
  <si>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</si>
  <si>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</si>
  <si>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</si>
  <si>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</si>
  <si>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</si>
  <si>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</si>
  <si>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</si>
  <si>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</si>
  <si>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</si>
  <si>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</si>
  <si>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</si>
  <si>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</si>
  <si>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</si>
  <si>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</si>
  <si>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</si>
  <si>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</si>
  <si>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</si>
  <si>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</si>
  <si>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</si>
  <si>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</si>
  <si>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</si>
  <si>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</si>
  <si>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</si>
  <si>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</si>
  <si>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</si>
  <si>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</si>
  <si>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</si>
  <si>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</si>
  <si>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</si>
  <si>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</si>
  <si>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</si>
  <si>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</si>
  <si>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</si>
  <si>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</si>
  <si>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</si>
  <si>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</si>
  <si>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</si>
  <si>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</si>
  <si>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</si>
  <si>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</si>
  <si>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</si>
  <si>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</si>
  <si>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</si>
  <si>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</si>
  <si>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</si>
  <si>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</si>
  <si>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</si>
  <si>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</si>
  <si>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</si>
  <si>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</si>
  <si>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</si>
  <si>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</si>
  <si>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</si>
  <si>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</si>
  <si>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</si>
  <si>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</si>
  <si>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</si>
  <si>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</si>
  <si>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</si>
  <si>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</si>
  <si>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</si>
  <si>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</si>
  <si>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</si>
  <si>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</si>
  <si>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</si>
  <si>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</si>
  <si>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</si>
  <si>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</si>
  <si>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</si>
  <si>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</si>
  <si>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</si>
  <si>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</si>
  <si>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</si>
  <si>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</si>
  <si>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</si>
  <si>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</si>
  <si>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</si>
  <si>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</si>
  <si>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</si>
  <si>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</si>
  <si>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</si>
  <si>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</si>
  <si>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</si>
  <si>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</si>
  <si>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</si>
  <si>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</si>
  <si>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</si>
  <si>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</si>
  <si>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</si>
  <si>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</si>
  <si>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</si>
  <si>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</si>
  <si>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</si>
  <si>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</si>
  <si>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</si>
  <si>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</si>
  <si>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</si>
  <si>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</si>
  <si>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</si>
  <si>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</si>
  <si>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</si>
  <si>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</si>
  <si>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</si>
  <si>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</si>
  <si>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</si>
  <si>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</si>
  <si>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</si>
  <si>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</si>
  <si>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</si>
  <si>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</si>
  <si>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</si>
  <si>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</si>
  <si>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</si>
  <si>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</si>
  <si>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</si>
  <si>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</si>
  <si>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</si>
  <si>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</si>
  <si>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</si>
  <si>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</si>
  <si>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</si>
  <si>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</si>
  <si>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</si>
  <si>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</si>
  <si>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</si>
  <si>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</si>
  <si>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</si>
  <si>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</si>
  <si>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</si>
  <si>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</si>
  <si>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</si>
  <si>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</si>
  <si>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</si>
  <si>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</si>
  <si>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</si>
  <si>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</si>
  <si>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</si>
  <si>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</si>
  <si>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</si>
  <si>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</si>
  <si>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</si>
  <si>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</si>
  <si>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</si>
  <si>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</si>
  <si>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</si>
  <si>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</si>
  <si>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</si>
  <si>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</si>
  <si>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</si>
  <si>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</si>
  <si>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</si>
  <si>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</si>
  <si>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</si>
  <si>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</si>
  <si>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</si>
  <si>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</si>
  <si>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</si>
  <si>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</si>
  <si>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</si>
  <si>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</si>
  <si>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</si>
  <si>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</si>
  <si>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</si>
  <si>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</si>
  <si>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</si>
  <si>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</si>
  <si>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</si>
  <si>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</si>
  <si>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</si>
  <si>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</si>
  <si>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</si>
  <si>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</si>
  <si>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</si>
  <si>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</si>
  <si>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</si>
  <si>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</si>
  <si>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</si>
  <si>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</si>
  <si>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</si>
  <si>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</si>
  <si>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</si>
  <si>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</si>
  <si>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</si>
  <si>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</si>
  <si>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</si>
  <si>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</si>
  <si>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</si>
  <si>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</si>
  <si>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</si>
  <si>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</si>
  <si>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</si>
  <si>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</si>
  <si>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</si>
  <si>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</si>
  <si>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</si>
  <si>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</si>
  <si>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</si>
  <si>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</si>
  <si>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</si>
  <si>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</si>
  <si>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</si>
  <si>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</si>
  <si>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</si>
  <si>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</si>
  <si>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</si>
  <si>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</si>
  <si>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</si>
  <si>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</si>
  <si>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</si>
  <si>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</si>
  <si>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</si>
  <si>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</si>
  <si>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</si>
  <si>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</si>
  <si>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</si>
  <si>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</si>
  <si>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</si>
  <si>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</si>
  <si>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</si>
  <si>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</si>
  <si>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</si>
  <si>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</si>
  <si>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</si>
  <si>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</si>
  <si>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</si>
  <si>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</si>
  <si>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</si>
  <si>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</si>
  <si>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</si>
  <si>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</si>
  <si>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</si>
  <si>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</si>
  <si>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</si>
  <si>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</si>
  <si>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</si>
  <si>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</si>
  <si>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</si>
  <si>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</si>
  <si>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</si>
  <si>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</si>
  <si>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</si>
  <si>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</si>
  <si>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</si>
  <si>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</si>
  <si>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</si>
  <si>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</si>
  <si>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</si>
  <si>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</si>
  <si>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</si>
  <si>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</si>
  <si>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</si>
  <si>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</si>
  <si>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</si>
  <si>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</si>
  <si>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</si>
  <si>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</si>
  <si>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</si>
  <si>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</si>
  <si>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</si>
  <si>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</si>
  <si>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</si>
  <si>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</si>
  <si>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</si>
  <si>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</si>
  <si>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</si>
  <si>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</si>
  <si>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</si>
  <si>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</si>
  <si>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</si>
  <si>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</si>
  <si>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</si>
  <si>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</si>
  <si>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</si>
  <si>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</si>
  <si>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</si>
  <si>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</si>
  <si>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</si>
  <si>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</si>
  <si>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</si>
  <si>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</si>
  <si>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</si>
  <si>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</si>
  <si>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</si>
  <si>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</si>
  <si>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</si>
  <si>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</si>
  <si>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</si>
  <si>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</si>
  <si>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</si>
  <si>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</si>
  <si>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</si>
  <si>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</si>
  <si>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</si>
  <si>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</si>
  <si>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</si>
  <si>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</si>
  <si>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</si>
  <si>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</si>
  <si>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</si>
  <si>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</si>
  <si>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</si>
  <si>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</si>
  <si>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</si>
  <si>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</si>
  <si>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</si>
  <si>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</si>
  <si>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</si>
  <si>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</si>
  <si>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</si>
  <si>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</si>
  <si>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</si>
  <si>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</si>
  <si>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</si>
  <si>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</si>
  <si>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</si>
  <si>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</si>
  <si>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</si>
  <si>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</si>
  <si>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</si>
  <si>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</si>
  <si>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</si>
  <si>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</si>
  <si>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</si>
  <si>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</si>
  <si>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</si>
  <si>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</si>
  <si>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</si>
  <si>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</si>
  <si>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</si>
  <si>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</si>
  <si>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</si>
  <si>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</si>
  <si>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</si>
  <si>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</si>
  <si>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</si>
  <si>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</si>
  <si>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</si>
  <si>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</si>
  <si>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</si>
  <si>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</si>
  <si>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</si>
  <si>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</si>
  <si>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</si>
  <si>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</si>
  <si>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</si>
  <si>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</si>
  <si>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</si>
  <si>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</si>
  <si>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</si>
  <si>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</si>
  <si>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</si>
  <si>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</si>
  <si>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</si>
  <si>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</si>
  <si>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</si>
  <si>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</si>
  <si>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</si>
  <si>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</si>
  <si>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</si>
  <si>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</si>
  <si>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</si>
  <si>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</si>
  <si>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</si>
  <si>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</si>
  <si>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</si>
  <si>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</si>
  <si>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</si>
  <si>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</si>
  <si>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</si>
  <si>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</si>
  <si>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</si>
  <si>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</si>
  <si>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</si>
  <si>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</si>
  <si>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</si>
  <si>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</si>
  <si>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</si>
  <si>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</si>
  <si>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</si>
  <si>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</si>
  <si>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</si>
  <si>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</si>
  <si>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</si>
  <si>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</si>
  <si>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</si>
  <si>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</si>
  <si>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</si>
  <si>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</si>
  <si>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</si>
  <si>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</si>
  <si>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</si>
  <si>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</si>
  <si>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</si>
  <si>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</si>
  <si>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</si>
  <si>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</si>
  <si>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</si>
  <si>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</si>
  <si>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</si>
  <si>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</si>
  <si>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</si>
  <si>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</si>
  <si>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</si>
  <si>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</si>
  <si>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</si>
  <si>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</si>
  <si>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</si>
  <si>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</si>
  <si>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</si>
  <si>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</si>
  <si>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</si>
  <si>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</si>
  <si>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</si>
  <si>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</si>
  <si>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</si>
  <si>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</si>
  <si>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</si>
  <si>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</si>
  <si>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</si>
  <si>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</si>
  <si>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</si>
  <si>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</si>
  <si>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</si>
  <si>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</si>
  <si>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</si>
  <si>
    <t>DUE FROM THE LITTLE BRICK SCHOOLHOUSE</t>
  </si>
  <si>
    <t>DUE FROM BROKER - ADM</t>
  </si>
  <si>
    <t>As of 9/30/2020</t>
  </si>
  <si>
    <t>2060 · Due to CNT Construction Loan</t>
  </si>
  <si>
    <t>INVESTMENT DIVIDENDS RECEIVABLE</t>
  </si>
  <si>
    <t>10/31/20</t>
  </si>
  <si>
    <t>DUE TO BSC Monthly Activity</t>
  </si>
  <si>
    <t>11/30/20</t>
  </si>
  <si>
    <t>As of 12/31/2020</t>
  </si>
  <si>
    <t>As of 12/31/2019</t>
  </si>
  <si>
    <t>For Period 12/31/2020 &amp; 12/31/2019</t>
  </si>
  <si>
    <t>CNT Lending 12/31/2020</t>
  </si>
  <si>
    <t>12/31/20</t>
  </si>
  <si>
    <t>1420 Foyer</t>
  </si>
  <si>
    <t>1421 Bathrooms</t>
  </si>
  <si>
    <t>1422 Interior Painting</t>
  </si>
  <si>
    <t>1423 Generator</t>
  </si>
  <si>
    <t>1424 Sealant - Exteriror</t>
  </si>
  <si>
    <t>1425 Eterior Doors</t>
  </si>
  <si>
    <t>A/D - Addition</t>
  </si>
  <si>
    <t>Building Addition</t>
  </si>
  <si>
    <t>Engineering Addition</t>
  </si>
  <si>
    <t>Building Permits Addition</t>
  </si>
  <si>
    <t>Landscaping Addition</t>
  </si>
  <si>
    <t>Foundation Addition</t>
  </si>
  <si>
    <t>HVAC Addition</t>
  </si>
  <si>
    <t>Plumbing Adding</t>
  </si>
  <si>
    <t>Electrical Addition</t>
  </si>
  <si>
    <t>Security Addition</t>
  </si>
  <si>
    <t>Sprinklers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</si>
</sst>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6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9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164" fontId="4" fillId="0" borderId="10" xfId="0" applyNumberFormat="1" applyFont="1" applyFill="1" applyBorder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December%20-%20Combined%20Profit%20&amp;%20Lo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October%20-%20Combined%20Profit%20&amp;%20Lo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12%20-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1286833.67</v>
          </cell>
          <cell r="C65">
            <v>5019.4800000000005</v>
          </cell>
          <cell r="D65">
            <v>172857.59999999998</v>
          </cell>
          <cell r="F65">
            <v>103003.59</v>
          </cell>
          <cell r="G65">
            <v>111017.21</v>
          </cell>
          <cell r="H65">
            <v>179829.15000000002</v>
          </cell>
        </row>
        <row r="178">
          <cell r="B178">
            <v>31766017.689997215</v>
          </cell>
          <cell r="C178">
            <v>-35842.150000000605</v>
          </cell>
          <cell r="D178">
            <v>3486939.7300000004</v>
          </cell>
          <cell r="E178">
            <v>44728.790000000015</v>
          </cell>
          <cell r="F178">
            <v>-131217.76000000007</v>
          </cell>
          <cell r="G178">
            <v>164184.82</v>
          </cell>
          <cell r="H178">
            <v>217603.84999999998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E6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WIP"/>
      <sheetName val="1326 Additions"/>
      <sheetName val="Shawns Review Disposal"/>
      <sheetName val="IT Review Disposal"/>
      <sheetName val="Old Sec Disposal"/>
      <sheetName val="1305 Additions"/>
      <sheetName val="1305 Disposal"/>
      <sheetName val="1307 Disposal"/>
      <sheetName val="1310 Additions"/>
      <sheetName val="1310 Disposals"/>
      <sheetName val="1311 Additions"/>
      <sheetName val="1315 Additions"/>
      <sheetName val="1315 Disposal"/>
      <sheetName val="1320 Additions"/>
      <sheetName val="1325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3">
          <cell r="J23">
            <v>-2001982.9236623936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61" t="s">
        <v>480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42" ht="24.95" customHeight="1" x14ac:dyDescent="0.2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42" ht="24.95" customHeight="1" x14ac:dyDescent="0.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42" s="29" customFormat="1" ht="31.5" x14ac:dyDescent="0.2">
      <c r="A4" s="160" t="s">
        <v>474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 t="s">
        <v>474</v>
      </c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 t="s">
        <v>474</v>
      </c>
      <c r="AH4" s="160"/>
      <c r="AI4" s="160"/>
      <c r="AJ4" s="160"/>
      <c r="AK4" s="160"/>
      <c r="AL4" s="160"/>
      <c r="AM4" s="160"/>
      <c r="AN4" s="160"/>
      <c r="AO4" s="37"/>
      <c r="AP4" s="28"/>
    </row>
    <row r="5" spans="1:42" s="29" customFormat="1" ht="31.5" x14ac:dyDescent="0.2">
      <c r="A5" s="160" t="s">
        <v>718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2">
        <v>43555</v>
      </c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 t="s">
        <v>251</v>
      </c>
      <c r="AH5" s="160"/>
      <c r="AI5" s="160"/>
      <c r="AJ5" s="160"/>
      <c r="AK5" s="160"/>
      <c r="AL5" s="160"/>
      <c r="AM5" s="160"/>
      <c r="AN5" s="160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60" t="s">
        <v>719</v>
      </c>
      <c r="AH6" s="160"/>
      <c r="AI6" s="160"/>
      <c r="AJ6" s="160"/>
      <c r="AK6" s="160"/>
      <c r="AL6" s="160"/>
      <c r="AM6" s="160"/>
      <c r="AN6" s="160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201487.73</v>
      </c>
      <c r="C10" s="12"/>
      <c r="D10" s="12">
        <f>'Consolidated Balance Sheet'!D7</f>
        <v>46627.16</v>
      </c>
      <c r="E10" s="12"/>
      <c r="F10" s="12">
        <f>'Consolidated Balance Sheet'!F7</f>
        <v>723825.09</v>
      </c>
      <c r="G10" s="12"/>
      <c r="H10" s="12">
        <f>'Consolidated Balance Sheet'!H7</f>
        <v>770.46</v>
      </c>
      <c r="I10" s="12"/>
      <c r="J10" s="12">
        <f>'Consolidated Balance Sheet'!J7</f>
        <v>89488.98</v>
      </c>
      <c r="K10" s="12"/>
      <c r="L10" s="12">
        <f>'Consolidated Balance Sheet'!L7</f>
        <v>278849.59999999998</v>
      </c>
      <c r="N10" s="12">
        <f>'Consolidated Balance Sheet'!N7</f>
        <v>222840.09</v>
      </c>
      <c r="P10" s="12">
        <f>SUM(B10:N10)</f>
        <v>1563889.11</v>
      </c>
      <c r="Q10" s="11" t="s">
        <v>246</v>
      </c>
      <c r="R10" s="54">
        <f>'Consolidated Balance Sheet'!R7</f>
        <v>3129797.08</v>
      </c>
      <c r="S10" s="12"/>
      <c r="T10" s="54">
        <f>'Consolidated Balance Sheet'!T7</f>
        <v>206468.76</v>
      </c>
      <c r="U10" s="12"/>
      <c r="V10" s="54">
        <f>'Consolidated Balance Sheet'!V7</f>
        <v>379962.62</v>
      </c>
      <c r="W10" s="12"/>
      <c r="X10" s="54">
        <f>'Consolidated Balance Sheet'!X7</f>
        <v>14522.29</v>
      </c>
      <c r="Y10" s="12"/>
      <c r="Z10" s="54">
        <f>'Consolidated Balance Sheet'!Z7</f>
        <v>157911.83000000002</v>
      </c>
      <c r="AA10" s="12"/>
      <c r="AB10" s="54">
        <f>'Consolidated Balance Sheet'!AB7</f>
        <v>460076.6</v>
      </c>
      <c r="AC10" s="12">
        <f>'Consolidated Balance Sheet'!AC7</f>
        <v>0</v>
      </c>
      <c r="AD10" s="54">
        <f>'Consolidated Balance Sheet'!AD7</f>
        <v>107376.12</v>
      </c>
      <c r="AE10" s="12">
        <f>'Consolidated Balance Sheet'!AE7</f>
        <v>0</v>
      </c>
      <c r="AF10" s="12">
        <f>SUM(R10:AD10)</f>
        <v>4456115.3</v>
      </c>
      <c r="AG10" s="11" t="s">
        <v>246</v>
      </c>
      <c r="AH10" s="12">
        <f>P10</f>
        <v>1563889.11</v>
      </c>
      <c r="AI10" s="12"/>
      <c r="AJ10" s="12">
        <f>AF10</f>
        <v>4456115.3</v>
      </c>
      <c r="AK10" s="12"/>
      <c r="AL10" s="12">
        <f t="shared" ref="AL10:AL19" si="0">AH10-AJ10</f>
        <v>-2892226.1899999995</v>
      </c>
      <c r="AM10" s="12"/>
      <c r="AN10" s="13">
        <f>AH10/AJ10</f>
        <v>0.35095346612777278</v>
      </c>
      <c r="AO10" s="13"/>
      <c r="AP10" s="14">
        <f t="shared" ref="AP10:AP19" si="1">AN10-1</f>
        <v>-0.64904653387222722</v>
      </c>
    </row>
    <row r="11" spans="1:42" s="9" customFormat="1" ht="24.95" customHeight="1" x14ac:dyDescent="0.2">
      <c r="A11" s="9" t="s">
        <v>247</v>
      </c>
      <c r="B11" s="12">
        <f>'Consolidated Balance Sheet'!B8</f>
        <v>2733836.45</v>
      </c>
      <c r="C11" s="12"/>
      <c r="D11" s="12">
        <f>'Consolidated Balance Sheet'!D8</f>
        <v>0</v>
      </c>
      <c r="E11" s="12"/>
      <c r="F11" s="12">
        <f>'Consolidated Balance Sheet'!F8</f>
        <v>7290.97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2741127.4200000004</v>
      </c>
      <c r="Q11" s="9" t="s">
        <v>247</v>
      </c>
      <c r="R11" s="54">
        <f>'Consolidated Balance Sheet'!R8</f>
        <v>4816888.8</v>
      </c>
      <c r="S11" s="12"/>
      <c r="T11" s="54">
        <f>'Consolidated Balance Sheet'!T8</f>
        <v>273841.27</v>
      </c>
      <c r="U11" s="12"/>
      <c r="V11" s="54">
        <f>'Consolidated Balance Sheet'!V8</f>
        <v>3390.76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5094120.83</v>
      </c>
      <c r="AG11" s="9" t="s">
        <v>247</v>
      </c>
      <c r="AH11" s="12">
        <f t="shared" ref="AH11:AH19" si="4">P11</f>
        <v>2741127.4200000004</v>
      </c>
      <c r="AI11" s="12"/>
      <c r="AJ11" s="12">
        <f t="shared" ref="AJ11:AJ19" si="5">AF11</f>
        <v>5094120.83</v>
      </c>
      <c r="AK11" s="12"/>
      <c r="AL11" s="12">
        <f t="shared" si="0"/>
        <v>-2352993.4099999997</v>
      </c>
      <c r="AM11" s="12"/>
      <c r="AN11" s="13">
        <f>AH11/AJ11</f>
        <v>0.53809627048049435</v>
      </c>
      <c r="AO11" s="13"/>
      <c r="AP11" s="14">
        <f t="shared" si="1"/>
        <v>-0.46190372951950565</v>
      </c>
    </row>
    <row r="12" spans="1:42" s="9" customFormat="1" ht="24.95" customHeight="1" x14ac:dyDescent="0.2">
      <c r="A12" s="9" t="s">
        <v>254</v>
      </c>
      <c r="B12" s="12">
        <f>'Consolidated Balance Sheet'!B9</f>
        <v>105248.16</v>
      </c>
      <c r="C12" s="12"/>
      <c r="D12" s="12">
        <f>'Consolidated Balance Sheet'!D9</f>
        <v>0</v>
      </c>
      <c r="E12" s="12"/>
      <c r="F12" s="12">
        <f>'Consolidated Balance Sheet'!F9</f>
        <v>898.85</v>
      </c>
      <c r="G12" s="12"/>
      <c r="H12" s="12">
        <f>'Consolidated Balance Sheet'!H9</f>
        <v>798626.25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904773.26</v>
      </c>
      <c r="Q12" s="9" t="s">
        <v>254</v>
      </c>
      <c r="R12" s="54">
        <f>'Consolidated Balance Sheet'!R9</f>
        <v>124738.5</v>
      </c>
      <c r="S12" s="12"/>
      <c r="T12" s="54">
        <f>'Consolidated Balance Sheet'!T9</f>
        <v>0</v>
      </c>
      <c r="U12" s="12"/>
      <c r="V12" s="54">
        <f>'Consolidated Balance Sheet'!V9</f>
        <v>1802.8</v>
      </c>
      <c r="W12" s="12"/>
      <c r="X12" s="54">
        <f>'Consolidated Balance Sheet'!X9</f>
        <v>1014083.7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1140625</v>
      </c>
      <c r="AG12" s="9" t="s">
        <v>254</v>
      </c>
      <c r="AH12" s="12">
        <f t="shared" si="4"/>
        <v>904773.26</v>
      </c>
      <c r="AI12" s="12"/>
      <c r="AJ12" s="12">
        <f t="shared" si="5"/>
        <v>1140625</v>
      </c>
      <c r="AK12" s="12"/>
      <c r="AL12" s="12">
        <f t="shared" si="0"/>
        <v>-235851.74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329822.2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329822.2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223646.7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223646.7</v>
      </c>
      <c r="AG13" s="9" t="s">
        <v>255</v>
      </c>
      <c r="AH13" s="12">
        <f t="shared" si="4"/>
        <v>329822.2</v>
      </c>
      <c r="AI13" s="12"/>
      <c r="AJ13" s="12">
        <f t="shared" si="5"/>
        <v>223646.7</v>
      </c>
      <c r="AK13" s="12"/>
      <c r="AL13" s="12">
        <f t="shared" si="0"/>
        <v>106175.5</v>
      </c>
      <c r="AM13" s="12"/>
      <c r="AN13" s="13">
        <f t="shared" ref="AN13:AN22" si="6">AH13/AJ13</f>
        <v>1.4747465533808457</v>
      </c>
      <c r="AO13" s="13"/>
      <c r="AP13" s="14">
        <f t="shared" si="1"/>
        <v>0.4747465533808457</v>
      </c>
    </row>
    <row r="14" spans="1:42" s="9" customFormat="1" ht="24.95" customHeight="1" x14ac:dyDescent="0.2">
      <c r="A14" s="9" t="s">
        <v>256</v>
      </c>
      <c r="B14" s="12">
        <f>'Consolidated Balance Sheet'!B12</f>
        <v>395251.47000000003</v>
      </c>
      <c r="C14" s="12"/>
      <c r="D14" s="12">
        <f>'Consolidated Balance Sheet'!D12</f>
        <v>300000</v>
      </c>
      <c r="E14" s="12"/>
      <c r="F14" s="12">
        <f>'Consolidated Balance Sheet'!F12</f>
        <v>8600030.7699999996</v>
      </c>
      <c r="G14" s="12"/>
      <c r="H14" s="12">
        <f>'Consolidated Balance Sheet'!H12</f>
        <v>0</v>
      </c>
      <c r="I14" s="12"/>
      <c r="J14" s="12">
        <f>'Consolidated Balance Sheet'!J12</f>
        <v>0</v>
      </c>
      <c r="K14" s="12"/>
      <c r="L14" s="12">
        <f>'Consolidated Balance Sheet'!L12</f>
        <v>2136025.0099999998</v>
      </c>
      <c r="N14" s="12">
        <f>'Consolidated Balance Sheet'!N12</f>
        <v>1900000</v>
      </c>
      <c r="P14" s="12">
        <f t="shared" si="2"/>
        <v>13331307.25</v>
      </c>
      <c r="Q14" s="9" t="s">
        <v>256</v>
      </c>
      <c r="R14" s="54">
        <f>'Consolidated Balance Sheet'!R12</f>
        <v>887603.78</v>
      </c>
      <c r="S14" s="12"/>
      <c r="T14" s="54">
        <f>'Consolidated Balance Sheet'!T12</f>
        <v>280000</v>
      </c>
      <c r="U14" s="12"/>
      <c r="V14" s="54">
        <f>'Consolidated Balance Sheet'!V12</f>
        <v>5700000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1668739.82</v>
      </c>
      <c r="AC14" s="12"/>
      <c r="AD14" s="54">
        <f>'Consolidated Balance Sheet'!AD12</f>
        <v>750000</v>
      </c>
      <c r="AE14" s="12"/>
      <c r="AF14" s="12">
        <f t="shared" si="3"/>
        <v>9536343.5999999996</v>
      </c>
      <c r="AG14" s="9" t="s">
        <v>256</v>
      </c>
      <c r="AH14" s="12">
        <f t="shared" si="4"/>
        <v>13331307.25</v>
      </c>
      <c r="AI14" s="12"/>
      <c r="AJ14" s="12">
        <f t="shared" si="5"/>
        <v>9536343.5999999996</v>
      </c>
      <c r="AK14" s="12"/>
      <c r="AL14" s="12">
        <f t="shared" si="0"/>
        <v>3794963.6500000004</v>
      </c>
      <c r="AM14" s="12"/>
      <c r="AN14" s="13">
        <f t="shared" si="6"/>
        <v>1.3979474533614751</v>
      </c>
      <c r="AO14" s="13"/>
      <c r="AP14" s="14">
        <f t="shared" si="1"/>
        <v>0.39794745336147508</v>
      </c>
    </row>
    <row r="15" spans="1:42" s="9" customFormat="1" ht="24.95" customHeight="1" x14ac:dyDescent="0.2">
      <c r="A15" s="9" t="s">
        <v>257</v>
      </c>
      <c r="B15" s="12">
        <f>'Consolidated Balance Sheet'!B13</f>
        <v>11206067.100000001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11206067.100000001</v>
      </c>
      <c r="Q15" s="9" t="s">
        <v>257</v>
      </c>
      <c r="R15" s="54">
        <f>'Consolidated Balance Sheet'!R13</f>
        <v>6673239.2400000002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6673239.2400000002</v>
      </c>
      <c r="AG15" s="9" t="s">
        <v>257</v>
      </c>
      <c r="AH15" s="12">
        <f t="shared" si="4"/>
        <v>11206067.100000001</v>
      </c>
      <c r="AI15" s="12"/>
      <c r="AJ15" s="12">
        <f t="shared" si="5"/>
        <v>6673239.2400000002</v>
      </c>
      <c r="AK15" s="12"/>
      <c r="AL15" s="12">
        <f t="shared" si="0"/>
        <v>4532827.8600000013</v>
      </c>
      <c r="AM15" s="12"/>
      <c r="AN15" s="13">
        <f t="shared" si="6"/>
        <v>1.6792545114866886</v>
      </c>
      <c r="AO15" s="13"/>
      <c r="AP15" s="14">
        <f t="shared" si="1"/>
        <v>0.67925451148668858</v>
      </c>
    </row>
    <row r="16" spans="1:42" s="9" customFormat="1" ht="24.95" customHeight="1" x14ac:dyDescent="0.2">
      <c r="A16" s="9" t="s">
        <v>737</v>
      </c>
      <c r="B16" s="12">
        <f>'Consolidated Balance Sheet'!B14+'Consolidated Balance Sheet'!B10</f>
        <v>1351985.58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1351985.58</v>
      </c>
      <c r="Q16" s="9" t="s">
        <v>737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737</v>
      </c>
      <c r="AH16" s="12">
        <f t="shared" si="4"/>
        <v>1351985.58</v>
      </c>
      <c r="AI16" s="12"/>
      <c r="AJ16" s="12">
        <f t="shared" si="5"/>
        <v>0</v>
      </c>
      <c r="AK16" s="12"/>
      <c r="AL16" s="12">
        <f t="shared" si="0"/>
        <v>1351985.58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0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0</v>
      </c>
      <c r="Q17" s="15" t="s">
        <v>258</v>
      </c>
      <c r="R17" s="54">
        <f>'Consolidated Balance Sheet'!R15</f>
        <v>60000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60000</v>
      </c>
      <c r="AG17" s="15" t="s">
        <v>258</v>
      </c>
      <c r="AH17" s="12">
        <f t="shared" si="4"/>
        <v>0</v>
      </c>
      <c r="AI17" s="12"/>
      <c r="AJ17" s="12">
        <f t="shared" si="5"/>
        <v>60000</v>
      </c>
      <c r="AK17" s="12"/>
      <c r="AL17" s="12">
        <f t="shared" si="0"/>
        <v>-60000</v>
      </c>
      <c r="AM17" s="12"/>
      <c r="AN17" s="13">
        <f t="shared" si="6"/>
        <v>0</v>
      </c>
      <c r="AO17" s="13"/>
      <c r="AP17" s="14">
        <f t="shared" si="1"/>
        <v>-1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Sheet'!B31+CNT!S56+CNT!S58+CNT!S57</f>
        <v>155677960.59000003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155677960.59000003</v>
      </c>
      <c r="Q18" s="9" t="s">
        <v>475</v>
      </c>
      <c r="R18" s="54">
        <f>SUM('Consolidated Balance Sheet'!R16:R25)+SUM('Consolidated Balance Sheet'!R27:R32)</f>
        <v>84902521.150000006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41788.94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84944310.090000004</v>
      </c>
      <c r="AG18" s="9" t="s">
        <v>475</v>
      </c>
      <c r="AH18" s="12">
        <f t="shared" si="4"/>
        <v>155677960.59000003</v>
      </c>
      <c r="AI18" s="12"/>
      <c r="AJ18" s="12">
        <f t="shared" si="5"/>
        <v>84944310.090000004</v>
      </c>
      <c r="AK18" s="12"/>
      <c r="AL18" s="12">
        <f t="shared" si="0"/>
        <v>70733650.50000003</v>
      </c>
      <c r="AM18" s="12"/>
      <c r="AN18" s="13">
        <f t="shared" si="6"/>
        <v>1.8327061627206869</v>
      </c>
      <c r="AO18" s="13"/>
      <c r="AP18" s="14">
        <f t="shared" si="1"/>
        <v>0.83270616272068687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798023.46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798023.46</v>
      </c>
      <c r="Q20" s="9" t="s">
        <v>270</v>
      </c>
      <c r="R20" s="54">
        <f>'Consolidated Balance Sheet'!R37</f>
        <v>372074.08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372074.08</v>
      </c>
      <c r="AG20" s="9" t="s">
        <v>270</v>
      </c>
      <c r="AH20" s="12">
        <f t="shared" ref="AH20" si="8">P20</f>
        <v>798023.46</v>
      </c>
      <c r="AI20" s="12"/>
      <c r="AJ20" s="12">
        <f t="shared" ref="AJ20" si="9">AF20</f>
        <v>372074.08</v>
      </c>
      <c r="AK20" s="12"/>
      <c r="AL20" s="12">
        <f t="shared" ref="AL20" si="10">AH20-AJ20</f>
        <v>425949.37999999995</v>
      </c>
      <c r="AM20" s="12"/>
      <c r="AN20" s="13">
        <f t="shared" ref="AN20" si="11">AH20/AJ20</f>
        <v>2.1447972403775073</v>
      </c>
      <c r="AO20" s="13"/>
      <c r="AP20" s="14">
        <f t="shared" ref="AP20" si="12">AN20-1</f>
        <v>1.1447972403775073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405772.99</v>
      </c>
      <c r="C21" s="16"/>
      <c r="D21" s="16">
        <f>'Consolidated Balance Sheet'!D43</f>
        <v>3669</v>
      </c>
      <c r="E21" s="16"/>
      <c r="F21" s="16">
        <f>'Consolidated Balance Sheet'!F43</f>
        <v>137229.6</v>
      </c>
      <c r="G21" s="16"/>
      <c r="H21" s="16">
        <f>'Consolidated Balance Sheet'!H43</f>
        <v>1228</v>
      </c>
      <c r="I21" s="16"/>
      <c r="J21" s="16">
        <f>'Consolidated Balance Sheet'!J43</f>
        <v>11989.17</v>
      </c>
      <c r="K21" s="16"/>
      <c r="L21" s="16">
        <f>'Consolidated Balance Sheet'!L43</f>
        <v>0</v>
      </c>
      <c r="M21" s="16"/>
      <c r="N21" s="16">
        <f>'Consolidated Balance Sheet'!N43</f>
        <v>0</v>
      </c>
      <c r="O21" s="16"/>
      <c r="P21" s="16">
        <f t="shared" si="2"/>
        <v>559888.76</v>
      </c>
      <c r="Q21" s="9" t="s">
        <v>274</v>
      </c>
      <c r="R21" s="55">
        <f>'Consolidated Balance Sheet'!R43-'Consolidated Balance Sheet'!R37</f>
        <v>462970.32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8362.65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129561.45999999999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1070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44247.68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0</v>
      </c>
      <c r="AE21" s="16"/>
      <c r="AF21" s="16">
        <f t="shared" si="3"/>
        <v>646212.1100000001</v>
      </c>
      <c r="AG21" s="9" t="s">
        <v>274</v>
      </c>
      <c r="AH21" s="16">
        <f>P21</f>
        <v>559888.76</v>
      </c>
      <c r="AI21" s="16"/>
      <c r="AJ21" s="16">
        <f>AF21</f>
        <v>646212.1100000001</v>
      </c>
      <c r="AK21" s="16"/>
      <c r="AL21" s="16">
        <f>AH21-AJ21</f>
        <v>-86323.350000000093</v>
      </c>
      <c r="AM21" s="12"/>
      <c r="AN21" s="13">
        <f t="shared" si="6"/>
        <v>0.86641638455212477</v>
      </c>
      <c r="AO21" s="13"/>
      <c r="AP21" s="14">
        <f>AN21-1</f>
        <v>-0.13358361544787523</v>
      </c>
    </row>
    <row r="22" spans="1:43" s="9" customFormat="1" ht="24.95" customHeight="1" x14ac:dyDescent="0.2">
      <c r="A22" s="20" t="s">
        <v>275</v>
      </c>
      <c r="B22" s="12">
        <f>SUM(B10:B21)</f>
        <v>142793856.06000006</v>
      </c>
      <c r="C22" s="12"/>
      <c r="D22" s="12">
        <f>SUM(D10:D21)</f>
        <v>350296.16000000003</v>
      </c>
      <c r="E22" s="12"/>
      <c r="F22" s="12">
        <f>SUM(F10:F21)</f>
        <v>9799097.4799999986</v>
      </c>
      <c r="G22" s="12"/>
      <c r="H22" s="12">
        <f>SUM(H10:H21)</f>
        <v>800624.71</v>
      </c>
      <c r="I22" s="12"/>
      <c r="J22" s="12">
        <f>SUM(J10:J21)</f>
        <v>101478.15</v>
      </c>
      <c r="K22" s="12"/>
      <c r="L22" s="12">
        <f>SUM(L10:L21)</f>
        <v>2414874.61</v>
      </c>
      <c r="M22" s="12"/>
      <c r="N22" s="12">
        <f>SUM(N10:N21)</f>
        <v>2122840.09</v>
      </c>
      <c r="O22" s="12"/>
      <c r="P22" s="12">
        <f>SUM(P10:P21)</f>
        <v>158383067.26000005</v>
      </c>
      <c r="Q22" s="20" t="s">
        <v>275</v>
      </c>
      <c r="R22" s="54">
        <f>SUM(R10:R21)</f>
        <v>80958022.540000007</v>
      </c>
      <c r="S22" s="12"/>
      <c r="T22" s="54">
        <f>SUM(T10:T21)</f>
        <v>810461.62</v>
      </c>
      <c r="U22" s="12"/>
      <c r="V22" s="54">
        <f t="shared" ref="V22:AF22" si="13">SUM(V10:V21)</f>
        <v>6438364.3399999999</v>
      </c>
      <c r="W22" s="12">
        <f t="shared" si="13"/>
        <v>0</v>
      </c>
      <c r="X22" s="54">
        <f t="shared" si="13"/>
        <v>1029675.99</v>
      </c>
      <c r="Y22" s="12">
        <f t="shared" si="13"/>
        <v>0</v>
      </c>
      <c r="Z22" s="54">
        <f t="shared" si="13"/>
        <v>452159.51</v>
      </c>
      <c r="AA22" s="12">
        <f t="shared" si="13"/>
        <v>0</v>
      </c>
      <c r="AB22" s="54">
        <f t="shared" si="13"/>
        <v>2128816.42</v>
      </c>
      <c r="AC22" s="12">
        <f t="shared" si="13"/>
        <v>0</v>
      </c>
      <c r="AD22" s="54">
        <f t="shared" si="13"/>
        <v>857376.12</v>
      </c>
      <c r="AE22" s="12">
        <f t="shared" si="13"/>
        <v>0</v>
      </c>
      <c r="AF22" s="12">
        <f t="shared" si="13"/>
        <v>92674876.540000007</v>
      </c>
      <c r="AG22" s="20" t="s">
        <v>275</v>
      </c>
      <c r="AH22" s="12">
        <f>SUM(AH10:AH21)</f>
        <v>158383067.26000005</v>
      </c>
      <c r="AI22" s="12"/>
      <c r="AJ22" s="12">
        <f>SUM(AJ10:AJ21)</f>
        <v>92674876.540000007</v>
      </c>
      <c r="AK22" s="12"/>
      <c r="AL22" s="12">
        <f>SUM(AL10:AL21)</f>
        <v>65708190.720000029</v>
      </c>
      <c r="AM22" s="12"/>
      <c r="AN22" s="13">
        <f t="shared" si="6"/>
        <v>1.7090183788012849</v>
      </c>
      <c r="AO22" s="13"/>
      <c r="AP22" s="14">
        <f>AN22-1</f>
        <v>0.70901837880128493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16846645.32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1769124.13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4511914.95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10698286.57</v>
      </c>
      <c r="P25" s="12">
        <f>SUM(B25:N25)</f>
        <v>38665428.489999995</v>
      </c>
      <c r="Q25" s="9" t="s">
        <v>476</v>
      </c>
      <c r="R25" s="54">
        <f>SUM('Consolidated Balance Sheet'!R48:R63)</f>
        <v>17755136.370000001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1612354.6400000001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4195499.3299999991</v>
      </c>
      <c r="AA25" s="12"/>
      <c r="AB25" s="54">
        <f>SUM('Consolidated Balance Sheet'!AB48:AB63)</f>
        <v>4810642.5600000005</v>
      </c>
      <c r="AC25" s="12"/>
      <c r="AD25" s="54">
        <f>SUM('Consolidated Balance Sheet'!AD48:AD63)</f>
        <v>8686931.4399999995</v>
      </c>
      <c r="AE25" s="12"/>
      <c r="AF25" s="12">
        <f>SUM(R25:AD25)</f>
        <v>37089379.299999997</v>
      </c>
      <c r="AG25" s="9" t="s">
        <v>476</v>
      </c>
      <c r="AH25" s="12">
        <f>P25</f>
        <v>38665428.489999995</v>
      </c>
      <c r="AI25" s="12"/>
      <c r="AJ25" s="12">
        <f>AF25</f>
        <v>37089379.299999997</v>
      </c>
      <c r="AK25" s="12"/>
      <c r="AL25" s="12">
        <f>AH25-AJ25</f>
        <v>1576049.1899999976</v>
      </c>
      <c r="AM25" s="12"/>
      <c r="AN25" s="13">
        <f t="shared" ref="AN25:AN31" si="14">AH25/AJ25</f>
        <v>1.0424932748874554</v>
      </c>
      <c r="AO25" s="13"/>
      <c r="AP25" s="14">
        <f t="shared" ref="AP25:AP31" si="15">AN25-1</f>
        <v>4.2493274887455357E-2</v>
      </c>
    </row>
    <row r="26" spans="1:43" s="9" customFormat="1" ht="24.95" customHeight="1" x14ac:dyDescent="0.2">
      <c r="A26" s="9" t="s">
        <v>522</v>
      </c>
      <c r="B26" s="16">
        <f>'Consolidated Balance Sheet'!B64</f>
        <v>-8332551.0700000003</v>
      </c>
      <c r="C26" s="16"/>
      <c r="D26" s="16">
        <f>'Consolidated Balance Sheet'!D64</f>
        <v>-22782.57</v>
      </c>
      <c r="E26" s="16"/>
      <c r="F26" s="16">
        <f>'Consolidated Balance Sheet'!F64</f>
        <v>-970633.91</v>
      </c>
      <c r="G26" s="16"/>
      <c r="H26" s="16">
        <f>'Consolidated Balance Sheet'!H64</f>
        <v>0</v>
      </c>
      <c r="I26" s="16"/>
      <c r="J26" s="16">
        <f>'Consolidated Balance Sheet'!J64</f>
        <v>-2648939.4500000002</v>
      </c>
      <c r="K26" s="16"/>
      <c r="L26" s="16">
        <f>'Consolidated Balance Sheet'!L64</f>
        <v>-1668016.27</v>
      </c>
      <c r="M26" s="17"/>
      <c r="N26" s="16">
        <f>'Consolidated Balance Sheet'!N64</f>
        <v>-1445750.5499999998</v>
      </c>
      <c r="O26" s="17"/>
      <c r="P26" s="16">
        <f>SUM(B26:N26)</f>
        <v>-15088673.82</v>
      </c>
      <c r="Q26" s="9" t="s">
        <v>522</v>
      </c>
      <c r="R26" s="55">
        <f>'Consolidated Balance Sheet'!R64</f>
        <v>-9046717.2699999996</v>
      </c>
      <c r="S26" s="16"/>
      <c r="T26" s="55">
        <f>'Consolidated Balance Sheet'!T64</f>
        <v>-17763.09</v>
      </c>
      <c r="U26" s="16"/>
      <c r="V26" s="55">
        <f>'Consolidated Balance Sheet'!V64</f>
        <v>-797776.31</v>
      </c>
      <c r="W26" s="16"/>
      <c r="X26" s="55">
        <f>'Consolidated Balance Sheet'!X64</f>
        <v>0</v>
      </c>
      <c r="Y26" s="16"/>
      <c r="Z26" s="55">
        <f>'Consolidated Balance Sheet'!Z64</f>
        <v>-2545935.86</v>
      </c>
      <c r="AA26" s="16"/>
      <c r="AB26" s="55">
        <f>'Consolidated Balance Sheet'!AB64</f>
        <v>-1557487.12</v>
      </c>
      <c r="AC26" s="16"/>
      <c r="AD26" s="55">
        <f>'Consolidated Balance Sheet'!AD64</f>
        <v>-1265921.3999999999</v>
      </c>
      <c r="AE26" s="16"/>
      <c r="AF26" s="16">
        <f>SUM(R26:AD26)</f>
        <v>-15231601.049999999</v>
      </c>
      <c r="AG26" s="9" t="s">
        <v>522</v>
      </c>
      <c r="AH26" s="16">
        <f>P26</f>
        <v>-15088673.82</v>
      </c>
      <c r="AI26" s="16"/>
      <c r="AJ26" s="16">
        <f>AF26</f>
        <v>-15231601.049999999</v>
      </c>
      <c r="AK26" s="16"/>
      <c r="AL26" s="16">
        <f>AH26-AJ26</f>
        <v>142927.22999999858</v>
      </c>
      <c r="AM26" s="12"/>
      <c r="AN26" s="13">
        <f t="shared" si="14"/>
        <v>0.99061640141894347</v>
      </c>
      <c r="AO26" s="13"/>
      <c r="AP26" s="14">
        <f t="shared" si="15"/>
        <v>-9.3835985810565292E-3</v>
      </c>
    </row>
    <row r="27" spans="1:43" s="9" customFormat="1" ht="24.95" customHeight="1" x14ac:dyDescent="0.2">
      <c r="A27" s="20" t="s">
        <v>334</v>
      </c>
      <c r="B27" s="12">
        <f>SUM(B25:B26)</f>
        <v>8514094.25</v>
      </c>
      <c r="C27" s="12"/>
      <c r="D27" s="12">
        <f>SUM(D25:D26)</f>
        <v>6032.3899999999994</v>
      </c>
      <c r="E27" s="12"/>
      <c r="F27" s="12">
        <f>SUM(F25:F26)</f>
        <v>798490.21999999986</v>
      </c>
      <c r="G27" s="12"/>
      <c r="H27" s="12">
        <f>SUM(H25:H26)</f>
        <v>0</v>
      </c>
      <c r="I27" s="12"/>
      <c r="J27" s="12">
        <f>SUM(J25:J26)</f>
        <v>1862975.5</v>
      </c>
      <c r="K27" s="12"/>
      <c r="L27" s="12">
        <f>SUM(L25:L26)</f>
        <v>3142626.2899999996</v>
      </c>
      <c r="M27" s="12"/>
      <c r="N27" s="12">
        <f>SUM(N25:N26)</f>
        <v>9252536.0199999996</v>
      </c>
      <c r="O27" s="12"/>
      <c r="P27" s="12">
        <f>SUM(P25:P26)</f>
        <v>23576754.669999994</v>
      </c>
      <c r="Q27" s="20" t="s">
        <v>334</v>
      </c>
      <c r="R27" s="54">
        <f>SUM(R25:R26)</f>
        <v>8708419.1000000015</v>
      </c>
      <c r="S27" s="12"/>
      <c r="T27" s="54">
        <f>SUM(T25:T26)</f>
        <v>11051.869999999999</v>
      </c>
      <c r="U27" s="12"/>
      <c r="V27" s="54">
        <f>SUM(V25:V26)</f>
        <v>814578.33000000007</v>
      </c>
      <c r="W27" s="12"/>
      <c r="X27" s="54">
        <f>SUM(X25:X26)</f>
        <v>0</v>
      </c>
      <c r="Y27" s="12"/>
      <c r="Z27" s="54">
        <f>SUM(Z25:Z26)</f>
        <v>1649563.4699999993</v>
      </c>
      <c r="AA27" s="12"/>
      <c r="AB27" s="54">
        <f>SUM(AB25:AB26)</f>
        <v>3253155.4400000004</v>
      </c>
      <c r="AC27" s="12"/>
      <c r="AD27" s="54">
        <f>SUM(AD25:AD26)</f>
        <v>7421010.0399999991</v>
      </c>
      <c r="AE27" s="12"/>
      <c r="AF27" s="12">
        <f>SUM(AF25:AF26)</f>
        <v>21857778.25</v>
      </c>
      <c r="AG27" s="20" t="s">
        <v>334</v>
      </c>
      <c r="AH27" s="22">
        <f>SUM(AH25:AH26)</f>
        <v>23576754.669999994</v>
      </c>
      <c r="AI27" s="22"/>
      <c r="AJ27" s="22">
        <f>SUM(AJ25:AJ26)</f>
        <v>21857778.25</v>
      </c>
      <c r="AK27" s="22"/>
      <c r="AL27" s="22">
        <f>SUM(AL25:AL26)</f>
        <v>1718976.4199999962</v>
      </c>
      <c r="AM27" s="22"/>
      <c r="AN27" s="13">
        <f t="shared" si="14"/>
        <v>1.0786436938072603</v>
      </c>
      <c r="AO27" s="13"/>
      <c r="AP27" s="14">
        <f t="shared" si="15"/>
        <v>7.8643693807260329E-2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0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0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151307950.31000006</v>
      </c>
      <c r="C31" s="23"/>
      <c r="D31" s="23">
        <f>SUM(D27,D22,D29)</f>
        <v>356328.55000000005</v>
      </c>
      <c r="E31" s="23"/>
      <c r="F31" s="23">
        <f>SUM(F27,F22,F29)</f>
        <v>10597587.699999999</v>
      </c>
      <c r="G31" s="23"/>
      <c r="H31" s="23">
        <f>SUM(H27,H22,H29)</f>
        <v>800624.71</v>
      </c>
      <c r="I31" s="23"/>
      <c r="J31" s="23">
        <f>SUM(J27,J22,J29)</f>
        <v>1964453.65</v>
      </c>
      <c r="K31" s="23"/>
      <c r="L31" s="23">
        <f>SUM(L27,L22,L29)</f>
        <v>5557500.8999999994</v>
      </c>
      <c r="M31" s="23"/>
      <c r="N31" s="23">
        <f>SUM(N27,N22,N29)</f>
        <v>11375376.109999999</v>
      </c>
      <c r="O31" s="23"/>
      <c r="P31" s="23">
        <f>SUM(P27,P22,P29)</f>
        <v>181959821.93000004</v>
      </c>
      <c r="Q31" s="8" t="s">
        <v>289</v>
      </c>
      <c r="R31" s="57">
        <f>SUM(R27,R22,R29)</f>
        <v>89666441.640000015</v>
      </c>
      <c r="S31" s="23"/>
      <c r="T31" s="57">
        <f>SUM(T27,T22,T29)</f>
        <v>821513.49</v>
      </c>
      <c r="U31" s="23"/>
      <c r="V31" s="57">
        <f>SUM(V27,V22,V29)</f>
        <v>7252942.6699999999</v>
      </c>
      <c r="W31" s="23"/>
      <c r="X31" s="57">
        <f>SUM(X27,X22,X29)</f>
        <v>1029675.99</v>
      </c>
      <c r="Y31" s="23"/>
      <c r="Z31" s="57">
        <f>SUM(Z27,Z22,Z29)</f>
        <v>2101722.9799999995</v>
      </c>
      <c r="AA31" s="23"/>
      <c r="AB31" s="57">
        <f>SUM(AB27,AB22,AB29)</f>
        <v>5381971.8600000003</v>
      </c>
      <c r="AC31" s="23"/>
      <c r="AD31" s="57">
        <f>SUM(AD27,AD22,AD29)</f>
        <v>8278386.1599999992</v>
      </c>
      <c r="AE31" s="23"/>
      <c r="AF31" s="23">
        <f>SUM(AF27,AF22,AF29)</f>
        <v>114532654.79000001</v>
      </c>
      <c r="AG31" s="8" t="s">
        <v>289</v>
      </c>
      <c r="AH31" s="23">
        <f>SUM(AH27,AH22,AH29)</f>
        <v>181959821.93000004</v>
      </c>
      <c r="AI31" s="23"/>
      <c r="AJ31" s="23">
        <f>SUM(AJ27,AJ22,AJ29)</f>
        <v>114532654.79000001</v>
      </c>
      <c r="AK31" s="23"/>
      <c r="AL31" s="23">
        <f>SUM(AL27,AL22,AL29)</f>
        <v>67427167.14000003</v>
      </c>
      <c r="AM31" s="25"/>
      <c r="AN31" s="13">
        <f t="shared" si="14"/>
        <v>1.588715657238805</v>
      </c>
      <c r="AO31" s="13"/>
      <c r="AP31" s="14">
        <f t="shared" si="15"/>
        <v>0.58871565723880503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84375465.400000006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84375465.400000006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84375465.400000006</v>
      </c>
      <c r="AI35" s="12"/>
      <c r="AJ35" s="12">
        <f>AF35</f>
        <v>1946824.41</v>
      </c>
      <c r="AK35" s="12"/>
      <c r="AL35" s="12">
        <f t="shared" ref="AL35:AL42" si="16">AH35-AJ35</f>
        <v>82428640.99000001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Sheet'!B79+CNT!S103</f>
        <v>3160287.51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1201.32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50269.42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3211758.2499999995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3211758.2499999995</v>
      </c>
      <c r="AI36" s="12"/>
      <c r="AJ36" s="12">
        <f t="shared" ref="AJ36:AJ42" si="21">AF36</f>
        <v>7679792.3700000001</v>
      </c>
      <c r="AK36" s="12"/>
      <c r="AL36" s="12">
        <f t="shared" si="16"/>
        <v>-4468034.120000001</v>
      </c>
      <c r="AM36" s="12"/>
      <c r="AN36" s="13">
        <f t="shared" ref="AN36:AN43" si="22">AH36/AJ36</f>
        <v>0.41820899514761223</v>
      </c>
      <c r="AO36" s="13"/>
      <c r="AP36" s="14">
        <f t="shared" si="17"/>
        <v>-0.58179100485238777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0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0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0</v>
      </c>
      <c r="AI37" s="12"/>
      <c r="AJ37" s="12">
        <f t="shared" si="21"/>
        <v>40334.269999999997</v>
      </c>
      <c r="AK37" s="12"/>
      <c r="AL37" s="12">
        <f t="shared" si="16"/>
        <v>-40334.269999999997</v>
      </c>
      <c r="AM37" s="12"/>
      <c r="AN37" s="13">
        <f t="shared" si="22"/>
        <v>0</v>
      </c>
      <c r="AO37" s="13"/>
      <c r="AP37" s="14">
        <f t="shared" si="17"/>
        <v>-1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10922671.41</v>
      </c>
      <c r="C38" s="12"/>
      <c r="D38" s="12">
        <f>'Consolidated Balance Sheet'!D83</f>
        <v>0</v>
      </c>
      <c r="E38" s="12"/>
      <c r="F38" s="12">
        <f>'Consolidated Balance Sheet'!F83</f>
        <v>326363.05</v>
      </c>
      <c r="G38" s="12"/>
      <c r="H38" s="12">
        <f>'Consolidated Balance Sheet'!H83</f>
        <v>12786.51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11261820.970000001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11261820.970000001</v>
      </c>
      <c r="AI38" s="12"/>
      <c r="AJ38" s="12">
        <f t="shared" si="21"/>
        <v>4693439.9300000006</v>
      </c>
      <c r="AK38" s="12"/>
      <c r="AL38" s="12">
        <f t="shared" si="16"/>
        <v>6568381.04</v>
      </c>
      <c r="AM38" s="12"/>
      <c r="AN38" s="13">
        <f t="shared" si="22"/>
        <v>2.3994812201633948</v>
      </c>
      <c r="AO38" s="13"/>
      <c r="AP38" s="14">
        <f t="shared" si="17"/>
        <v>1.3994812201633948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Sheet'!B97+CNT!S99+'Consolidated Balance Sheet'!B109</f>
        <v>1187255.22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9732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66891.03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398.86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5649.91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3000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1272927.02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1272927.02</v>
      </c>
      <c r="AI39" s="12"/>
      <c r="AJ39" s="12">
        <f t="shared" si="21"/>
        <v>1610813.77</v>
      </c>
      <c r="AK39" s="12"/>
      <c r="AL39" s="12">
        <f t="shared" si="16"/>
        <v>-337886.75</v>
      </c>
      <c r="AM39" s="12"/>
      <c r="AN39" s="13">
        <f t="shared" si="22"/>
        <v>0.79023847679176473</v>
      </c>
      <c r="AO39" s="13"/>
      <c r="AP39" s="14">
        <f t="shared" si="17"/>
        <v>-0.20976152320823527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1072174.52</v>
      </c>
      <c r="K41" s="12"/>
      <c r="L41" s="12">
        <f>'Consolidated Balance Sheet'!L104</f>
        <v>112781.83</v>
      </c>
      <c r="N41" s="12">
        <f>'Consolidated Balance Sheet'!N104</f>
        <v>0</v>
      </c>
      <c r="P41" s="12">
        <f t="shared" si="18"/>
        <v>1184956.3500000001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1184956.3500000001</v>
      </c>
      <c r="AI41" s="12"/>
      <c r="AJ41" s="12">
        <f t="shared" si="21"/>
        <v>1060402.83</v>
      </c>
      <c r="AK41" s="12"/>
      <c r="AL41" s="12">
        <f t="shared" si="16"/>
        <v>124553.52000000002</v>
      </c>
      <c r="AM41" s="12"/>
      <c r="AN41" s="13">
        <f t="shared" si="22"/>
        <v>1.1174586831308249</v>
      </c>
      <c r="AO41" s="13"/>
      <c r="AP41" s="14">
        <f t="shared" si="17"/>
        <v>0.11745868313082486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11850000</v>
      </c>
      <c r="C42" s="16"/>
      <c r="D42" s="16">
        <f>'Consolidated Balance Sheet'!D106+'Consolidated Balance Sheet'!D105</f>
        <v>1561.95</v>
      </c>
      <c r="E42" s="16"/>
      <c r="F42" s="16">
        <f>'Consolidated Balance Sheet'!F106+'Consolidated Balance Sheet'!F105</f>
        <v>69048.7</v>
      </c>
      <c r="G42" s="16"/>
      <c r="H42" s="16">
        <f>'Consolidated Balance Sheet'!H106+'Consolidated Balance Sheet'!H105</f>
        <v>317318.53000000003</v>
      </c>
      <c r="I42" s="16"/>
      <c r="J42" s="16">
        <f>'Consolidated Balance Sheet'!J106+'Consolidated Balance Sheet'!J105</f>
        <v>1093347.3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30.769999999989523</v>
      </c>
      <c r="O42" s="17"/>
      <c r="P42" s="16">
        <f t="shared" si="18"/>
        <v>13331307.249999998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13331307.249999998</v>
      </c>
      <c r="AI42" s="16"/>
      <c r="AJ42" s="16">
        <f t="shared" si="21"/>
        <v>7895099.25</v>
      </c>
      <c r="AK42" s="16"/>
      <c r="AL42" s="16">
        <f t="shared" si="16"/>
        <v>5436207.9999999981</v>
      </c>
      <c r="AM42" s="12"/>
      <c r="AN42" s="13">
        <f t="shared" si="22"/>
        <v>1.6885547385613928</v>
      </c>
      <c r="AO42" s="13"/>
      <c r="AP42" s="14">
        <f t="shared" si="17"/>
        <v>0.68855473856139282</v>
      </c>
    </row>
    <row r="43" spans="1:42" s="9" customFormat="1" ht="24.95" customHeight="1" x14ac:dyDescent="0.2">
      <c r="A43" s="20" t="s">
        <v>382</v>
      </c>
      <c r="B43" s="12">
        <f>SUM(B35:B42)</f>
        <v>116627955.79000001</v>
      </c>
      <c r="C43" s="12"/>
      <c r="D43" s="12">
        <f>SUM(D35:D42)</f>
        <v>11293.95</v>
      </c>
      <c r="E43" s="12"/>
      <c r="F43" s="12">
        <f>SUM(F35:F42)</f>
        <v>463504.10000000003</v>
      </c>
      <c r="G43" s="12"/>
      <c r="H43" s="12">
        <f>SUM(H35:H42)</f>
        <v>330503.90000000002</v>
      </c>
      <c r="I43" s="12"/>
      <c r="J43" s="12">
        <f>SUM(J35:J42)</f>
        <v>2221441.1500000004</v>
      </c>
      <c r="K43" s="12"/>
      <c r="L43" s="12">
        <f>SUM(L35:L42)</f>
        <v>115781.83</v>
      </c>
      <c r="M43" s="12"/>
      <c r="N43" s="12">
        <f>SUM(N35:N42)</f>
        <v>30.769999999989523</v>
      </c>
      <c r="O43" s="12"/>
      <c r="P43" s="12">
        <f>SUM(P35:P42)</f>
        <v>119770511.48999999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119770511.48999999</v>
      </c>
      <c r="AI43" s="12"/>
      <c r="AJ43" s="12">
        <f>SUM(AJ35:AJ42)</f>
        <v>25045991.82</v>
      </c>
      <c r="AK43" s="12"/>
      <c r="AL43" s="12">
        <f>SUM(AL35:AL42)</f>
        <v>94724519.670000017</v>
      </c>
      <c r="AM43" s="22"/>
      <c r="AN43" s="13">
        <f t="shared" si="22"/>
        <v>4.7820231017707009</v>
      </c>
      <c r="AO43" s="13"/>
      <c r="AP43" s="14">
        <f t="shared" si="17"/>
        <v>3.7820231017707009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57008327.390000008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2056057.74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2879355.33</v>
      </c>
      <c r="O47" s="17"/>
      <c r="P47" s="16">
        <f>SUM(B47:N47)</f>
        <v>6221838.0999999996</v>
      </c>
      <c r="Q47" s="9" t="s">
        <v>315</v>
      </c>
      <c r="R47" s="55">
        <f>'Consolidated Balance Sheet'!R117+'Consolidated Balance Sheet'!R119+'Consolidated Balance Sheet'!R120+'Consolidated Balance Sheet'!R121</f>
        <v>40776.720000000001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0</v>
      </c>
      <c r="AE47" s="16"/>
      <c r="AF47" s="16">
        <f>SUM(R47:AD47)</f>
        <v>1327201.75</v>
      </c>
      <c r="AG47" s="9" t="s">
        <v>315</v>
      </c>
      <c r="AH47" s="16">
        <f>P47</f>
        <v>6221838.0999999996</v>
      </c>
      <c r="AI47" s="16"/>
      <c r="AJ47" s="16">
        <f>AF47</f>
        <v>1327201.75</v>
      </c>
      <c r="AK47" s="16"/>
      <c r="AL47" s="16">
        <f>AH47-AJ47</f>
        <v>4894636.3499999996</v>
      </c>
      <c r="AM47" s="12"/>
      <c r="AN47" s="13">
        <f>AH47/AJ47</f>
        <v>4.6879369319698379</v>
      </c>
      <c r="AO47" s="13"/>
      <c r="AP47" s="14">
        <f>AN47-1</f>
        <v>3.6879369319698379</v>
      </c>
    </row>
    <row r="48" spans="1:42" s="9" customFormat="1" ht="24.95" customHeight="1" x14ac:dyDescent="0.2">
      <c r="A48" s="20" t="s">
        <v>319</v>
      </c>
      <c r="B48" s="12">
        <f>SUM(B46:B47)</f>
        <v>2056057.74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2879355.33</v>
      </c>
      <c r="O48" s="12"/>
      <c r="P48" s="12">
        <f>SUM(P46:P47)</f>
        <v>6221838.0999999996</v>
      </c>
      <c r="Q48" s="20" t="s">
        <v>319</v>
      </c>
      <c r="R48" s="54">
        <f>SUM(R46:R47)</f>
        <v>40776.720000000001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0</v>
      </c>
      <c r="AE48" s="12"/>
      <c r="AF48" s="12">
        <f>SUM(AF46:AF47)</f>
        <v>1327201.75</v>
      </c>
      <c r="AG48" s="20" t="s">
        <v>319</v>
      </c>
      <c r="AH48" s="12">
        <f>SUM(AH46:AH47)</f>
        <v>6221838.0999999996</v>
      </c>
      <c r="AI48" s="12"/>
      <c r="AJ48" s="12">
        <f>SUM(AJ46:AJ47)</f>
        <v>1327201.75</v>
      </c>
      <c r="AK48" s="12"/>
      <c r="AL48" s="12">
        <f>SUM(AL46:AL47)</f>
        <v>4894636.3499999996</v>
      </c>
      <c r="AM48" s="12"/>
      <c r="AN48" s="13">
        <f>AH48/AJ48</f>
        <v>4.6879369319698379</v>
      </c>
      <c r="AO48" s="13"/>
      <c r="AP48" s="14">
        <f>AN48-1</f>
        <v>3.6879369319698379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118684013.53</v>
      </c>
      <c r="C50" s="21"/>
      <c r="D50" s="21">
        <f>D48+D43</f>
        <v>11293.95</v>
      </c>
      <c r="E50" s="21"/>
      <c r="F50" s="21">
        <f>F48+F43</f>
        <v>463504.10000000003</v>
      </c>
      <c r="G50" s="21"/>
      <c r="H50" s="21">
        <f>H48+H43</f>
        <v>330503.90000000002</v>
      </c>
      <c r="I50" s="21"/>
      <c r="J50" s="21">
        <f>J48+J43</f>
        <v>3260116.1800000006</v>
      </c>
      <c r="K50" s="21"/>
      <c r="L50" s="21">
        <f>L48+L43</f>
        <v>363531.83</v>
      </c>
      <c r="M50" s="21"/>
      <c r="N50" s="21">
        <f>N48+N43</f>
        <v>2879386.1</v>
      </c>
      <c r="O50" s="21"/>
      <c r="P50" s="21">
        <f>P48+P43</f>
        <v>125992349.58999999</v>
      </c>
      <c r="Q50" s="27" t="s">
        <v>320</v>
      </c>
      <c r="R50" s="56">
        <f>R48+R43</f>
        <v>20006758.279999997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772203.23</v>
      </c>
      <c r="AE50" s="21"/>
      <c r="AF50" s="21">
        <f>AF48+AF43</f>
        <v>26373193.57</v>
      </c>
      <c r="AG50" s="27" t="s">
        <v>320</v>
      </c>
      <c r="AH50" s="21">
        <f>AH43+AH48</f>
        <v>125992349.58999999</v>
      </c>
      <c r="AI50" s="21"/>
      <c r="AJ50" s="21">
        <f>AJ43+AJ48</f>
        <v>26373193.57</v>
      </c>
      <c r="AK50" s="21"/>
      <c r="AL50" s="21">
        <f>AL43+AL48</f>
        <v>99619156.020000011</v>
      </c>
      <c r="AM50" s="12"/>
      <c r="AN50" s="13">
        <f>AH50/AJ50</f>
        <v>4.7772883195047955</v>
      </c>
      <c r="AO50" s="13"/>
      <c r="AP50" s="14">
        <f>AN50-1</f>
        <v>3.7772883195047955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33424688.780000001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345034.6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3486939.73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470120.81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-1320590.1200000001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5193969.07</v>
      </c>
      <c r="M54" s="12"/>
      <c r="N54" s="12">
        <f>'Consolidated Balance Sheet'!N128+'Consolidated Balance Sheet'!N129+'Consolidated Balance Sheet'!N130</f>
        <v>2369862.7800000003</v>
      </c>
      <c r="O54" s="12"/>
      <c r="P54" s="12">
        <f>SUM(B54:N54)</f>
        <v>43970025.650000006</v>
      </c>
      <c r="Q54" s="9" t="s">
        <v>507</v>
      </c>
      <c r="R54" s="54">
        <f>'Consolidated Balance Sheet'!R128+'Consolidated Balance Sheet'!R129+'Consolidated Balance Sheet'!R130</f>
        <v>11795085.869999999</v>
      </c>
      <c r="S54" s="12"/>
      <c r="T54" s="54">
        <f>'Consolidated Balance Sheet'!T128+'Consolidated Balance Sheet'!T129+'Consolidated Balance Sheet'!T130</f>
        <v>1916638.97</v>
      </c>
      <c r="U54" s="12"/>
      <c r="V54" s="54">
        <f>'Consolidated Balance Sheet'!V128+'Consolidated Balance Sheet'!V129+'Consolidated Balance Sheet'!V130</f>
        <v>1649319.46</v>
      </c>
      <c r="W54" s="12"/>
      <c r="X54" s="54">
        <f>'Consolidated Balance Sheet'!X128+'Consolidated Balance Sheet'!X129+'Consolidated Balance Sheet'!X130</f>
        <v>426462.02</v>
      </c>
      <c r="Y54" s="12"/>
      <c r="Z54" s="54">
        <f>'Consolidated Balance Sheet'!Z128+'Consolidated Balance Sheet'!Z129+'Consolidated Balance Sheet'!Z130</f>
        <v>-1189372.3599999999</v>
      </c>
      <c r="AA54" s="12"/>
      <c r="AB54" s="54">
        <f>'Consolidated Balance Sheet'!AB128+'Consolidated Balance Sheet'!AB129+'Consolidated Balance Sheet'!AB130</f>
        <v>5026796.1900000004</v>
      </c>
      <c r="AC54" s="12"/>
      <c r="AD54" s="54">
        <f>'Consolidated Balance Sheet'!AD128+'Consolidated Balance Sheet'!AD129+'Consolidated Balance Sheet'!AD130</f>
        <v>8278386.1600000011</v>
      </c>
      <c r="AE54" s="12"/>
      <c r="AF54" s="12">
        <f>SUM(R54:AD54)</f>
        <v>27903316.310000002</v>
      </c>
      <c r="AG54" s="9" t="s">
        <v>322</v>
      </c>
      <c r="AH54" s="12">
        <f>P54</f>
        <v>43970025.650000006</v>
      </c>
      <c r="AI54" s="12"/>
      <c r="AJ54" s="12">
        <f>AF54</f>
        <v>27903316.310000002</v>
      </c>
      <c r="AK54" s="12"/>
      <c r="AL54" s="12">
        <f>AH54-AJ54</f>
        <v>16066709.340000004</v>
      </c>
      <c r="AM54" s="12"/>
      <c r="AN54" s="13">
        <f t="shared" si="23"/>
        <v>1.5757992763835749</v>
      </c>
      <c r="AO54" s="13"/>
      <c r="AP54" s="14">
        <f t="shared" si="24"/>
        <v>0.57579927638357487</v>
      </c>
    </row>
    <row r="55" spans="1:42" s="9" customFormat="1" ht="24.95" customHeight="1" x14ac:dyDescent="0.2">
      <c r="A55" s="9" t="s">
        <v>548</v>
      </c>
      <c r="B55" s="12">
        <f>'Consolidated Balance Sheet'!B131</f>
        <v>4064923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16837194.100000001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16837194.100000001</v>
      </c>
      <c r="AI55" s="12">
        <v>0</v>
      </c>
      <c r="AJ55" s="12">
        <f>AF55</f>
        <v>4996824.41</v>
      </c>
      <c r="AK55" s="12"/>
      <c r="AL55" s="12">
        <f>AH55-AJ55</f>
        <v>11840369.690000001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-392483.45999999996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-1534848.46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-1927331.92</v>
      </c>
      <c r="AG56" s="9" t="s">
        <v>325</v>
      </c>
      <c r="AH56" s="12">
        <f>P56</f>
        <v>-5018000</v>
      </c>
      <c r="AI56" s="12"/>
      <c r="AJ56" s="12">
        <f>AF56</f>
        <v>-1927331.92</v>
      </c>
      <c r="AK56" s="12"/>
      <c r="AL56" s="12">
        <f>AH56-AJ56</f>
        <v>-3090668.08</v>
      </c>
      <c r="AM56" s="12"/>
      <c r="AN56" s="13">
        <f t="shared" si="23"/>
        <v>2.6035992803979506</v>
      </c>
      <c r="AO56" s="13"/>
      <c r="AP56" s="14">
        <f t="shared" si="24"/>
        <v>1.6035992803979506</v>
      </c>
    </row>
    <row r="57" spans="1:42" s="9" customFormat="1" ht="24.95" customHeight="1" x14ac:dyDescent="0.2">
      <c r="A57" s="27" t="s">
        <v>331</v>
      </c>
      <c r="B57" s="21">
        <f>SUM(B53:B56)</f>
        <v>32623936.780000001</v>
      </c>
      <c r="C57" s="21"/>
      <c r="D57" s="21">
        <f>SUM(D53:D56)</f>
        <v>345034.6</v>
      </c>
      <c r="E57" s="21"/>
      <c r="F57" s="21">
        <f>SUM(F53:F56)</f>
        <v>10134083.6</v>
      </c>
      <c r="G57" s="21"/>
      <c r="H57" s="21">
        <f>SUM(H53:H56)</f>
        <v>470120.81</v>
      </c>
      <c r="I57" s="21"/>
      <c r="J57" s="21">
        <f>SUM(J53:J56)</f>
        <v>-1295662.53</v>
      </c>
      <c r="K57" s="21"/>
      <c r="L57" s="21">
        <f>SUM(L53:L56)</f>
        <v>5193969.07</v>
      </c>
      <c r="M57" s="21"/>
      <c r="N57" s="21">
        <f>SUM(N53:N56)</f>
        <v>8495990.0100000016</v>
      </c>
      <c r="O57" s="21"/>
      <c r="P57" s="21">
        <f>SUM(P53:P56)</f>
        <v>55967472.340000011</v>
      </c>
      <c r="Q57" s="27" t="s">
        <v>331</v>
      </c>
      <c r="R57" s="56">
        <f>SUM(R53:R56)</f>
        <v>11554927.41</v>
      </c>
      <c r="S57" s="21"/>
      <c r="T57" s="56">
        <f t="shared" ref="T57:AB57" si="25">SUM(T53:T56)</f>
        <v>381790.51</v>
      </c>
      <c r="U57" s="21"/>
      <c r="V57" s="56">
        <f t="shared" si="25"/>
        <v>6647143.8700000001</v>
      </c>
      <c r="W57" s="21"/>
      <c r="X57" s="56">
        <f t="shared" si="25"/>
        <v>426462.02</v>
      </c>
      <c r="Y57" s="21"/>
      <c r="Z57" s="56">
        <f t="shared" si="25"/>
        <v>-1164372.3299999998</v>
      </c>
      <c r="AA57" s="21"/>
      <c r="AB57" s="56">
        <f t="shared" si="25"/>
        <v>5026796.1900000004</v>
      </c>
      <c r="AC57" s="21"/>
      <c r="AD57" s="56">
        <f>SUM(AD53:AD56)</f>
        <v>8278386.1600000011</v>
      </c>
      <c r="AE57" s="21"/>
      <c r="AF57" s="21">
        <f>SUM(AF53:AF56)</f>
        <v>31151133.830000006</v>
      </c>
      <c r="AG57" s="27" t="s">
        <v>331</v>
      </c>
      <c r="AH57" s="21">
        <f>SUM(AH53:AH56)</f>
        <v>55967472.340000011</v>
      </c>
      <c r="AI57" s="21"/>
      <c r="AJ57" s="21">
        <f>SUM(AJ53:AJ56)</f>
        <v>31151133.830000006</v>
      </c>
      <c r="AK57" s="21"/>
      <c r="AL57" s="21">
        <f>SUM(AL53:AL56)</f>
        <v>24816338.510000005</v>
      </c>
      <c r="AM57" s="22"/>
      <c r="AN57" s="13">
        <f t="shared" si="23"/>
        <v>1.7966431862618337</v>
      </c>
      <c r="AO57" s="13"/>
      <c r="AP57" s="14">
        <f t="shared" si="24"/>
        <v>0.79664318626183372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151307950.31</v>
      </c>
      <c r="C59" s="23"/>
      <c r="D59" s="23">
        <f>SUM(D57,D48,D43)</f>
        <v>356328.55</v>
      </c>
      <c r="E59" s="23"/>
      <c r="F59" s="23">
        <f>SUM(F57,F48,F43)</f>
        <v>10597587.699999999</v>
      </c>
      <c r="G59" s="23"/>
      <c r="H59" s="23">
        <f>SUM(H57,H48,H43)</f>
        <v>800624.71</v>
      </c>
      <c r="I59" s="23"/>
      <c r="J59" s="23">
        <f>SUM(J57,J48,J43)</f>
        <v>1964453.6500000004</v>
      </c>
      <c r="K59" s="23"/>
      <c r="L59" s="23">
        <f>SUM(L57,L48,L43)</f>
        <v>5557500.9000000004</v>
      </c>
      <c r="M59" s="23"/>
      <c r="N59" s="23">
        <f>SUM(N57,N48,N43)</f>
        <v>11375376.110000001</v>
      </c>
      <c r="O59" s="23"/>
      <c r="P59" s="23">
        <f>SUM(P57,P48,P43)</f>
        <v>181959821.93000001</v>
      </c>
      <c r="Q59" s="8" t="s">
        <v>333</v>
      </c>
      <c r="R59" s="57">
        <f>SUM(R57,R48,R43)</f>
        <v>31561685.689999998</v>
      </c>
      <c r="S59" s="23"/>
      <c r="T59" s="57">
        <f>SUM(T57,T48,T43)</f>
        <v>1514502.7399999998</v>
      </c>
      <c r="U59" s="23"/>
      <c r="V59" s="57">
        <f>SUM(V57,V48,V43)</f>
        <v>7237918.0499999998</v>
      </c>
      <c r="W59" s="23"/>
      <c r="X59" s="57">
        <f>SUM(X57,X48,X43)</f>
        <v>720067.91</v>
      </c>
      <c r="Y59" s="23"/>
      <c r="Z59" s="57">
        <f>SUM(Z57,Z48,Z43)</f>
        <v>2067057.3400000003</v>
      </c>
      <c r="AA59" s="23"/>
      <c r="AB59" s="57">
        <f>SUM(AB57,AB48,AB43)</f>
        <v>5372506.2800000003</v>
      </c>
      <c r="AC59" s="23"/>
      <c r="AD59" s="57">
        <f>SUM(AD57,AD48,AD43)</f>
        <v>9050589.3900000006</v>
      </c>
      <c r="AE59" s="23"/>
      <c r="AF59" s="23">
        <f>SUM(AF57,AF48,AF43)</f>
        <v>57524327.400000006</v>
      </c>
      <c r="AG59" s="8" t="s">
        <v>333</v>
      </c>
      <c r="AH59" s="23">
        <f>SUM(AH57,AH48,AH43)</f>
        <v>181959821.93000001</v>
      </c>
      <c r="AI59" s="23"/>
      <c r="AJ59" s="23">
        <f>SUM(AJ57,AJ48,AJ43)</f>
        <v>57524327.400000006</v>
      </c>
      <c r="AK59" s="23"/>
      <c r="AL59" s="23">
        <f>SUM(AL57,AL48,AL43)</f>
        <v>124435494.53000003</v>
      </c>
      <c r="AM59" s="25"/>
      <c r="AN59" s="13">
        <f t="shared" si="23"/>
        <v>3.1631803474159348</v>
      </c>
      <c r="AO59" s="13"/>
      <c r="AP59" s="14">
        <f t="shared" si="24"/>
        <v>2.1631803474159348</v>
      </c>
    </row>
    <row r="60" spans="1:42" ht="15.75" thickTop="1" x14ac:dyDescent="0.2">
      <c r="B60" s="3">
        <f>B59-CNT!U163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-58104755.950000018</v>
      </c>
      <c r="T60" s="58">
        <f>T59-T31</f>
        <v>692989.24999999977</v>
      </c>
      <c r="U60" s="3"/>
      <c r="V60" s="58">
        <f>V59-V31</f>
        <v>-15024.620000000112</v>
      </c>
      <c r="X60" s="58">
        <f>X59-X31</f>
        <v>-309608.07999999996</v>
      </c>
      <c r="Z60" s="58">
        <f>Z59-Z31</f>
        <v>-34665.639999999199</v>
      </c>
      <c r="AB60" s="58">
        <f>AB59-AB31</f>
        <v>-9465.5800000000745</v>
      </c>
      <c r="AD60" s="58">
        <f>AD59-AD31</f>
        <v>772203.23000000138</v>
      </c>
      <c r="AE60" s="3"/>
      <c r="AF60" s="3">
        <f>AF59-AF31</f>
        <v>-57008327.390000001</v>
      </c>
      <c r="AG60" s="3"/>
      <c r="AH60" s="3">
        <f>AH59-AH31</f>
        <v>0</v>
      </c>
      <c r="AI60" s="3"/>
      <c r="AJ60" s="3">
        <f>AJ59-AJ31</f>
        <v>-57008327.390000001</v>
      </c>
      <c r="AK60" s="3"/>
      <c r="AL60" s="3">
        <f>AL59-AL31</f>
        <v>57008327.390000001</v>
      </c>
      <c r="AM60" s="3"/>
      <c r="AN60" s="4">
        <f>AN59-AN31</f>
        <v>1.5744646901771298</v>
      </c>
      <c r="AO60" s="3"/>
      <c r="AP60" s="3">
        <f>AP59-AP31</f>
        <v>1.5744646901771298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89666441.640000001</v>
      </c>
      <c r="T61" s="61">
        <f>'Consolidated Balance Sheet'!T141</f>
        <v>821513.49</v>
      </c>
      <c r="V61" s="61">
        <f>'Consolidated Balance Sheet'!V141</f>
        <v>7252942.6699999999</v>
      </c>
      <c r="X61" s="61">
        <f>'Consolidated Balance Sheet'!X141</f>
        <v>1029675.99</v>
      </c>
      <c r="Z61" s="61">
        <f>'Consolidated Balance Sheet'!Z141</f>
        <v>2101722.98</v>
      </c>
      <c r="AB61" s="61">
        <f>'Consolidated Balance Sheet'!AB141</f>
        <v>5381971.8600000003</v>
      </c>
      <c r="AD61" s="61">
        <f>'Consolidated Balance Sheet'!AD141</f>
        <v>8278386.1600000011</v>
      </c>
    </row>
    <row r="62" spans="1:42" x14ac:dyDescent="0.2">
      <c r="R62" s="61">
        <f>R59-R61</f>
        <v>-58104755.950000003</v>
      </c>
      <c r="T62" s="61">
        <f t="shared" ref="T62:AD62" si="26">T59-T61</f>
        <v>692989.24999999977</v>
      </c>
      <c r="V62" s="61">
        <f t="shared" si="26"/>
        <v>-15024.620000000112</v>
      </c>
      <c r="X62" s="61">
        <f t="shared" si="26"/>
        <v>-309608.07999999996</v>
      </c>
      <c r="Z62" s="61">
        <f t="shared" si="26"/>
        <v>-34665.639999999665</v>
      </c>
      <c r="AB62" s="61">
        <f t="shared" si="26"/>
        <v>-9465.5800000000745</v>
      </c>
      <c r="AD62" s="61">
        <f t="shared" si="26"/>
        <v>772203.22999999952</v>
      </c>
      <c r="AL62" s="38">
        <f>AL59-'Consolidated Balance Sheet'!AL141</f>
        <v>57008327.39000003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-57008327.390000001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12" customHeight="1" x14ac:dyDescent="0.2"/>
    <row r="3" spans="1:24" ht="12" customHeight="1" x14ac:dyDescent="0.2">
      <c r="A3" s="173" t="s">
        <v>699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4" ht="12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4" ht="12" customHeight="1" x14ac:dyDescent="0.2"/>
    <row r="6" spans="1:24" ht="12" customHeight="1" x14ac:dyDescent="0.2"/>
    <row r="7" spans="1:24" ht="12" customHeight="1" x14ac:dyDescent="0.2">
      <c r="A7" s="164" t="s">
        <v>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24" ht="12" customHeight="1" x14ac:dyDescent="0.2">
      <c r="B8" s="164" t="s">
        <v>3</v>
      </c>
      <c r="C8" s="164"/>
      <c r="D8" s="164"/>
      <c r="E8" s="164"/>
      <c r="F8" s="164"/>
      <c r="G8" s="164"/>
      <c r="H8" s="164"/>
      <c r="I8" s="164"/>
      <c r="J8" s="164"/>
      <c r="K8" s="164"/>
    </row>
    <row r="9" spans="1:24" ht="12" customHeight="1" x14ac:dyDescent="0.2">
      <c r="S9" s="75">
        <v>0</v>
      </c>
    </row>
    <row r="10" spans="1:24" ht="12" customHeight="1" x14ac:dyDescent="0.2">
      <c r="C10" s="166" t="s">
        <v>216</v>
      </c>
      <c r="D10" s="166"/>
      <c r="E10" s="166"/>
      <c r="F10" s="166"/>
      <c r="H10" s="166" t="s">
        <v>217</v>
      </c>
      <c r="I10" s="166"/>
      <c r="J10" s="166"/>
      <c r="K10" s="166"/>
      <c r="L10" s="166"/>
      <c r="M10" s="166"/>
      <c r="N10" s="166"/>
      <c r="O10" s="166"/>
      <c r="P10" s="166"/>
      <c r="Q10" s="166"/>
      <c r="S10" s="129">
        <v>0</v>
      </c>
    </row>
    <row r="11" spans="1:24" ht="12" customHeight="1" x14ac:dyDescent="0.2">
      <c r="C11" s="166" t="s">
        <v>4</v>
      </c>
      <c r="D11" s="166"/>
      <c r="E11" s="166"/>
      <c r="F11" s="166"/>
      <c r="H11" s="166" t="s">
        <v>5</v>
      </c>
      <c r="I11" s="166"/>
      <c r="J11" s="166"/>
      <c r="K11" s="166"/>
      <c r="L11" s="166"/>
      <c r="M11" s="166"/>
      <c r="N11" s="166"/>
      <c r="O11" s="166"/>
      <c r="P11" s="166"/>
      <c r="Q11" s="166"/>
      <c r="S11" s="129">
        <v>490</v>
      </c>
    </row>
    <row r="12" spans="1:24" ht="12" customHeight="1" x14ac:dyDescent="0.2">
      <c r="C12" s="166" t="s">
        <v>6</v>
      </c>
      <c r="D12" s="166"/>
      <c r="E12" s="166"/>
      <c r="F12" s="166"/>
      <c r="H12" s="166" t="s">
        <v>7</v>
      </c>
      <c r="I12" s="166"/>
      <c r="J12" s="166"/>
      <c r="K12" s="166"/>
      <c r="L12" s="166"/>
      <c r="M12" s="166"/>
      <c r="N12" s="166"/>
      <c r="O12" s="166"/>
      <c r="P12" s="166"/>
      <c r="Q12" s="166"/>
      <c r="S12" s="129">
        <v>0</v>
      </c>
    </row>
    <row r="13" spans="1:24" ht="12" customHeight="1" x14ac:dyDescent="0.2">
      <c r="C13" s="166" t="s">
        <v>8</v>
      </c>
      <c r="D13" s="166"/>
      <c r="E13" s="166"/>
      <c r="F13" s="166"/>
      <c r="H13" s="166" t="s">
        <v>9</v>
      </c>
      <c r="I13" s="166"/>
      <c r="J13" s="166"/>
      <c r="K13" s="166"/>
      <c r="L13" s="166"/>
      <c r="M13" s="166"/>
      <c r="N13" s="166"/>
      <c r="O13" s="166"/>
      <c r="P13" s="166"/>
      <c r="Q13" s="166"/>
      <c r="S13" s="129">
        <v>0</v>
      </c>
    </row>
    <row r="14" spans="1:24" ht="12" customHeight="1" x14ac:dyDescent="0.2">
      <c r="C14" s="166">
        <v>1151</v>
      </c>
      <c r="D14" s="166"/>
      <c r="E14" s="166"/>
      <c r="F14" s="166"/>
      <c r="H14" s="166" t="s">
        <v>604</v>
      </c>
      <c r="I14" s="166"/>
      <c r="J14" s="166"/>
      <c r="K14" s="166"/>
      <c r="L14" s="166"/>
      <c r="M14" s="166"/>
      <c r="N14" s="166"/>
      <c r="O14" s="166"/>
      <c r="P14" s="166"/>
      <c r="Q14" s="166"/>
      <c r="S14" s="129">
        <v>0</v>
      </c>
    </row>
    <row r="15" spans="1:24" ht="12" customHeight="1" x14ac:dyDescent="0.2">
      <c r="C15" s="166" t="s">
        <v>12</v>
      </c>
      <c r="D15" s="166"/>
      <c r="E15" s="166"/>
      <c r="F15" s="166"/>
      <c r="H15" s="166" t="s">
        <v>13</v>
      </c>
      <c r="I15" s="166"/>
      <c r="J15" s="166"/>
      <c r="K15" s="166"/>
      <c r="L15" s="166"/>
      <c r="M15" s="166"/>
      <c r="N15" s="166"/>
      <c r="O15" s="166"/>
      <c r="P15" s="166"/>
      <c r="Q15" s="166"/>
      <c r="S15" s="129">
        <v>0</v>
      </c>
    </row>
    <row r="16" spans="1:24" ht="12" customHeight="1" x14ac:dyDescent="0.2">
      <c r="C16" s="166" t="s">
        <v>14</v>
      </c>
      <c r="D16" s="166"/>
      <c r="E16" s="166"/>
      <c r="F16" s="166"/>
      <c r="H16" s="166" t="s">
        <v>15</v>
      </c>
      <c r="I16" s="166"/>
      <c r="J16" s="166"/>
      <c r="K16" s="166"/>
      <c r="L16" s="166"/>
      <c r="M16" s="166"/>
      <c r="N16" s="166"/>
      <c r="O16" s="166"/>
      <c r="P16" s="166"/>
      <c r="Q16" s="166"/>
      <c r="S16" s="129">
        <v>0</v>
      </c>
    </row>
    <row r="17" spans="3:19" ht="12" customHeight="1" x14ac:dyDescent="0.2">
      <c r="C17" s="166" t="s">
        <v>16</v>
      </c>
      <c r="D17" s="166"/>
      <c r="E17" s="166"/>
      <c r="F17" s="166"/>
      <c r="H17" s="166" t="s">
        <v>17</v>
      </c>
      <c r="I17" s="166"/>
      <c r="J17" s="166"/>
      <c r="K17" s="166"/>
      <c r="L17" s="166"/>
      <c r="M17" s="166"/>
      <c r="N17" s="166"/>
      <c r="O17" s="166"/>
      <c r="P17" s="166"/>
      <c r="Q17" s="166"/>
      <c r="S17" s="129">
        <v>7824787.9000000004</v>
      </c>
    </row>
    <row r="18" spans="3:19" ht="12" customHeight="1" x14ac:dyDescent="0.2">
      <c r="C18" s="166">
        <v>1220</v>
      </c>
      <c r="D18" s="166"/>
      <c r="E18" s="166"/>
      <c r="F18" s="166"/>
      <c r="H18" s="166" t="s">
        <v>689</v>
      </c>
      <c r="I18" s="166"/>
      <c r="J18" s="166"/>
      <c r="K18" s="166"/>
      <c r="L18" s="166"/>
      <c r="M18" s="166"/>
      <c r="N18" s="166"/>
      <c r="O18" s="166"/>
      <c r="P18" s="166"/>
      <c r="Q18" s="166"/>
      <c r="S18" s="129">
        <v>9331.48</v>
      </c>
    </row>
    <row r="19" spans="3:19" ht="12" customHeight="1" x14ac:dyDescent="0.2">
      <c r="C19" s="166" t="s">
        <v>18</v>
      </c>
      <c r="D19" s="166"/>
      <c r="E19" s="166"/>
      <c r="F19" s="166"/>
      <c r="H19" s="166" t="s">
        <v>19</v>
      </c>
      <c r="I19" s="166"/>
      <c r="J19" s="166"/>
      <c r="K19" s="166"/>
      <c r="L19" s="166"/>
      <c r="M19" s="166"/>
      <c r="N19" s="166"/>
      <c r="O19" s="166"/>
      <c r="P19" s="166"/>
      <c r="Q19" s="166"/>
      <c r="S19" s="129">
        <v>116167762.94</v>
      </c>
    </row>
    <row r="20" spans="3:19" ht="12" customHeight="1" x14ac:dyDescent="0.2">
      <c r="C20" s="166" t="s">
        <v>20</v>
      </c>
      <c r="D20" s="166"/>
      <c r="E20" s="166"/>
      <c r="F20" s="166"/>
      <c r="H20" s="166" t="s">
        <v>21</v>
      </c>
      <c r="I20" s="166"/>
      <c r="J20" s="166"/>
      <c r="K20" s="166"/>
      <c r="L20" s="166"/>
      <c r="M20" s="166"/>
      <c r="N20" s="166"/>
      <c r="O20" s="166"/>
      <c r="P20" s="166"/>
      <c r="Q20" s="166"/>
      <c r="S20" s="129">
        <v>81224590.909999996</v>
      </c>
    </row>
    <row r="21" spans="3:19" ht="12" customHeight="1" x14ac:dyDescent="0.2">
      <c r="C21" s="166" t="s">
        <v>22</v>
      </c>
      <c r="D21" s="166"/>
      <c r="E21" s="166"/>
      <c r="F21" s="166"/>
      <c r="H21" s="166" t="s">
        <v>23</v>
      </c>
      <c r="I21" s="166"/>
      <c r="J21" s="166"/>
      <c r="K21" s="166"/>
      <c r="L21" s="166"/>
      <c r="M21" s="166"/>
      <c r="N21" s="166"/>
      <c r="O21" s="166"/>
      <c r="P21" s="166"/>
      <c r="Q21" s="166"/>
      <c r="S21" s="129">
        <v>2613633.71</v>
      </c>
    </row>
    <row r="22" spans="3:19" ht="12" customHeight="1" x14ac:dyDescent="0.2">
      <c r="C22" s="166" t="s">
        <v>24</v>
      </c>
      <c r="D22" s="166"/>
      <c r="E22" s="166"/>
      <c r="F22" s="166"/>
      <c r="H22" s="166" t="s">
        <v>25</v>
      </c>
      <c r="I22" s="166"/>
      <c r="J22" s="166"/>
      <c r="K22" s="166"/>
      <c r="L22" s="166"/>
      <c r="M22" s="166"/>
      <c r="N22" s="166"/>
      <c r="O22" s="166"/>
      <c r="P22" s="166"/>
      <c r="Q22" s="166"/>
      <c r="S22" s="129">
        <v>776186.54</v>
      </c>
    </row>
    <row r="23" spans="3:19" ht="12" customHeight="1" x14ac:dyDescent="0.2">
      <c r="C23" s="166" t="s">
        <v>26</v>
      </c>
      <c r="D23" s="166"/>
      <c r="E23" s="166"/>
      <c r="F23" s="166"/>
      <c r="H23" s="166" t="s">
        <v>27</v>
      </c>
      <c r="I23" s="166"/>
      <c r="J23" s="166"/>
      <c r="K23" s="166"/>
      <c r="L23" s="166"/>
      <c r="M23" s="166"/>
      <c r="N23" s="166"/>
      <c r="O23" s="166"/>
      <c r="P23" s="166"/>
      <c r="Q23" s="166"/>
      <c r="S23" s="129">
        <v>0</v>
      </c>
    </row>
    <row r="24" spans="3:19" ht="12" customHeight="1" x14ac:dyDescent="0.2">
      <c r="C24" s="166" t="s">
        <v>28</v>
      </c>
      <c r="D24" s="166"/>
      <c r="E24" s="166"/>
      <c r="F24" s="166"/>
      <c r="H24" s="166" t="s">
        <v>29</v>
      </c>
      <c r="I24" s="166"/>
      <c r="J24" s="166"/>
      <c r="K24" s="166"/>
      <c r="L24" s="166"/>
      <c r="M24" s="166"/>
      <c r="N24" s="166"/>
      <c r="O24" s="166"/>
      <c r="P24" s="166"/>
      <c r="Q24" s="166"/>
      <c r="S24" s="129">
        <v>1212848.83</v>
      </c>
    </row>
    <row r="25" spans="3:19" ht="12" customHeight="1" x14ac:dyDescent="0.2">
      <c r="C25" s="166" t="s">
        <v>30</v>
      </c>
      <c r="D25" s="166"/>
      <c r="E25" s="166"/>
      <c r="F25" s="166"/>
      <c r="H25" s="166" t="s">
        <v>31</v>
      </c>
      <c r="I25" s="166"/>
      <c r="J25" s="166"/>
      <c r="K25" s="166"/>
      <c r="L25" s="166"/>
      <c r="M25" s="166"/>
      <c r="N25" s="166"/>
      <c r="O25" s="166"/>
      <c r="P25" s="166"/>
      <c r="Q25" s="166"/>
      <c r="S25" s="129">
        <v>20215.73</v>
      </c>
    </row>
    <row r="26" spans="3:19" ht="12" customHeight="1" x14ac:dyDescent="0.2">
      <c r="C26" s="166" t="s">
        <v>32</v>
      </c>
      <c r="D26" s="166"/>
      <c r="E26" s="166"/>
      <c r="F26" s="166"/>
      <c r="H26" s="166" t="s">
        <v>33</v>
      </c>
      <c r="I26" s="166"/>
      <c r="J26" s="166"/>
      <c r="K26" s="166"/>
      <c r="L26" s="166"/>
      <c r="M26" s="166"/>
      <c r="N26" s="166"/>
      <c r="O26" s="166"/>
      <c r="P26" s="166"/>
      <c r="Q26" s="166"/>
      <c r="S26" s="129">
        <v>-8979896.3800000008</v>
      </c>
    </row>
    <row r="27" spans="3:19" ht="12" customHeight="1" x14ac:dyDescent="0.2">
      <c r="C27" s="166" t="s">
        <v>34</v>
      </c>
      <c r="D27" s="166"/>
      <c r="E27" s="166"/>
      <c r="F27" s="166"/>
      <c r="H27" s="166" t="s">
        <v>35</v>
      </c>
      <c r="I27" s="166"/>
      <c r="J27" s="166"/>
      <c r="K27" s="166"/>
      <c r="L27" s="166"/>
      <c r="M27" s="166"/>
      <c r="N27" s="166"/>
      <c r="O27" s="166"/>
      <c r="P27" s="166"/>
      <c r="Q27" s="166"/>
      <c r="S27" s="129">
        <v>-131760167.68000001</v>
      </c>
    </row>
    <row r="28" spans="3:19" ht="12" customHeight="1" x14ac:dyDescent="0.2">
      <c r="C28" s="166" t="s">
        <v>36</v>
      </c>
      <c r="D28" s="166"/>
      <c r="E28" s="166"/>
      <c r="F28" s="166"/>
      <c r="H28" s="166" t="s">
        <v>37</v>
      </c>
      <c r="I28" s="166"/>
      <c r="J28" s="166"/>
      <c r="K28" s="166"/>
      <c r="L28" s="166"/>
      <c r="M28" s="166"/>
      <c r="N28" s="166"/>
      <c r="O28" s="166"/>
      <c r="P28" s="166"/>
      <c r="Q28" s="166"/>
      <c r="S28" s="129">
        <v>-20471810.41</v>
      </c>
    </row>
    <row r="29" spans="3:19" ht="12" customHeight="1" x14ac:dyDescent="0.2">
      <c r="C29" s="166">
        <v>1232</v>
      </c>
      <c r="D29" s="166"/>
      <c r="E29" s="166"/>
      <c r="F29" s="166"/>
      <c r="H29" s="166" t="s">
        <v>39</v>
      </c>
      <c r="I29" s="166"/>
      <c r="J29" s="166"/>
      <c r="K29" s="166"/>
      <c r="L29" s="166"/>
      <c r="M29" s="166"/>
      <c r="N29" s="166"/>
      <c r="O29" s="166"/>
      <c r="P29" s="166"/>
      <c r="Q29" s="166"/>
      <c r="S29" s="129">
        <v>-64228.68</v>
      </c>
    </row>
    <row r="30" spans="3:19" ht="12" customHeight="1" x14ac:dyDescent="0.2">
      <c r="C30" s="166" t="s">
        <v>40</v>
      </c>
      <c r="D30" s="166"/>
      <c r="E30" s="166"/>
      <c r="F30" s="166"/>
      <c r="H30" s="166" t="s">
        <v>41</v>
      </c>
      <c r="I30" s="166"/>
      <c r="J30" s="166"/>
      <c r="K30" s="166"/>
      <c r="L30" s="166"/>
      <c r="M30" s="166"/>
      <c r="N30" s="166"/>
      <c r="O30" s="166"/>
      <c r="P30" s="166"/>
      <c r="Q30" s="166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6" t="s">
        <v>42</v>
      </c>
      <c r="D32" s="166"/>
      <c r="E32" s="166"/>
      <c r="F32" s="166"/>
      <c r="H32" s="166" t="s">
        <v>43</v>
      </c>
      <c r="I32" s="166"/>
      <c r="J32" s="166"/>
      <c r="K32" s="166"/>
      <c r="L32" s="166"/>
      <c r="M32" s="166"/>
      <c r="N32" s="166"/>
      <c r="O32" s="166"/>
      <c r="P32" s="166"/>
      <c r="Q32" s="166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6" t="s">
        <v>586</v>
      </c>
      <c r="I33" s="166"/>
      <c r="J33" s="166"/>
      <c r="K33" s="166"/>
      <c r="L33" s="166"/>
      <c r="M33" s="166"/>
      <c r="N33" s="166"/>
      <c r="O33" s="166"/>
      <c r="P33" s="166"/>
      <c r="Q33" s="166"/>
      <c r="S33" s="129">
        <v>0</v>
      </c>
    </row>
    <row r="34" spans="3:19" ht="12" customHeight="1" x14ac:dyDescent="0.2">
      <c r="C34" s="166" t="s">
        <v>46</v>
      </c>
      <c r="D34" s="166"/>
      <c r="E34" s="166"/>
      <c r="F34" s="166"/>
      <c r="H34" s="166" t="s">
        <v>47</v>
      </c>
      <c r="I34" s="166"/>
      <c r="J34" s="166"/>
      <c r="K34" s="166"/>
      <c r="L34" s="166"/>
      <c r="M34" s="166"/>
      <c r="N34" s="166"/>
      <c r="O34" s="166"/>
      <c r="P34" s="166"/>
      <c r="Q34" s="166"/>
      <c r="S34" s="129">
        <v>0</v>
      </c>
    </row>
    <row r="35" spans="3:19" ht="12" customHeight="1" x14ac:dyDescent="0.2">
      <c r="C35" s="166" t="s">
        <v>48</v>
      </c>
      <c r="D35" s="166"/>
      <c r="E35" s="166"/>
      <c r="F35" s="166"/>
      <c r="H35" s="166" t="s">
        <v>49</v>
      </c>
      <c r="I35" s="166"/>
      <c r="J35" s="166"/>
      <c r="K35" s="166"/>
      <c r="L35" s="166"/>
      <c r="M35" s="166"/>
      <c r="N35" s="166"/>
      <c r="O35" s="166"/>
      <c r="P35" s="166"/>
      <c r="Q35" s="166"/>
      <c r="S35" s="129">
        <v>154663.69</v>
      </c>
    </row>
    <row r="36" spans="3:19" ht="12" customHeight="1" x14ac:dyDescent="0.2">
      <c r="C36" s="166" t="s">
        <v>50</v>
      </c>
      <c r="D36" s="166"/>
      <c r="E36" s="166"/>
      <c r="F36" s="166"/>
      <c r="H36" s="166" t="s">
        <v>51</v>
      </c>
      <c r="I36" s="166"/>
      <c r="J36" s="166"/>
      <c r="K36" s="166"/>
      <c r="L36" s="166"/>
      <c r="M36" s="166"/>
      <c r="N36" s="166"/>
      <c r="O36" s="166"/>
      <c r="P36" s="166"/>
      <c r="Q36" s="166"/>
      <c r="S36" s="129">
        <v>386346.92</v>
      </c>
    </row>
    <row r="37" spans="3:19" ht="12" customHeight="1" x14ac:dyDescent="0.2">
      <c r="C37" s="166" t="s">
        <v>52</v>
      </c>
      <c r="D37" s="166"/>
      <c r="E37" s="166"/>
      <c r="F37" s="166"/>
      <c r="H37" s="166" t="s">
        <v>53</v>
      </c>
      <c r="I37" s="166"/>
      <c r="J37" s="166"/>
      <c r="K37" s="166"/>
      <c r="L37" s="166"/>
      <c r="M37" s="166"/>
      <c r="N37" s="166"/>
      <c r="O37" s="166"/>
      <c r="P37" s="166"/>
      <c r="Q37" s="166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6" t="s">
        <v>56</v>
      </c>
      <c r="D39" s="166"/>
      <c r="E39" s="166"/>
      <c r="F39" s="166"/>
      <c r="H39" s="166" t="s">
        <v>57</v>
      </c>
      <c r="I39" s="166"/>
      <c r="J39" s="166"/>
      <c r="K39" s="166"/>
      <c r="L39" s="166"/>
      <c r="M39" s="166"/>
      <c r="N39" s="166"/>
      <c r="O39" s="166"/>
      <c r="P39" s="166"/>
      <c r="Q39" s="166"/>
      <c r="S39" s="129">
        <v>0</v>
      </c>
    </row>
    <row r="40" spans="3:19" ht="12" customHeight="1" x14ac:dyDescent="0.2">
      <c r="C40" s="166">
        <v>1248</v>
      </c>
      <c r="D40" s="166"/>
      <c r="E40" s="166"/>
      <c r="F40" s="166"/>
      <c r="H40" s="166" t="s">
        <v>603</v>
      </c>
      <c r="I40" s="166"/>
      <c r="J40" s="166"/>
      <c r="K40" s="166"/>
      <c r="L40" s="166"/>
      <c r="M40" s="166"/>
      <c r="N40" s="166"/>
      <c r="O40" s="166"/>
      <c r="P40" s="166"/>
      <c r="Q40" s="166"/>
      <c r="S40" s="129">
        <v>0</v>
      </c>
    </row>
    <row r="41" spans="3:19" ht="12" customHeight="1" x14ac:dyDescent="0.2">
      <c r="C41" s="166" t="s">
        <v>58</v>
      </c>
      <c r="D41" s="166"/>
      <c r="E41" s="166"/>
      <c r="F41" s="166"/>
      <c r="H41" s="166" t="s">
        <v>59</v>
      </c>
      <c r="I41" s="166"/>
      <c r="J41" s="166"/>
      <c r="K41" s="166"/>
      <c r="L41" s="166"/>
      <c r="M41" s="166"/>
      <c r="N41" s="166"/>
      <c r="O41" s="166"/>
      <c r="P41" s="166"/>
      <c r="Q41" s="166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6" t="s">
        <v>589</v>
      </c>
      <c r="I42" s="166"/>
      <c r="J42" s="166"/>
      <c r="K42" s="166"/>
      <c r="L42" s="166"/>
      <c r="M42" s="166"/>
      <c r="N42" s="166"/>
      <c r="O42" s="166"/>
      <c r="P42" s="166"/>
      <c r="Q42" s="166"/>
      <c r="S42" s="129">
        <v>0</v>
      </c>
    </row>
    <row r="43" spans="3:19" ht="12" customHeight="1" x14ac:dyDescent="0.2">
      <c r="C43" s="166">
        <v>1255</v>
      </c>
      <c r="D43" s="166"/>
      <c r="E43" s="166"/>
      <c r="F43" s="166"/>
      <c r="H43" s="166" t="s">
        <v>554</v>
      </c>
      <c r="I43" s="166"/>
      <c r="J43" s="166"/>
      <c r="K43" s="166"/>
      <c r="L43" s="166"/>
      <c r="M43" s="166"/>
      <c r="N43" s="166"/>
      <c r="O43" s="166"/>
      <c r="P43" s="166"/>
      <c r="Q43" s="166"/>
      <c r="S43" s="129">
        <v>277917.67</v>
      </c>
    </row>
    <row r="44" spans="3:19" ht="12" customHeight="1" x14ac:dyDescent="0.2">
      <c r="C44" s="166" t="s">
        <v>60</v>
      </c>
      <c r="D44" s="166"/>
      <c r="E44" s="166"/>
      <c r="F44" s="166"/>
      <c r="H44" s="166" t="s">
        <v>61</v>
      </c>
      <c r="I44" s="166"/>
      <c r="J44" s="166"/>
      <c r="K44" s="166"/>
      <c r="L44" s="166"/>
      <c r="M44" s="166"/>
      <c r="N44" s="166"/>
      <c r="O44" s="166"/>
      <c r="P44" s="166"/>
      <c r="Q44" s="166"/>
      <c r="S44" s="129">
        <v>6963.83</v>
      </c>
    </row>
    <row r="45" spans="3:19" ht="12" customHeight="1" x14ac:dyDescent="0.2">
      <c r="C45" s="166" t="s">
        <v>62</v>
      </c>
      <c r="D45" s="166"/>
      <c r="E45" s="166"/>
      <c r="F45" s="166"/>
      <c r="H45" s="166" t="s">
        <v>63</v>
      </c>
      <c r="I45" s="166"/>
      <c r="J45" s="166"/>
      <c r="K45" s="166"/>
      <c r="L45" s="166"/>
      <c r="M45" s="166"/>
      <c r="N45" s="166"/>
      <c r="O45" s="166"/>
      <c r="P45" s="166"/>
      <c r="Q45" s="166"/>
      <c r="S45" s="129">
        <v>162892.82</v>
      </c>
    </row>
    <row r="46" spans="3:19" ht="12" customHeight="1" x14ac:dyDescent="0.2">
      <c r="C46" s="166" t="s">
        <v>64</v>
      </c>
      <c r="D46" s="166"/>
      <c r="E46" s="166"/>
      <c r="F46" s="166"/>
      <c r="H46" s="166" t="s">
        <v>65</v>
      </c>
      <c r="I46" s="166"/>
      <c r="J46" s="166"/>
      <c r="K46" s="166"/>
      <c r="L46" s="166"/>
      <c r="M46" s="166"/>
      <c r="N46" s="166"/>
      <c r="O46" s="166"/>
      <c r="P46" s="166"/>
      <c r="Q46" s="166"/>
      <c r="S46" s="129">
        <v>3146485</v>
      </c>
    </row>
    <row r="47" spans="3:19" ht="12" customHeight="1" x14ac:dyDescent="0.2">
      <c r="C47" s="166">
        <v>1263</v>
      </c>
      <c r="D47" s="166"/>
      <c r="E47" s="166"/>
      <c r="F47" s="166"/>
      <c r="H47" s="194" t="s">
        <v>67</v>
      </c>
      <c r="I47" s="194"/>
      <c r="J47" s="194"/>
      <c r="K47" s="194"/>
      <c r="L47" s="194"/>
      <c r="M47" s="194"/>
      <c r="N47" s="194"/>
      <c r="O47" s="194"/>
      <c r="P47" s="194"/>
      <c r="Q47" s="194"/>
      <c r="S47" s="129">
        <v>40983.120000000003</v>
      </c>
    </row>
    <row r="48" spans="3:19" ht="12" customHeight="1" x14ac:dyDescent="0.2">
      <c r="C48" s="166" t="s">
        <v>68</v>
      </c>
      <c r="D48" s="166"/>
      <c r="E48" s="166"/>
      <c r="F48" s="166"/>
      <c r="H48" s="166" t="s">
        <v>69</v>
      </c>
      <c r="I48" s="166"/>
      <c r="J48" s="166"/>
      <c r="K48" s="166"/>
      <c r="L48" s="166"/>
      <c r="M48" s="166"/>
      <c r="N48" s="166"/>
      <c r="O48" s="166"/>
      <c r="P48" s="166"/>
      <c r="Q48" s="166"/>
      <c r="S48" s="129">
        <v>1239344.6000000001</v>
      </c>
    </row>
    <row r="49" spans="2:25" ht="12" customHeight="1" x14ac:dyDescent="0.2">
      <c r="C49" s="166">
        <v>1420</v>
      </c>
      <c r="D49" s="166"/>
      <c r="E49" s="166"/>
      <c r="F49" s="166"/>
      <c r="H49" s="166" t="s">
        <v>605</v>
      </c>
      <c r="I49" s="166"/>
      <c r="J49" s="166"/>
      <c r="K49" s="166"/>
      <c r="L49" s="166"/>
      <c r="M49" s="166"/>
      <c r="N49" s="166"/>
      <c r="O49" s="166"/>
      <c r="P49" s="166"/>
      <c r="Q49" s="166"/>
      <c r="S49" s="129">
        <v>107630.15</v>
      </c>
    </row>
    <row r="50" spans="2:25" ht="12" customHeight="1" x14ac:dyDescent="0.2">
      <c r="C50" s="166" t="s">
        <v>71</v>
      </c>
      <c r="D50" s="166"/>
      <c r="E50" s="166"/>
      <c r="F50" s="166"/>
      <c r="H50" s="166" t="s">
        <v>606</v>
      </c>
      <c r="I50" s="166"/>
      <c r="J50" s="166"/>
      <c r="K50" s="166"/>
      <c r="L50" s="166"/>
      <c r="M50" s="166"/>
      <c r="N50" s="166"/>
      <c r="O50" s="166"/>
      <c r="P50" s="166"/>
      <c r="Q50" s="166"/>
      <c r="S50" s="129">
        <v>147184.95999999999</v>
      </c>
    </row>
    <row r="51" spans="2:25" ht="12" customHeight="1" x14ac:dyDescent="0.2">
      <c r="C51" s="166" t="s">
        <v>674</v>
      </c>
      <c r="D51" s="166"/>
      <c r="E51" s="166"/>
      <c r="F51" s="166"/>
      <c r="H51" s="166" t="s">
        <v>675</v>
      </c>
      <c r="I51" s="166"/>
      <c r="J51" s="166"/>
      <c r="K51" s="166"/>
      <c r="L51" s="166"/>
      <c r="M51" s="166"/>
      <c r="N51" s="166"/>
      <c r="O51" s="166"/>
      <c r="P51" s="166"/>
      <c r="Q51" s="166"/>
      <c r="S51" s="129">
        <v>0</v>
      </c>
    </row>
    <row r="52" spans="2:25" ht="12" customHeight="1" x14ac:dyDescent="0.2">
      <c r="C52" s="166" t="s">
        <v>72</v>
      </c>
      <c r="D52" s="166"/>
      <c r="E52" s="166"/>
      <c r="F52" s="166"/>
      <c r="H52" s="166" t="s">
        <v>607</v>
      </c>
      <c r="I52" s="166"/>
      <c r="J52" s="166"/>
      <c r="K52" s="166"/>
      <c r="L52" s="166"/>
      <c r="M52" s="166"/>
      <c r="N52" s="166"/>
      <c r="O52" s="166"/>
      <c r="P52" s="166"/>
      <c r="Q52" s="166"/>
      <c r="S52" s="129">
        <v>41887.629999999997</v>
      </c>
    </row>
    <row r="53" spans="2:25" ht="12" customHeight="1" x14ac:dyDescent="0.2">
      <c r="C53" s="166" t="s">
        <v>619</v>
      </c>
      <c r="D53" s="166"/>
      <c r="E53" s="166"/>
      <c r="F53" s="166"/>
      <c r="H53" s="166" t="s">
        <v>629</v>
      </c>
      <c r="I53" s="166"/>
      <c r="J53" s="166"/>
      <c r="K53" s="166"/>
      <c r="L53" s="166"/>
      <c r="M53" s="166"/>
      <c r="N53" s="166"/>
      <c r="O53" s="166"/>
      <c r="P53" s="166"/>
      <c r="Q53" s="166"/>
      <c r="S53" s="129">
        <v>0</v>
      </c>
    </row>
    <row r="54" spans="2:25" ht="12" customHeight="1" x14ac:dyDescent="0.2">
      <c r="C54" s="166" t="s">
        <v>628</v>
      </c>
      <c r="D54" s="166"/>
      <c r="E54" s="166"/>
      <c r="F54" s="166"/>
      <c r="H54" s="166" t="s">
        <v>630</v>
      </c>
      <c r="I54" s="166"/>
      <c r="J54" s="166"/>
      <c r="K54" s="166"/>
      <c r="L54" s="166"/>
      <c r="M54" s="166"/>
      <c r="N54" s="166"/>
      <c r="O54" s="166"/>
      <c r="P54" s="166"/>
      <c r="Q54" s="166"/>
      <c r="S54" s="132">
        <v>0</v>
      </c>
    </row>
    <row r="55" spans="2:25" ht="12" customHeight="1" x14ac:dyDescent="0.2">
      <c r="C55" s="166" t="s">
        <v>618</v>
      </c>
      <c r="D55" s="166"/>
      <c r="E55" s="166"/>
      <c r="F55" s="166"/>
      <c r="H55" s="166" t="s">
        <v>676</v>
      </c>
      <c r="I55" s="166"/>
      <c r="J55" s="166"/>
      <c r="K55" s="166"/>
      <c r="L55" s="166"/>
      <c r="M55" s="166"/>
      <c r="N55" s="166"/>
      <c r="O55" s="166"/>
      <c r="P55" s="166"/>
      <c r="Q55" s="166"/>
      <c r="S55" s="78">
        <v>0</v>
      </c>
    </row>
    <row r="56" spans="2:25" ht="12" customHeight="1" x14ac:dyDescent="0.2">
      <c r="C56" s="166" t="s">
        <v>552</v>
      </c>
      <c r="D56" s="166"/>
      <c r="E56" s="166"/>
      <c r="F56" s="166"/>
      <c r="H56" s="134"/>
      <c r="I56" s="166" t="s">
        <v>677</v>
      </c>
      <c r="J56" s="166"/>
      <c r="K56" s="166"/>
      <c r="L56" s="166"/>
      <c r="M56" s="166"/>
      <c r="N56" s="166"/>
      <c r="O56" s="166"/>
      <c r="P56" s="166"/>
      <c r="Q56" s="166"/>
      <c r="R56" s="166"/>
      <c r="S56" s="78">
        <v>115.46</v>
      </c>
    </row>
    <row r="57" spans="2:25" ht="12" customHeight="1" x14ac:dyDescent="0.2">
      <c r="C57" s="166" t="s">
        <v>401</v>
      </c>
      <c r="D57" s="166"/>
      <c r="E57" s="166"/>
      <c r="F57" s="166"/>
      <c r="H57" s="166" t="s">
        <v>654</v>
      </c>
      <c r="I57" s="166"/>
      <c r="J57" s="166"/>
      <c r="K57" s="166"/>
      <c r="L57" s="166"/>
      <c r="M57" s="166"/>
      <c r="N57" s="166"/>
      <c r="O57" s="166"/>
      <c r="P57" s="166"/>
      <c r="Q57" s="166"/>
      <c r="S57" s="78">
        <v>12982.66</v>
      </c>
    </row>
    <row r="58" spans="2:25" ht="12" customHeight="1" x14ac:dyDescent="0.2">
      <c r="H58" s="164" t="s">
        <v>73</v>
      </c>
      <c r="I58" s="164"/>
      <c r="J58" s="164"/>
      <c r="K58" s="164"/>
      <c r="L58" s="164"/>
      <c r="M58" s="164"/>
      <c r="N58" s="164"/>
      <c r="O58" s="164"/>
      <c r="P58" s="164"/>
      <c r="U58" s="165">
        <f>SUM(S10:S57)</f>
        <v>54636950.919999994</v>
      </c>
      <c r="V58" s="165"/>
      <c r="W58" s="165"/>
      <c r="Y58" s="77"/>
    </row>
    <row r="59" spans="2:25" ht="12" customHeight="1" x14ac:dyDescent="0.2"/>
    <row r="60" spans="2:25" ht="12" customHeight="1" x14ac:dyDescent="0.2">
      <c r="B60" s="164" t="s">
        <v>74</v>
      </c>
      <c r="C60" s="164"/>
      <c r="D60" s="164"/>
      <c r="E60" s="164"/>
      <c r="F60" s="164"/>
      <c r="G60" s="164"/>
      <c r="H60" s="164"/>
      <c r="I60" s="164"/>
      <c r="J60" s="164"/>
      <c r="K60" s="164"/>
    </row>
    <row r="61" spans="2:25" ht="12" customHeight="1" x14ac:dyDescent="0.2">
      <c r="C61" s="166" t="s">
        <v>75</v>
      </c>
      <c r="D61" s="166"/>
      <c r="E61" s="166"/>
      <c r="F61" s="166"/>
      <c r="H61" s="166" t="s">
        <v>76</v>
      </c>
      <c r="I61" s="166"/>
      <c r="J61" s="166"/>
      <c r="K61" s="166"/>
      <c r="L61" s="166"/>
      <c r="M61" s="166"/>
      <c r="N61" s="166"/>
      <c r="O61" s="166"/>
      <c r="P61" s="166"/>
      <c r="Q61" s="166"/>
      <c r="S61" s="129">
        <v>1112375.6499999999</v>
      </c>
    </row>
    <row r="62" spans="2:25" ht="12" customHeight="1" x14ac:dyDescent="0.2">
      <c r="C62" s="166" t="s">
        <v>77</v>
      </c>
      <c r="D62" s="166"/>
      <c r="E62" s="166"/>
      <c r="F62" s="166"/>
      <c r="H62" s="166" t="s">
        <v>78</v>
      </c>
      <c r="I62" s="166"/>
      <c r="J62" s="166"/>
      <c r="K62" s="166"/>
      <c r="L62" s="166"/>
      <c r="M62" s="166"/>
      <c r="N62" s="166"/>
      <c r="O62" s="166"/>
      <c r="P62" s="166"/>
      <c r="Q62" s="166"/>
      <c r="S62" s="129">
        <v>45071.88</v>
      </c>
    </row>
    <row r="63" spans="2:25" ht="12" customHeight="1" x14ac:dyDescent="0.2">
      <c r="C63" s="166" t="s">
        <v>79</v>
      </c>
      <c r="D63" s="166"/>
      <c r="E63" s="166"/>
      <c r="F63" s="166"/>
      <c r="H63" s="166" t="s">
        <v>80</v>
      </c>
      <c r="I63" s="166"/>
      <c r="J63" s="166"/>
      <c r="K63" s="166"/>
      <c r="L63" s="166"/>
      <c r="M63" s="166"/>
      <c r="N63" s="166"/>
      <c r="O63" s="166"/>
      <c r="P63" s="166"/>
      <c r="Q63" s="166"/>
      <c r="S63" s="129">
        <v>715632.48</v>
      </c>
    </row>
    <row r="64" spans="2:25" ht="12" customHeight="1" x14ac:dyDescent="0.2">
      <c r="C64" s="166" t="s">
        <v>81</v>
      </c>
      <c r="D64" s="166"/>
      <c r="E64" s="166"/>
      <c r="F64" s="166"/>
      <c r="H64" s="166" t="s">
        <v>82</v>
      </c>
      <c r="I64" s="166"/>
      <c r="J64" s="166"/>
      <c r="K64" s="166"/>
      <c r="L64" s="166"/>
      <c r="M64" s="166"/>
      <c r="N64" s="166"/>
      <c r="O64" s="166"/>
      <c r="P64" s="166"/>
      <c r="Q64" s="166"/>
      <c r="S64" s="129">
        <v>4682170.93</v>
      </c>
    </row>
    <row r="65" spans="2:23" ht="12" customHeight="1" x14ac:dyDescent="0.2">
      <c r="C65" s="166" t="s">
        <v>83</v>
      </c>
      <c r="D65" s="166"/>
      <c r="E65" s="166"/>
      <c r="F65" s="166"/>
      <c r="H65" s="166" t="s">
        <v>84</v>
      </c>
      <c r="I65" s="166"/>
      <c r="J65" s="166"/>
      <c r="K65" s="166"/>
      <c r="L65" s="166"/>
      <c r="M65" s="166"/>
      <c r="N65" s="166"/>
      <c r="O65" s="166"/>
      <c r="P65" s="166"/>
      <c r="Q65" s="166"/>
      <c r="S65" s="129">
        <v>460539.38</v>
      </c>
    </row>
    <row r="66" spans="2:23" ht="12" customHeight="1" x14ac:dyDescent="0.2">
      <c r="C66" s="166" t="s">
        <v>85</v>
      </c>
      <c r="D66" s="166"/>
      <c r="E66" s="166"/>
      <c r="F66" s="166"/>
      <c r="H66" s="166" t="s">
        <v>86</v>
      </c>
      <c r="I66" s="166"/>
      <c r="J66" s="166"/>
      <c r="K66" s="166"/>
      <c r="L66" s="166"/>
      <c r="M66" s="166"/>
      <c r="N66" s="166"/>
      <c r="O66" s="166"/>
      <c r="P66" s="166"/>
      <c r="Q66" s="166"/>
      <c r="S66" s="129">
        <v>60000</v>
      </c>
    </row>
    <row r="67" spans="2:23" ht="12" customHeight="1" x14ac:dyDescent="0.2">
      <c r="C67" s="166" t="s">
        <v>87</v>
      </c>
      <c r="D67" s="166"/>
      <c r="E67" s="166"/>
      <c r="F67" s="166"/>
      <c r="H67" s="166" t="s">
        <v>88</v>
      </c>
      <c r="I67" s="166"/>
      <c r="J67" s="166"/>
      <c r="K67" s="166"/>
      <c r="L67" s="166"/>
      <c r="M67" s="166"/>
      <c r="N67" s="166"/>
      <c r="O67" s="166"/>
      <c r="P67" s="166"/>
      <c r="Q67" s="166"/>
      <c r="S67" s="129">
        <v>3119443.63</v>
      </c>
    </row>
    <row r="68" spans="2:23" ht="12" customHeight="1" x14ac:dyDescent="0.2">
      <c r="C68" s="166" t="s">
        <v>89</v>
      </c>
      <c r="D68" s="166"/>
      <c r="E68" s="166"/>
      <c r="F68" s="166"/>
      <c r="H68" s="166" t="s">
        <v>90</v>
      </c>
      <c r="I68" s="166"/>
      <c r="J68" s="166"/>
      <c r="K68" s="166"/>
      <c r="L68" s="166"/>
      <c r="M68" s="166"/>
      <c r="N68" s="166"/>
      <c r="O68" s="166"/>
      <c r="P68" s="166"/>
      <c r="Q68" s="166"/>
      <c r="S68" s="129">
        <v>11428.88</v>
      </c>
    </row>
    <row r="69" spans="2:23" ht="12" customHeight="1" x14ac:dyDescent="0.2">
      <c r="C69" s="166" t="s">
        <v>91</v>
      </c>
      <c r="D69" s="166"/>
      <c r="E69" s="166"/>
      <c r="F69" s="166"/>
      <c r="H69" s="166" t="s">
        <v>92</v>
      </c>
      <c r="I69" s="166"/>
      <c r="J69" s="166"/>
      <c r="K69" s="166"/>
      <c r="L69" s="166"/>
      <c r="M69" s="166"/>
      <c r="N69" s="166"/>
      <c r="O69" s="166"/>
      <c r="P69" s="166"/>
      <c r="Q69" s="166"/>
      <c r="S69" s="129">
        <v>205633.94</v>
      </c>
    </row>
    <row r="70" spans="2:23" ht="12" customHeight="1" x14ac:dyDescent="0.2">
      <c r="C70" s="166" t="s">
        <v>93</v>
      </c>
      <c r="D70" s="166"/>
      <c r="E70" s="166"/>
      <c r="F70" s="166"/>
      <c r="H70" s="166" t="s">
        <v>94</v>
      </c>
      <c r="I70" s="166"/>
      <c r="J70" s="166"/>
      <c r="K70" s="166"/>
      <c r="L70" s="166"/>
      <c r="M70" s="166"/>
      <c r="N70" s="166"/>
      <c r="O70" s="166"/>
      <c r="P70" s="166"/>
      <c r="Q70" s="166"/>
      <c r="S70" s="129">
        <v>2023589.41</v>
      </c>
    </row>
    <row r="71" spans="2:23" ht="12" customHeight="1" x14ac:dyDescent="0.2">
      <c r="C71" s="166" t="s">
        <v>95</v>
      </c>
      <c r="D71" s="166"/>
      <c r="E71" s="166"/>
      <c r="F71" s="166"/>
      <c r="H71" s="166" t="s">
        <v>96</v>
      </c>
      <c r="I71" s="166"/>
      <c r="J71" s="166"/>
      <c r="K71" s="166"/>
      <c r="L71" s="166"/>
      <c r="M71" s="166"/>
      <c r="N71" s="166"/>
      <c r="O71" s="166"/>
      <c r="P71" s="166"/>
      <c r="Q71" s="166"/>
      <c r="S71" s="129">
        <v>4956767.88</v>
      </c>
    </row>
    <row r="72" spans="2:23" ht="12" customHeight="1" x14ac:dyDescent="0.2">
      <c r="C72" s="166" t="s">
        <v>97</v>
      </c>
      <c r="D72" s="166"/>
      <c r="E72" s="166"/>
      <c r="F72" s="166"/>
      <c r="H72" s="166" t="s">
        <v>98</v>
      </c>
      <c r="I72" s="166"/>
      <c r="J72" s="166"/>
      <c r="K72" s="166"/>
      <c r="L72" s="166"/>
      <c r="M72" s="166"/>
      <c r="N72" s="166"/>
      <c r="O72" s="166"/>
      <c r="P72" s="166"/>
      <c r="Q72" s="166"/>
      <c r="S72" s="129">
        <v>70738.81</v>
      </c>
    </row>
    <row r="73" spans="2:23" ht="12" customHeight="1" x14ac:dyDescent="0.2">
      <c r="C73" s="166" t="s">
        <v>99</v>
      </c>
      <c r="D73" s="166"/>
      <c r="E73" s="166"/>
      <c r="F73" s="166"/>
      <c r="H73" s="166" t="s">
        <v>100</v>
      </c>
      <c r="I73" s="166"/>
      <c r="J73" s="166"/>
      <c r="K73" s="166"/>
      <c r="L73" s="166"/>
      <c r="M73" s="166"/>
      <c r="N73" s="166"/>
      <c r="O73" s="166"/>
      <c r="P73" s="166"/>
      <c r="Q73" s="166"/>
      <c r="S73" s="129">
        <v>-7763994.8200000003</v>
      </c>
    </row>
    <row r="74" spans="2:23" ht="12" customHeight="1" x14ac:dyDescent="0.2">
      <c r="C74" s="166" t="s">
        <v>101</v>
      </c>
      <c r="D74" s="166"/>
      <c r="E74" s="166"/>
      <c r="F74" s="166"/>
      <c r="H74" s="166" t="s">
        <v>102</v>
      </c>
      <c r="I74" s="166"/>
      <c r="J74" s="166"/>
      <c r="K74" s="166"/>
      <c r="L74" s="166"/>
      <c r="M74" s="166"/>
      <c r="N74" s="166"/>
      <c r="O74" s="166"/>
      <c r="P74" s="166"/>
      <c r="Q74" s="166"/>
      <c r="S74" s="131">
        <v>-58000.1</v>
      </c>
    </row>
    <row r="75" spans="2:23" ht="12" customHeight="1" x14ac:dyDescent="0.2">
      <c r="H75" s="164" t="s">
        <v>103</v>
      </c>
      <c r="I75" s="164"/>
      <c r="J75" s="164"/>
      <c r="K75" s="164"/>
      <c r="L75" s="164"/>
      <c r="M75" s="164"/>
      <c r="N75" s="164"/>
      <c r="O75" s="164"/>
      <c r="P75" s="164"/>
      <c r="U75" s="165">
        <f>SUM(S61:S74)</f>
        <v>9641397.9499999974</v>
      </c>
      <c r="V75" s="165"/>
      <c r="W75" s="165"/>
    </row>
    <row r="76" spans="2:23" ht="12" customHeight="1" x14ac:dyDescent="0.2">
      <c r="B76" s="164" t="s">
        <v>218</v>
      </c>
      <c r="C76" s="164"/>
      <c r="D76" s="164"/>
      <c r="E76" s="164"/>
      <c r="F76" s="164"/>
      <c r="G76" s="164"/>
      <c r="H76" s="164"/>
      <c r="I76" s="164"/>
      <c r="J76" s="164"/>
      <c r="K76" s="164"/>
    </row>
    <row r="77" spans="2:23" ht="12" customHeight="1" x14ac:dyDescent="0.2">
      <c r="C77" s="166" t="s">
        <v>219</v>
      </c>
      <c r="D77" s="166"/>
      <c r="E77" s="166"/>
      <c r="F77" s="166"/>
      <c r="H77" s="166" t="s">
        <v>220</v>
      </c>
      <c r="I77" s="166"/>
      <c r="J77" s="166"/>
      <c r="K77" s="166"/>
      <c r="L77" s="166"/>
      <c r="M77" s="166"/>
      <c r="N77" s="166"/>
      <c r="O77" s="166"/>
      <c r="P77" s="166"/>
      <c r="Q77" s="166"/>
      <c r="S77" s="131">
        <v>0</v>
      </c>
    </row>
    <row r="78" spans="2:23" ht="12" customHeight="1" x14ac:dyDescent="0.2">
      <c r="H78" s="164" t="s">
        <v>221</v>
      </c>
      <c r="I78" s="164"/>
      <c r="J78" s="164"/>
      <c r="K78" s="164"/>
      <c r="L78" s="164"/>
      <c r="M78" s="164"/>
      <c r="N78" s="164"/>
      <c r="O78" s="164"/>
      <c r="P78" s="164"/>
      <c r="U78" s="168">
        <f>S77</f>
        <v>0</v>
      </c>
      <c r="V78" s="168"/>
      <c r="W78" s="168"/>
    </row>
    <row r="79" spans="2:23" ht="12" customHeight="1" x14ac:dyDescent="0.2"/>
    <row r="80" spans="2:23" ht="12" customHeight="1" thickBot="1" x14ac:dyDescent="0.25">
      <c r="I80" s="164" t="s">
        <v>104</v>
      </c>
      <c r="J80" s="164"/>
      <c r="K80" s="164"/>
      <c r="L80" s="164"/>
      <c r="M80" s="164"/>
      <c r="N80" s="164"/>
      <c r="O80" s="164"/>
      <c r="P80" s="164"/>
      <c r="U80" s="171">
        <f>U58+U75+U78</f>
        <v>64278348.86999999</v>
      </c>
      <c r="V80" s="171"/>
      <c r="W80" s="171"/>
    </row>
    <row r="81" spans="1:19" ht="12" customHeight="1" thickTop="1" x14ac:dyDescent="0.2"/>
    <row r="82" spans="1:19" ht="12" customHeight="1" x14ac:dyDescent="0.2">
      <c r="A82" s="164" t="s">
        <v>105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</row>
    <row r="83" spans="1:19" ht="12" customHeight="1" x14ac:dyDescent="0.2"/>
    <row r="84" spans="1:19" ht="12" customHeight="1" x14ac:dyDescent="0.2">
      <c r="B84" s="164" t="s">
        <v>106</v>
      </c>
      <c r="C84" s="164"/>
      <c r="D84" s="164"/>
      <c r="E84" s="164"/>
      <c r="F84" s="164"/>
      <c r="G84" s="164"/>
      <c r="H84" s="164"/>
      <c r="I84" s="164"/>
      <c r="J84" s="164"/>
      <c r="K84" s="164"/>
      <c r="N84" s="193" t="s">
        <v>222</v>
      </c>
      <c r="O84" s="193"/>
    </row>
    <row r="85" spans="1:19" ht="12" customHeight="1" x14ac:dyDescent="0.2">
      <c r="B85" s="135"/>
      <c r="C85" s="166">
        <v>2105</v>
      </c>
      <c r="D85" s="166"/>
      <c r="E85" s="166"/>
      <c r="F85" s="166"/>
      <c r="G85" s="135"/>
      <c r="H85" s="166" t="s">
        <v>698</v>
      </c>
      <c r="I85" s="166"/>
      <c r="J85" s="166"/>
      <c r="K85" s="166"/>
      <c r="L85" s="166"/>
      <c r="M85" s="166"/>
      <c r="N85" s="166"/>
      <c r="O85" s="166"/>
      <c r="P85" s="166"/>
      <c r="Q85" s="166"/>
      <c r="S85" s="121">
        <v>1773880.21</v>
      </c>
    </row>
    <row r="86" spans="1:19" ht="12" customHeight="1" x14ac:dyDescent="0.2">
      <c r="C86" s="166">
        <v>2110</v>
      </c>
      <c r="D86" s="166"/>
      <c r="E86" s="166"/>
      <c r="F86" s="166"/>
      <c r="H86" s="166" t="s">
        <v>108</v>
      </c>
      <c r="I86" s="166"/>
      <c r="J86" s="166"/>
      <c r="K86" s="166"/>
      <c r="L86" s="166"/>
      <c r="M86" s="166"/>
      <c r="N86" s="166"/>
      <c r="O86" s="166"/>
      <c r="P86" s="166"/>
      <c r="Q86" s="166"/>
      <c r="S86" s="129">
        <v>38816490</v>
      </c>
    </row>
    <row r="87" spans="1:19" ht="12" customHeight="1" x14ac:dyDescent="0.2">
      <c r="C87" s="166" t="s">
        <v>109</v>
      </c>
      <c r="D87" s="166"/>
      <c r="E87" s="166"/>
      <c r="F87" s="166"/>
      <c r="H87" s="166" t="s">
        <v>110</v>
      </c>
      <c r="I87" s="166"/>
      <c r="J87" s="166"/>
      <c r="K87" s="166"/>
      <c r="L87" s="166"/>
      <c r="M87" s="166"/>
      <c r="N87" s="166"/>
      <c r="O87" s="166"/>
      <c r="P87" s="166"/>
      <c r="Q87" s="166"/>
      <c r="S87" s="129">
        <v>1058597.3</v>
      </c>
    </row>
    <row r="88" spans="1:19" ht="12" customHeight="1" x14ac:dyDescent="0.2">
      <c r="C88" s="166" t="s">
        <v>223</v>
      </c>
      <c r="D88" s="166"/>
      <c r="E88" s="166"/>
      <c r="F88" s="166"/>
      <c r="H88" s="166" t="s">
        <v>224</v>
      </c>
      <c r="I88" s="166"/>
      <c r="J88" s="166"/>
      <c r="K88" s="166"/>
      <c r="L88" s="166"/>
      <c r="M88" s="166"/>
      <c r="N88" s="166"/>
      <c r="O88" s="166"/>
      <c r="P88" s="166"/>
      <c r="Q88" s="166"/>
      <c r="S88" s="129">
        <v>0</v>
      </c>
    </row>
    <row r="89" spans="1:19" ht="12" customHeight="1" x14ac:dyDescent="0.2">
      <c r="C89" s="166" t="s">
        <v>111</v>
      </c>
      <c r="D89" s="166"/>
      <c r="E89" s="166"/>
      <c r="F89" s="166"/>
      <c r="H89" s="166" t="s">
        <v>112</v>
      </c>
      <c r="I89" s="166"/>
      <c r="J89" s="166"/>
      <c r="K89" s="166"/>
      <c r="L89" s="166"/>
      <c r="M89" s="166"/>
      <c r="N89" s="166"/>
      <c r="O89" s="166"/>
      <c r="P89" s="166"/>
      <c r="Q89" s="166"/>
      <c r="S89" s="129">
        <v>416.41</v>
      </c>
    </row>
    <row r="90" spans="1:19" ht="12" customHeight="1" x14ac:dyDescent="0.2">
      <c r="C90" s="166" t="s">
        <v>225</v>
      </c>
      <c r="D90" s="166"/>
      <c r="E90" s="166"/>
      <c r="F90" s="166"/>
      <c r="H90" s="166" t="s">
        <v>226</v>
      </c>
      <c r="I90" s="166"/>
      <c r="J90" s="166"/>
      <c r="K90" s="166"/>
      <c r="L90" s="166"/>
      <c r="M90" s="166"/>
      <c r="N90" s="166"/>
      <c r="O90" s="166"/>
      <c r="P90" s="166"/>
      <c r="Q90" s="166"/>
      <c r="S90" s="129">
        <v>0</v>
      </c>
    </row>
    <row r="91" spans="1:19" ht="12" customHeight="1" x14ac:dyDescent="0.2">
      <c r="C91" s="166" t="s">
        <v>113</v>
      </c>
      <c r="D91" s="166"/>
      <c r="E91" s="166"/>
      <c r="F91" s="166"/>
      <c r="H91" s="166" t="s">
        <v>114</v>
      </c>
      <c r="I91" s="166"/>
      <c r="J91" s="166"/>
      <c r="K91" s="166"/>
      <c r="L91" s="166"/>
      <c r="M91" s="166"/>
      <c r="N91" s="166"/>
      <c r="O91" s="166"/>
      <c r="P91" s="166"/>
      <c r="Q91" s="166"/>
      <c r="S91" s="129">
        <v>1188.81</v>
      </c>
    </row>
    <row r="92" spans="1:19" ht="12" customHeight="1" x14ac:dyDescent="0.2">
      <c r="C92" s="166">
        <v>2140</v>
      </c>
      <c r="D92" s="166"/>
      <c r="E92" s="166"/>
      <c r="F92" s="166"/>
      <c r="H92" s="166" t="s">
        <v>116</v>
      </c>
      <c r="I92" s="166"/>
      <c r="J92" s="166"/>
      <c r="K92" s="166"/>
      <c r="L92" s="166"/>
      <c r="M92" s="166"/>
      <c r="N92" s="166"/>
      <c r="O92" s="166"/>
      <c r="P92" s="166"/>
      <c r="Q92" s="166"/>
      <c r="S92" s="129">
        <v>0</v>
      </c>
    </row>
    <row r="93" spans="1:19" ht="12" customHeight="1" x14ac:dyDescent="0.2">
      <c r="C93" s="166">
        <v>2162</v>
      </c>
      <c r="D93" s="166"/>
      <c r="E93" s="166"/>
      <c r="F93" s="166"/>
      <c r="H93" s="166" t="s">
        <v>690</v>
      </c>
      <c r="I93" s="166"/>
      <c r="J93" s="166"/>
      <c r="K93" s="166"/>
      <c r="L93" s="166"/>
      <c r="M93" s="166"/>
      <c r="N93" s="166"/>
      <c r="O93" s="166"/>
      <c r="P93" s="166"/>
      <c r="Q93" s="166"/>
      <c r="S93" s="129">
        <v>0</v>
      </c>
    </row>
    <row r="94" spans="1:19" ht="12" customHeight="1" x14ac:dyDescent="0.2">
      <c r="C94" s="166">
        <v>2150</v>
      </c>
      <c r="D94" s="166"/>
      <c r="E94" s="166"/>
      <c r="F94" s="166"/>
      <c r="H94" s="166" t="s">
        <v>189</v>
      </c>
      <c r="I94" s="166"/>
      <c r="J94" s="166"/>
      <c r="K94" s="166"/>
      <c r="L94" s="166"/>
      <c r="M94" s="166"/>
      <c r="N94" s="166"/>
      <c r="O94" s="166"/>
      <c r="P94" s="166"/>
      <c r="Q94" s="166"/>
      <c r="S94" s="121">
        <v>181.28</v>
      </c>
    </row>
    <row r="95" spans="1:19" ht="12" customHeight="1" x14ac:dyDescent="0.2">
      <c r="C95" s="166" t="s">
        <v>117</v>
      </c>
      <c r="D95" s="166"/>
      <c r="E95" s="166"/>
      <c r="F95" s="166"/>
      <c r="H95" s="166" t="s">
        <v>118</v>
      </c>
      <c r="I95" s="166"/>
      <c r="J95" s="166"/>
      <c r="K95" s="166"/>
      <c r="L95" s="166"/>
      <c r="M95" s="166"/>
      <c r="N95" s="166"/>
      <c r="O95" s="166"/>
      <c r="P95" s="166"/>
      <c r="Q95" s="166"/>
      <c r="S95" s="129">
        <v>3225347.21</v>
      </c>
    </row>
    <row r="96" spans="1:19" ht="12" customHeight="1" x14ac:dyDescent="0.2">
      <c r="C96" s="166" t="s">
        <v>119</v>
      </c>
      <c r="D96" s="166"/>
      <c r="E96" s="166"/>
      <c r="F96" s="166"/>
      <c r="H96" s="166" t="s">
        <v>120</v>
      </c>
      <c r="I96" s="166"/>
      <c r="J96" s="166"/>
      <c r="K96" s="166"/>
      <c r="L96" s="166"/>
      <c r="M96" s="166"/>
      <c r="N96" s="166"/>
      <c r="O96" s="166"/>
      <c r="P96" s="166"/>
      <c r="Q96" s="166"/>
      <c r="S96" s="129">
        <v>16762.55</v>
      </c>
    </row>
    <row r="97" spans="3:19" ht="12" customHeight="1" x14ac:dyDescent="0.2">
      <c r="C97" s="166" t="s">
        <v>121</v>
      </c>
      <c r="D97" s="166"/>
      <c r="E97" s="166"/>
      <c r="F97" s="166"/>
      <c r="H97" s="166" t="s">
        <v>122</v>
      </c>
      <c r="I97" s="166"/>
      <c r="J97" s="166"/>
      <c r="K97" s="166"/>
      <c r="L97" s="166"/>
      <c r="M97" s="166"/>
      <c r="N97" s="166"/>
      <c r="O97" s="166"/>
      <c r="P97" s="166"/>
      <c r="Q97" s="166"/>
      <c r="S97" s="129">
        <v>238535.76</v>
      </c>
    </row>
    <row r="98" spans="3:19" ht="12" customHeight="1" x14ac:dyDescent="0.2">
      <c r="C98" s="166" t="s">
        <v>123</v>
      </c>
      <c r="D98" s="166"/>
      <c r="E98" s="166"/>
      <c r="F98" s="166"/>
      <c r="H98" s="166" t="s">
        <v>124</v>
      </c>
      <c r="I98" s="166"/>
      <c r="J98" s="166"/>
      <c r="K98" s="166"/>
      <c r="L98" s="166"/>
      <c r="M98" s="166"/>
      <c r="N98" s="166"/>
      <c r="O98" s="166"/>
      <c r="P98" s="166"/>
      <c r="Q98" s="166"/>
      <c r="S98" s="129">
        <v>10844.05</v>
      </c>
    </row>
    <row r="99" spans="3:19" ht="12" customHeight="1" x14ac:dyDescent="0.2">
      <c r="C99" s="166" t="s">
        <v>125</v>
      </c>
      <c r="D99" s="166"/>
      <c r="E99" s="166"/>
      <c r="F99" s="166"/>
      <c r="H99" s="166" t="s">
        <v>126</v>
      </c>
      <c r="I99" s="166"/>
      <c r="J99" s="166"/>
      <c r="K99" s="166"/>
      <c r="L99" s="166"/>
      <c r="M99" s="166"/>
      <c r="N99" s="166"/>
      <c r="O99" s="166"/>
      <c r="P99" s="166"/>
      <c r="Q99" s="166"/>
      <c r="S99" s="129">
        <v>123853.72</v>
      </c>
    </row>
    <row r="100" spans="3:19" ht="12" customHeight="1" x14ac:dyDescent="0.2">
      <c r="C100" s="166" t="s">
        <v>127</v>
      </c>
      <c r="D100" s="166"/>
      <c r="E100" s="166"/>
      <c r="F100" s="166"/>
      <c r="H100" s="166" t="s">
        <v>128</v>
      </c>
      <c r="I100" s="166"/>
      <c r="J100" s="166"/>
      <c r="K100" s="166"/>
      <c r="L100" s="166"/>
      <c r="M100" s="166"/>
      <c r="N100" s="166"/>
      <c r="O100" s="166"/>
      <c r="P100" s="166"/>
      <c r="Q100" s="166"/>
      <c r="S100" s="129">
        <v>133600.62</v>
      </c>
    </row>
    <row r="101" spans="3:19" ht="12" customHeight="1" x14ac:dyDescent="0.2">
      <c r="C101" s="166" t="s">
        <v>129</v>
      </c>
      <c r="D101" s="166"/>
      <c r="E101" s="166"/>
      <c r="F101" s="166"/>
      <c r="H101" s="166" t="s">
        <v>130</v>
      </c>
      <c r="I101" s="166"/>
      <c r="J101" s="166"/>
      <c r="K101" s="166"/>
      <c r="L101" s="166"/>
      <c r="M101" s="166"/>
      <c r="N101" s="166"/>
      <c r="O101" s="166"/>
      <c r="P101" s="166"/>
      <c r="Q101" s="166"/>
      <c r="S101" s="129">
        <v>95823.6</v>
      </c>
    </row>
    <row r="102" spans="3:19" ht="12" customHeight="1" x14ac:dyDescent="0.2">
      <c r="C102" s="166">
        <v>2242</v>
      </c>
      <c r="D102" s="166"/>
      <c r="E102" s="166"/>
      <c r="F102" s="166"/>
      <c r="H102" s="166" t="s">
        <v>643</v>
      </c>
      <c r="I102" s="166"/>
      <c r="J102" s="166"/>
      <c r="K102" s="166"/>
      <c r="L102" s="166"/>
      <c r="M102" s="166"/>
      <c r="N102" s="166"/>
      <c r="O102" s="166"/>
      <c r="P102" s="166"/>
      <c r="Q102" s="166"/>
      <c r="S102" s="129">
        <v>0</v>
      </c>
    </row>
    <row r="103" spans="3:19" ht="12" customHeight="1" x14ac:dyDescent="0.2">
      <c r="C103" s="166">
        <v>2244</v>
      </c>
      <c r="D103" s="166"/>
      <c r="E103" s="166"/>
      <c r="F103" s="166"/>
      <c r="H103" s="166" t="s">
        <v>608</v>
      </c>
      <c r="I103" s="166"/>
      <c r="J103" s="166"/>
      <c r="K103" s="166"/>
      <c r="L103" s="166"/>
      <c r="M103" s="166"/>
      <c r="N103" s="166"/>
      <c r="O103" s="166"/>
      <c r="P103" s="166"/>
      <c r="Q103" s="166"/>
      <c r="S103" s="129">
        <v>0</v>
      </c>
    </row>
    <row r="104" spans="3:19" ht="12" customHeight="1" x14ac:dyDescent="0.2">
      <c r="C104" s="166" t="s">
        <v>227</v>
      </c>
      <c r="D104" s="166"/>
      <c r="E104" s="166"/>
      <c r="F104" s="166"/>
      <c r="H104" s="166" t="s">
        <v>228</v>
      </c>
      <c r="I104" s="166"/>
      <c r="J104" s="166"/>
      <c r="K104" s="166"/>
      <c r="L104" s="166"/>
      <c r="M104" s="166"/>
      <c r="N104" s="166"/>
      <c r="O104" s="166"/>
      <c r="P104" s="166"/>
      <c r="Q104" s="166"/>
      <c r="S104" s="129">
        <v>22639</v>
      </c>
    </row>
    <row r="105" spans="3:19" ht="12" customHeight="1" x14ac:dyDescent="0.2">
      <c r="C105" s="166">
        <v>2246</v>
      </c>
      <c r="D105" s="166"/>
      <c r="E105" s="166"/>
      <c r="F105" s="166"/>
      <c r="H105" s="166" t="s">
        <v>135</v>
      </c>
      <c r="I105" s="166"/>
      <c r="J105" s="166"/>
      <c r="K105" s="166"/>
      <c r="L105" s="166"/>
      <c r="M105" s="166"/>
      <c r="N105" s="166"/>
      <c r="O105" s="166"/>
      <c r="P105" s="166"/>
      <c r="Q105" s="166"/>
      <c r="S105" s="129">
        <v>0</v>
      </c>
    </row>
    <row r="106" spans="3:19" ht="12" customHeight="1" x14ac:dyDescent="0.2">
      <c r="C106" s="166">
        <v>2247</v>
      </c>
      <c r="D106" s="166"/>
      <c r="E106" s="166"/>
      <c r="F106" s="166"/>
      <c r="H106" s="166" t="s">
        <v>609</v>
      </c>
      <c r="I106" s="166"/>
      <c r="J106" s="166"/>
      <c r="K106" s="166"/>
      <c r="L106" s="166"/>
      <c r="M106" s="166"/>
      <c r="N106" s="166"/>
      <c r="O106" s="166"/>
      <c r="P106" s="166"/>
      <c r="Q106" s="166"/>
      <c r="S106" s="129">
        <v>0</v>
      </c>
    </row>
    <row r="107" spans="3:19" ht="12" customHeight="1" x14ac:dyDescent="0.2">
      <c r="C107" s="166">
        <v>2248</v>
      </c>
      <c r="D107" s="166"/>
      <c r="E107" s="166"/>
      <c r="F107" s="166"/>
      <c r="H107" s="166" t="s">
        <v>610</v>
      </c>
      <c r="I107" s="166"/>
      <c r="J107" s="166"/>
      <c r="K107" s="166"/>
      <c r="L107" s="166"/>
      <c r="M107" s="166"/>
      <c r="N107" s="166"/>
      <c r="O107" s="166"/>
      <c r="P107" s="166"/>
      <c r="Q107" s="166"/>
      <c r="S107" s="129">
        <v>0</v>
      </c>
    </row>
    <row r="108" spans="3:19" ht="12" customHeight="1" x14ac:dyDescent="0.2">
      <c r="C108" s="166">
        <v>2249</v>
      </c>
      <c r="D108" s="166"/>
      <c r="E108" s="166"/>
      <c r="F108" s="166"/>
      <c r="H108" s="166" t="s">
        <v>141</v>
      </c>
      <c r="I108" s="166"/>
      <c r="J108" s="166"/>
      <c r="K108" s="166"/>
      <c r="L108" s="166"/>
      <c r="M108" s="166"/>
      <c r="N108" s="166"/>
      <c r="O108" s="166"/>
      <c r="P108" s="166"/>
      <c r="Q108" s="166"/>
      <c r="S108" s="129">
        <v>0</v>
      </c>
    </row>
    <row r="109" spans="3:19" ht="12" customHeight="1" x14ac:dyDescent="0.2">
      <c r="C109" s="166" t="s">
        <v>142</v>
      </c>
      <c r="D109" s="166"/>
      <c r="E109" s="166"/>
      <c r="F109" s="166"/>
      <c r="H109" s="166" t="s">
        <v>143</v>
      </c>
      <c r="I109" s="166"/>
      <c r="J109" s="166"/>
      <c r="K109" s="166"/>
      <c r="L109" s="166"/>
      <c r="M109" s="166"/>
      <c r="N109" s="166"/>
      <c r="O109" s="166"/>
      <c r="P109" s="166"/>
      <c r="Q109" s="166"/>
      <c r="S109" s="129">
        <v>620977.18999999994</v>
      </c>
    </row>
    <row r="110" spans="3:19" ht="12" customHeight="1" x14ac:dyDescent="0.2">
      <c r="C110" s="166" t="s">
        <v>144</v>
      </c>
      <c r="D110" s="166"/>
      <c r="E110" s="166"/>
      <c r="F110" s="166"/>
      <c r="H110" s="166" t="s">
        <v>145</v>
      </c>
      <c r="I110" s="166"/>
      <c r="J110" s="166"/>
      <c r="K110" s="166"/>
      <c r="L110" s="166"/>
      <c r="M110" s="166"/>
      <c r="N110" s="166"/>
      <c r="O110" s="166"/>
      <c r="P110" s="166"/>
      <c r="Q110" s="166"/>
      <c r="S110" s="129">
        <v>4600000</v>
      </c>
    </row>
    <row r="111" spans="3:19" ht="12" customHeight="1" x14ac:dyDescent="0.2">
      <c r="C111" s="166">
        <v>2301</v>
      </c>
      <c r="D111" s="166"/>
      <c r="E111" s="166"/>
      <c r="F111" s="166"/>
      <c r="H111" s="166" t="s">
        <v>655</v>
      </c>
      <c r="I111" s="166"/>
      <c r="J111" s="166"/>
      <c r="K111" s="166"/>
      <c r="L111" s="166"/>
      <c r="M111" s="166"/>
      <c r="N111" s="166"/>
      <c r="O111" s="166"/>
      <c r="P111" s="166"/>
      <c r="Q111" s="166"/>
      <c r="S111" s="129">
        <v>2100000</v>
      </c>
    </row>
    <row r="112" spans="3:19" ht="12" customHeight="1" x14ac:dyDescent="0.2">
      <c r="C112" s="166">
        <v>2305</v>
      </c>
      <c r="D112" s="166"/>
      <c r="E112" s="166"/>
      <c r="F112" s="166"/>
      <c r="H112" s="166" t="s">
        <v>574</v>
      </c>
      <c r="I112" s="166"/>
      <c r="J112" s="166"/>
      <c r="K112" s="166"/>
      <c r="L112" s="166"/>
      <c r="M112" s="166"/>
      <c r="N112" s="166"/>
      <c r="O112" s="166"/>
      <c r="P112" s="166"/>
      <c r="Q112" s="166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6" t="s">
        <v>665</v>
      </c>
      <c r="I113" s="166"/>
      <c r="J113" s="166"/>
      <c r="K113" s="166"/>
      <c r="L113" s="166"/>
      <c r="M113" s="166"/>
      <c r="N113" s="166"/>
      <c r="O113" s="166"/>
      <c r="P113" s="166"/>
      <c r="Q113" s="166"/>
      <c r="S113" s="129">
        <v>0</v>
      </c>
    </row>
    <row r="114" spans="2:23" ht="12" customHeight="1" x14ac:dyDescent="0.2">
      <c r="C114" s="166" t="s">
        <v>146</v>
      </c>
      <c r="D114" s="166"/>
      <c r="E114" s="166"/>
      <c r="F114" s="166"/>
      <c r="H114" s="166" t="s">
        <v>644</v>
      </c>
      <c r="I114" s="166"/>
      <c r="J114" s="166"/>
      <c r="K114" s="166"/>
      <c r="L114" s="166"/>
      <c r="M114" s="166"/>
      <c r="N114" s="166"/>
      <c r="O114" s="166"/>
      <c r="P114" s="166"/>
      <c r="Q114" s="166"/>
      <c r="S114" s="129">
        <v>0</v>
      </c>
    </row>
    <row r="115" spans="2:23" ht="12" customHeight="1" x14ac:dyDescent="0.2">
      <c r="C115" s="166" t="s">
        <v>147</v>
      </c>
      <c r="D115" s="166"/>
      <c r="E115" s="166"/>
      <c r="F115" s="166"/>
      <c r="H115" s="166" t="s">
        <v>696</v>
      </c>
      <c r="I115" s="166"/>
      <c r="J115" s="166"/>
      <c r="K115" s="166"/>
      <c r="L115" s="166"/>
      <c r="M115" s="166"/>
      <c r="N115" s="166"/>
      <c r="O115" s="166"/>
      <c r="P115" s="166"/>
      <c r="Q115" s="166"/>
      <c r="S115" s="129">
        <v>0</v>
      </c>
    </row>
    <row r="116" spans="2:23" ht="12" customHeight="1" x14ac:dyDescent="0.2">
      <c r="C116" s="166" t="s">
        <v>587</v>
      </c>
      <c r="D116" s="166"/>
      <c r="E116" s="166"/>
      <c r="F116" s="166"/>
      <c r="H116" s="166" t="s">
        <v>691</v>
      </c>
      <c r="I116" s="166"/>
      <c r="J116" s="166"/>
      <c r="K116" s="166"/>
      <c r="L116" s="166"/>
      <c r="M116" s="166"/>
      <c r="N116" s="166"/>
      <c r="O116" s="166"/>
      <c r="P116" s="166"/>
      <c r="Q116" s="166"/>
      <c r="S116" s="132">
        <v>0</v>
      </c>
    </row>
    <row r="117" spans="2:23" ht="12" customHeight="1" x14ac:dyDescent="0.2">
      <c r="H117" s="164" t="s">
        <v>148</v>
      </c>
      <c r="I117" s="164"/>
      <c r="J117" s="164"/>
      <c r="K117" s="164"/>
      <c r="L117" s="164"/>
      <c r="M117" s="164"/>
      <c r="N117" s="164"/>
      <c r="O117" s="164"/>
      <c r="P117" s="164"/>
      <c r="U117" s="165">
        <f>SUM(S85:S116)</f>
        <v>52932604.209999986</v>
      </c>
      <c r="V117" s="165"/>
      <c r="W117" s="165"/>
    </row>
    <row r="118" spans="2:23" ht="12" customHeight="1" x14ac:dyDescent="0.2"/>
    <row r="119" spans="2:23" ht="12" customHeight="1" x14ac:dyDescent="0.2">
      <c r="B119" s="164" t="s">
        <v>149</v>
      </c>
      <c r="C119" s="164"/>
      <c r="D119" s="164"/>
      <c r="E119" s="164"/>
      <c r="F119" s="164"/>
      <c r="G119" s="164"/>
      <c r="H119" s="164"/>
      <c r="I119" s="164"/>
      <c r="J119" s="164"/>
      <c r="K119" s="164"/>
    </row>
    <row r="120" spans="2:23" ht="12" customHeight="1" x14ac:dyDescent="0.2"/>
    <row r="121" spans="2:23" ht="12" customHeight="1" x14ac:dyDescent="0.2">
      <c r="C121" s="166" t="s">
        <v>229</v>
      </c>
      <c r="D121" s="166"/>
      <c r="E121" s="166"/>
      <c r="F121" s="166"/>
      <c r="H121" s="166" t="s">
        <v>230</v>
      </c>
      <c r="I121" s="166"/>
      <c r="J121" s="166"/>
      <c r="K121" s="166"/>
      <c r="L121" s="166"/>
      <c r="M121" s="166"/>
      <c r="N121" s="166"/>
      <c r="O121" s="166"/>
      <c r="P121" s="166"/>
      <c r="Q121" s="166"/>
      <c r="S121" s="129">
        <v>0</v>
      </c>
    </row>
    <row r="122" spans="2:23" ht="12" customHeight="1" x14ac:dyDescent="0.2">
      <c r="C122" s="166" t="s">
        <v>150</v>
      </c>
      <c r="D122" s="166"/>
      <c r="E122" s="166"/>
      <c r="F122" s="166"/>
      <c r="H122" s="166" t="s">
        <v>151</v>
      </c>
      <c r="I122" s="166"/>
      <c r="J122" s="166"/>
      <c r="K122" s="166"/>
      <c r="L122" s="166"/>
      <c r="M122" s="166"/>
      <c r="N122" s="166"/>
      <c r="O122" s="166"/>
      <c r="P122" s="166"/>
      <c r="Q122" s="166"/>
      <c r="S122" s="129">
        <v>0</v>
      </c>
    </row>
    <row r="123" spans="2:23" ht="12" customHeight="1" x14ac:dyDescent="0.2">
      <c r="C123" s="166" t="s">
        <v>152</v>
      </c>
      <c r="D123" s="166"/>
      <c r="E123" s="166"/>
      <c r="F123" s="166"/>
      <c r="H123" s="166" t="s">
        <v>153</v>
      </c>
      <c r="I123" s="166"/>
      <c r="J123" s="166"/>
      <c r="K123" s="166"/>
      <c r="L123" s="166"/>
      <c r="M123" s="166"/>
      <c r="N123" s="166"/>
      <c r="O123" s="166"/>
      <c r="P123" s="166"/>
      <c r="Q123" s="166"/>
      <c r="S123" s="129">
        <v>16195.44</v>
      </c>
    </row>
    <row r="124" spans="2:23" ht="12" customHeight="1" x14ac:dyDescent="0.2">
      <c r="C124" s="166" t="s">
        <v>154</v>
      </c>
      <c r="D124" s="166"/>
      <c r="E124" s="166"/>
      <c r="F124" s="166"/>
      <c r="H124" s="166" t="s">
        <v>155</v>
      </c>
      <c r="I124" s="166"/>
      <c r="J124" s="166"/>
      <c r="K124" s="166"/>
      <c r="L124" s="166"/>
      <c r="M124" s="166"/>
      <c r="N124" s="166"/>
      <c r="O124" s="166"/>
      <c r="P124" s="166"/>
      <c r="Q124" s="166"/>
      <c r="S124" s="129">
        <v>4200.3599999999997</v>
      </c>
    </row>
    <row r="125" spans="2:23" ht="12" customHeight="1" x14ac:dyDescent="0.2">
      <c r="C125" s="166" t="s">
        <v>156</v>
      </c>
      <c r="D125" s="166"/>
      <c r="E125" s="166"/>
      <c r="F125" s="166"/>
      <c r="H125" s="166" t="s">
        <v>157</v>
      </c>
      <c r="I125" s="166"/>
      <c r="J125" s="166"/>
      <c r="K125" s="166"/>
      <c r="L125" s="166"/>
      <c r="M125" s="166"/>
      <c r="N125" s="166"/>
      <c r="O125" s="166"/>
      <c r="P125" s="166"/>
      <c r="Q125" s="166"/>
      <c r="S125" s="132">
        <v>19160.82</v>
      </c>
    </row>
    <row r="126" spans="2:23" ht="12" customHeight="1" x14ac:dyDescent="0.2">
      <c r="C126" s="166">
        <v>2431</v>
      </c>
      <c r="D126" s="166"/>
      <c r="E126" s="166"/>
      <c r="F126" s="166"/>
      <c r="H126" s="166" t="s">
        <v>545</v>
      </c>
      <c r="I126" s="166"/>
      <c r="J126" s="166"/>
      <c r="K126" s="166"/>
      <c r="L126" s="166"/>
      <c r="M126" s="166"/>
      <c r="N126" s="166"/>
      <c r="O126" s="166"/>
      <c r="P126" s="166"/>
      <c r="Q126" s="166"/>
      <c r="S126" s="78">
        <v>0</v>
      </c>
    </row>
    <row r="127" spans="2:23" ht="12" customHeight="1" x14ac:dyDescent="0.2">
      <c r="C127" s="166">
        <v>2432</v>
      </c>
      <c r="D127" s="166"/>
      <c r="E127" s="166"/>
      <c r="F127" s="166"/>
      <c r="H127" s="166" t="s">
        <v>667</v>
      </c>
      <c r="I127" s="166"/>
      <c r="J127" s="166"/>
      <c r="K127" s="166"/>
      <c r="L127" s="166"/>
      <c r="M127" s="166"/>
      <c r="N127" s="166"/>
      <c r="O127" s="166"/>
      <c r="P127" s="166"/>
      <c r="Q127" s="166"/>
      <c r="S127" s="78">
        <v>0</v>
      </c>
    </row>
    <row r="128" spans="2:23" ht="12" customHeight="1" x14ac:dyDescent="0.2">
      <c r="C128" s="166">
        <v>2433</v>
      </c>
      <c r="D128" s="166"/>
      <c r="E128" s="166"/>
      <c r="F128" s="166"/>
      <c r="H128" s="166" t="s">
        <v>544</v>
      </c>
      <c r="I128" s="166"/>
      <c r="J128" s="166"/>
      <c r="K128" s="166"/>
      <c r="L128" s="166"/>
      <c r="M128" s="166"/>
      <c r="N128" s="166"/>
      <c r="O128" s="166"/>
      <c r="P128" s="166"/>
      <c r="Q128" s="166"/>
      <c r="S128" s="78">
        <v>0</v>
      </c>
    </row>
    <row r="129" spans="1:23" ht="12" customHeight="1" x14ac:dyDescent="0.2">
      <c r="H129" s="164" t="s">
        <v>158</v>
      </c>
      <c r="I129" s="164"/>
      <c r="J129" s="164"/>
      <c r="K129" s="164"/>
      <c r="L129" s="164"/>
      <c r="M129" s="164"/>
      <c r="N129" s="164"/>
      <c r="O129" s="164"/>
      <c r="P129" s="164"/>
      <c r="U129" s="168">
        <f>SUM(S121:S128)</f>
        <v>39556.619999999995</v>
      </c>
      <c r="V129" s="168"/>
      <c r="W129" s="168"/>
    </row>
    <row r="130" spans="1:23" ht="12" customHeight="1" x14ac:dyDescent="0.2"/>
    <row r="131" spans="1:23" ht="12" customHeight="1" x14ac:dyDescent="0.2">
      <c r="I131" s="164" t="s">
        <v>159</v>
      </c>
      <c r="J131" s="164"/>
      <c r="K131" s="164"/>
      <c r="L131" s="164"/>
      <c r="M131" s="164"/>
      <c r="N131" s="164"/>
      <c r="O131" s="164"/>
      <c r="P131" s="164"/>
      <c r="U131" s="165">
        <f>U117+U129</f>
        <v>52972160.829999983</v>
      </c>
      <c r="V131" s="165"/>
      <c r="W131" s="165"/>
    </row>
    <row r="132" spans="1:23" ht="12" customHeight="1" x14ac:dyDescent="0.2"/>
    <row r="133" spans="1:23" ht="12" customHeight="1" x14ac:dyDescent="0.2">
      <c r="A133" s="164" t="s">
        <v>160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</row>
    <row r="134" spans="1:23" ht="12" customHeight="1" x14ac:dyDescent="0.2">
      <c r="C134" s="166" t="s">
        <v>161</v>
      </c>
      <c r="D134" s="166"/>
      <c r="E134" s="166"/>
      <c r="F134" s="166"/>
      <c r="H134" s="166" t="s">
        <v>162</v>
      </c>
      <c r="I134" s="166"/>
      <c r="J134" s="166"/>
      <c r="K134" s="166"/>
      <c r="L134" s="166"/>
      <c r="M134" s="166"/>
      <c r="N134" s="166"/>
      <c r="O134" s="166"/>
      <c r="P134" s="166"/>
      <c r="Q134" s="166"/>
      <c r="S134" s="129">
        <v>152325</v>
      </c>
    </row>
    <row r="135" spans="1:23" ht="12" customHeight="1" x14ac:dyDescent="0.2">
      <c r="C135" s="166" t="s">
        <v>163</v>
      </c>
      <c r="D135" s="166"/>
      <c r="E135" s="166"/>
      <c r="F135" s="166"/>
      <c r="H135" s="166" t="s">
        <v>164</v>
      </c>
      <c r="I135" s="166"/>
      <c r="J135" s="166"/>
      <c r="K135" s="166"/>
      <c r="L135" s="166"/>
      <c r="M135" s="166"/>
      <c r="N135" s="166"/>
      <c r="O135" s="166"/>
      <c r="P135" s="166"/>
      <c r="Q135" s="166"/>
      <c r="S135" s="129">
        <v>1709758</v>
      </c>
    </row>
    <row r="136" spans="1:23" ht="12" customHeight="1" x14ac:dyDescent="0.2">
      <c r="C136" s="166" t="s">
        <v>165</v>
      </c>
      <c r="D136" s="166"/>
      <c r="E136" s="166"/>
      <c r="F136" s="166"/>
      <c r="H136" s="166" t="s">
        <v>166</v>
      </c>
      <c r="I136" s="166"/>
      <c r="J136" s="166"/>
      <c r="K136" s="166"/>
      <c r="L136" s="166"/>
      <c r="M136" s="166"/>
      <c r="N136" s="166"/>
      <c r="O136" s="166"/>
      <c r="P136" s="166"/>
      <c r="Q136" s="166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6" t="s">
        <v>167</v>
      </c>
      <c r="I137" s="166"/>
      <c r="J137" s="166"/>
      <c r="K137" s="166"/>
      <c r="L137" s="166"/>
      <c r="M137" s="166"/>
      <c r="N137" s="166"/>
      <c r="O137" s="166"/>
      <c r="P137" s="166"/>
      <c r="Q137" s="166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6" t="s">
        <v>547</v>
      </c>
      <c r="I138" s="166"/>
      <c r="J138" s="166"/>
      <c r="K138" s="166"/>
      <c r="L138" s="166"/>
      <c r="M138" s="166"/>
      <c r="N138" s="166"/>
      <c r="O138" s="166"/>
      <c r="P138" s="166"/>
      <c r="Q138" s="166"/>
      <c r="S138" s="129">
        <v>21195.55</v>
      </c>
    </row>
    <row r="139" spans="1:23" ht="12" customHeight="1" x14ac:dyDescent="0.2">
      <c r="C139" s="166" t="s">
        <v>168</v>
      </c>
      <c r="D139" s="166"/>
      <c r="E139" s="166"/>
      <c r="F139" s="166"/>
      <c r="H139" s="166" t="s">
        <v>169</v>
      </c>
      <c r="I139" s="166"/>
      <c r="J139" s="166"/>
      <c r="K139" s="166"/>
      <c r="L139" s="166"/>
      <c r="M139" s="166"/>
      <c r="N139" s="166"/>
      <c r="O139" s="166"/>
      <c r="P139" s="166"/>
      <c r="Q139" s="166"/>
      <c r="S139" s="129">
        <v>-1983.47</v>
      </c>
    </row>
    <row r="140" spans="1:23" ht="12" customHeight="1" x14ac:dyDescent="0.2">
      <c r="C140" s="166" t="s">
        <v>170</v>
      </c>
      <c r="D140" s="166"/>
      <c r="E140" s="166"/>
      <c r="F140" s="166"/>
      <c r="H140" s="166" t="s">
        <v>171</v>
      </c>
      <c r="I140" s="166"/>
      <c r="J140" s="166"/>
      <c r="K140" s="166"/>
      <c r="L140" s="166"/>
      <c r="M140" s="166"/>
      <c r="N140" s="166"/>
      <c r="O140" s="166"/>
      <c r="P140" s="166"/>
      <c r="Q140" s="166"/>
      <c r="S140" s="129">
        <v>-6000</v>
      </c>
    </row>
    <row r="141" spans="1:23" ht="12" customHeight="1" x14ac:dyDescent="0.2">
      <c r="C141" s="166" t="s">
        <v>172</v>
      </c>
      <c r="D141" s="166"/>
      <c r="E141" s="166"/>
      <c r="F141" s="166"/>
      <c r="H141" s="166" t="s">
        <v>173</v>
      </c>
      <c r="I141" s="166"/>
      <c r="J141" s="166"/>
      <c r="K141" s="166"/>
      <c r="L141" s="166"/>
      <c r="M141" s="166"/>
      <c r="N141" s="166"/>
      <c r="O141" s="166"/>
      <c r="P141" s="166"/>
      <c r="Q141" s="166"/>
      <c r="S141" s="129">
        <v>-6000</v>
      </c>
    </row>
    <row r="142" spans="1:23" ht="12" customHeight="1" x14ac:dyDescent="0.2">
      <c r="C142" s="166" t="s">
        <v>174</v>
      </c>
      <c r="D142" s="166"/>
      <c r="E142" s="166"/>
      <c r="F142" s="166"/>
      <c r="H142" s="166" t="s">
        <v>175</v>
      </c>
      <c r="I142" s="166"/>
      <c r="J142" s="166"/>
      <c r="K142" s="166"/>
      <c r="L142" s="166"/>
      <c r="M142" s="166"/>
      <c r="N142" s="166"/>
      <c r="O142" s="166"/>
      <c r="P142" s="166"/>
      <c r="Q142" s="166"/>
      <c r="S142" s="129">
        <v>-6000</v>
      </c>
    </row>
    <row r="143" spans="1:23" ht="12" customHeight="1" x14ac:dyDescent="0.2">
      <c r="C143" s="166" t="s">
        <v>231</v>
      </c>
      <c r="D143" s="166"/>
      <c r="E143" s="166"/>
      <c r="F143" s="166"/>
      <c r="H143" s="166" t="s">
        <v>232</v>
      </c>
      <c r="I143" s="166"/>
      <c r="J143" s="166"/>
      <c r="K143" s="166"/>
      <c r="L143" s="166"/>
      <c r="M143" s="166"/>
      <c r="N143" s="166"/>
      <c r="O143" s="166"/>
      <c r="P143" s="166"/>
      <c r="Q143" s="166"/>
      <c r="S143" s="132">
        <v>-11008.26</v>
      </c>
    </row>
    <row r="144" spans="1:23" ht="12" customHeight="1" x14ac:dyDescent="0.2">
      <c r="I144" s="164" t="s">
        <v>176</v>
      </c>
      <c r="J144" s="164"/>
      <c r="K144" s="164"/>
      <c r="L144" s="164"/>
      <c r="M144" s="164"/>
      <c r="N144" s="164"/>
      <c r="O144" s="164"/>
      <c r="P144" s="164"/>
      <c r="U144" s="176">
        <f>SUM(S134:S143)</f>
        <v>11306188.040000001</v>
      </c>
      <c r="V144" s="176"/>
      <c r="W144" s="176"/>
    </row>
    <row r="145" spans="9:23" ht="12" customHeight="1" x14ac:dyDescent="0.2"/>
    <row r="146" spans="9:23" ht="12" customHeight="1" x14ac:dyDescent="0.2">
      <c r="I146" s="164" t="s">
        <v>177</v>
      </c>
      <c r="J146" s="164"/>
      <c r="K146" s="164"/>
      <c r="L146" s="164"/>
      <c r="M146" s="164"/>
      <c r="N146" s="164"/>
      <c r="O146" s="164"/>
      <c r="P146" s="164"/>
    </row>
    <row r="147" spans="9:23" ht="12" customHeight="1" thickBot="1" x14ac:dyDescent="0.25">
      <c r="I147" s="164"/>
      <c r="J147" s="164"/>
      <c r="K147" s="164"/>
      <c r="L147" s="164"/>
      <c r="M147" s="164"/>
      <c r="N147" s="164"/>
      <c r="O147" s="164"/>
      <c r="P147" s="164"/>
      <c r="U147" s="192">
        <f>U131+U144</f>
        <v>64278348.869999982</v>
      </c>
      <c r="V147" s="192"/>
      <c r="W147" s="192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</row>
    <row r="2" spans="1:24" ht="12" customHeight="1" x14ac:dyDescent="0.2">
      <c r="A2" s="205" t="s">
        <v>702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</row>
    <row r="3" spans="1:24" ht="12" customHeight="1" x14ac:dyDescent="0.2"/>
    <row r="4" spans="1:24" ht="12" customHeight="1" x14ac:dyDescent="0.2">
      <c r="A4" s="201" t="s">
        <v>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24" ht="12" customHeight="1" x14ac:dyDescent="0.2"/>
    <row r="6" spans="1:24" ht="12" customHeight="1" x14ac:dyDescent="0.2">
      <c r="B6" s="201" t="s">
        <v>3</v>
      </c>
      <c r="C6" s="201"/>
      <c r="D6" s="201"/>
      <c r="E6" s="201"/>
      <c r="F6" s="201"/>
      <c r="G6" s="201"/>
      <c r="H6" s="201"/>
      <c r="I6" s="201"/>
      <c r="J6" s="201"/>
      <c r="K6" s="201"/>
    </row>
    <row r="7" spans="1:24" ht="12" customHeight="1" x14ac:dyDescent="0.2">
      <c r="C7" s="195" t="s">
        <v>8</v>
      </c>
      <c r="D7" s="195"/>
      <c r="E7" s="195"/>
      <c r="F7" s="195"/>
      <c r="H7" s="195" t="s">
        <v>179</v>
      </c>
      <c r="I7" s="195"/>
      <c r="J7" s="195"/>
      <c r="K7" s="195"/>
      <c r="L7" s="195"/>
      <c r="M7" s="195"/>
      <c r="N7" s="195"/>
      <c r="O7" s="195"/>
      <c r="P7" s="195"/>
      <c r="Q7" s="195"/>
      <c r="S7" s="5">
        <v>90785.4</v>
      </c>
    </row>
    <row r="8" spans="1:24" ht="12" customHeight="1" x14ac:dyDescent="0.2">
      <c r="C8" s="195" t="s">
        <v>16</v>
      </c>
      <c r="D8" s="195"/>
      <c r="E8" s="195"/>
      <c r="F8" s="195"/>
      <c r="H8" s="195" t="s">
        <v>17</v>
      </c>
      <c r="I8" s="195"/>
      <c r="J8" s="195"/>
      <c r="K8" s="195"/>
      <c r="L8" s="195"/>
      <c r="M8" s="195"/>
      <c r="N8" s="195"/>
      <c r="O8" s="195"/>
      <c r="P8" s="195"/>
      <c r="Q8" s="195"/>
      <c r="S8" s="5">
        <v>969431.54</v>
      </c>
    </row>
    <row r="9" spans="1:24" ht="12" customHeight="1" x14ac:dyDescent="0.2">
      <c r="C9" s="195" t="s">
        <v>180</v>
      </c>
      <c r="D9" s="195"/>
      <c r="E9" s="195"/>
      <c r="F9" s="195"/>
      <c r="H9" s="195" t="s">
        <v>181</v>
      </c>
      <c r="I9" s="195"/>
      <c r="J9" s="195"/>
      <c r="K9" s="195"/>
      <c r="L9" s="195"/>
      <c r="M9" s="195"/>
      <c r="N9" s="195"/>
      <c r="O9" s="195"/>
      <c r="P9" s="195"/>
      <c r="Q9" s="195"/>
      <c r="S9" s="5">
        <v>0</v>
      </c>
    </row>
    <row r="10" spans="1:24" ht="12" customHeight="1" x14ac:dyDescent="0.2">
      <c r="C10" s="195" t="s">
        <v>18</v>
      </c>
      <c r="D10" s="195"/>
      <c r="E10" s="195"/>
      <c r="F10" s="195"/>
      <c r="H10" s="195" t="s">
        <v>19</v>
      </c>
      <c r="I10" s="195"/>
      <c r="J10" s="195"/>
      <c r="K10" s="195"/>
      <c r="L10" s="195"/>
      <c r="M10" s="195"/>
      <c r="N10" s="195"/>
      <c r="O10" s="195"/>
      <c r="P10" s="195"/>
      <c r="Q10" s="195"/>
      <c r="S10" s="5">
        <v>6479.4</v>
      </c>
    </row>
    <row r="11" spans="1:24" ht="12" customHeight="1" x14ac:dyDescent="0.2">
      <c r="C11" s="195" t="s">
        <v>20</v>
      </c>
      <c r="D11" s="195"/>
      <c r="E11" s="195"/>
      <c r="F11" s="195"/>
      <c r="H11" s="195" t="s">
        <v>21</v>
      </c>
      <c r="I11" s="195"/>
      <c r="J11" s="195"/>
      <c r="K11" s="195"/>
      <c r="L11" s="195"/>
      <c r="M11" s="195"/>
      <c r="N11" s="195"/>
      <c r="O11" s="195"/>
      <c r="P11" s="195"/>
      <c r="Q11" s="195"/>
      <c r="S11" s="5">
        <v>0</v>
      </c>
    </row>
    <row r="12" spans="1:24" ht="12" customHeight="1" x14ac:dyDescent="0.2">
      <c r="C12" s="195" t="s">
        <v>22</v>
      </c>
      <c r="D12" s="195"/>
      <c r="E12" s="195"/>
      <c r="F12" s="195"/>
      <c r="H12" s="195" t="s">
        <v>23</v>
      </c>
      <c r="I12" s="195"/>
      <c r="J12" s="195"/>
      <c r="K12" s="195"/>
      <c r="L12" s="195"/>
      <c r="M12" s="195"/>
      <c r="N12" s="195"/>
      <c r="O12" s="195"/>
      <c r="P12" s="195"/>
      <c r="Q12" s="195"/>
      <c r="S12" s="5">
        <v>0</v>
      </c>
    </row>
    <row r="13" spans="1:24" ht="12" customHeight="1" x14ac:dyDescent="0.2">
      <c r="C13" s="195">
        <v>1224</v>
      </c>
      <c r="D13" s="195"/>
      <c r="E13" s="195"/>
      <c r="F13" s="195"/>
      <c r="H13" s="195" t="s">
        <v>25</v>
      </c>
      <c r="I13" s="195"/>
      <c r="J13" s="195"/>
      <c r="K13" s="195"/>
      <c r="L13" s="195"/>
      <c r="M13" s="195"/>
      <c r="N13" s="195"/>
      <c r="O13" s="195"/>
      <c r="P13" s="195"/>
      <c r="Q13" s="195"/>
      <c r="S13" s="5">
        <v>0</v>
      </c>
    </row>
    <row r="14" spans="1:24" ht="12" customHeight="1" x14ac:dyDescent="0.2">
      <c r="C14" s="195" t="s">
        <v>26</v>
      </c>
      <c r="D14" s="195"/>
      <c r="E14" s="195"/>
      <c r="F14" s="195"/>
      <c r="H14" s="195" t="s">
        <v>233</v>
      </c>
      <c r="I14" s="195"/>
      <c r="J14" s="195"/>
      <c r="K14" s="195"/>
      <c r="L14" s="195"/>
      <c r="M14" s="195"/>
      <c r="N14" s="195"/>
      <c r="O14" s="195"/>
      <c r="P14" s="195"/>
      <c r="Q14" s="195"/>
      <c r="S14" s="5">
        <v>0</v>
      </c>
    </row>
    <row r="15" spans="1:24" ht="12" customHeight="1" x14ac:dyDescent="0.2">
      <c r="C15" s="195" t="s">
        <v>28</v>
      </c>
      <c r="D15" s="195"/>
      <c r="E15" s="195"/>
      <c r="F15" s="195"/>
      <c r="H15" s="195" t="s">
        <v>234</v>
      </c>
      <c r="I15" s="195"/>
      <c r="J15" s="195"/>
      <c r="K15" s="195"/>
      <c r="L15" s="195"/>
      <c r="M15" s="195"/>
      <c r="N15" s="195"/>
      <c r="O15" s="195"/>
      <c r="P15" s="195"/>
      <c r="Q15" s="195"/>
      <c r="S15" s="5">
        <v>0</v>
      </c>
    </row>
    <row r="16" spans="1:24" ht="12" customHeight="1" x14ac:dyDescent="0.2">
      <c r="C16" s="195" t="s">
        <v>30</v>
      </c>
      <c r="D16" s="195"/>
      <c r="E16" s="195"/>
      <c r="F16" s="195"/>
      <c r="H16" s="195" t="s">
        <v>31</v>
      </c>
      <c r="I16" s="195"/>
      <c r="J16" s="195"/>
      <c r="K16" s="195"/>
      <c r="L16" s="195"/>
      <c r="M16" s="195"/>
      <c r="N16" s="195"/>
      <c r="O16" s="195"/>
      <c r="P16" s="195"/>
      <c r="Q16" s="195"/>
      <c r="S16" s="5">
        <v>0</v>
      </c>
    </row>
    <row r="17" spans="1:23" ht="12" customHeight="1" x14ac:dyDescent="0.2">
      <c r="C17" s="195" t="s">
        <v>46</v>
      </c>
      <c r="D17" s="195"/>
      <c r="E17" s="195"/>
      <c r="F17" s="195"/>
      <c r="H17" s="195" t="s">
        <v>196</v>
      </c>
      <c r="I17" s="195"/>
      <c r="J17" s="195"/>
      <c r="K17" s="195"/>
      <c r="L17" s="195"/>
      <c r="M17" s="195"/>
      <c r="N17" s="195"/>
      <c r="O17" s="195"/>
      <c r="P17" s="195"/>
      <c r="Q17" s="195"/>
      <c r="S17" s="5">
        <v>0</v>
      </c>
    </row>
    <row r="18" spans="1:23" ht="12" customHeight="1" x14ac:dyDescent="0.2">
      <c r="C18" s="195" t="s">
        <v>56</v>
      </c>
      <c r="D18" s="195"/>
      <c r="E18" s="195"/>
      <c r="F18" s="195"/>
      <c r="H18" s="195" t="s">
        <v>185</v>
      </c>
      <c r="I18" s="195"/>
      <c r="J18" s="195"/>
      <c r="K18" s="195"/>
      <c r="L18" s="195"/>
      <c r="M18" s="195"/>
      <c r="N18" s="195"/>
      <c r="O18" s="195"/>
      <c r="P18" s="195"/>
      <c r="Q18" s="195"/>
      <c r="S18" s="5">
        <v>8248.91</v>
      </c>
    </row>
    <row r="19" spans="1:23" ht="12" customHeight="1" x14ac:dyDescent="0.2">
      <c r="C19" s="195">
        <v>1250</v>
      </c>
      <c r="D19" s="195"/>
      <c r="E19" s="195"/>
      <c r="F19" s="195"/>
      <c r="H19" s="195" t="s">
        <v>183</v>
      </c>
      <c r="I19" s="195"/>
      <c r="J19" s="195"/>
      <c r="K19" s="195"/>
      <c r="L19" s="195"/>
      <c r="M19" s="195"/>
      <c r="N19" s="195"/>
      <c r="O19" s="195"/>
      <c r="P19" s="195"/>
      <c r="Q19" s="195"/>
      <c r="S19" s="6">
        <v>2100000</v>
      </c>
    </row>
    <row r="20" spans="1:23" ht="12" customHeight="1" x14ac:dyDescent="0.2">
      <c r="H20" s="201" t="s">
        <v>73</v>
      </c>
      <c r="I20" s="201"/>
      <c r="J20" s="201"/>
      <c r="K20" s="201"/>
      <c r="L20" s="201"/>
      <c r="M20" s="201"/>
      <c r="N20" s="201"/>
      <c r="O20" s="201"/>
      <c r="P20" s="201"/>
      <c r="U20" s="196">
        <f>SUM(S7:S19)</f>
        <v>3174945.25</v>
      </c>
      <c r="V20" s="196"/>
      <c r="W20" s="196"/>
    </row>
    <row r="21" spans="1:23" ht="12" customHeight="1" x14ac:dyDescent="0.2"/>
    <row r="22" spans="1:23" ht="12" customHeight="1" x14ac:dyDescent="0.2">
      <c r="B22" s="201" t="s">
        <v>74</v>
      </c>
      <c r="C22" s="201"/>
      <c r="D22" s="201"/>
      <c r="E22" s="201"/>
      <c r="F22" s="201"/>
      <c r="G22" s="201"/>
      <c r="H22" s="201"/>
      <c r="I22" s="201"/>
      <c r="J22" s="201"/>
      <c r="K22" s="201"/>
    </row>
    <row r="23" spans="1:23" ht="12" customHeight="1" x14ac:dyDescent="0.2">
      <c r="C23" s="195" t="s">
        <v>75</v>
      </c>
      <c r="D23" s="195"/>
      <c r="E23" s="195"/>
      <c r="F23" s="195"/>
      <c r="H23" s="195" t="s">
        <v>186</v>
      </c>
      <c r="I23" s="195"/>
      <c r="J23" s="195"/>
      <c r="K23" s="195"/>
      <c r="L23" s="195"/>
      <c r="M23" s="195"/>
      <c r="N23" s="195"/>
      <c r="O23" s="195"/>
      <c r="P23" s="195"/>
      <c r="Q23" s="195"/>
      <c r="S23" s="5">
        <v>8577.17</v>
      </c>
    </row>
    <row r="24" spans="1:23" ht="12" customHeight="1" x14ac:dyDescent="0.2">
      <c r="C24" s="195" t="s">
        <v>87</v>
      </c>
      <c r="D24" s="195"/>
      <c r="E24" s="195"/>
      <c r="F24" s="195"/>
      <c r="H24" s="195" t="s">
        <v>88</v>
      </c>
      <c r="I24" s="195"/>
      <c r="J24" s="195"/>
      <c r="K24" s="195"/>
      <c r="L24" s="195"/>
      <c r="M24" s="195"/>
      <c r="N24" s="195"/>
      <c r="O24" s="195"/>
      <c r="P24" s="195"/>
      <c r="Q24" s="195"/>
      <c r="S24" s="5">
        <v>20237.79</v>
      </c>
    </row>
    <row r="25" spans="1:23" ht="12" customHeight="1" x14ac:dyDescent="0.2">
      <c r="C25" s="195" t="s">
        <v>99</v>
      </c>
      <c r="D25" s="195"/>
      <c r="E25" s="195"/>
      <c r="F25" s="195"/>
      <c r="H25" s="195" t="s">
        <v>187</v>
      </c>
      <c r="I25" s="195"/>
      <c r="J25" s="195"/>
      <c r="K25" s="195"/>
      <c r="L25" s="195"/>
      <c r="M25" s="195"/>
      <c r="N25" s="195"/>
      <c r="O25" s="195"/>
      <c r="P25" s="195"/>
      <c r="Q25" s="195"/>
      <c r="S25" s="6">
        <v>-12743.61</v>
      </c>
    </row>
    <row r="26" spans="1:23" ht="12" customHeight="1" x14ac:dyDescent="0.2">
      <c r="H26" s="201" t="s">
        <v>103</v>
      </c>
      <c r="I26" s="201"/>
      <c r="J26" s="201"/>
      <c r="K26" s="201"/>
      <c r="L26" s="201"/>
      <c r="M26" s="201"/>
      <c r="N26" s="201"/>
      <c r="O26" s="201"/>
      <c r="P26" s="201"/>
      <c r="U26" s="203">
        <f>SUM(S23:S25)</f>
        <v>16071.349999999999</v>
      </c>
      <c r="V26" s="203"/>
      <c r="W26" s="203"/>
    </row>
    <row r="27" spans="1:23" ht="12" customHeight="1" thickBot="1" x14ac:dyDescent="0.25">
      <c r="I27" s="201" t="s">
        <v>104</v>
      </c>
      <c r="J27" s="201"/>
      <c r="K27" s="201"/>
      <c r="L27" s="201"/>
      <c r="M27" s="201"/>
      <c r="N27" s="201"/>
      <c r="O27" s="201"/>
      <c r="P27" s="201"/>
      <c r="U27" s="204">
        <f>U20+U26</f>
        <v>3191016.6</v>
      </c>
      <c r="V27" s="204"/>
      <c r="W27" s="204"/>
    </row>
    <row r="28" spans="1:23" ht="12" customHeight="1" thickTop="1" x14ac:dyDescent="0.2"/>
    <row r="29" spans="1:23" ht="12" customHeight="1" x14ac:dyDescent="0.2">
      <c r="A29" s="201" t="s">
        <v>105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</row>
    <row r="30" spans="1:23" ht="12" customHeight="1" x14ac:dyDescent="0.2"/>
    <row r="31" spans="1:23" ht="12" customHeight="1" x14ac:dyDescent="0.2">
      <c r="B31" s="201" t="s">
        <v>106</v>
      </c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23" ht="12" customHeight="1" x14ac:dyDescent="0.2">
      <c r="C32" s="195" t="s">
        <v>109</v>
      </c>
      <c r="D32" s="195"/>
      <c r="E32" s="195"/>
      <c r="F32" s="195"/>
      <c r="H32" s="195" t="s">
        <v>110</v>
      </c>
      <c r="I32" s="195"/>
      <c r="J32" s="195"/>
      <c r="K32" s="195"/>
      <c r="L32" s="195"/>
      <c r="M32" s="195"/>
      <c r="N32" s="195"/>
      <c r="O32" s="195"/>
      <c r="P32" s="195"/>
      <c r="Q32" s="195"/>
      <c r="S32" s="5">
        <v>639982.09</v>
      </c>
    </row>
    <row r="33" spans="1:23" ht="12" customHeight="1" x14ac:dyDescent="0.2">
      <c r="C33" s="195" t="s">
        <v>188</v>
      </c>
      <c r="D33" s="195"/>
      <c r="E33" s="195"/>
      <c r="F33" s="195"/>
      <c r="H33" s="195" t="s">
        <v>189</v>
      </c>
      <c r="I33" s="195"/>
      <c r="J33" s="195"/>
      <c r="K33" s="195"/>
      <c r="L33" s="195"/>
      <c r="M33" s="195"/>
      <c r="N33" s="195"/>
      <c r="O33" s="195"/>
      <c r="P33" s="195"/>
      <c r="Q33" s="195"/>
      <c r="S33" s="5">
        <v>149.47999999999999</v>
      </c>
    </row>
    <row r="34" spans="1:23" ht="12" customHeight="1" x14ac:dyDescent="0.2">
      <c r="C34" s="195">
        <v>2175</v>
      </c>
      <c r="D34" s="195"/>
      <c r="E34" s="195"/>
      <c r="F34" s="195"/>
      <c r="H34" s="195" t="s">
        <v>118</v>
      </c>
      <c r="I34" s="195"/>
      <c r="J34" s="195"/>
      <c r="K34" s="195"/>
      <c r="L34" s="195"/>
      <c r="M34" s="195"/>
      <c r="N34" s="195"/>
      <c r="O34" s="195"/>
      <c r="P34" s="195"/>
      <c r="Q34" s="195"/>
      <c r="S34" s="121">
        <v>6493</v>
      </c>
    </row>
    <row r="35" spans="1:23" ht="12" customHeight="1" x14ac:dyDescent="0.2">
      <c r="C35" s="195" t="s">
        <v>121</v>
      </c>
      <c r="D35" s="195"/>
      <c r="E35" s="195"/>
      <c r="F35" s="195"/>
      <c r="H35" s="195" t="s">
        <v>190</v>
      </c>
      <c r="I35" s="195"/>
      <c r="J35" s="195"/>
      <c r="K35" s="195"/>
      <c r="L35" s="195"/>
      <c r="M35" s="195"/>
      <c r="N35" s="195"/>
      <c r="O35" s="195"/>
      <c r="P35" s="195"/>
      <c r="Q35" s="195"/>
      <c r="S35" s="5">
        <v>3825</v>
      </c>
    </row>
    <row r="36" spans="1:23" ht="12" customHeight="1" x14ac:dyDescent="0.2">
      <c r="C36" s="195">
        <v>2230</v>
      </c>
      <c r="D36" s="195"/>
      <c r="E36" s="195"/>
      <c r="F36" s="195"/>
      <c r="H36" s="195" t="s">
        <v>597</v>
      </c>
      <c r="I36" s="195"/>
      <c r="J36" s="195"/>
      <c r="K36" s="195"/>
      <c r="L36" s="195"/>
      <c r="M36" s="195"/>
      <c r="N36" s="195"/>
      <c r="O36" s="195"/>
      <c r="P36" s="195"/>
      <c r="Q36" s="195"/>
      <c r="S36" s="136">
        <v>32247.19</v>
      </c>
    </row>
    <row r="37" spans="1:23" ht="12" customHeight="1" x14ac:dyDescent="0.2">
      <c r="C37" s="195" t="s">
        <v>129</v>
      </c>
      <c r="D37" s="195"/>
      <c r="E37" s="195"/>
      <c r="F37" s="195"/>
      <c r="H37" s="195" t="s">
        <v>191</v>
      </c>
      <c r="I37" s="195"/>
      <c r="J37" s="195"/>
      <c r="K37" s="195"/>
      <c r="L37" s="195"/>
      <c r="M37" s="195"/>
      <c r="N37" s="195"/>
      <c r="O37" s="195"/>
      <c r="P37" s="195"/>
      <c r="Q37" s="195"/>
      <c r="S37" s="5">
        <v>16838.03</v>
      </c>
    </row>
    <row r="38" spans="1:23" ht="12" customHeight="1" x14ac:dyDescent="0.2">
      <c r="C38" s="195">
        <v>2241</v>
      </c>
      <c r="D38" s="195"/>
      <c r="E38" s="195"/>
      <c r="F38" s="195"/>
      <c r="H38" s="195" t="s">
        <v>692</v>
      </c>
      <c r="I38" s="195"/>
      <c r="J38" s="195"/>
      <c r="K38" s="195"/>
      <c r="L38" s="195"/>
      <c r="M38" s="195"/>
      <c r="N38" s="195"/>
      <c r="O38" s="195"/>
      <c r="P38" s="195"/>
      <c r="Q38" s="195"/>
      <c r="S38" s="136">
        <v>36126.82</v>
      </c>
    </row>
    <row r="39" spans="1:23" ht="12" customHeight="1" x14ac:dyDescent="0.2">
      <c r="C39" s="195" t="s">
        <v>131</v>
      </c>
      <c r="D39" s="195"/>
      <c r="E39" s="195"/>
      <c r="F39" s="195"/>
      <c r="H39" s="195" t="s">
        <v>192</v>
      </c>
      <c r="I39" s="195"/>
      <c r="J39" s="195"/>
      <c r="K39" s="195"/>
      <c r="L39" s="195"/>
      <c r="M39" s="195"/>
      <c r="N39" s="195"/>
      <c r="O39" s="195"/>
      <c r="P39" s="195"/>
      <c r="Q39" s="195"/>
      <c r="S39" s="5">
        <v>2494</v>
      </c>
    </row>
    <row r="40" spans="1:23" ht="12" customHeight="1" x14ac:dyDescent="0.2">
      <c r="C40" s="195" t="s">
        <v>227</v>
      </c>
      <c r="D40" s="195"/>
      <c r="E40" s="195"/>
      <c r="F40" s="195"/>
      <c r="H40" s="195" t="s">
        <v>235</v>
      </c>
      <c r="I40" s="195"/>
      <c r="J40" s="195"/>
      <c r="K40" s="195"/>
      <c r="L40" s="195"/>
      <c r="M40" s="195"/>
      <c r="N40" s="195"/>
      <c r="O40" s="195"/>
      <c r="P40" s="195"/>
      <c r="Q40" s="195"/>
      <c r="S40" s="5">
        <v>4651</v>
      </c>
    </row>
    <row r="41" spans="1:23" ht="12" customHeight="1" x14ac:dyDescent="0.2">
      <c r="C41" s="195" t="s">
        <v>236</v>
      </c>
      <c r="D41" s="195"/>
      <c r="E41" s="195"/>
      <c r="F41" s="195"/>
      <c r="H41" s="195" t="s">
        <v>205</v>
      </c>
      <c r="I41" s="195"/>
      <c r="J41" s="195"/>
      <c r="K41" s="195"/>
      <c r="L41" s="195"/>
      <c r="M41" s="195"/>
      <c r="N41" s="195"/>
      <c r="O41" s="195"/>
      <c r="P41" s="195"/>
      <c r="Q41" s="195"/>
      <c r="S41" s="5">
        <v>162892.82</v>
      </c>
    </row>
    <row r="42" spans="1:23" ht="12" customHeight="1" x14ac:dyDescent="0.2">
      <c r="C42" s="195">
        <v>2401</v>
      </c>
      <c r="D42" s="195"/>
      <c r="E42" s="195"/>
      <c r="F42" s="195"/>
      <c r="H42" s="195" t="s">
        <v>665</v>
      </c>
      <c r="I42" s="195"/>
      <c r="J42" s="195"/>
      <c r="K42" s="195"/>
      <c r="L42" s="195"/>
      <c r="M42" s="195"/>
      <c r="N42" s="195"/>
      <c r="O42" s="195"/>
      <c r="P42" s="195"/>
      <c r="Q42" s="195"/>
      <c r="S42" s="123">
        <v>0</v>
      </c>
    </row>
    <row r="43" spans="1:23" ht="12" customHeight="1" x14ac:dyDescent="0.2">
      <c r="H43" s="201" t="s">
        <v>148</v>
      </c>
      <c r="I43" s="201"/>
      <c r="J43" s="201"/>
      <c r="K43" s="201"/>
      <c r="L43" s="201"/>
      <c r="M43" s="201"/>
      <c r="N43" s="201"/>
      <c r="O43" s="201"/>
      <c r="P43" s="201"/>
      <c r="S43" s="5"/>
      <c r="U43" s="196">
        <f>SUM(S32:S42)</f>
        <v>905699.42999999993</v>
      </c>
      <c r="V43" s="196"/>
      <c r="W43" s="196"/>
    </row>
    <row r="44" spans="1:23" ht="12" customHeight="1" x14ac:dyDescent="0.2">
      <c r="I44" s="201" t="s">
        <v>159</v>
      </c>
      <c r="J44" s="201"/>
      <c r="K44" s="201"/>
      <c r="L44" s="201"/>
      <c r="M44" s="201"/>
      <c r="N44" s="201"/>
      <c r="O44" s="201"/>
      <c r="P44" s="201"/>
      <c r="S44" s="5"/>
      <c r="U44" s="200">
        <f>U43</f>
        <v>905699.42999999993</v>
      </c>
      <c r="V44" s="200"/>
      <c r="W44" s="200"/>
    </row>
    <row r="45" spans="1:23" ht="12" customHeight="1" x14ac:dyDescent="0.2">
      <c r="S45" s="5"/>
      <c r="U45" s="196"/>
      <c r="V45" s="196"/>
      <c r="W45" s="196"/>
    </row>
    <row r="46" spans="1:23" ht="12" customHeight="1" x14ac:dyDescent="0.2">
      <c r="A46" s="201" t="s">
        <v>160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S46" s="5"/>
      <c r="U46" s="196"/>
      <c r="V46" s="196"/>
      <c r="W46" s="196"/>
    </row>
    <row r="47" spans="1:23" ht="12" customHeight="1" x14ac:dyDescent="0.2">
      <c r="S47" s="5"/>
      <c r="U47" s="196"/>
      <c r="V47" s="196"/>
      <c r="W47" s="196"/>
    </row>
    <row r="48" spans="1:23" ht="12" customHeight="1" x14ac:dyDescent="0.2">
      <c r="C48" s="195" t="s">
        <v>165</v>
      </c>
      <c r="D48" s="195"/>
      <c r="E48" s="195"/>
      <c r="F48" s="195"/>
      <c r="H48" s="195" t="s">
        <v>166</v>
      </c>
      <c r="I48" s="195"/>
      <c r="J48" s="195"/>
      <c r="K48" s="195"/>
      <c r="L48" s="195"/>
      <c r="M48" s="195"/>
      <c r="N48" s="195"/>
      <c r="O48" s="195"/>
      <c r="P48" s="195"/>
      <c r="Q48" s="195"/>
      <c r="S48" s="5">
        <v>206815.9</v>
      </c>
      <c r="U48" s="196"/>
      <c r="V48" s="196"/>
      <c r="W48" s="196"/>
    </row>
    <row r="49" spans="1:23" ht="12" customHeight="1" x14ac:dyDescent="0.2">
      <c r="C49" s="195" t="s">
        <v>165</v>
      </c>
      <c r="D49" s="195"/>
      <c r="E49" s="195"/>
      <c r="F49" s="195"/>
      <c r="H49" s="195" t="s">
        <v>193</v>
      </c>
      <c r="I49" s="195"/>
      <c r="J49" s="195"/>
      <c r="K49" s="195"/>
      <c r="L49" s="195"/>
      <c r="M49" s="195"/>
      <c r="N49" s="195"/>
      <c r="O49" s="195"/>
      <c r="P49" s="195"/>
      <c r="Q49" s="195"/>
      <c r="S49" s="5">
        <v>2078501.27</v>
      </c>
      <c r="U49" s="196"/>
      <c r="V49" s="196"/>
      <c r="W49" s="196"/>
    </row>
    <row r="50" spans="1:23" ht="12" customHeight="1" x14ac:dyDescent="0.2">
      <c r="U50" s="196"/>
      <c r="V50" s="196"/>
      <c r="W50" s="196"/>
    </row>
    <row r="51" spans="1:23" ht="12" customHeight="1" x14ac:dyDescent="0.2">
      <c r="I51" s="201" t="s">
        <v>176</v>
      </c>
      <c r="J51" s="201"/>
      <c r="K51" s="201"/>
      <c r="L51" s="201"/>
      <c r="M51" s="201"/>
      <c r="N51" s="201"/>
      <c r="O51" s="201"/>
      <c r="P51" s="201"/>
      <c r="U51" s="200">
        <f>SUM(S48:S49)</f>
        <v>2285317.17</v>
      </c>
      <c r="V51" s="200"/>
      <c r="W51" s="200"/>
    </row>
    <row r="52" spans="1:23" ht="12" customHeight="1" x14ac:dyDescent="0.2">
      <c r="U52" s="196"/>
      <c r="V52" s="196"/>
      <c r="W52" s="196"/>
    </row>
    <row r="53" spans="1:23" ht="12" customHeight="1" x14ac:dyDescent="0.2">
      <c r="I53" s="201" t="s">
        <v>177</v>
      </c>
      <c r="J53" s="201"/>
      <c r="K53" s="201"/>
      <c r="L53" s="201"/>
      <c r="M53" s="201"/>
      <c r="N53" s="201"/>
      <c r="O53" s="201"/>
      <c r="P53" s="201"/>
      <c r="U53" s="196"/>
      <c r="V53" s="196"/>
      <c r="W53" s="196"/>
    </row>
    <row r="54" spans="1:23" ht="12" customHeight="1" thickBot="1" x14ac:dyDescent="0.25">
      <c r="I54" s="201"/>
      <c r="J54" s="201"/>
      <c r="K54" s="201"/>
      <c r="L54" s="201"/>
      <c r="M54" s="201"/>
      <c r="N54" s="201"/>
      <c r="O54" s="201"/>
      <c r="P54" s="201"/>
      <c r="U54" s="199">
        <f>U44+U51</f>
        <v>3191016.5999999996</v>
      </c>
      <c r="V54" s="199"/>
      <c r="W54" s="199"/>
    </row>
    <row r="55" spans="1:23" ht="12" customHeight="1" thickTop="1" x14ac:dyDescent="0.2">
      <c r="U55" s="196"/>
      <c r="V55" s="196"/>
      <c r="W55" s="196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7"/>
      <c r="B58" s="197"/>
      <c r="C58" s="197"/>
      <c r="D58" s="197"/>
      <c r="F58" s="198"/>
      <c r="G58" s="198"/>
      <c r="H58" s="198"/>
      <c r="I58" s="198"/>
      <c r="J58" s="198"/>
      <c r="V58" s="73"/>
      <c r="W58" s="1"/>
    </row>
    <row r="59" spans="1:23" ht="12" customHeight="1" x14ac:dyDescent="0.2">
      <c r="A59" s="197"/>
      <c r="B59" s="197"/>
      <c r="C59" s="197"/>
      <c r="D59" s="197"/>
      <c r="F59" s="202"/>
      <c r="G59" s="202"/>
      <c r="H59" s="202"/>
      <c r="I59" s="202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C40:F40"/>
    <mergeCell ref="H40:Q40"/>
    <mergeCell ref="C41:F41"/>
    <mergeCell ref="H41:Q41"/>
    <mergeCell ref="H43:P43"/>
    <mergeCell ref="C42:F42"/>
    <mergeCell ref="H42:Q42"/>
    <mergeCell ref="C48:F48"/>
    <mergeCell ref="H48:Q48"/>
    <mergeCell ref="U45:W45"/>
    <mergeCell ref="U46:W46"/>
    <mergeCell ref="U47:W47"/>
    <mergeCell ref="A59:D59"/>
    <mergeCell ref="F59:I59"/>
    <mergeCell ref="C49:F49"/>
    <mergeCell ref="H49:Q49"/>
    <mergeCell ref="I51:P51"/>
    <mergeCell ref="I53:P54"/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AB1" s="95" t="s">
        <v>0</v>
      </c>
    </row>
    <row r="2" spans="1:28" ht="12" customHeight="1" x14ac:dyDescent="0.2">
      <c r="A2" s="173" t="s">
        <v>701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8" ht="12" customHeight="1" x14ac:dyDescent="0.2">
      <c r="A3" s="174" t="s">
        <v>194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AB3" s="95" t="s">
        <v>509</v>
      </c>
    </row>
    <row r="4" spans="1:28" ht="12" customHeight="1" x14ac:dyDescent="0.2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AB4" s="96" t="s">
        <v>194</v>
      </c>
    </row>
    <row r="5" spans="1:28" ht="12" customHeight="1" x14ac:dyDescent="0.2">
      <c r="B5" s="164" t="s">
        <v>3</v>
      </c>
      <c r="C5" s="164"/>
      <c r="D5" s="164"/>
      <c r="E5" s="164"/>
      <c r="F5" s="164"/>
      <c r="G5" s="164"/>
      <c r="H5" s="164"/>
      <c r="I5" s="164"/>
      <c r="J5" s="164"/>
      <c r="K5" s="164"/>
      <c r="S5" s="97">
        <v>43465</v>
      </c>
    </row>
    <row r="6" spans="1:28" ht="12" customHeight="1" x14ac:dyDescent="0.2"/>
    <row r="7" spans="1:28" ht="12" customHeight="1" x14ac:dyDescent="0.2">
      <c r="C7" s="166" t="s">
        <v>6</v>
      </c>
      <c r="D7" s="166"/>
      <c r="E7" s="166"/>
      <c r="F7" s="166"/>
      <c r="H7" s="166" t="s">
        <v>195</v>
      </c>
      <c r="I7" s="166"/>
      <c r="J7" s="166"/>
      <c r="K7" s="166"/>
      <c r="L7" s="166"/>
      <c r="M7" s="166"/>
      <c r="N7" s="166"/>
      <c r="O7" s="166"/>
      <c r="P7" s="166"/>
      <c r="Q7" s="166"/>
      <c r="S7" s="129">
        <v>48775.17</v>
      </c>
      <c r="AB7" s="98" t="s">
        <v>2</v>
      </c>
    </row>
    <row r="8" spans="1:28" ht="12" customHeight="1" x14ac:dyDescent="0.2">
      <c r="C8" s="166" t="s">
        <v>16</v>
      </c>
      <c r="D8" s="166"/>
      <c r="E8" s="166"/>
      <c r="F8" s="166"/>
      <c r="H8" s="166" t="s">
        <v>17</v>
      </c>
      <c r="I8" s="166"/>
      <c r="J8" s="166"/>
      <c r="K8" s="166"/>
      <c r="L8" s="166"/>
      <c r="M8" s="166"/>
      <c r="N8" s="166"/>
      <c r="O8" s="166"/>
      <c r="P8" s="166"/>
      <c r="Q8" s="166"/>
      <c r="S8" s="129">
        <v>89821.27</v>
      </c>
    </row>
    <row r="9" spans="1:28" ht="12" customHeight="1" x14ac:dyDescent="0.2">
      <c r="C9" s="166" t="s">
        <v>40</v>
      </c>
      <c r="D9" s="166"/>
      <c r="E9" s="166"/>
      <c r="F9" s="166"/>
      <c r="H9" s="166" t="s">
        <v>61</v>
      </c>
      <c r="I9" s="166"/>
      <c r="J9" s="166"/>
      <c r="K9" s="166"/>
      <c r="L9" s="166"/>
      <c r="M9" s="166"/>
      <c r="N9" s="166"/>
      <c r="O9" s="166"/>
      <c r="P9" s="166"/>
      <c r="Q9" s="166"/>
      <c r="S9" s="129">
        <v>0</v>
      </c>
    </row>
    <row r="10" spans="1:28" ht="12" customHeight="1" x14ac:dyDescent="0.2">
      <c r="C10" s="166" t="s">
        <v>182</v>
      </c>
      <c r="D10" s="166"/>
      <c r="E10" s="166"/>
      <c r="F10" s="166"/>
      <c r="H10" s="166" t="s">
        <v>183</v>
      </c>
      <c r="I10" s="166"/>
      <c r="J10" s="166"/>
      <c r="K10" s="166"/>
      <c r="L10" s="166"/>
      <c r="M10" s="166"/>
      <c r="N10" s="166"/>
      <c r="O10" s="166"/>
      <c r="P10" s="166"/>
      <c r="Q10" s="166"/>
      <c r="S10" s="129">
        <v>4600000</v>
      </c>
    </row>
    <row r="11" spans="1:28" ht="12" customHeight="1" x14ac:dyDescent="0.2">
      <c r="C11" s="166">
        <v>1239</v>
      </c>
      <c r="D11" s="166"/>
      <c r="E11" s="166"/>
      <c r="F11" s="166"/>
      <c r="H11" s="166" t="s">
        <v>693</v>
      </c>
      <c r="I11" s="166"/>
      <c r="J11" s="166"/>
      <c r="K11" s="166"/>
      <c r="L11" s="166"/>
      <c r="M11" s="166"/>
      <c r="N11" s="166"/>
      <c r="O11" s="166"/>
      <c r="P11" s="166"/>
      <c r="Q11" s="166"/>
      <c r="S11" s="129">
        <v>2650</v>
      </c>
    </row>
    <row r="12" spans="1:28" ht="12" customHeight="1" x14ac:dyDescent="0.2">
      <c r="C12" s="166" t="s">
        <v>46</v>
      </c>
      <c r="D12" s="166"/>
      <c r="E12" s="166"/>
      <c r="F12" s="166"/>
      <c r="H12" s="166" t="s">
        <v>196</v>
      </c>
      <c r="I12" s="166"/>
      <c r="J12" s="166"/>
      <c r="K12" s="166"/>
      <c r="L12" s="166"/>
      <c r="M12" s="166"/>
      <c r="N12" s="166"/>
      <c r="O12" s="166"/>
      <c r="P12" s="166"/>
      <c r="Q12" s="166"/>
      <c r="S12" s="129">
        <v>0</v>
      </c>
    </row>
    <row r="13" spans="1:28" ht="12" customHeight="1" x14ac:dyDescent="0.2">
      <c r="C13" s="166" t="s">
        <v>48</v>
      </c>
      <c r="D13" s="166"/>
      <c r="E13" s="166"/>
      <c r="F13" s="166"/>
      <c r="H13" s="166" t="s">
        <v>49</v>
      </c>
      <c r="I13" s="166"/>
      <c r="J13" s="166"/>
      <c r="K13" s="166"/>
      <c r="L13" s="166"/>
      <c r="M13" s="166"/>
      <c r="N13" s="166"/>
      <c r="O13" s="166"/>
      <c r="P13" s="166"/>
      <c r="Q13" s="166"/>
      <c r="S13" s="129">
        <v>102045.52</v>
      </c>
    </row>
    <row r="14" spans="1:28" ht="12" customHeight="1" x14ac:dyDescent="0.2">
      <c r="C14" s="166">
        <v>1243</v>
      </c>
      <c r="D14" s="166"/>
      <c r="E14" s="166"/>
      <c r="F14" s="166"/>
      <c r="H14" s="166" t="s">
        <v>682</v>
      </c>
      <c r="I14" s="166"/>
      <c r="J14" s="166"/>
      <c r="K14" s="166"/>
      <c r="L14" s="166"/>
      <c r="M14" s="166"/>
      <c r="N14" s="166"/>
      <c r="O14" s="166"/>
      <c r="P14" s="166"/>
      <c r="Q14" s="166"/>
      <c r="S14" s="129">
        <v>0</v>
      </c>
    </row>
    <row r="15" spans="1:28" ht="12" customHeight="1" x14ac:dyDescent="0.2">
      <c r="C15" s="166" t="s">
        <v>56</v>
      </c>
      <c r="D15" s="166"/>
      <c r="E15" s="166"/>
      <c r="F15" s="166"/>
      <c r="H15" s="166" t="s">
        <v>59</v>
      </c>
      <c r="I15" s="166"/>
      <c r="J15" s="166"/>
      <c r="K15" s="166"/>
      <c r="L15" s="166"/>
      <c r="M15" s="166"/>
      <c r="N15" s="166"/>
      <c r="O15" s="166"/>
      <c r="P15" s="166"/>
      <c r="Q15" s="166"/>
      <c r="S15" s="129">
        <v>0</v>
      </c>
    </row>
    <row r="16" spans="1:28" ht="12" customHeight="1" x14ac:dyDescent="0.2">
      <c r="C16" s="166" t="s">
        <v>197</v>
      </c>
      <c r="D16" s="166"/>
      <c r="E16" s="166"/>
      <c r="F16" s="166"/>
      <c r="H16" s="166" t="s">
        <v>198</v>
      </c>
      <c r="I16" s="166"/>
      <c r="J16" s="166"/>
      <c r="K16" s="166"/>
      <c r="L16" s="166"/>
      <c r="M16" s="166"/>
      <c r="N16" s="166"/>
      <c r="O16" s="166"/>
      <c r="P16" s="166"/>
      <c r="Q16" s="166"/>
      <c r="S16" s="129">
        <v>15362.97</v>
      </c>
    </row>
    <row r="17" spans="1:23" ht="12" customHeight="1" x14ac:dyDescent="0.2">
      <c r="C17" s="166" t="s">
        <v>58</v>
      </c>
      <c r="D17" s="166"/>
      <c r="E17" s="166"/>
      <c r="F17" s="166"/>
      <c r="H17" s="166" t="s">
        <v>59</v>
      </c>
      <c r="I17" s="166"/>
      <c r="J17" s="166"/>
      <c r="K17" s="166"/>
      <c r="L17" s="166"/>
      <c r="M17" s="166"/>
      <c r="N17" s="166"/>
      <c r="O17" s="166"/>
      <c r="P17" s="166"/>
      <c r="Q17" s="166"/>
      <c r="S17" s="129">
        <v>0</v>
      </c>
    </row>
    <row r="18" spans="1:23" ht="12" customHeight="1" x14ac:dyDescent="0.2">
      <c r="C18" s="166" t="s">
        <v>199</v>
      </c>
      <c r="D18" s="166"/>
      <c r="E18" s="166"/>
      <c r="F18" s="166"/>
      <c r="H18" s="166" t="s">
        <v>200</v>
      </c>
      <c r="I18" s="166"/>
      <c r="J18" s="166"/>
      <c r="K18" s="166"/>
      <c r="L18" s="166"/>
      <c r="M18" s="166"/>
      <c r="N18" s="166"/>
      <c r="O18" s="166"/>
      <c r="P18" s="166"/>
      <c r="Q18" s="166"/>
      <c r="S18" s="131">
        <f>104563.66+8000+74554.69</f>
        <v>187118.35</v>
      </c>
    </row>
    <row r="19" spans="1:23" ht="12" customHeight="1" x14ac:dyDescent="0.2">
      <c r="H19" s="164" t="s">
        <v>73</v>
      </c>
      <c r="I19" s="164"/>
      <c r="J19" s="164"/>
      <c r="K19" s="164"/>
      <c r="L19" s="164"/>
      <c r="M19" s="164"/>
      <c r="N19" s="164"/>
      <c r="O19" s="164"/>
      <c r="P19" s="164"/>
      <c r="U19" s="165">
        <f>SUM(S7:S18)</f>
        <v>5045773.2799999993</v>
      </c>
      <c r="V19" s="165"/>
      <c r="W19" s="165"/>
    </row>
    <row r="20" spans="1:23" ht="12" customHeight="1" x14ac:dyDescent="0.2"/>
    <row r="21" spans="1:23" ht="12" customHeight="1" x14ac:dyDescent="0.2">
      <c r="B21" s="164" t="s">
        <v>74</v>
      </c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23" ht="12" customHeight="1" x14ac:dyDescent="0.2">
      <c r="C22" s="166" t="s">
        <v>75</v>
      </c>
      <c r="D22" s="166"/>
      <c r="E22" s="166"/>
      <c r="F22" s="166"/>
      <c r="H22" s="166" t="s">
        <v>186</v>
      </c>
      <c r="I22" s="166"/>
      <c r="J22" s="166"/>
      <c r="K22" s="166"/>
      <c r="L22" s="166"/>
      <c r="M22" s="166"/>
      <c r="N22" s="166"/>
      <c r="O22" s="166"/>
      <c r="P22" s="166"/>
      <c r="Q22" s="166"/>
      <c r="S22" s="129">
        <v>138413.75</v>
      </c>
    </row>
    <row r="23" spans="1:23" ht="12" customHeight="1" x14ac:dyDescent="0.2">
      <c r="C23" s="166" t="s">
        <v>81</v>
      </c>
      <c r="D23" s="166"/>
      <c r="E23" s="166"/>
      <c r="F23" s="166"/>
      <c r="H23" s="166" t="s">
        <v>201</v>
      </c>
      <c r="I23" s="166"/>
      <c r="J23" s="166"/>
      <c r="K23" s="166"/>
      <c r="L23" s="166"/>
      <c r="M23" s="166"/>
      <c r="N23" s="166"/>
      <c r="O23" s="166"/>
      <c r="P23" s="166"/>
      <c r="Q23" s="166"/>
      <c r="S23" s="129">
        <v>193555.25</v>
      </c>
    </row>
    <row r="24" spans="1:23" ht="12" customHeight="1" x14ac:dyDescent="0.2">
      <c r="C24" s="166" t="s">
        <v>87</v>
      </c>
      <c r="D24" s="166"/>
      <c r="E24" s="166"/>
      <c r="F24" s="166"/>
      <c r="H24" s="166" t="s">
        <v>88</v>
      </c>
      <c r="I24" s="166"/>
      <c r="J24" s="166"/>
      <c r="K24" s="166"/>
      <c r="L24" s="166"/>
      <c r="M24" s="166"/>
      <c r="N24" s="166"/>
      <c r="O24" s="166"/>
      <c r="P24" s="166"/>
      <c r="Q24" s="166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6" t="s">
        <v>94</v>
      </c>
      <c r="I25" s="166"/>
      <c r="J25" s="166"/>
      <c r="K25" s="166"/>
      <c r="L25" s="166"/>
      <c r="M25" s="166"/>
      <c r="N25" s="166"/>
      <c r="O25" s="166"/>
      <c r="P25" s="166"/>
      <c r="Q25" s="166"/>
      <c r="S25" s="129">
        <v>0</v>
      </c>
    </row>
    <row r="26" spans="1:23" ht="12" customHeight="1" x14ac:dyDescent="0.2">
      <c r="C26" s="166" t="s">
        <v>99</v>
      </c>
      <c r="D26" s="166"/>
      <c r="E26" s="166"/>
      <c r="F26" s="166"/>
      <c r="H26" s="166" t="s">
        <v>187</v>
      </c>
      <c r="I26" s="166"/>
      <c r="J26" s="166"/>
      <c r="K26" s="166"/>
      <c r="L26" s="166"/>
      <c r="M26" s="166"/>
      <c r="N26" s="166"/>
      <c r="O26" s="166"/>
      <c r="P26" s="166"/>
      <c r="Q26" s="166"/>
      <c r="S26" s="131">
        <v>-604223.72</v>
      </c>
    </row>
    <row r="27" spans="1:23" ht="12" customHeight="1" x14ac:dyDescent="0.2">
      <c r="H27" s="164" t="s">
        <v>103</v>
      </c>
      <c r="I27" s="164"/>
      <c r="J27" s="164"/>
      <c r="K27" s="164"/>
      <c r="L27" s="164"/>
      <c r="M27" s="164"/>
      <c r="N27" s="164"/>
      <c r="O27" s="164"/>
      <c r="P27" s="164"/>
      <c r="U27" s="168">
        <f>SUM(S22:S26)</f>
        <v>443777.42000000004</v>
      </c>
      <c r="V27" s="168"/>
      <c r="W27" s="168"/>
    </row>
    <row r="28" spans="1:23" ht="12" customHeight="1" thickBot="1" x14ac:dyDescent="0.25">
      <c r="I28" s="164" t="s">
        <v>104</v>
      </c>
      <c r="J28" s="164"/>
      <c r="K28" s="164"/>
      <c r="L28" s="164"/>
      <c r="M28" s="164"/>
      <c r="N28" s="164"/>
      <c r="O28" s="164"/>
      <c r="P28" s="164"/>
      <c r="U28" s="171">
        <f>U27+U19</f>
        <v>5489550.6999999993</v>
      </c>
      <c r="V28" s="171"/>
      <c r="W28" s="171"/>
    </row>
    <row r="29" spans="1:23" ht="12" customHeight="1" thickTop="1" x14ac:dyDescent="0.2"/>
    <row r="30" spans="1:23" ht="12" customHeight="1" x14ac:dyDescent="0.2">
      <c r="A30" s="164" t="s">
        <v>105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  <row r="31" spans="1:23" ht="12" customHeight="1" x14ac:dyDescent="0.2">
      <c r="B31" s="164" t="s">
        <v>106</v>
      </c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23" ht="12" customHeight="1" x14ac:dyDescent="0.2">
      <c r="C32" s="166" t="s">
        <v>109</v>
      </c>
      <c r="D32" s="166"/>
      <c r="E32" s="166"/>
      <c r="F32" s="166"/>
      <c r="H32" s="166" t="s">
        <v>110</v>
      </c>
      <c r="I32" s="166"/>
      <c r="J32" s="166"/>
      <c r="K32" s="166"/>
      <c r="L32" s="166"/>
      <c r="M32" s="166"/>
      <c r="N32" s="166"/>
      <c r="O32" s="166"/>
      <c r="P32" s="166"/>
      <c r="Q32" s="166"/>
      <c r="S32" s="129">
        <v>3161.36</v>
      </c>
    </row>
    <row r="33" spans="1:23" ht="12.75" customHeight="1" x14ac:dyDescent="0.2">
      <c r="C33" s="166" t="s">
        <v>111</v>
      </c>
      <c r="D33" s="166"/>
      <c r="E33" s="166"/>
      <c r="F33" s="166"/>
      <c r="H33" s="166" t="s">
        <v>237</v>
      </c>
      <c r="I33" s="166"/>
      <c r="J33" s="166"/>
      <c r="K33" s="166"/>
      <c r="L33" s="166"/>
      <c r="M33" s="166"/>
      <c r="N33" s="166"/>
      <c r="O33" s="166"/>
      <c r="P33" s="166"/>
      <c r="Q33" s="166"/>
      <c r="S33" s="129">
        <v>0</v>
      </c>
    </row>
    <row r="34" spans="1:23" ht="12" customHeight="1" x14ac:dyDescent="0.2">
      <c r="C34" s="166" t="s">
        <v>225</v>
      </c>
      <c r="D34" s="166"/>
      <c r="E34" s="166"/>
      <c r="F34" s="166"/>
      <c r="H34" s="166" t="s">
        <v>238</v>
      </c>
      <c r="I34" s="166"/>
      <c r="J34" s="166"/>
      <c r="K34" s="166"/>
      <c r="L34" s="166"/>
      <c r="M34" s="166"/>
      <c r="N34" s="166"/>
      <c r="O34" s="166"/>
      <c r="P34" s="166"/>
      <c r="Q34" s="166"/>
      <c r="S34" s="129">
        <v>0</v>
      </c>
    </row>
    <row r="35" spans="1:23" ht="12" customHeight="1" x14ac:dyDescent="0.2">
      <c r="C35" s="166" t="s">
        <v>113</v>
      </c>
      <c r="D35" s="166"/>
      <c r="E35" s="166"/>
      <c r="F35" s="166"/>
      <c r="H35" s="166" t="s">
        <v>239</v>
      </c>
      <c r="I35" s="166"/>
      <c r="J35" s="166"/>
      <c r="K35" s="166"/>
      <c r="L35" s="166"/>
      <c r="M35" s="166"/>
      <c r="N35" s="166"/>
      <c r="O35" s="166"/>
      <c r="P35" s="166"/>
      <c r="Q35" s="166"/>
      <c r="S35" s="129">
        <v>0</v>
      </c>
    </row>
    <row r="36" spans="1:23" ht="12" customHeight="1" x14ac:dyDescent="0.2">
      <c r="C36" s="166">
        <v>2150</v>
      </c>
      <c r="D36" s="166"/>
      <c r="E36" s="166"/>
      <c r="F36" s="166"/>
      <c r="H36" s="166" t="s">
        <v>189</v>
      </c>
      <c r="I36" s="166"/>
      <c r="J36" s="166"/>
      <c r="K36" s="166"/>
      <c r="L36" s="166"/>
      <c r="M36" s="166"/>
      <c r="N36" s="166"/>
      <c r="O36" s="166"/>
      <c r="P36" s="166"/>
      <c r="Q36" s="166"/>
      <c r="S36" s="121">
        <v>37.479999999999997</v>
      </c>
    </row>
    <row r="37" spans="1:23" ht="12" customHeight="1" x14ac:dyDescent="0.2">
      <c r="C37" s="166" t="s">
        <v>117</v>
      </c>
      <c r="D37" s="166"/>
      <c r="E37" s="166"/>
      <c r="F37" s="166"/>
      <c r="H37" s="166" t="s">
        <v>118</v>
      </c>
      <c r="I37" s="166"/>
      <c r="J37" s="166"/>
      <c r="K37" s="166"/>
      <c r="L37" s="166"/>
      <c r="M37" s="166"/>
      <c r="N37" s="166"/>
      <c r="O37" s="166"/>
      <c r="P37" s="166"/>
      <c r="Q37" s="166"/>
      <c r="S37" s="129">
        <v>181998.74</v>
      </c>
    </row>
    <row r="38" spans="1:23" ht="12" customHeight="1" x14ac:dyDescent="0.2">
      <c r="C38" s="166" t="s">
        <v>119</v>
      </c>
      <c r="D38" s="166"/>
      <c r="E38" s="166"/>
      <c r="F38" s="166"/>
      <c r="H38" s="166" t="s">
        <v>190</v>
      </c>
      <c r="I38" s="166"/>
      <c r="J38" s="166"/>
      <c r="K38" s="166"/>
      <c r="L38" s="166"/>
      <c r="M38" s="166"/>
      <c r="N38" s="166"/>
      <c r="O38" s="166"/>
      <c r="P38" s="166"/>
      <c r="Q38" s="166"/>
      <c r="S38" s="129">
        <v>39066.29</v>
      </c>
    </row>
    <row r="39" spans="1:23" ht="12" customHeight="1" x14ac:dyDescent="0.2">
      <c r="C39" s="166">
        <v>2215</v>
      </c>
      <c r="D39" s="166"/>
      <c r="E39" s="166"/>
      <c r="F39" s="166"/>
      <c r="H39" s="166" t="s">
        <v>637</v>
      </c>
      <c r="I39" s="166"/>
      <c r="J39" s="166"/>
      <c r="K39" s="166"/>
      <c r="L39" s="166"/>
      <c r="M39" s="166"/>
      <c r="N39" s="166"/>
      <c r="O39" s="166"/>
      <c r="P39" s="166"/>
      <c r="Q39" s="166"/>
      <c r="S39" s="121">
        <v>13898</v>
      </c>
    </row>
    <row r="40" spans="1:23" ht="12.75" customHeight="1" x14ac:dyDescent="0.2">
      <c r="C40" s="166" t="s">
        <v>125</v>
      </c>
      <c r="D40" s="166"/>
      <c r="E40" s="166"/>
      <c r="F40" s="166"/>
      <c r="H40" s="166" t="s">
        <v>202</v>
      </c>
      <c r="I40" s="166"/>
      <c r="J40" s="166"/>
      <c r="K40" s="166"/>
      <c r="L40" s="166"/>
      <c r="M40" s="166"/>
      <c r="N40" s="166"/>
      <c r="O40" s="166"/>
      <c r="P40" s="166"/>
      <c r="Q40" s="166"/>
      <c r="S40" s="129">
        <v>0</v>
      </c>
    </row>
    <row r="41" spans="1:23" ht="12" customHeight="1" x14ac:dyDescent="0.2">
      <c r="C41" s="166" t="s">
        <v>127</v>
      </c>
      <c r="D41" s="166"/>
      <c r="E41" s="166"/>
      <c r="F41" s="166"/>
      <c r="H41" s="166" t="s">
        <v>203</v>
      </c>
      <c r="I41" s="166"/>
      <c r="J41" s="166"/>
      <c r="K41" s="166"/>
      <c r="L41" s="166"/>
      <c r="M41" s="166"/>
      <c r="N41" s="166"/>
      <c r="O41" s="166"/>
      <c r="P41" s="166"/>
      <c r="Q41" s="166"/>
      <c r="S41" s="129">
        <v>36815.99</v>
      </c>
    </row>
    <row r="42" spans="1:23" ht="12" customHeight="1" x14ac:dyDescent="0.2">
      <c r="C42" s="166" t="s">
        <v>129</v>
      </c>
      <c r="D42" s="166"/>
      <c r="E42" s="166"/>
      <c r="F42" s="166"/>
      <c r="H42" s="166" t="s">
        <v>191</v>
      </c>
      <c r="I42" s="166"/>
      <c r="J42" s="166"/>
      <c r="K42" s="166"/>
      <c r="L42" s="166"/>
      <c r="M42" s="166"/>
      <c r="N42" s="166"/>
      <c r="O42" s="166"/>
      <c r="P42" s="166"/>
      <c r="Q42" s="166"/>
      <c r="S42" s="129">
        <v>2849.45</v>
      </c>
    </row>
    <row r="43" spans="1:23" ht="12" customHeight="1" x14ac:dyDescent="0.2">
      <c r="C43" s="166">
        <v>2401</v>
      </c>
      <c r="D43" s="166"/>
      <c r="E43" s="166"/>
      <c r="F43" s="166"/>
      <c r="H43" s="166" t="s">
        <v>205</v>
      </c>
      <c r="I43" s="166"/>
      <c r="J43" s="166"/>
      <c r="K43" s="166"/>
      <c r="L43" s="166"/>
      <c r="M43" s="166"/>
      <c r="N43" s="166"/>
      <c r="O43" s="166"/>
      <c r="P43" s="166"/>
      <c r="Q43" s="166"/>
      <c r="S43" s="78">
        <v>213898.98</v>
      </c>
    </row>
    <row r="44" spans="1:23" ht="12" customHeight="1" x14ac:dyDescent="0.2">
      <c r="C44" s="166">
        <v>2402</v>
      </c>
      <c r="D44" s="166"/>
      <c r="E44" s="166"/>
      <c r="F44" s="166"/>
      <c r="H44" s="166" t="s">
        <v>678</v>
      </c>
      <c r="I44" s="166"/>
      <c r="J44" s="166"/>
      <c r="K44" s="166"/>
      <c r="L44" s="166"/>
      <c r="M44" s="166"/>
      <c r="N44" s="166"/>
      <c r="O44" s="166"/>
      <c r="P44" s="166"/>
      <c r="Q44" s="166"/>
      <c r="S44" s="78">
        <v>0</v>
      </c>
    </row>
    <row r="45" spans="1:23" ht="12" customHeight="1" x14ac:dyDescent="0.2">
      <c r="H45" s="164" t="s">
        <v>148</v>
      </c>
      <c r="I45" s="164"/>
      <c r="J45" s="164"/>
      <c r="K45" s="164"/>
      <c r="L45" s="164"/>
      <c r="M45" s="164"/>
      <c r="N45" s="164"/>
      <c r="O45" s="164"/>
      <c r="P45" s="164"/>
      <c r="U45" s="168">
        <f>SUM(S32:S44)</f>
        <v>491726.29000000004</v>
      </c>
      <c r="V45" s="168"/>
      <c r="W45" s="168"/>
    </row>
    <row r="46" spans="1:23" ht="12" customHeight="1" x14ac:dyDescent="0.2">
      <c r="I46" s="164" t="s">
        <v>159</v>
      </c>
      <c r="J46" s="164"/>
      <c r="K46" s="164"/>
      <c r="L46" s="164"/>
      <c r="M46" s="164"/>
      <c r="N46" s="164"/>
      <c r="O46" s="164"/>
      <c r="P46" s="164"/>
      <c r="U46" s="168">
        <f>U45</f>
        <v>491726.29000000004</v>
      </c>
      <c r="V46" s="168"/>
      <c r="W46" s="168"/>
    </row>
    <row r="47" spans="1:23" ht="12" customHeight="1" x14ac:dyDescent="0.2">
      <c r="A47" s="164" t="s">
        <v>160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S47" s="129"/>
    </row>
    <row r="48" spans="1:23" ht="12" customHeight="1" x14ac:dyDescent="0.2">
      <c r="C48" s="166" t="s">
        <v>161</v>
      </c>
      <c r="D48" s="166"/>
      <c r="E48" s="166"/>
      <c r="F48" s="166"/>
      <c r="H48" s="166" t="s">
        <v>162</v>
      </c>
      <c r="I48" s="166"/>
      <c r="J48" s="166"/>
      <c r="K48" s="166"/>
      <c r="L48" s="166"/>
      <c r="M48" s="166"/>
      <c r="N48" s="166"/>
      <c r="O48" s="166"/>
      <c r="P48" s="166"/>
      <c r="Q48" s="166"/>
      <c r="S48" s="129">
        <v>1000</v>
      </c>
    </row>
    <row r="49" spans="3:28" ht="12" customHeight="1" x14ac:dyDescent="0.2">
      <c r="C49" s="166" t="s">
        <v>165</v>
      </c>
      <c r="D49" s="166"/>
      <c r="E49" s="166"/>
      <c r="F49" s="166"/>
      <c r="H49" s="166" t="s">
        <v>567</v>
      </c>
      <c r="I49" s="166"/>
      <c r="J49" s="166"/>
      <c r="K49" s="166"/>
      <c r="L49" s="166"/>
      <c r="M49" s="166"/>
      <c r="N49" s="166"/>
      <c r="O49" s="166"/>
      <c r="P49" s="166"/>
      <c r="Q49" s="166"/>
      <c r="S49" s="129">
        <v>0</v>
      </c>
    </row>
    <row r="50" spans="3:28" ht="12" customHeight="1" x14ac:dyDescent="0.2">
      <c r="C50" s="166" t="s">
        <v>165</v>
      </c>
      <c r="D50" s="166"/>
      <c r="E50" s="166"/>
      <c r="F50" s="166"/>
      <c r="H50" s="166" t="s">
        <v>166</v>
      </c>
      <c r="I50" s="166"/>
      <c r="J50" s="166"/>
      <c r="K50" s="166"/>
      <c r="L50" s="166"/>
      <c r="M50" s="166"/>
      <c r="N50" s="166"/>
      <c r="O50" s="166"/>
      <c r="P50" s="166"/>
      <c r="Q50" s="166"/>
      <c r="S50" s="136">
        <v>829796.72</v>
      </c>
    </row>
    <row r="51" spans="3:28" ht="12" customHeight="1" x14ac:dyDescent="0.2">
      <c r="C51" s="166" t="s">
        <v>206</v>
      </c>
      <c r="D51" s="166"/>
      <c r="E51" s="166"/>
      <c r="F51" s="166"/>
      <c r="H51" s="166" t="s">
        <v>207</v>
      </c>
      <c r="I51" s="166"/>
      <c r="J51" s="166"/>
      <c r="K51" s="166"/>
      <c r="L51" s="166"/>
      <c r="M51" s="166"/>
      <c r="N51" s="166"/>
      <c r="O51" s="166"/>
      <c r="P51" s="166"/>
      <c r="Q51" s="166"/>
      <c r="S51" s="129">
        <v>20835.169999999998</v>
      </c>
    </row>
    <row r="52" spans="3:28" ht="12" customHeight="1" x14ac:dyDescent="0.2">
      <c r="C52" s="166" t="s">
        <v>208</v>
      </c>
      <c r="D52" s="166"/>
      <c r="E52" s="166"/>
      <c r="F52" s="166"/>
      <c r="H52" s="166" t="s">
        <v>209</v>
      </c>
      <c r="I52" s="166"/>
      <c r="J52" s="166"/>
      <c r="K52" s="166"/>
      <c r="L52" s="166"/>
      <c r="M52" s="166"/>
      <c r="N52" s="166"/>
      <c r="O52" s="166"/>
      <c r="P52" s="166"/>
      <c r="Q52" s="166"/>
      <c r="S52" s="129">
        <v>1375119.12</v>
      </c>
    </row>
    <row r="53" spans="3:28" ht="12" customHeight="1" x14ac:dyDescent="0.2">
      <c r="C53" s="166" t="s">
        <v>210</v>
      </c>
      <c r="D53" s="166"/>
      <c r="E53" s="166"/>
      <c r="F53" s="166"/>
      <c r="H53" s="166" t="s">
        <v>211</v>
      </c>
      <c r="I53" s="166"/>
      <c r="J53" s="166"/>
      <c r="K53" s="166"/>
      <c r="L53" s="166"/>
      <c r="M53" s="166"/>
      <c r="N53" s="166"/>
      <c r="O53" s="166"/>
      <c r="P53" s="166"/>
      <c r="Q53" s="166"/>
      <c r="S53" s="129">
        <v>1375119.12</v>
      </c>
    </row>
    <row r="54" spans="3:28" ht="12" customHeight="1" x14ac:dyDescent="0.2">
      <c r="C54" s="166" t="s">
        <v>212</v>
      </c>
      <c r="D54" s="166"/>
      <c r="E54" s="166"/>
      <c r="F54" s="166"/>
      <c r="H54" s="166" t="s">
        <v>213</v>
      </c>
      <c r="I54" s="166"/>
      <c r="J54" s="166"/>
      <c r="K54" s="166"/>
      <c r="L54" s="166"/>
      <c r="M54" s="166"/>
      <c r="N54" s="166"/>
      <c r="O54" s="166"/>
      <c r="P54" s="166"/>
      <c r="Q54" s="166"/>
      <c r="S54" s="136">
        <v>1375119.12</v>
      </c>
      <c r="AB54" s="98" t="s">
        <v>105</v>
      </c>
    </row>
    <row r="55" spans="3:28" ht="12" customHeight="1" x14ac:dyDescent="0.2">
      <c r="C55" s="166" t="s">
        <v>214</v>
      </c>
      <c r="D55" s="166"/>
      <c r="E55" s="166"/>
      <c r="F55" s="166"/>
      <c r="H55" s="166" t="s">
        <v>215</v>
      </c>
      <c r="I55" s="166"/>
      <c r="J55" s="166"/>
      <c r="K55" s="166"/>
      <c r="L55" s="166"/>
      <c r="M55" s="166"/>
      <c r="N55" s="166"/>
      <c r="O55" s="166"/>
      <c r="P55" s="166"/>
      <c r="Q55" s="166"/>
      <c r="S55" s="129">
        <v>20835.16</v>
      </c>
    </row>
    <row r="56" spans="3:28" ht="12" customHeight="1" x14ac:dyDescent="0.2">
      <c r="I56" s="164" t="s">
        <v>176</v>
      </c>
      <c r="J56" s="164"/>
      <c r="K56" s="164"/>
      <c r="L56" s="164"/>
      <c r="M56" s="164"/>
      <c r="N56" s="164"/>
      <c r="O56" s="164"/>
      <c r="P56" s="164"/>
      <c r="U56" s="168">
        <f>SUM(S48:S55)</f>
        <v>4997824.41</v>
      </c>
      <c r="V56" s="168"/>
      <c r="W56" s="168"/>
    </row>
    <row r="57" spans="3:28" ht="12" customHeight="1" x14ac:dyDescent="0.2">
      <c r="I57" s="164" t="s">
        <v>177</v>
      </c>
      <c r="J57" s="164"/>
      <c r="K57" s="164"/>
      <c r="L57" s="164"/>
      <c r="M57" s="164"/>
      <c r="N57" s="164"/>
      <c r="O57" s="164"/>
      <c r="P57" s="164"/>
    </row>
    <row r="58" spans="3:28" ht="13.5" customHeight="1" thickBot="1" x14ac:dyDescent="0.25">
      <c r="I58" s="164"/>
      <c r="J58" s="164"/>
      <c r="K58" s="164"/>
      <c r="L58" s="164"/>
      <c r="M58" s="164"/>
      <c r="N58" s="164"/>
      <c r="O58" s="164"/>
      <c r="P58" s="164"/>
      <c r="U58" s="206">
        <f>U56+U46</f>
        <v>5489550.7000000002</v>
      </c>
      <c r="V58" s="206"/>
      <c r="W58" s="206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C13:F13"/>
    <mergeCell ref="H13:Q13"/>
    <mergeCell ref="C11:F11"/>
    <mergeCell ref="H11:Q11"/>
    <mergeCell ref="C15:F15"/>
    <mergeCell ref="H15:Q15"/>
    <mergeCell ref="C14:F14"/>
    <mergeCell ref="H14:Q14"/>
    <mergeCell ref="C16:F16"/>
    <mergeCell ref="H16:Q16"/>
    <mergeCell ref="C17:F17"/>
    <mergeCell ref="H17:Q17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C26:F26"/>
    <mergeCell ref="H26:Q26"/>
    <mergeCell ref="H25:Q25"/>
    <mergeCell ref="H27:P27"/>
    <mergeCell ref="U27:W27"/>
    <mergeCell ref="I28:P28"/>
    <mergeCell ref="U28:W28"/>
    <mergeCell ref="A30:M30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7:F37"/>
    <mergeCell ref="H37:Q37"/>
    <mergeCell ref="C36:F36"/>
    <mergeCell ref="H36:Q36"/>
    <mergeCell ref="C38:F38"/>
    <mergeCell ref="H38:Q38"/>
    <mergeCell ref="C40:F40"/>
    <mergeCell ref="H40:Q40"/>
    <mergeCell ref="C41:F41"/>
    <mergeCell ref="H41:Q41"/>
    <mergeCell ref="C39:F39"/>
    <mergeCell ref="H39:Q39"/>
    <mergeCell ref="C43:F43"/>
    <mergeCell ref="H43:Q43"/>
    <mergeCell ref="H45:P45"/>
    <mergeCell ref="U45:W45"/>
    <mergeCell ref="I46:P46"/>
    <mergeCell ref="U46:W46"/>
    <mergeCell ref="C44:F44"/>
    <mergeCell ref="H44:Q44"/>
    <mergeCell ref="A47:M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1" t="s">
        <v>407</v>
      </c>
      <c r="C2" s="191"/>
      <c r="D2" s="191"/>
      <c r="E2" s="191"/>
      <c r="F2" s="191"/>
    </row>
    <row r="3" spans="1:19" x14ac:dyDescent="0.2">
      <c r="A3" s="100"/>
      <c r="B3" s="191"/>
      <c r="C3" s="191"/>
      <c r="D3" s="191"/>
      <c r="E3" s="191"/>
      <c r="F3" s="19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7" t="s">
        <v>705</v>
      </c>
      <c r="B2" s="208"/>
      <c r="C2" s="208"/>
      <c r="D2" s="208"/>
      <c r="E2" s="208"/>
      <c r="F2" s="209"/>
    </row>
    <row r="3" spans="1:19" x14ac:dyDescent="0.2">
      <c r="A3" s="210"/>
      <c r="B3" s="211"/>
      <c r="C3" s="211"/>
      <c r="D3" s="211"/>
      <c r="E3" s="211"/>
      <c r="F3" s="212"/>
    </row>
    <row r="4" spans="1:19" x14ac:dyDescent="0.2">
      <c r="A4" s="210"/>
      <c r="B4" s="211"/>
      <c r="C4" s="211"/>
      <c r="D4" s="211"/>
      <c r="E4" s="211"/>
      <c r="F4" s="212"/>
    </row>
    <row r="5" spans="1:19" x14ac:dyDescent="0.2">
      <c r="A5" s="213"/>
      <c r="B5" s="214"/>
      <c r="C5" s="214"/>
      <c r="D5" s="214"/>
      <c r="E5" s="214"/>
      <c r="F5" s="215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tabSelected="1" zoomScale="60" zoomScaleNormal="60" zoomScaleSheetLayoutView="75" workbookViewId="0">
      <pane ySplit="4" topLeftCell="A137" activePane="bottomLeft" state="frozen"/>
      <selection activeCell="D162" sqref="D162"/>
      <selection pane="bottomLeft" activeCell="H54" sqref="H54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3" style="2" bestFit="1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3" style="2" bestFit="1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3" t="s">
        <v>252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 t="s">
        <v>252</v>
      </c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 t="s">
        <v>252</v>
      </c>
      <c r="AH1" s="163"/>
      <c r="AI1" s="163"/>
      <c r="AJ1" s="163"/>
      <c r="AK1" s="163"/>
      <c r="AL1" s="163"/>
      <c r="AM1" s="163"/>
      <c r="AN1" s="163"/>
      <c r="AO1" s="37"/>
      <c r="AP1" s="28"/>
    </row>
    <row r="2" spans="1:42" s="29" customFormat="1" ht="46.5" x14ac:dyDescent="0.2">
      <c r="A2" s="163" t="s">
        <v>753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 t="s">
        <v>754</v>
      </c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 t="s">
        <v>251</v>
      </c>
      <c r="AH2" s="163"/>
      <c r="AI2" s="163"/>
      <c r="AJ2" s="163"/>
      <c r="AK2" s="163"/>
      <c r="AL2" s="163"/>
      <c r="AM2" s="163"/>
      <c r="AN2" s="163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3" t="s">
        <v>755</v>
      </c>
      <c r="AH3" s="163"/>
      <c r="AI3" s="163"/>
      <c r="AJ3" s="163"/>
      <c r="AK3" s="163"/>
      <c r="AL3" s="163"/>
      <c r="AM3" s="163"/>
      <c r="AN3" s="163"/>
    </row>
    <row r="4" spans="1:42" s="31" customFormat="1" ht="105.7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201487.73</v>
      </c>
      <c r="C7" s="12"/>
      <c r="D7" s="12">
        <f>SUM(BPM!S11)</f>
        <v>46627.16</v>
      </c>
      <c r="E7" s="12"/>
      <c r="F7" s="12">
        <f>SUM(DEP!S7)</f>
        <v>723825.09</v>
      </c>
      <c r="G7" s="12"/>
      <c r="H7" s="12">
        <f>Lending!F13</f>
        <v>770.46</v>
      </c>
      <c r="J7" s="12">
        <f>BSC!F5+BSC!F6+BSC!F7</f>
        <v>89488.98</v>
      </c>
      <c r="L7" s="12">
        <f>'Oliari Co'!F10</f>
        <v>278849.59999999998</v>
      </c>
      <c r="N7" s="12">
        <f>'722 Bedford St'!E10</f>
        <v>222840.09</v>
      </c>
      <c r="P7" s="12">
        <f>SUM(B7:N7)</f>
        <v>1563889.11</v>
      </c>
      <c r="Q7" s="11" t="s">
        <v>246</v>
      </c>
      <c r="R7" s="54">
        <v>3129797.08</v>
      </c>
      <c r="S7" s="12"/>
      <c r="T7" s="54">
        <v>206468.76</v>
      </c>
      <c r="U7" s="12"/>
      <c r="V7" s="54">
        <v>379962.62</v>
      </c>
      <c r="W7" s="12"/>
      <c r="X7" s="54">
        <v>14522.29</v>
      </c>
      <c r="Z7" s="54">
        <v>157911.83000000002</v>
      </c>
      <c r="AB7" s="54">
        <v>460076.6</v>
      </c>
      <c r="AD7" s="54">
        <v>107376.12</v>
      </c>
      <c r="AF7" s="12">
        <f>SUM(R7:AD7)</f>
        <v>4456115.3</v>
      </c>
      <c r="AG7" s="11" t="s">
        <v>246</v>
      </c>
      <c r="AH7" s="122">
        <f>P7</f>
        <v>1563889.11</v>
      </c>
      <c r="AI7" s="12"/>
      <c r="AJ7" s="12">
        <f>AF7</f>
        <v>4456115.3</v>
      </c>
      <c r="AK7" s="12"/>
      <c r="AL7" s="12">
        <f t="shared" ref="AL7:AL15" si="0">AH7-AJ7</f>
        <v>-2892226.1899999995</v>
      </c>
      <c r="AM7" s="12"/>
      <c r="AN7" s="13">
        <f>AH7/AJ7</f>
        <v>0.35095346612777278</v>
      </c>
      <c r="AO7" s="13"/>
      <c r="AP7" s="14">
        <f t="shared" ref="AP7:AP15" si="1">AN7-1</f>
        <v>-0.64904653387222722</v>
      </c>
    </row>
    <row r="8" spans="1:42" s="9" customFormat="1" ht="24.95" customHeight="1" x14ac:dyDescent="0.2">
      <c r="A8" s="9" t="s">
        <v>247</v>
      </c>
      <c r="B8" s="12">
        <f>CNT!S17</f>
        <v>2733836.45</v>
      </c>
      <c r="C8" s="12"/>
      <c r="D8" s="12">
        <f>SUM(BPM!S12:S13)</f>
        <v>0</v>
      </c>
      <c r="E8" s="12"/>
      <c r="F8" s="12">
        <f>SUM(DEP!S8)</f>
        <v>7290.97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2741127.4200000004</v>
      </c>
      <c r="Q8" s="9" t="s">
        <v>247</v>
      </c>
      <c r="R8" s="54">
        <v>4816888.8</v>
      </c>
      <c r="S8" s="12"/>
      <c r="T8" s="54">
        <v>273841.27</v>
      </c>
      <c r="U8" s="12"/>
      <c r="V8" s="54">
        <v>3390.76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5094120.83</v>
      </c>
      <c r="AG8" s="9" t="s">
        <v>247</v>
      </c>
      <c r="AH8" s="122">
        <f t="shared" ref="AH8:AH32" si="4">P8</f>
        <v>2741127.4200000004</v>
      </c>
      <c r="AI8" s="12"/>
      <c r="AJ8" s="12">
        <f t="shared" ref="AJ8:AJ32" si="5">AF8</f>
        <v>5094120.83</v>
      </c>
      <c r="AK8" s="12"/>
      <c r="AL8" s="12">
        <f t="shared" si="0"/>
        <v>-2352993.4099999997</v>
      </c>
      <c r="AM8" s="12"/>
      <c r="AN8" s="13">
        <f>AH8/AJ8</f>
        <v>0.53809627048049435</v>
      </c>
      <c r="AO8" s="13"/>
      <c r="AP8" s="14">
        <f t="shared" si="1"/>
        <v>-0.46190372951950565</v>
      </c>
    </row>
    <row r="9" spans="1:42" s="9" customFormat="1" ht="24.95" customHeight="1" x14ac:dyDescent="0.2">
      <c r="A9" s="9" t="s">
        <v>254</v>
      </c>
      <c r="B9" s="12">
        <f>CNT!S53+CNT!S88</f>
        <v>105248.16</v>
      </c>
      <c r="C9" s="12"/>
      <c r="D9" s="12">
        <v>0</v>
      </c>
      <c r="E9" s="12"/>
      <c r="F9" s="12">
        <f>DEP!S31</f>
        <v>898.85</v>
      </c>
      <c r="G9" s="12"/>
      <c r="H9" s="12">
        <f>Lending!F16+Lending!F18</f>
        <v>798626.25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904773.26</v>
      </c>
      <c r="Q9" s="9" t="s">
        <v>254</v>
      </c>
      <c r="R9" s="54">
        <v>124738.5</v>
      </c>
      <c r="S9" s="12"/>
      <c r="T9" s="54">
        <v>0</v>
      </c>
      <c r="U9" s="12"/>
      <c r="V9" s="54">
        <v>1802.8</v>
      </c>
      <c r="W9" s="12"/>
      <c r="X9" s="54">
        <v>1014083.7</v>
      </c>
      <c r="Z9" s="54">
        <v>0</v>
      </c>
      <c r="AB9" s="54">
        <v>0</v>
      </c>
      <c r="AD9" s="54">
        <v>0</v>
      </c>
      <c r="AF9" s="12">
        <f t="shared" si="3"/>
        <v>1140625</v>
      </c>
      <c r="AG9" s="9" t="s">
        <v>254</v>
      </c>
      <c r="AH9" s="122">
        <f t="shared" si="4"/>
        <v>904773.26</v>
      </c>
      <c r="AI9" s="12"/>
      <c r="AJ9" s="12">
        <f t="shared" si="5"/>
        <v>1140625</v>
      </c>
      <c r="AK9" s="12"/>
      <c r="AL9" s="12">
        <f t="shared" si="0"/>
        <v>-235851.74</v>
      </c>
      <c r="AM9" s="12"/>
      <c r="AN9" s="13">
        <f t="shared" ref="AN9:AN15" si="6">AH9/AJ9</f>
        <v>0.79322587178082193</v>
      </c>
      <c r="AO9" s="13"/>
      <c r="AP9" s="14">
        <f t="shared" si="1"/>
        <v>-0.20677412821917807</v>
      </c>
    </row>
    <row r="10" spans="1:42" s="9" customFormat="1" ht="24.95" customHeight="1" x14ac:dyDescent="0.2">
      <c r="A10" s="9" t="s">
        <v>741</v>
      </c>
      <c r="B10" s="12">
        <f>CNT!S39</f>
        <v>1351985.58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1351985.58</v>
      </c>
      <c r="Q10" s="9" t="s">
        <v>741</v>
      </c>
      <c r="R10" s="54"/>
      <c r="S10" s="12"/>
      <c r="T10" s="54"/>
      <c r="U10" s="12"/>
      <c r="V10" s="54"/>
      <c r="W10" s="12"/>
      <c r="X10" s="54"/>
      <c r="Z10" s="54"/>
      <c r="AB10" s="54"/>
      <c r="AD10" s="54"/>
      <c r="AF10" s="12">
        <f t="shared" si="3"/>
        <v>0</v>
      </c>
      <c r="AG10" s="9" t="s">
        <v>741</v>
      </c>
      <c r="AH10" s="122">
        <f t="shared" si="4"/>
        <v>1351985.58</v>
      </c>
      <c r="AI10" s="12"/>
      <c r="AJ10" s="12">
        <f t="shared" si="5"/>
        <v>0</v>
      </c>
      <c r="AK10" s="12"/>
      <c r="AL10" s="12">
        <f t="shared" si="0"/>
        <v>1351985.58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0</v>
      </c>
      <c r="C11" s="12"/>
      <c r="D11" s="12">
        <v>0</v>
      </c>
      <c r="E11" s="12"/>
      <c r="F11" s="12">
        <f>DEP!S16+DEP!S17+DEP!S18</f>
        <v>329822.2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329822.2</v>
      </c>
      <c r="Q11" s="9" t="s">
        <v>255</v>
      </c>
      <c r="R11" s="54">
        <v>0</v>
      </c>
      <c r="S11" s="12"/>
      <c r="T11" s="54">
        <v>0</v>
      </c>
      <c r="U11" s="12"/>
      <c r="V11" s="54">
        <v>223646.7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223646.7</v>
      </c>
      <c r="AG11" s="9" t="s">
        <v>255</v>
      </c>
      <c r="AH11" s="122">
        <f t="shared" si="4"/>
        <v>329822.2</v>
      </c>
      <c r="AI11" s="12"/>
      <c r="AJ11" s="12">
        <f t="shared" si="5"/>
        <v>223646.7</v>
      </c>
      <c r="AK11" s="12"/>
      <c r="AL11" s="12">
        <f t="shared" si="0"/>
        <v>106175.5</v>
      </c>
      <c r="AM11" s="12"/>
      <c r="AN11" s="13">
        <f t="shared" si="6"/>
        <v>1.4747465533808457</v>
      </c>
      <c r="AO11" s="13"/>
      <c r="AP11" s="14">
        <f t="shared" si="1"/>
        <v>0.4747465533808457</v>
      </c>
    </row>
    <row r="12" spans="1:42" s="9" customFormat="1" ht="24.95" customHeight="1" x14ac:dyDescent="0.2">
      <c r="A12" s="9" t="s">
        <v>256</v>
      </c>
      <c r="B12" s="12">
        <f>SUM(CNT!S30:S33,CNT!S45:S47,CNT!S48)</f>
        <v>395251.47000000003</v>
      </c>
      <c r="C12" s="12"/>
      <c r="D12" s="12">
        <f>SUM(BPM!S18)</f>
        <v>300000</v>
      </c>
      <c r="E12" s="12"/>
      <c r="F12" s="12">
        <f>DEP!S10+DEP!S9+DEP!S11</f>
        <v>8600030.7699999996</v>
      </c>
      <c r="G12" s="12"/>
      <c r="H12" s="12">
        <v>0</v>
      </c>
      <c r="J12" s="12">
        <f>BSC!F13</f>
        <v>0</v>
      </c>
      <c r="L12" s="12">
        <f>'Oliari Co'!F17</f>
        <v>2136025.0099999998</v>
      </c>
      <c r="N12" s="12">
        <f>'722 Bedford St'!E13+'722 Bedford St'!E14</f>
        <v>1900000</v>
      </c>
      <c r="P12" s="12">
        <f t="shared" si="2"/>
        <v>13331307.25</v>
      </c>
      <c r="Q12" s="9" t="s">
        <v>256</v>
      </c>
      <c r="R12" s="54">
        <v>887603.78</v>
      </c>
      <c r="S12" s="12"/>
      <c r="T12" s="54">
        <v>280000</v>
      </c>
      <c r="U12" s="12"/>
      <c r="V12" s="54">
        <v>5700000</v>
      </c>
      <c r="W12" s="12"/>
      <c r="X12" s="54">
        <v>0</v>
      </c>
      <c r="Z12" s="54">
        <v>250000</v>
      </c>
      <c r="AB12" s="54">
        <v>1668739.82</v>
      </c>
      <c r="AD12" s="54">
        <v>750000</v>
      </c>
      <c r="AF12" s="12">
        <f t="shared" si="3"/>
        <v>9536343.5999999996</v>
      </c>
      <c r="AG12" s="9" t="s">
        <v>256</v>
      </c>
      <c r="AH12" s="122">
        <f t="shared" si="4"/>
        <v>13331307.25</v>
      </c>
      <c r="AI12" s="12"/>
      <c r="AJ12" s="12">
        <f t="shared" si="5"/>
        <v>9536343.5999999996</v>
      </c>
      <c r="AK12" s="12"/>
      <c r="AL12" s="12">
        <f t="shared" si="0"/>
        <v>3794963.6500000004</v>
      </c>
      <c r="AM12" s="12"/>
      <c r="AN12" s="13">
        <f t="shared" si="6"/>
        <v>1.3979474533614751</v>
      </c>
      <c r="AO12" s="13"/>
      <c r="AP12" s="14">
        <f t="shared" si="1"/>
        <v>0.39794745336147508</v>
      </c>
    </row>
    <row r="13" spans="1:42" s="9" customFormat="1" ht="24.95" customHeight="1" x14ac:dyDescent="0.2">
      <c r="A13" s="9" t="s">
        <v>257</v>
      </c>
      <c r="B13" s="12">
        <f>SUM(CNT!S49:S52)</f>
        <v>11206067.100000001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11206067.100000001</v>
      </c>
      <c r="Q13" s="9" t="s">
        <v>257</v>
      </c>
      <c r="R13" s="54">
        <v>6673239.2400000002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6673239.2400000002</v>
      </c>
      <c r="AG13" s="9" t="s">
        <v>257</v>
      </c>
      <c r="AH13" s="122">
        <f t="shared" si="4"/>
        <v>11206067.100000001</v>
      </c>
      <c r="AI13" s="12"/>
      <c r="AJ13" s="12">
        <f t="shared" si="5"/>
        <v>6673239.2400000002</v>
      </c>
      <c r="AK13" s="12"/>
      <c r="AL13" s="12">
        <f t="shared" si="0"/>
        <v>4532827.8600000013</v>
      </c>
      <c r="AM13" s="12"/>
      <c r="AN13" s="13">
        <f t="shared" si="6"/>
        <v>1.6792545114866886</v>
      </c>
      <c r="AO13" s="13"/>
      <c r="AP13" s="14">
        <f t="shared" si="1"/>
        <v>0.67925451148668858</v>
      </c>
    </row>
    <row r="14" spans="1:42" s="9" customFormat="1" ht="24.95" customHeight="1" x14ac:dyDescent="0.2">
      <c r="A14" s="9" t="s">
        <v>736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737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737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CNT!S42</f>
        <v>0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0</v>
      </c>
      <c r="Q15" s="15" t="s">
        <v>258</v>
      </c>
      <c r="R15" s="54">
        <v>60000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60000</v>
      </c>
      <c r="AG15" s="15" t="s">
        <v>258</v>
      </c>
      <c r="AH15" s="122">
        <f t="shared" si="4"/>
        <v>0</v>
      </c>
      <c r="AI15" s="12"/>
      <c r="AJ15" s="12">
        <f t="shared" si="5"/>
        <v>60000</v>
      </c>
      <c r="AK15" s="12"/>
      <c r="AL15" s="12">
        <f t="shared" si="0"/>
        <v>-60000</v>
      </c>
      <c r="AM15" s="12"/>
      <c r="AN15" s="13">
        <f t="shared" si="6"/>
        <v>0</v>
      </c>
      <c r="AO15" s="13"/>
      <c r="AP15" s="14">
        <f t="shared" si="1"/>
        <v>-1</v>
      </c>
    </row>
    <row r="16" spans="1:42" s="9" customFormat="1" ht="24.95" customHeight="1" x14ac:dyDescent="0.2">
      <c r="A16" s="9" t="s">
        <v>248</v>
      </c>
      <c r="B16" s="12">
        <f>CNT!S19</f>
        <v>107132372.11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107132372.11</v>
      </c>
      <c r="Q16" s="9" t="s">
        <v>248</v>
      </c>
      <c r="R16" s="54">
        <v>117614023.18000001</v>
      </c>
      <c r="S16" s="12"/>
      <c r="T16" s="54">
        <v>25824.29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117639847.47000001</v>
      </c>
      <c r="AG16" s="9" t="s">
        <v>248</v>
      </c>
      <c r="AH16" s="122">
        <f t="shared" si="4"/>
        <v>107132372.11</v>
      </c>
      <c r="AI16" s="12"/>
      <c r="AJ16" s="12">
        <f t="shared" si="5"/>
        <v>117639847.47000001</v>
      </c>
      <c r="AK16" s="12"/>
      <c r="AL16" s="12">
        <f t="shared" ref="AL16:AL32" si="7">AH16-AJ16</f>
        <v>-10507475.360000014</v>
      </c>
      <c r="AM16" s="12"/>
      <c r="AN16" s="13">
        <f t="shared" ref="AN16:AN26" si="8">AH16/AJ16</f>
        <v>0.91068098449651946</v>
      </c>
      <c r="AO16" s="13"/>
      <c r="AP16" s="14">
        <f t="shared" ref="AP16:AP33" si="9">AN16-1</f>
        <v>-8.9319015503480537E-2</v>
      </c>
    </row>
    <row r="17" spans="1:42" s="9" customFormat="1" ht="24.95" customHeight="1" x14ac:dyDescent="0.2">
      <c r="A17" s="9" t="s">
        <v>249</v>
      </c>
      <c r="B17" s="12">
        <f>CNT!S20</f>
        <v>155909759.55000001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155909759.55000001</v>
      </c>
      <c r="Q17" s="9" t="s">
        <v>249</v>
      </c>
      <c r="R17" s="54">
        <v>125190764.06</v>
      </c>
      <c r="S17" s="12"/>
      <c r="T17" s="54">
        <v>15964.65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125206728.71000001</v>
      </c>
      <c r="AG17" s="9" t="s">
        <v>249</v>
      </c>
      <c r="AH17" s="122">
        <f t="shared" si="4"/>
        <v>155909759.55000001</v>
      </c>
      <c r="AI17" s="12"/>
      <c r="AJ17" s="12">
        <f t="shared" si="5"/>
        <v>125206728.71000001</v>
      </c>
      <c r="AK17" s="12"/>
      <c r="AL17" s="12">
        <f t="shared" si="7"/>
        <v>30703030.840000004</v>
      </c>
      <c r="AM17" s="12"/>
      <c r="AN17" s="13">
        <f t="shared" si="8"/>
        <v>1.2452186967612053</v>
      </c>
      <c r="AO17" s="13"/>
      <c r="AP17" s="14">
        <f t="shared" si="9"/>
        <v>0.24521869676120533</v>
      </c>
    </row>
    <row r="18" spans="1:42" s="9" customFormat="1" ht="24.95" customHeight="1" x14ac:dyDescent="0.2">
      <c r="A18" s="9" t="s">
        <v>250</v>
      </c>
      <c r="B18" s="12">
        <f>CNT!S21</f>
        <v>964487.53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964487.53</v>
      </c>
      <c r="Q18" s="9" t="s">
        <v>250</v>
      </c>
      <c r="R18" s="54">
        <v>174449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174449</v>
      </c>
      <c r="AG18" s="9" t="s">
        <v>250</v>
      </c>
      <c r="AH18" s="122">
        <f t="shared" si="4"/>
        <v>964487.53</v>
      </c>
      <c r="AI18" s="12"/>
      <c r="AJ18" s="12">
        <f t="shared" si="5"/>
        <v>174449</v>
      </c>
      <c r="AK18" s="12"/>
      <c r="AL18" s="12">
        <f t="shared" si="7"/>
        <v>790038.53</v>
      </c>
      <c r="AM18" s="12"/>
      <c r="AN18" s="13">
        <f t="shared" si="8"/>
        <v>5.5287650258814898</v>
      </c>
      <c r="AO18" s="13"/>
      <c r="AP18" s="14">
        <f t="shared" si="9"/>
        <v>4.5287650258814898</v>
      </c>
    </row>
    <row r="19" spans="1:42" s="9" customFormat="1" ht="24.95" customHeight="1" x14ac:dyDescent="0.2">
      <c r="A19" s="9" t="s">
        <v>259</v>
      </c>
      <c r="B19" s="12">
        <f>CNT!S22</f>
        <v>2010170.13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2010170.13</v>
      </c>
      <c r="Q19" s="9" t="s">
        <v>259</v>
      </c>
      <c r="R19" s="54">
        <v>1692064.2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1692064.2</v>
      </c>
      <c r="AG19" s="9" t="s">
        <v>259</v>
      </c>
      <c r="AH19" s="122">
        <f t="shared" si="4"/>
        <v>2010170.13</v>
      </c>
      <c r="AI19" s="12"/>
      <c r="AJ19" s="12">
        <f t="shared" si="5"/>
        <v>1692064.2</v>
      </c>
      <c r="AK19" s="12"/>
      <c r="AL19" s="12">
        <f t="shared" si="7"/>
        <v>318105.92999999993</v>
      </c>
      <c r="AM19" s="12"/>
      <c r="AN19" s="13">
        <f t="shared" si="8"/>
        <v>1.1879987355089718</v>
      </c>
      <c r="AO19" s="13"/>
      <c r="AP19" s="14">
        <f t="shared" si="9"/>
        <v>0.18799873550897184</v>
      </c>
    </row>
    <row r="20" spans="1:42" s="9" customFormat="1" ht="24.95" customHeight="1" x14ac:dyDescent="0.2">
      <c r="A20" s="9" t="s">
        <v>260</v>
      </c>
      <c r="B20" s="12">
        <f>CNT!S23</f>
        <v>0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0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0</v>
      </c>
      <c r="AI20" s="12"/>
      <c r="AJ20" s="12">
        <f t="shared" si="5"/>
        <v>0</v>
      </c>
      <c r="AK20" s="12"/>
      <c r="AL20" s="12">
        <f t="shared" si="7"/>
        <v>0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0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0</v>
      </c>
      <c r="Q21" s="9" t="s">
        <v>261</v>
      </c>
      <c r="R21" s="54">
        <v>921334.15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921334.15</v>
      </c>
      <c r="AG21" s="9" t="s">
        <v>261</v>
      </c>
      <c r="AH21" s="122">
        <f t="shared" si="4"/>
        <v>0</v>
      </c>
      <c r="AI21" s="12"/>
      <c r="AJ21" s="12">
        <f t="shared" si="5"/>
        <v>921334.15</v>
      </c>
      <c r="AK21" s="12"/>
      <c r="AL21" s="12">
        <f t="shared" si="7"/>
        <v>-921334.15</v>
      </c>
      <c r="AM21" s="12"/>
      <c r="AN21" s="13">
        <f t="shared" si="8"/>
        <v>0</v>
      </c>
      <c r="AO21" s="13"/>
      <c r="AP21" s="14">
        <f t="shared" si="9"/>
        <v>-1</v>
      </c>
    </row>
    <row r="22" spans="1:42" s="9" customFormat="1" ht="24.95" customHeight="1" x14ac:dyDescent="0.2">
      <c r="A22" s="9" t="s">
        <v>262</v>
      </c>
      <c r="B22" s="12">
        <f>CNT!S25</f>
        <v>276637.46000000002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276637.46000000002</v>
      </c>
      <c r="Q22" s="9" t="s">
        <v>262</v>
      </c>
      <c r="R22" s="54">
        <v>516286.56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516286.56</v>
      </c>
      <c r="AG22" s="9" t="s">
        <v>262</v>
      </c>
      <c r="AH22" s="122">
        <f t="shared" si="4"/>
        <v>276637.46000000002</v>
      </c>
      <c r="AI22" s="12"/>
      <c r="AJ22" s="12">
        <f t="shared" si="5"/>
        <v>516286.56</v>
      </c>
      <c r="AK22" s="12"/>
      <c r="AL22" s="12">
        <f t="shared" si="7"/>
        <v>-239649.09999999998</v>
      </c>
      <c r="AM22" s="12"/>
      <c r="AN22" s="13">
        <f t="shared" si="8"/>
        <v>0.53582154065757592</v>
      </c>
      <c r="AO22" s="13"/>
      <c r="AP22" s="14">
        <f t="shared" si="9"/>
        <v>-0.46417845934242408</v>
      </c>
    </row>
    <row r="23" spans="1:42" s="9" customFormat="1" ht="24.95" customHeight="1" x14ac:dyDescent="0.2">
      <c r="A23" s="9" t="s">
        <v>559</v>
      </c>
      <c r="B23" s="12">
        <f>CNT!S26</f>
        <v>-46620573.82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-46620573.82</v>
      </c>
      <c r="Q23" s="9" t="s">
        <v>559</v>
      </c>
      <c r="R23" s="54">
        <v>-29287093.469999999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-29287093.469999999</v>
      </c>
      <c r="AG23" s="9" t="s">
        <v>559</v>
      </c>
      <c r="AH23" s="122">
        <f t="shared" si="4"/>
        <v>-46620573.82</v>
      </c>
      <c r="AI23" s="12"/>
      <c r="AJ23" s="12">
        <f t="shared" si="5"/>
        <v>-29287093.469999999</v>
      </c>
      <c r="AK23" s="12"/>
      <c r="AL23" s="12">
        <f t="shared" si="7"/>
        <v>-17333480.350000001</v>
      </c>
      <c r="AM23" s="12"/>
      <c r="AN23" s="13">
        <f t="shared" si="8"/>
        <v>1.5918470662770074</v>
      </c>
      <c r="AO23" s="13"/>
      <c r="AP23" s="14">
        <f t="shared" si="9"/>
        <v>0.59184706627700745</v>
      </c>
    </row>
    <row r="24" spans="1:42" s="9" customFormat="1" ht="24.95" customHeight="1" x14ac:dyDescent="0.2">
      <c r="A24" s="9" t="s">
        <v>560</v>
      </c>
      <c r="B24" s="12">
        <f>CNT!S18</f>
        <v>0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0</v>
      </c>
      <c r="Q24" s="9" t="s">
        <v>560</v>
      </c>
      <c r="R24" s="54">
        <v>4186.03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4186.03</v>
      </c>
      <c r="AG24" s="9" t="s">
        <v>560</v>
      </c>
      <c r="AH24" s="122">
        <f t="shared" si="4"/>
        <v>0</v>
      </c>
      <c r="AI24" s="12"/>
      <c r="AJ24" s="12">
        <f t="shared" si="5"/>
        <v>4186.03</v>
      </c>
      <c r="AK24" s="12"/>
      <c r="AL24" s="12">
        <f t="shared" si="7"/>
        <v>-4186.03</v>
      </c>
      <c r="AM24" s="12"/>
      <c r="AN24" s="13">
        <f t="shared" si="8"/>
        <v>0</v>
      </c>
      <c r="AO24" s="13"/>
      <c r="AP24" s="14">
        <f t="shared" si="9"/>
        <v>-1</v>
      </c>
    </row>
    <row r="25" spans="1:42" s="9" customFormat="1" ht="24.95" customHeight="1" x14ac:dyDescent="0.2">
      <c r="A25" s="9" t="s">
        <v>263</v>
      </c>
      <c r="B25" s="12">
        <f>CNT!S27</f>
        <v>-64225375.469999999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-64225375.469999999</v>
      </c>
      <c r="Q25" s="9" t="s">
        <v>263</v>
      </c>
      <c r="R25" s="54">
        <v>-132241963.55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-132241963.55</v>
      </c>
      <c r="AG25" s="9" t="s">
        <v>263</v>
      </c>
      <c r="AH25" s="122">
        <f t="shared" si="4"/>
        <v>-64225375.469999999</v>
      </c>
      <c r="AI25" s="12"/>
      <c r="AJ25" s="12">
        <f t="shared" si="5"/>
        <v>-132241963.55</v>
      </c>
      <c r="AK25" s="12"/>
      <c r="AL25" s="12">
        <f t="shared" si="7"/>
        <v>68016588.079999998</v>
      </c>
      <c r="AM25" s="12"/>
      <c r="AN25" s="13">
        <f t="shared" si="8"/>
        <v>0.4856656219091659</v>
      </c>
      <c r="AO25" s="13"/>
      <c r="AP25" s="14">
        <f t="shared" si="9"/>
        <v>-0.51433437809083404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-30103.99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-30103.99</v>
      </c>
      <c r="AG27" s="9" t="s">
        <v>264</v>
      </c>
      <c r="AH27" s="122">
        <f t="shared" si="4"/>
        <v>0</v>
      </c>
      <c r="AI27" s="12"/>
      <c r="AJ27" s="12">
        <f t="shared" si="5"/>
        <v>-30103.99</v>
      </c>
      <c r="AK27" s="12"/>
      <c r="AL27" s="12">
        <f t="shared" si="7"/>
        <v>30103.99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CNT!S54</f>
        <v>83548.09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83548.09</v>
      </c>
      <c r="Q28" s="9" t="s">
        <v>265</v>
      </c>
      <c r="R28" s="54">
        <v>131831.71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131831.71</v>
      </c>
      <c r="AG28" s="9" t="s">
        <v>265</v>
      </c>
      <c r="AH28" s="122">
        <f t="shared" si="4"/>
        <v>83548.09</v>
      </c>
      <c r="AI28" s="12"/>
      <c r="AJ28" s="12">
        <f t="shared" si="5"/>
        <v>131831.71</v>
      </c>
      <c r="AK28" s="12"/>
      <c r="AL28" s="12">
        <f t="shared" si="7"/>
        <v>-48283.619999999995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CNT!S58</f>
        <v>6.78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6.78</v>
      </c>
      <c r="Q29" s="9" t="s">
        <v>624</v>
      </c>
      <c r="R29" s="54">
        <v>3425.36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3425.36</v>
      </c>
      <c r="AG29" s="9" t="s">
        <v>624</v>
      </c>
      <c r="AH29" s="122">
        <f t="shared" si="4"/>
        <v>6.78</v>
      </c>
      <c r="AI29" s="12"/>
      <c r="AJ29" s="12">
        <f t="shared" si="5"/>
        <v>3425.36</v>
      </c>
      <c r="AK29" s="12"/>
      <c r="AL29" s="12">
        <f t="shared" si="7"/>
        <v>-3418.58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CNT!S56+CNT!S57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CNT!S55+CNT!S59+CNT!S61+CNT!S60</f>
        <v>146928.22999999998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146928.22999999998</v>
      </c>
      <c r="Q31" s="9" t="s">
        <v>266</v>
      </c>
      <c r="R31" s="54">
        <v>213317.91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213317.91</v>
      </c>
      <c r="AG31" s="9" t="s">
        <v>266</v>
      </c>
      <c r="AH31" s="122">
        <f t="shared" si="4"/>
        <v>146928.22999999998</v>
      </c>
      <c r="AI31" s="12"/>
      <c r="AJ31" s="12">
        <f t="shared" si="5"/>
        <v>213317.91</v>
      </c>
      <c r="AK31" s="12"/>
      <c r="AL31" s="12">
        <f t="shared" si="7"/>
        <v>-66389.680000000022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125596183.12000005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125596183.12000005</v>
      </c>
      <c r="Q33" s="18" t="s">
        <v>267</v>
      </c>
      <c r="R33" s="54">
        <f>SUM(R16:R32)</f>
        <v>64430710.74000001</v>
      </c>
      <c r="S33" s="12"/>
      <c r="T33" s="54">
        <f>SUM(T16:T31)</f>
        <v>41788.94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64472499.680000007</v>
      </c>
      <c r="AG33" s="18" t="s">
        <v>267</v>
      </c>
      <c r="AH33" s="12">
        <f>SUM(AH16:AH32)</f>
        <v>125596183.12000005</v>
      </c>
      <c r="AI33" s="12"/>
      <c r="AJ33" s="12">
        <f>SUM(AJ16:AJ32)</f>
        <v>64472499.680000007</v>
      </c>
      <c r="AK33" s="12"/>
      <c r="AL33" s="12">
        <f>SUM(AL16:AL32)</f>
        <v>61123683.43999999</v>
      </c>
      <c r="AM33" s="12"/>
      <c r="AN33" s="13">
        <f>AH33/AJ33</f>
        <v>1.948058222395264</v>
      </c>
      <c r="AO33" s="13"/>
      <c r="AP33" s="14">
        <f t="shared" si="9"/>
        <v>0.94805822239526405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0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0</v>
      </c>
      <c r="Q35" s="9" t="s">
        <v>268</v>
      </c>
      <c r="R35" s="54">
        <v>0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0</v>
      </c>
      <c r="AG35" s="9" t="s">
        <v>268</v>
      </c>
      <c r="AH35" s="122">
        <f t="shared" ref="AH35:AH42" si="10">P35</f>
        <v>0</v>
      </c>
      <c r="AI35" s="12"/>
      <c r="AJ35" s="12">
        <f>AF35</f>
        <v>0</v>
      </c>
      <c r="AK35" s="12"/>
      <c r="AL35" s="12">
        <f t="shared" ref="AL35:AL42" si="11">AH35-AJ35</f>
        <v>0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137645.54</v>
      </c>
      <c r="C36" s="12"/>
      <c r="D36" s="12">
        <v>0</v>
      </c>
      <c r="E36" s="12"/>
      <c r="F36" s="12">
        <f>DEP!S13</f>
        <v>114093.28</v>
      </c>
      <c r="G36" s="12"/>
      <c r="H36" s="12">
        <v>0</v>
      </c>
      <c r="I36" s="12"/>
      <c r="J36" s="12">
        <f>BSC!F52</f>
        <v>11989.17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263727.99</v>
      </c>
      <c r="Q36" s="9" t="s">
        <v>269</v>
      </c>
      <c r="R36" s="54">
        <v>156176.16</v>
      </c>
      <c r="S36" s="12"/>
      <c r="T36" s="54">
        <v>0</v>
      </c>
      <c r="U36" s="12"/>
      <c r="V36" s="54">
        <v>93071.81</v>
      </c>
      <c r="W36" s="12"/>
      <c r="X36" s="54">
        <v>0</v>
      </c>
      <c r="Y36" s="12"/>
      <c r="Z36" s="54">
        <v>26485.84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275733.81</v>
      </c>
      <c r="AG36" s="9" t="s">
        <v>269</v>
      </c>
      <c r="AH36" s="122">
        <f t="shared" si="10"/>
        <v>263727.99</v>
      </c>
      <c r="AI36" s="12"/>
      <c r="AJ36" s="12">
        <f t="shared" ref="AJ36:AJ42" si="14">AF36</f>
        <v>275733.81</v>
      </c>
      <c r="AK36" s="12"/>
      <c r="AL36" s="12">
        <f t="shared" si="11"/>
        <v>-12005.820000000007</v>
      </c>
      <c r="AM36" s="12"/>
      <c r="AN36" s="13">
        <f t="shared" ref="AN36:AN43" si="15">AH36/AJ36</f>
        <v>0.9564586584430832</v>
      </c>
      <c r="AO36" s="13"/>
      <c r="AP36" s="14">
        <f t="shared" ref="AP36:AP43" si="16">AN36-1</f>
        <v>-4.3541341556916802E-2</v>
      </c>
    </row>
    <row r="37" spans="1:43" s="9" customFormat="1" ht="24.95" customHeight="1" x14ac:dyDescent="0.2">
      <c r="A37" s="9" t="s">
        <v>270</v>
      </c>
      <c r="B37" s="12">
        <f>CNT!S36</f>
        <v>798023.46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798023.46</v>
      </c>
      <c r="Q37" s="9" t="s">
        <v>270</v>
      </c>
      <c r="R37" s="54">
        <v>372074.08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372074.08</v>
      </c>
      <c r="AG37" s="9" t="s">
        <v>270</v>
      </c>
      <c r="AH37" s="122">
        <f t="shared" si="10"/>
        <v>798023.46</v>
      </c>
      <c r="AI37" s="12"/>
      <c r="AJ37" s="12">
        <f t="shared" si="14"/>
        <v>372074.08</v>
      </c>
      <c r="AK37" s="12"/>
      <c r="AL37" s="12">
        <f t="shared" si="11"/>
        <v>425949.37999999995</v>
      </c>
      <c r="AM37" s="12"/>
      <c r="AN37" s="13">
        <f t="shared" si="15"/>
        <v>2.1447972403775073</v>
      </c>
      <c r="AO37" s="13"/>
      <c r="AP37" s="14">
        <f t="shared" si="16"/>
        <v>1.1447972403775073</v>
      </c>
    </row>
    <row r="38" spans="1:43" s="9" customFormat="1" ht="24.95" customHeight="1" x14ac:dyDescent="0.2">
      <c r="A38" s="9" t="s">
        <v>271</v>
      </c>
      <c r="B38" s="12">
        <f>CNT!S37</f>
        <v>74347.070000000007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74347.070000000007</v>
      </c>
      <c r="Q38" s="9" t="s">
        <v>271</v>
      </c>
      <c r="R38" s="54">
        <v>30295.41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30295.41</v>
      </c>
      <c r="AG38" s="9" t="s">
        <v>271</v>
      </c>
      <c r="AH38" s="122">
        <f t="shared" si="10"/>
        <v>74347.070000000007</v>
      </c>
      <c r="AI38" s="12"/>
      <c r="AJ38" s="12">
        <f t="shared" si="14"/>
        <v>30295.41</v>
      </c>
      <c r="AK38" s="12"/>
      <c r="AL38" s="12">
        <f t="shared" si="11"/>
        <v>44051.66</v>
      </c>
      <c r="AM38" s="12"/>
      <c r="AN38" s="13">
        <f t="shared" si="15"/>
        <v>2.454070435092313</v>
      </c>
      <c r="AO38" s="13"/>
      <c r="AP38" s="14">
        <f t="shared" si="16"/>
        <v>1.454070435092313</v>
      </c>
    </row>
    <row r="39" spans="1:43" s="9" customFormat="1" ht="24.95" customHeight="1" x14ac:dyDescent="0.2">
      <c r="A39" s="9" t="s">
        <v>272</v>
      </c>
      <c r="B39" s="12">
        <f>CNT!S38</f>
        <v>180669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2"/>
        <v>187204</v>
      </c>
      <c r="Q39" s="9" t="s">
        <v>272</v>
      </c>
      <c r="R39" s="54">
        <v>93612</v>
      </c>
      <c r="S39" s="12"/>
      <c r="T39" s="54">
        <v>4633</v>
      </c>
      <c r="U39" s="12"/>
      <c r="V39" s="54">
        <v>24407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123722</v>
      </c>
      <c r="AG39" s="9" t="s">
        <v>272</v>
      </c>
      <c r="AH39" s="122">
        <f t="shared" si="10"/>
        <v>187204</v>
      </c>
      <c r="AI39" s="12"/>
      <c r="AJ39" s="12">
        <f t="shared" si="14"/>
        <v>123722</v>
      </c>
      <c r="AK39" s="12"/>
      <c r="AL39" s="12">
        <f t="shared" si="11"/>
        <v>63482</v>
      </c>
      <c r="AM39" s="12"/>
      <c r="AN39" s="13">
        <f t="shared" si="15"/>
        <v>1.5131019543815976</v>
      </c>
      <c r="AO39" s="13"/>
      <c r="AP39" s="14">
        <f t="shared" si="16"/>
        <v>0.51310195438159756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BSC!F51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4511.25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4511.25</v>
      </c>
      <c r="Q41" s="9" t="s">
        <v>590</v>
      </c>
      <c r="R41" s="54">
        <v>4481.25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4481.25</v>
      </c>
      <c r="AG41" s="9" t="s">
        <v>590</v>
      </c>
      <c r="AH41" s="122">
        <f t="shared" si="10"/>
        <v>4511.25</v>
      </c>
      <c r="AI41" s="12"/>
      <c r="AJ41" s="12">
        <f t="shared" si="14"/>
        <v>4481.25</v>
      </c>
      <c r="AK41" s="12"/>
      <c r="AL41" s="12">
        <f t="shared" si="11"/>
        <v>30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8600.1299999999992</v>
      </c>
      <c r="C42" s="16"/>
      <c r="D42" s="16">
        <f>BPM!S20</f>
        <v>0</v>
      </c>
      <c r="E42" s="16"/>
      <c r="F42" s="16">
        <f>DEP!S15+DEP!S14</f>
        <v>21498.32</v>
      </c>
      <c r="G42" s="16"/>
      <c r="H42" s="16">
        <f>Lending!F21+Lending!F20</f>
        <v>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0</v>
      </c>
      <c r="O42" s="17"/>
      <c r="P42" s="16">
        <f t="shared" si="12"/>
        <v>30098.449999999997</v>
      </c>
      <c r="Q42" s="9" t="s">
        <v>274</v>
      </c>
      <c r="R42" s="55">
        <v>178405.5</v>
      </c>
      <c r="S42" s="12"/>
      <c r="T42" s="55">
        <v>3729.65</v>
      </c>
      <c r="U42" s="16"/>
      <c r="V42" s="55">
        <v>12082.65</v>
      </c>
      <c r="W42" s="16"/>
      <c r="X42" s="55">
        <v>0</v>
      </c>
      <c r="Y42" s="16"/>
      <c r="Z42" s="55">
        <v>17761.84</v>
      </c>
      <c r="AA42" s="16"/>
      <c r="AB42" s="55">
        <v>0</v>
      </c>
      <c r="AC42" s="16"/>
      <c r="AD42" s="55">
        <v>0</v>
      </c>
      <c r="AE42" s="16"/>
      <c r="AF42" s="16">
        <f t="shared" si="13"/>
        <v>211979.63999999998</v>
      </c>
      <c r="AG42" s="9" t="s">
        <v>274</v>
      </c>
      <c r="AH42" s="16">
        <f t="shared" si="10"/>
        <v>30098.449999999997</v>
      </c>
      <c r="AI42" s="16"/>
      <c r="AJ42" s="16">
        <f t="shared" si="14"/>
        <v>211979.63999999998</v>
      </c>
      <c r="AK42" s="16"/>
      <c r="AL42" s="16">
        <f t="shared" si="11"/>
        <v>-181881.19</v>
      </c>
      <c r="AM42" s="12"/>
      <c r="AN42" s="13">
        <f t="shared" si="15"/>
        <v>0.14198745690859743</v>
      </c>
      <c r="AO42" s="13"/>
      <c r="AP42" s="14">
        <f t="shared" si="16"/>
        <v>-0.85801254309140251</v>
      </c>
    </row>
    <row r="43" spans="1:43" s="9" customFormat="1" ht="24.95" customHeight="1" x14ac:dyDescent="0.2">
      <c r="A43" s="18" t="s">
        <v>277</v>
      </c>
      <c r="B43" s="12">
        <f>SUM(B35:B42)</f>
        <v>1203796.45</v>
      </c>
      <c r="C43" s="12"/>
      <c r="D43" s="12">
        <f>SUM(D35:D42)</f>
        <v>3669</v>
      </c>
      <c r="E43" s="12"/>
      <c r="F43" s="12">
        <f>SUM(F35:F42)</f>
        <v>137229.6</v>
      </c>
      <c r="G43" s="12"/>
      <c r="H43" s="12">
        <f>SUM(H35:H42)</f>
        <v>1228</v>
      </c>
      <c r="I43" s="12"/>
      <c r="J43" s="12">
        <f>SUM(J35:J42)</f>
        <v>11989.17</v>
      </c>
      <c r="K43" s="12"/>
      <c r="L43" s="12">
        <f>SUM(L35:L42)</f>
        <v>0</v>
      </c>
      <c r="M43" s="12"/>
      <c r="N43" s="12">
        <f>SUM(N35:N42)</f>
        <v>0</v>
      </c>
      <c r="O43" s="12"/>
      <c r="P43" s="12">
        <f>SUM(P35:P42)</f>
        <v>1357912.22</v>
      </c>
      <c r="Q43" s="18" t="s">
        <v>277</v>
      </c>
      <c r="R43" s="54">
        <f>SUM(R35:R42)</f>
        <v>835044.4</v>
      </c>
      <c r="S43" s="12"/>
      <c r="T43" s="54">
        <f>SUM(T35:T42)</f>
        <v>8362.65</v>
      </c>
      <c r="U43" s="12"/>
      <c r="V43" s="54">
        <f>SUM(V35:V42)</f>
        <v>129561.45999999999</v>
      </c>
      <c r="W43" s="12"/>
      <c r="X43" s="54">
        <f>SUM(X35:X42)</f>
        <v>1070</v>
      </c>
      <c r="Y43" s="12"/>
      <c r="Z43" s="54">
        <f>SUM(Z35:Z42)</f>
        <v>44247.68</v>
      </c>
      <c r="AA43" s="12"/>
      <c r="AB43" s="54">
        <f>SUM(AB35:AB42)</f>
        <v>0</v>
      </c>
      <c r="AC43" s="12"/>
      <c r="AD43" s="54">
        <f>SUM(AD35:AD42)</f>
        <v>0</v>
      </c>
      <c r="AE43" s="12"/>
      <c r="AF43" s="12">
        <f>SUM(AF35:AF42)</f>
        <v>1018286.1900000001</v>
      </c>
      <c r="AG43" s="18" t="s">
        <v>277</v>
      </c>
      <c r="AH43" s="12">
        <f>SUM(AH35:AH42)</f>
        <v>1357912.22</v>
      </c>
      <c r="AI43" s="12"/>
      <c r="AJ43" s="12">
        <f>SUM(AJ35:AJ42)</f>
        <v>1018286.1900000001</v>
      </c>
      <c r="AK43" s="12"/>
      <c r="AL43" s="12">
        <f>SUM(AL35:AL42)</f>
        <v>339626.02999999997</v>
      </c>
      <c r="AM43" s="12"/>
      <c r="AN43" s="13">
        <f t="shared" si="15"/>
        <v>1.3335270902574059</v>
      </c>
      <c r="AO43" s="13"/>
      <c r="AP43" s="14">
        <f t="shared" si="16"/>
        <v>0.3335270902574059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142793856.06000003</v>
      </c>
      <c r="C45" s="21"/>
      <c r="D45" s="21">
        <f>SUM(D43,D33,D13,D12,D11,D9,D8,D7,D15)</f>
        <v>350296.16000000003</v>
      </c>
      <c r="E45" s="21"/>
      <c r="F45" s="21">
        <f>SUM(F43,F33,F13,F12,F11,F9,F8,F7,F15)</f>
        <v>9799097.4799999986</v>
      </c>
      <c r="G45" s="21"/>
      <c r="H45" s="21">
        <f>SUM(H43,H33,H13,H12,H11,H9,H8,H7,H15)</f>
        <v>800624.71</v>
      </c>
      <c r="I45" s="21"/>
      <c r="J45" s="21">
        <f>SUM(J43,J33,J13,J12,J11,J9,J8,J7,J15)</f>
        <v>101478.15</v>
      </c>
      <c r="K45" s="21"/>
      <c r="L45" s="21">
        <f>SUM(L43,L33,L13,L12,L11,L9,L8,L7,L15)</f>
        <v>2414874.61</v>
      </c>
      <c r="M45" s="21"/>
      <c r="N45" s="21">
        <f>SUM(N43,N33,N13,N12,N11,N9,N8,N7,N15)</f>
        <v>2122840.09</v>
      </c>
      <c r="O45" s="21"/>
      <c r="P45" s="21">
        <f>SUM(P43,P33,P13,P12,P11,P9,P8,P7,P15,P10)</f>
        <v>158383067.26000005</v>
      </c>
      <c r="Q45" s="20" t="s">
        <v>275</v>
      </c>
      <c r="R45" s="56">
        <f>SUM(R43,R33,R13,R12,R11,R9,R8,R7,R15,R14)</f>
        <v>80958022.540000007</v>
      </c>
      <c r="S45" s="12"/>
      <c r="T45" s="56">
        <f>SUM(T43,T33,T13,T12,T11,T9,T8,T7,T15)</f>
        <v>810461.62000000011</v>
      </c>
      <c r="U45" s="12"/>
      <c r="V45" s="56">
        <f>SUM(V43,V33,V13,V12,V11,V9,V8,V7,V15)</f>
        <v>6438364.3399999999</v>
      </c>
      <c r="W45" s="12"/>
      <c r="X45" s="56">
        <f>SUM(X43,X33,X13,X12,X11,X9,X8,X7,X15)</f>
        <v>1029675.99</v>
      </c>
      <c r="Y45" s="12"/>
      <c r="Z45" s="56">
        <f>SUM(Z43,Z33,Z13,Z12,Z11,Z9,Z8,Z7,Z15)</f>
        <v>452159.51</v>
      </c>
      <c r="AA45" s="12"/>
      <c r="AB45" s="56">
        <f>SUM(AB43,AB33,AB13,AB12,AB11,AB9,AB8,AB7,AB15)</f>
        <v>2128816.42</v>
      </c>
      <c r="AC45" s="12"/>
      <c r="AD45" s="56">
        <f>SUM(AD43,AD33,AD13,AD12,AD11,AD9,AD8,AD7,AD15)</f>
        <v>857376.12</v>
      </c>
      <c r="AE45" s="21"/>
      <c r="AF45" s="143">
        <f>SUM(AF43,AF33,AF13,AF12,AF11,AF9,AF8,AF7,AF15,AF14)</f>
        <v>92674876.539999992</v>
      </c>
      <c r="AG45" s="20" t="s">
        <v>275</v>
      </c>
      <c r="AH45" s="21">
        <f>AH33+AH43+AH7+AH8+AH9+AH11+AH12+AH13+AH15</f>
        <v>157031081.68000004</v>
      </c>
      <c r="AI45" s="21"/>
      <c r="AJ45" s="21">
        <f>AJ33+AJ43+AJ7+AJ8+AJ9+AJ11+AJ12+AJ13+AJ15</f>
        <v>92674876.539999992</v>
      </c>
      <c r="AK45" s="21"/>
      <c r="AL45" s="21">
        <f>AL33+AL43+AL7+AL8+AL9+AL11+AL12+AL13+AL15</f>
        <v>64356205.139999993</v>
      </c>
      <c r="AM45" s="12"/>
      <c r="AN45" s="13">
        <f>AH45/AJ45</f>
        <v>1.6944298988326449</v>
      </c>
      <c r="AO45" s="13"/>
      <c r="AP45" s="14">
        <f>AN45-1</f>
        <v>0.69442989883264494</v>
      </c>
      <c r="AQ45" s="22">
        <f>AH45-P45</f>
        <v>-1351985.5800000131</v>
      </c>
    </row>
    <row r="46" spans="1:43" s="9" customFormat="1" ht="24.95" customHeight="1" x14ac:dyDescent="0.2">
      <c r="B46" s="12">
        <f>B45-CNT!U63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CNT!S67</f>
        <v>575636.36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St'!E29</f>
        <v>9394.19</v>
      </c>
      <c r="P48" s="12">
        <f>SUM(B48:N48)</f>
        <v>732021.47</v>
      </c>
      <c r="Q48" s="9" t="s">
        <v>286</v>
      </c>
      <c r="R48" s="54">
        <v>1116210.1100000001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1272595.22</v>
      </c>
      <c r="AG48" s="9" t="s">
        <v>286</v>
      </c>
      <c r="AH48" s="12">
        <f t="shared" ref="AH48:AH64" si="17">P48</f>
        <v>732021.47</v>
      </c>
      <c r="AI48" s="12"/>
      <c r="AJ48" s="12">
        <f>AF48</f>
        <v>1272595.22</v>
      </c>
      <c r="AK48" s="12"/>
      <c r="AL48" s="12">
        <f t="shared" ref="AL48:AL64" si="18">AH48-AJ48</f>
        <v>-540573.75</v>
      </c>
      <c r="AM48" s="12"/>
      <c r="AN48" s="13">
        <f t="shared" ref="AN48:AN69" si="19">AH48/AJ48</f>
        <v>0.57521940872919508</v>
      </c>
      <c r="AO48" s="13"/>
      <c r="AP48" s="14">
        <f t="shared" ref="AP48:AP69" si="20">AN48-1</f>
        <v>-0.42478059127080492</v>
      </c>
    </row>
    <row r="49" spans="1:42" s="9" customFormat="1" ht="24.95" customHeight="1" x14ac:dyDescent="0.2">
      <c r="A49" s="9" t="s">
        <v>278</v>
      </c>
      <c r="B49" s="12">
        <f>CNT!S68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CNT!S69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CNT!S70</f>
        <v>4227135.5199999996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CNT!S71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CNT!S73</f>
        <v>2528112.9900000002</v>
      </c>
      <c r="C53" s="12"/>
      <c r="D53" s="12">
        <f>BPM!S28</f>
        <v>20237.79</v>
      </c>
      <c r="E53" s="12"/>
      <c r="F53" s="12">
        <f>DEP!S24</f>
        <v>857144.13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3405494.91</v>
      </c>
      <c r="Q53" s="9" t="s">
        <v>281</v>
      </c>
      <c r="R53" s="54">
        <v>3126955.72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3869830.1500000004</v>
      </c>
      <c r="AG53" s="9" t="s">
        <v>281</v>
      </c>
      <c r="AH53" s="12">
        <f t="shared" si="17"/>
        <v>3405494.91</v>
      </c>
      <c r="AI53" s="12"/>
      <c r="AJ53" s="12">
        <f t="shared" si="23"/>
        <v>3869830.1500000004</v>
      </c>
      <c r="AK53" s="12"/>
      <c r="AL53" s="12">
        <f t="shared" si="18"/>
        <v>-464335.24000000022</v>
      </c>
      <c r="AM53" s="12"/>
      <c r="AN53" s="13">
        <f t="shared" si="19"/>
        <v>0.88001146768676652</v>
      </c>
      <c r="AO53" s="13"/>
      <c r="AP53" s="14">
        <f t="shared" si="20"/>
        <v>-0.11998853231323348</v>
      </c>
    </row>
    <row r="54" spans="1:42" s="9" customFormat="1" ht="24.95" customHeight="1" x14ac:dyDescent="0.2">
      <c r="A54" s="9" t="s">
        <v>595</v>
      </c>
      <c r="B54" s="12">
        <f>CNT!S74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CNT!S75</f>
        <v>296886.84999999998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296886.84999999998</v>
      </c>
      <c r="Q55" s="9" t="s">
        <v>282</v>
      </c>
      <c r="R55" s="54">
        <v>384818.56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384818.56</v>
      </c>
      <c r="AG55" s="9" t="s">
        <v>282</v>
      </c>
      <c r="AH55" s="12">
        <f t="shared" si="17"/>
        <v>296886.84999999998</v>
      </c>
      <c r="AI55" s="12"/>
      <c r="AJ55" s="12">
        <f t="shared" si="23"/>
        <v>384818.56</v>
      </c>
      <c r="AK55" s="12"/>
      <c r="AL55" s="12">
        <f t="shared" si="18"/>
        <v>-87931.710000000021</v>
      </c>
      <c r="AM55" s="12"/>
      <c r="AN55" s="13">
        <f t="shared" si="19"/>
        <v>0.77149826141441824</v>
      </c>
      <c r="AO55" s="13"/>
      <c r="AP55" s="14">
        <f t="shared" si="20"/>
        <v>-0.22850173858558176</v>
      </c>
    </row>
    <row r="56" spans="1:42" s="9" customFormat="1" ht="24.95" customHeight="1" x14ac:dyDescent="0.2">
      <c r="A56" s="9" t="s">
        <v>283</v>
      </c>
      <c r="B56" s="12">
        <f>CNT!S76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St'!E33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557749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CNT!S82</f>
        <v>72884.44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95146.44</v>
      </c>
      <c r="Q57" s="9" t="s">
        <v>721</v>
      </c>
      <c r="R57" s="54"/>
      <c r="S57" s="12"/>
      <c r="T57" s="54"/>
      <c r="U57" s="12"/>
      <c r="V57" s="54"/>
      <c r="W57" s="12"/>
      <c r="X57" s="54"/>
      <c r="Y57" s="12"/>
      <c r="Z57" s="54"/>
      <c r="AA57" s="12"/>
      <c r="AB57" s="54"/>
      <c r="AC57" s="12"/>
      <c r="AD57" s="54"/>
      <c r="AE57" s="12"/>
      <c r="AF57" s="122">
        <f t="shared" si="22"/>
        <v>0</v>
      </c>
      <c r="AG57" s="9" t="s">
        <v>721</v>
      </c>
      <c r="AH57" s="12">
        <f t="shared" si="17"/>
        <v>95146.44</v>
      </c>
      <c r="AI57" s="12"/>
      <c r="AJ57" s="12">
        <f t="shared" si="23"/>
        <v>0</v>
      </c>
      <c r="AK57" s="12"/>
      <c r="AL57" s="12">
        <f t="shared" si="18"/>
        <v>95146.44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CNT!S77</f>
        <v>6190508.7599999998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6190508.7599999998</v>
      </c>
      <c r="Q58" s="9" t="s">
        <v>284</v>
      </c>
      <c r="R58" s="54">
        <v>5089925.82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5089925.82</v>
      </c>
      <c r="AG58" s="9" t="s">
        <v>284</v>
      </c>
      <c r="AH58" s="12">
        <f t="shared" si="17"/>
        <v>6190508.7599999998</v>
      </c>
      <c r="AI58" s="12"/>
      <c r="AJ58" s="12">
        <f t="shared" si="23"/>
        <v>5089925.82</v>
      </c>
      <c r="AK58" s="12"/>
      <c r="AL58" s="12">
        <f t="shared" si="18"/>
        <v>1100582.9399999995</v>
      </c>
      <c r="AM58" s="12"/>
      <c r="AN58" s="13">
        <f t="shared" si="19"/>
        <v>1.2162276974009023</v>
      </c>
      <c r="AO58" s="13"/>
      <c r="AP58" s="14">
        <f t="shared" si="20"/>
        <v>0.21622769740090231</v>
      </c>
    </row>
    <row r="59" spans="1:42" s="9" customFormat="1" ht="24.95" customHeight="1" x14ac:dyDescent="0.2">
      <c r="A59" s="9" t="s">
        <v>666</v>
      </c>
      <c r="B59" s="12">
        <f>CNT!S78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25212.82</v>
      </c>
      <c r="AA59" s="12"/>
      <c r="AB59" s="54">
        <v>0</v>
      </c>
      <c r="AC59" s="12"/>
      <c r="AD59" s="54">
        <v>0</v>
      </c>
      <c r="AE59" s="12"/>
      <c r="AF59" s="122">
        <f t="shared" si="22"/>
        <v>25212.82</v>
      </c>
      <c r="AG59" s="9" t="s">
        <v>666</v>
      </c>
      <c r="AH59" s="12">
        <f t="shared" si="17"/>
        <v>25212.82</v>
      </c>
      <c r="AI59" s="12"/>
      <c r="AJ59" s="12">
        <f t="shared" si="23"/>
        <v>25212.82</v>
      </c>
      <c r="AK59" s="12"/>
      <c r="AL59" s="12">
        <f t="shared" si="18"/>
        <v>0</v>
      </c>
      <c r="AM59" s="12"/>
      <c r="AN59" s="13">
        <f t="shared" si="19"/>
        <v>1</v>
      </c>
      <c r="AO59" s="13"/>
      <c r="AP59" s="14">
        <f t="shared" si="20"/>
        <v>0</v>
      </c>
    </row>
    <row r="60" spans="1:42" s="9" customFormat="1" ht="24.95" customHeight="1" x14ac:dyDescent="0.2">
      <c r="A60" s="9" t="s">
        <v>738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738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738</v>
      </c>
      <c r="AH60" s="12">
        <f t="shared" si="17"/>
        <v>0</v>
      </c>
      <c r="AI60" s="12"/>
      <c r="AJ60" s="12">
        <f t="shared" si="23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f>'722 Bedford St'!E28</f>
        <v>0</v>
      </c>
      <c r="P61" s="12">
        <f t="shared" si="21"/>
        <v>0</v>
      </c>
      <c r="Q61" s="9" t="s">
        <v>712</v>
      </c>
      <c r="R61" s="54"/>
      <c r="S61" s="12"/>
      <c r="T61" s="54"/>
      <c r="U61" s="12"/>
      <c r="V61" s="54"/>
      <c r="W61" s="12"/>
      <c r="X61" s="54"/>
      <c r="Y61" s="12"/>
      <c r="Z61" s="54"/>
      <c r="AA61" s="12"/>
      <c r="AB61" s="54"/>
      <c r="AC61" s="12"/>
      <c r="AD61" s="54"/>
      <c r="AE61" s="12"/>
      <c r="AF61" s="122">
        <f t="shared" si="22"/>
        <v>0</v>
      </c>
      <c r="AG61" s="9" t="s">
        <v>712</v>
      </c>
      <c r="AH61" s="12">
        <f t="shared" si="17"/>
        <v>0</v>
      </c>
      <c r="AI61" s="12"/>
      <c r="AJ61" s="12">
        <v>0</v>
      </c>
      <c r="AK61" s="12"/>
      <c r="AL61" s="12">
        <f t="shared" si="18"/>
        <v>0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CNT!S81</f>
        <v>102755.5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102755.5</v>
      </c>
      <c r="Q62" s="9" t="s">
        <v>731</v>
      </c>
      <c r="R62" s="54"/>
      <c r="S62" s="12"/>
      <c r="T62" s="54"/>
      <c r="U62" s="12"/>
      <c r="V62" s="54"/>
      <c r="W62" s="12"/>
      <c r="X62" s="54"/>
      <c r="Y62" s="12"/>
      <c r="Z62" s="54"/>
      <c r="AA62" s="12"/>
      <c r="AB62" s="54"/>
      <c r="AC62" s="12"/>
      <c r="AD62" s="54"/>
      <c r="AE62" s="12"/>
      <c r="AF62" s="122">
        <f t="shared" si="22"/>
        <v>0</v>
      </c>
      <c r="AG62" s="9" t="s">
        <v>731</v>
      </c>
      <c r="AH62" s="12">
        <f t="shared" si="17"/>
        <v>102755.5</v>
      </c>
      <c r="AI62" s="12"/>
      <c r="AJ62" s="12">
        <f t="shared" si="23"/>
        <v>0</v>
      </c>
      <c r="AK62" s="12"/>
      <c r="AL62" s="12">
        <f t="shared" si="18"/>
        <v>102755.5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CNT!S79</f>
        <v>63477.05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BSC!F16+BSC!F17+BSC!F18+BSC!F19+BSC!F20+BSC!F21+BSC!F22+BSC!F23+BSC!F24+BSC!F25+BSC!F26+BSC!F27+BSC!F28+BSC!F29+BSC!F30+BSC!F31+BSC!F32+BSC!F33+BSC!F34+BSC!F35+BSC!F36+BSC!F38+BSC!F41+BSC!F39+BSC!F40+BSC!F42+BSC!F43+BSC!F44+BSC!F45+BSC!F46+BSC!F47</f>
        <v>4486702.13</v>
      </c>
      <c r="L63" s="12">
        <f>'Oliari Co'!F26-'Oliari Co'!F23+'Oliari Co'!F54</f>
        <v>4810642.5599999996</v>
      </c>
      <c r="N63" s="12">
        <f>'722 Bedford St'!E27+'722 Bedford St'!E30+'722 Bedford St'!E31+'722 Bedford St'!E32+'722 Bedford St'!E34+'722 Bedford St'!E35+'722 Bedford St'!E36+'722 Bedford St'!E37+'722 Bedford St'!E38+'722 Bedford St'!E39+'722 Bedford St'!E40+'722 Bedford St'!E41+'722 Bedford St'!E42+'722 Bedford St'!E43</f>
        <v>10688892.380000001</v>
      </c>
      <c r="P63" s="12">
        <f t="shared" si="21"/>
        <v>20049714.119999997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4170286.5099999993</v>
      </c>
      <c r="AA63" s="12"/>
      <c r="AB63" s="54">
        <v>4810642.5600000005</v>
      </c>
      <c r="AC63" s="12"/>
      <c r="AD63" s="54">
        <v>8677537.25</v>
      </c>
      <c r="AE63" s="12"/>
      <c r="AF63" s="122">
        <f t="shared" si="22"/>
        <v>17734990.129999999</v>
      </c>
      <c r="AG63" s="9" t="s">
        <v>503</v>
      </c>
      <c r="AH63" s="12">
        <f t="shared" si="17"/>
        <v>20049714.119999997</v>
      </c>
      <c r="AI63" s="12"/>
      <c r="AJ63" s="12">
        <f t="shared" si="23"/>
        <v>17734990.129999999</v>
      </c>
      <c r="AK63" s="12"/>
      <c r="AL63" s="12">
        <f t="shared" si="18"/>
        <v>2314723.9899999984</v>
      </c>
      <c r="AM63" s="12"/>
      <c r="AN63" s="13">
        <f t="shared" si="19"/>
        <v>1.1305173542828466</v>
      </c>
      <c r="AO63" s="13"/>
      <c r="AP63" s="14">
        <f t="shared" si="20"/>
        <v>0.13051735428284661</v>
      </c>
    </row>
    <row r="64" spans="1:42" s="9" customFormat="1" ht="24.95" customHeight="1" x14ac:dyDescent="0.2">
      <c r="A64" s="9" t="s">
        <v>285</v>
      </c>
      <c r="B64" s="16">
        <f>CNT!S83</f>
        <v>-8332551.0700000003</v>
      </c>
      <c r="C64" s="16"/>
      <c r="D64" s="16">
        <f>BPM!S29</f>
        <v>-22782.57</v>
      </c>
      <c r="E64" s="16"/>
      <c r="F64" s="16">
        <f>DEP!S27</f>
        <v>-970633.91</v>
      </c>
      <c r="G64" s="16"/>
      <c r="H64" s="16">
        <v>0</v>
      </c>
      <c r="I64" s="17"/>
      <c r="J64" s="16">
        <f>BSC!F48</f>
        <v>-2648939.4500000002</v>
      </c>
      <c r="K64" s="17"/>
      <c r="L64" s="16">
        <f>'Oliari Co'!F23</f>
        <v>-1668016.27</v>
      </c>
      <c r="M64" s="17"/>
      <c r="N64" s="16">
        <f>'722 Bedford St'!E21+'722 Bedford St'!E22+'722 Bedford St'!E23+'722 Bedford St'!E24+'722 Bedford St'!E25+'722 Bedford St'!E26</f>
        <v>-1445750.5499999998</v>
      </c>
      <c r="O64" s="17"/>
      <c r="P64" s="16">
        <f>SUM(B64:N64)</f>
        <v>-15088673.82</v>
      </c>
      <c r="Q64" s="9" t="s">
        <v>522</v>
      </c>
      <c r="R64" s="55">
        <v>-9046717.2699999996</v>
      </c>
      <c r="S64" s="16"/>
      <c r="T64" s="55">
        <v>-17763.09</v>
      </c>
      <c r="U64" s="16"/>
      <c r="V64" s="55">
        <v>-797776.31</v>
      </c>
      <c r="W64" s="16"/>
      <c r="X64" s="55">
        <v>0</v>
      </c>
      <c r="Y64" s="16"/>
      <c r="Z64" s="55">
        <v>-2545935.86</v>
      </c>
      <c r="AA64" s="16"/>
      <c r="AB64" s="55">
        <v>-1557487.12</v>
      </c>
      <c r="AC64" s="16"/>
      <c r="AD64" s="55">
        <v>-1265921.3999999999</v>
      </c>
      <c r="AE64" s="16"/>
      <c r="AF64" s="16">
        <f t="shared" si="22"/>
        <v>-15231601.049999999</v>
      </c>
      <c r="AG64" s="9" t="s">
        <v>522</v>
      </c>
      <c r="AH64" s="16">
        <f t="shared" si="17"/>
        <v>-15088673.82</v>
      </c>
      <c r="AI64" s="16"/>
      <c r="AJ64" s="16">
        <f t="shared" si="23"/>
        <v>-15231601.049999999</v>
      </c>
      <c r="AK64" s="16"/>
      <c r="AL64" s="16">
        <f t="shared" si="18"/>
        <v>142927.22999999858</v>
      </c>
      <c r="AM64" s="12"/>
      <c r="AN64" s="13">
        <f t="shared" si="19"/>
        <v>0.99061640141894347</v>
      </c>
      <c r="AO64" s="13"/>
      <c r="AP64" s="14">
        <f t="shared" si="20"/>
        <v>-9.3835985810565292E-3</v>
      </c>
    </row>
    <row r="65" spans="1:43" s="9" customFormat="1" ht="24.95" customHeight="1" x14ac:dyDescent="0.2">
      <c r="A65" s="20" t="s">
        <v>334</v>
      </c>
      <c r="B65" s="12">
        <f>SUM(B48:B64)</f>
        <v>8514094.25</v>
      </c>
      <c r="C65" s="12"/>
      <c r="D65" s="12">
        <f>SUM(D48:D64)</f>
        <v>6032.3899999999994</v>
      </c>
      <c r="E65" s="12"/>
      <c r="F65" s="12">
        <f>SUM(F48:F64)</f>
        <v>798490.21999999986</v>
      </c>
      <c r="G65" s="12"/>
      <c r="H65" s="12">
        <f>SUM(H48:H64)</f>
        <v>0</v>
      </c>
      <c r="I65" s="12"/>
      <c r="J65" s="12">
        <f>SUM(J48:J64)</f>
        <v>1862975.5</v>
      </c>
      <c r="K65" s="12"/>
      <c r="L65" s="12">
        <f>SUM(L48:L64)</f>
        <v>3142626.2899999996</v>
      </c>
      <c r="M65" s="12"/>
      <c r="N65" s="12">
        <f>SUM(N48:N64)</f>
        <v>9252536.0199999996</v>
      </c>
      <c r="O65" s="12"/>
      <c r="P65" s="12">
        <f>SUM(P48:P64)</f>
        <v>23576754.669999994</v>
      </c>
      <c r="Q65" s="20" t="s">
        <v>334</v>
      </c>
      <c r="R65" s="54">
        <f>SUM(R48:R64)</f>
        <v>8708419.1000000015</v>
      </c>
      <c r="S65" s="12"/>
      <c r="T65" s="54">
        <f>SUM(T48:T64)</f>
        <v>11051.869999999999</v>
      </c>
      <c r="U65" s="12"/>
      <c r="V65" s="54">
        <f>SUM(V48:V64)</f>
        <v>814578.33000000007</v>
      </c>
      <c r="W65" s="12"/>
      <c r="X65" s="54">
        <f>SUM(X48:X64)</f>
        <v>0</v>
      </c>
      <c r="Y65" s="12"/>
      <c r="Z65" s="54">
        <f>SUM(Z48:Z64)</f>
        <v>1649563.4699999993</v>
      </c>
      <c r="AA65" s="12"/>
      <c r="AB65" s="54">
        <f>SUM(AB48:AB64)</f>
        <v>3253155.4400000004</v>
      </c>
      <c r="AC65" s="12"/>
      <c r="AD65" s="54">
        <f>SUM(AD48:AD64)</f>
        <v>7421010.0399999991</v>
      </c>
      <c r="AE65" s="12"/>
      <c r="AF65" s="12">
        <f>SUM(AF48:AF64)</f>
        <v>21857778.25</v>
      </c>
      <c r="AG65" s="20" t="s">
        <v>334</v>
      </c>
      <c r="AH65" s="22">
        <f>SUM(AH48:AH64)</f>
        <v>23576754.669999994</v>
      </c>
      <c r="AI65" s="22"/>
      <c r="AJ65" s="22">
        <f>SUM(AJ48:AJ64)</f>
        <v>21857778.25</v>
      </c>
      <c r="AK65" s="22"/>
      <c r="AL65" s="22">
        <f>SUM(AL48:AL64)</f>
        <v>1718976.4199999955</v>
      </c>
      <c r="AM65" s="22"/>
      <c r="AN65" s="13">
        <f t="shared" si="19"/>
        <v>1.0786436938072603</v>
      </c>
      <c r="AO65" s="13"/>
      <c r="AP65" s="14">
        <f t="shared" si="20"/>
        <v>7.8643693807260329E-2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CNT!S87</f>
        <v>0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0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0</v>
      </c>
      <c r="AI67" s="12"/>
      <c r="AJ67" s="12">
        <f>AF67</f>
        <v>0</v>
      </c>
      <c r="AK67" s="12"/>
      <c r="AL67" s="22">
        <f>AH67-AJ67</f>
        <v>0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151307950.31000003</v>
      </c>
      <c r="C69" s="23"/>
      <c r="D69" s="23">
        <f>SUM(D65,D45,D67)</f>
        <v>356328.55000000005</v>
      </c>
      <c r="E69" s="23"/>
      <c r="F69" s="23">
        <f>SUM(F65,F45,F67)</f>
        <v>10597587.699999999</v>
      </c>
      <c r="G69" s="23"/>
      <c r="H69" s="23">
        <f>SUM(H65,H45,H67)</f>
        <v>800624.71</v>
      </c>
      <c r="I69" s="23"/>
      <c r="J69" s="23">
        <f>SUM(J65,J45,J67)</f>
        <v>1964453.65</v>
      </c>
      <c r="K69" s="23"/>
      <c r="L69" s="23">
        <f>SUM(L65,L45,L67)</f>
        <v>5557500.8999999994</v>
      </c>
      <c r="M69" s="23"/>
      <c r="N69" s="23">
        <f>SUM(N65,N45,N67)</f>
        <v>11375376.109999999</v>
      </c>
      <c r="O69" s="23"/>
      <c r="P69" s="23">
        <f>SUM(P65,P45,P67)</f>
        <v>181959821.93000004</v>
      </c>
      <c r="Q69" s="8" t="s">
        <v>289</v>
      </c>
      <c r="R69" s="57">
        <f>SUM(R65,R45,R67)</f>
        <v>89666441.640000015</v>
      </c>
      <c r="S69" s="23"/>
      <c r="T69" s="57">
        <f>SUM(T65,T45,T67)</f>
        <v>821513.49000000011</v>
      </c>
      <c r="U69" s="23"/>
      <c r="V69" s="57">
        <f>SUM(V65,V45,V67)</f>
        <v>7252942.6699999999</v>
      </c>
      <c r="W69" s="23"/>
      <c r="X69" s="57">
        <f>SUM(X65,X45,X67)</f>
        <v>1029675.99</v>
      </c>
      <c r="Y69" s="23"/>
      <c r="Z69" s="57">
        <f>SUM(Z65,Z45,Z67)</f>
        <v>2101722.9799999995</v>
      </c>
      <c r="AA69" s="23"/>
      <c r="AB69" s="57">
        <f>SUM(AB65,AB45,AB67)</f>
        <v>5381971.8600000003</v>
      </c>
      <c r="AC69" s="23"/>
      <c r="AD69" s="57">
        <f>SUM(AD65,AD45,AD67)</f>
        <v>8278386.1599999992</v>
      </c>
      <c r="AE69" s="23"/>
      <c r="AF69" s="23">
        <f>SUM(AF65,AF45,AF67)</f>
        <v>114532654.78999999</v>
      </c>
      <c r="AG69" s="8" t="s">
        <v>289</v>
      </c>
      <c r="AH69" s="23">
        <f>SUM(AH65,AH45,AH67)</f>
        <v>180607836.35000002</v>
      </c>
      <c r="AI69" s="23"/>
      <c r="AJ69" s="23">
        <f>SUM(AJ65,AJ45,AJ67)</f>
        <v>114532654.78999999</v>
      </c>
      <c r="AK69" s="23"/>
      <c r="AL69" s="23">
        <f>SUM(AL65,AL45,AL67)</f>
        <v>66075181.559999987</v>
      </c>
      <c r="AM69" s="25"/>
      <c r="AN69" s="13">
        <f t="shared" si="19"/>
        <v>1.576911289458464</v>
      </c>
      <c r="AO69" s="13"/>
      <c r="AP69" s="14">
        <f t="shared" si="20"/>
        <v>0.57691128945846404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CNT!S94</f>
        <v>84375465.400000006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84375465.400000006</v>
      </c>
      <c r="Q74" s="9" t="s">
        <v>291</v>
      </c>
      <c r="R74" s="54">
        <v>60636464.780000001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60636464.780000001</v>
      </c>
      <c r="AG74" s="9" t="s">
        <v>291</v>
      </c>
      <c r="AH74" s="12">
        <f t="shared" si="24"/>
        <v>84375465.400000006</v>
      </c>
      <c r="AI74" s="12"/>
      <c r="AJ74" s="12">
        <f>AF74</f>
        <v>60636464.780000001</v>
      </c>
      <c r="AK74" s="12"/>
      <c r="AL74" s="12">
        <f t="shared" si="25"/>
        <v>23739000.620000005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CNT!S95</f>
        <v>3155961.68</v>
      </c>
      <c r="C75" s="12"/>
      <c r="D75" s="12">
        <f>BPM!S39</f>
        <v>0</v>
      </c>
      <c r="E75" s="12"/>
      <c r="F75" s="12">
        <f>DEP!S37</f>
        <v>1079.21</v>
      </c>
      <c r="G75" s="12"/>
      <c r="H75" s="12">
        <f>Lending!F29</f>
        <v>0</v>
      </c>
      <c r="J75" s="12">
        <f>BSC!F59</f>
        <v>50269.42</v>
      </c>
      <c r="L75" s="12">
        <v>0</v>
      </c>
      <c r="N75" s="12">
        <v>0</v>
      </c>
      <c r="P75" s="12">
        <f t="shared" ref="P75:P112" si="26">SUM(B75:N75)</f>
        <v>3207310.31</v>
      </c>
      <c r="Q75" s="9" t="s">
        <v>292</v>
      </c>
      <c r="R75" s="54">
        <v>5998524.9800000004</v>
      </c>
      <c r="S75" s="12"/>
      <c r="T75" s="54">
        <v>265611.53999999998</v>
      </c>
      <c r="U75" s="12"/>
      <c r="V75" s="54">
        <v>21.21</v>
      </c>
      <c r="W75" s="12"/>
      <c r="X75" s="54">
        <v>0</v>
      </c>
      <c r="Y75" s="12"/>
      <c r="Z75" s="54">
        <v>21938.48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6286096.2100000009</v>
      </c>
      <c r="AG75" s="9" t="s">
        <v>292</v>
      </c>
      <c r="AH75" s="12">
        <f t="shared" si="24"/>
        <v>3207310.31</v>
      </c>
      <c r="AI75" s="12"/>
      <c r="AJ75" s="12">
        <f t="shared" ref="AJ75:AJ112" si="28">AF75</f>
        <v>6286096.2100000009</v>
      </c>
      <c r="AK75" s="12"/>
      <c r="AL75" s="12">
        <f t="shared" si="25"/>
        <v>-3078785.9000000008</v>
      </c>
      <c r="AM75" s="12"/>
      <c r="AN75" s="13">
        <f t="shared" ref="AN75:AN82" si="29">AH75/AJ75</f>
        <v>0.51022291146256571</v>
      </c>
      <c r="AO75" s="13"/>
      <c r="AP75" s="14">
        <f t="shared" ref="AP75:AP113" si="30">AN75-1</f>
        <v>-0.48977708853743429</v>
      </c>
    </row>
    <row r="76" spans="1:43" s="9" customFormat="1" ht="24.95" customHeight="1" x14ac:dyDescent="0.2">
      <c r="A76" s="9" t="s">
        <v>293</v>
      </c>
      <c r="B76" s="12">
        <f>CNT!S97</f>
        <v>0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BSC!F61+BSC!F62</f>
        <v>0</v>
      </c>
      <c r="K76" s="12"/>
      <c r="L76" s="12">
        <v>0</v>
      </c>
      <c r="M76" s="12"/>
      <c r="N76" s="12">
        <v>0</v>
      </c>
      <c r="O76" s="12"/>
      <c r="P76" s="12">
        <f t="shared" si="26"/>
        <v>0</v>
      </c>
      <c r="Q76" s="9" t="s">
        <v>293</v>
      </c>
      <c r="R76" s="54">
        <v>0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0</v>
      </c>
      <c r="AA76" s="12"/>
      <c r="AB76" s="54">
        <v>0</v>
      </c>
      <c r="AC76" s="12"/>
      <c r="AD76" s="54">
        <v>0</v>
      </c>
      <c r="AE76" s="12"/>
      <c r="AF76" s="122">
        <f t="shared" si="27"/>
        <v>0</v>
      </c>
      <c r="AG76" s="9" t="s">
        <v>293</v>
      </c>
      <c r="AH76" s="12">
        <f t="shared" si="24"/>
        <v>0</v>
      </c>
      <c r="AI76" s="12"/>
      <c r="AJ76" s="12">
        <f t="shared" si="28"/>
        <v>0</v>
      </c>
      <c r="AK76" s="12"/>
      <c r="AL76" s="12">
        <f t="shared" si="25"/>
        <v>0</v>
      </c>
      <c r="AM76" s="12"/>
      <c r="AN76" s="13" t="e">
        <f t="shared" si="29"/>
        <v>#DIV/0!</v>
      </c>
      <c r="AO76" s="13"/>
      <c r="AP76" s="14" t="e">
        <f t="shared" si="30"/>
        <v>#DIV/0!</v>
      </c>
    </row>
    <row r="77" spans="1:43" s="9" customFormat="1" ht="24.95" customHeight="1" x14ac:dyDescent="0.2">
      <c r="A77" s="9" t="s">
        <v>294</v>
      </c>
      <c r="B77" s="12">
        <f>CNT!S100</f>
        <v>980.3</v>
      </c>
      <c r="C77" s="12"/>
      <c r="D77" s="12">
        <f>BPM!S40</f>
        <v>0</v>
      </c>
      <c r="E77" s="12"/>
      <c r="F77" s="12">
        <f>DEP!S40</f>
        <v>122.11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1102.4099999999999</v>
      </c>
      <c r="Q77" s="9" t="s">
        <v>294</v>
      </c>
      <c r="R77" s="54">
        <v>247.37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247.37</v>
      </c>
      <c r="AG77" s="9" t="s">
        <v>294</v>
      </c>
      <c r="AH77" s="12">
        <f t="shared" si="24"/>
        <v>1102.4099999999999</v>
      </c>
      <c r="AI77" s="12"/>
      <c r="AJ77" s="12">
        <f t="shared" si="28"/>
        <v>247.37</v>
      </c>
      <c r="AK77" s="12"/>
      <c r="AL77" s="12">
        <f t="shared" si="25"/>
        <v>855.03999999999985</v>
      </c>
      <c r="AM77" s="12"/>
      <c r="AN77" s="13">
        <f t="shared" si="29"/>
        <v>4.4565226179407356</v>
      </c>
      <c r="AO77" s="13"/>
      <c r="AP77" s="14">
        <f t="shared" si="30"/>
        <v>3.4565226179407356</v>
      </c>
    </row>
    <row r="78" spans="1:43" s="9" customFormat="1" ht="24.95" customHeight="1" x14ac:dyDescent="0.2">
      <c r="A78" s="9" t="s">
        <v>295</v>
      </c>
      <c r="B78" s="12">
        <f>CNT!S96</f>
        <v>155.9</v>
      </c>
      <c r="C78" s="12"/>
      <c r="D78" s="12">
        <v>0</v>
      </c>
      <c r="E78" s="12"/>
      <c r="F78" s="12">
        <f>DEP!S38</f>
        <v>0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155.9</v>
      </c>
      <c r="Q78" s="9" t="s">
        <v>295</v>
      </c>
      <c r="R78" s="54">
        <v>0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0</v>
      </c>
      <c r="AG78" s="9" t="s">
        <v>295</v>
      </c>
      <c r="AH78" s="12">
        <f t="shared" si="24"/>
        <v>155.9</v>
      </c>
      <c r="AI78" s="12"/>
      <c r="AJ78" s="12">
        <f t="shared" si="28"/>
        <v>0</v>
      </c>
      <c r="AK78" s="12"/>
      <c r="AL78" s="12">
        <f t="shared" si="25"/>
        <v>155.9</v>
      </c>
      <c r="AM78" s="12"/>
      <c r="AN78" s="13" t="e">
        <f t="shared" si="29"/>
        <v>#DIV/0!</v>
      </c>
      <c r="AO78" s="13"/>
      <c r="AP78" s="14" t="e">
        <f t="shared" si="30"/>
        <v>#DIV/0!</v>
      </c>
    </row>
    <row r="79" spans="1:43" s="9" customFormat="1" ht="24.95" customHeight="1" x14ac:dyDescent="0.2">
      <c r="A79" s="9" t="s">
        <v>296</v>
      </c>
      <c r="B79" s="12">
        <f>CNT!S98</f>
        <v>3189.63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BSC!F64</f>
        <v>0</v>
      </c>
      <c r="L79" s="12">
        <v>0</v>
      </c>
      <c r="N79" s="12">
        <v>0</v>
      </c>
      <c r="P79" s="12">
        <f t="shared" si="26"/>
        <v>3189.63</v>
      </c>
      <c r="Q79" s="9" t="s">
        <v>296</v>
      </c>
      <c r="R79" s="54">
        <v>4900.1499999999996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7"/>
        <v>4900.1499999999996</v>
      </c>
      <c r="AG79" s="9" t="s">
        <v>296</v>
      </c>
      <c r="AH79" s="12">
        <f t="shared" si="24"/>
        <v>3189.63</v>
      </c>
      <c r="AI79" s="12"/>
      <c r="AJ79" s="12">
        <f t="shared" si="28"/>
        <v>4900.1499999999996</v>
      </c>
      <c r="AK79" s="12"/>
      <c r="AL79" s="12">
        <f t="shared" si="25"/>
        <v>-1710.5199999999995</v>
      </c>
      <c r="AM79" s="12"/>
      <c r="AN79" s="13">
        <f t="shared" si="29"/>
        <v>0.65092497168454033</v>
      </c>
      <c r="AO79" s="13"/>
      <c r="AP79" s="14">
        <f t="shared" si="30"/>
        <v>-0.34907502831545967</v>
      </c>
    </row>
    <row r="80" spans="1:43" s="9" customFormat="1" ht="24.95" customHeight="1" x14ac:dyDescent="0.2">
      <c r="A80" s="9" t="s">
        <v>711</v>
      </c>
      <c r="B80" s="12">
        <f>CNT!S99</f>
        <v>0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0</v>
      </c>
      <c r="Q80" s="9" t="s">
        <v>711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0</v>
      </c>
      <c r="AG80" s="9" t="s">
        <v>711</v>
      </c>
      <c r="AH80" s="12">
        <f t="shared" si="24"/>
        <v>0</v>
      </c>
      <c r="AI80" s="12"/>
      <c r="AJ80" s="12">
        <f t="shared" si="28"/>
        <v>0</v>
      </c>
      <c r="AK80" s="12"/>
      <c r="AL80" s="12">
        <f t="shared" si="25"/>
        <v>0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CNT!S126+CNT!S127+CNT!S128+CNT!S102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BSC!F69</f>
        <v>0</v>
      </c>
      <c r="L81" s="12">
        <v>0</v>
      </c>
      <c r="N81" s="12">
        <v>0</v>
      </c>
      <c r="P81" s="12">
        <f t="shared" si="26"/>
        <v>0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82714.81</v>
      </c>
      <c r="AA81" s="12"/>
      <c r="AB81" s="54">
        <v>0</v>
      </c>
      <c r="AC81" s="12"/>
      <c r="AD81" s="54">
        <v>0</v>
      </c>
      <c r="AE81" s="12"/>
      <c r="AF81" s="122">
        <f t="shared" si="27"/>
        <v>82714.81</v>
      </c>
      <c r="AG81" s="9" t="s">
        <v>390</v>
      </c>
      <c r="AH81" s="12">
        <f t="shared" si="24"/>
        <v>0</v>
      </c>
      <c r="AI81" s="12"/>
      <c r="AJ81" s="12">
        <f t="shared" si="28"/>
        <v>82714.81</v>
      </c>
      <c r="AK81" s="12"/>
      <c r="AL81" s="12">
        <f t="shared" si="25"/>
        <v>-82714.81</v>
      </c>
      <c r="AM81" s="12"/>
      <c r="AN81" s="13">
        <f t="shared" si="29"/>
        <v>0</v>
      </c>
      <c r="AO81" s="13"/>
      <c r="AP81" s="14">
        <f t="shared" si="30"/>
        <v>-1</v>
      </c>
    </row>
    <row r="82" spans="1:42" s="9" customFormat="1" ht="24.95" customHeight="1" x14ac:dyDescent="0.2">
      <c r="A82" s="9" t="s">
        <v>602</v>
      </c>
      <c r="B82" s="12">
        <f>CNT!S103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CNT!S104</f>
        <v>10922671.41</v>
      </c>
      <c r="C83" s="12"/>
      <c r="D83" s="12">
        <f>BPM!S41</f>
        <v>0</v>
      </c>
      <c r="E83" s="12"/>
      <c r="F83" s="12">
        <f>DEP!S41</f>
        <v>326363.05</v>
      </c>
      <c r="G83" s="12"/>
      <c r="H83" s="12">
        <f>Lending!F37</f>
        <v>12786.51</v>
      </c>
      <c r="J83" s="12">
        <f>BSC!F60</f>
        <v>0</v>
      </c>
      <c r="L83" s="12">
        <v>0</v>
      </c>
      <c r="N83" s="12">
        <v>0</v>
      </c>
      <c r="P83" s="12">
        <f t="shared" si="26"/>
        <v>11261820.970000001</v>
      </c>
      <c r="Q83" s="9" t="s">
        <v>297</v>
      </c>
      <c r="R83" s="54">
        <v>3124061.34</v>
      </c>
      <c r="S83" s="12"/>
      <c r="T83" s="54">
        <v>0</v>
      </c>
      <c r="U83" s="12"/>
      <c r="V83" s="54">
        <v>323389.99</v>
      </c>
      <c r="W83" s="12"/>
      <c r="X83" s="54">
        <v>16096.33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3463547.66</v>
      </c>
      <c r="AG83" s="9" t="s">
        <v>297</v>
      </c>
      <c r="AH83" s="12">
        <f t="shared" si="24"/>
        <v>11261820.970000001</v>
      </c>
      <c r="AI83" s="12"/>
      <c r="AJ83" s="12">
        <f t="shared" si="28"/>
        <v>3463547.66</v>
      </c>
      <c r="AK83" s="12"/>
      <c r="AL83" s="12">
        <f t="shared" si="25"/>
        <v>7798273.3100000005</v>
      </c>
      <c r="AM83" s="12"/>
      <c r="AN83" s="13">
        <f t="shared" ref="AN83:AN91" si="31">AH83/AJ83</f>
        <v>3.2515276460783564</v>
      </c>
      <c r="AO83" s="13"/>
      <c r="AP83" s="14">
        <f t="shared" si="30"/>
        <v>2.2515276460783564</v>
      </c>
    </row>
    <row r="84" spans="1:42" s="9" customFormat="1" ht="24.95" customHeight="1" x14ac:dyDescent="0.2">
      <c r="A84" s="9" t="s">
        <v>561</v>
      </c>
      <c r="B84" s="12">
        <f>CNT!S105</f>
        <v>43139.82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43139.82</v>
      </c>
      <c r="Q84" s="9" t="s">
        <v>561</v>
      </c>
      <c r="R84" s="54">
        <v>44545.16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44545.16</v>
      </c>
      <c r="AG84" s="9" t="s">
        <v>561</v>
      </c>
      <c r="AH84" s="12">
        <f t="shared" si="24"/>
        <v>43139.82</v>
      </c>
      <c r="AI84" s="12"/>
      <c r="AJ84" s="12">
        <f t="shared" si="28"/>
        <v>44545.16</v>
      </c>
      <c r="AK84" s="12"/>
      <c r="AL84" s="12">
        <f t="shared" si="25"/>
        <v>-1405.3400000000038</v>
      </c>
      <c r="AM84" s="12"/>
      <c r="AN84" s="13">
        <f t="shared" si="31"/>
        <v>0.96845134241295794</v>
      </c>
      <c r="AO84" s="13"/>
      <c r="AP84" s="14">
        <f t="shared" si="30"/>
        <v>-3.1548657587042062E-2</v>
      </c>
    </row>
    <row r="85" spans="1:42" s="9" customFormat="1" ht="24.95" customHeight="1" x14ac:dyDescent="0.2">
      <c r="A85" s="9" t="s">
        <v>562</v>
      </c>
      <c r="B85" s="12">
        <f>CNT!S106</f>
        <v>243073.88</v>
      </c>
      <c r="C85" s="12"/>
      <c r="D85" s="12">
        <f>BPM!S42</f>
        <v>9732</v>
      </c>
      <c r="E85" s="12"/>
      <c r="F85" s="12">
        <v>0</v>
      </c>
      <c r="G85" s="12"/>
      <c r="H85" s="12">
        <f>Lending!F32</f>
        <v>0</v>
      </c>
      <c r="J85" s="12">
        <v>0</v>
      </c>
      <c r="L85" s="12">
        <f>'Oliari Co'!F62</f>
        <v>3000</v>
      </c>
      <c r="N85" s="12">
        <v>0</v>
      </c>
      <c r="P85" s="12">
        <f t="shared" si="26"/>
        <v>255805.88</v>
      </c>
      <c r="Q85" s="9" t="s">
        <v>562</v>
      </c>
      <c r="R85" s="54">
        <v>259751.73</v>
      </c>
      <c r="S85" s="12"/>
      <c r="T85" s="54">
        <v>4598.84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4975</v>
      </c>
      <c r="AC85" s="12"/>
      <c r="AD85" s="54">
        <v>0</v>
      </c>
      <c r="AE85" s="12"/>
      <c r="AF85" s="122">
        <f t="shared" si="27"/>
        <v>269325.57</v>
      </c>
      <c r="AG85" s="9" t="s">
        <v>562</v>
      </c>
      <c r="AH85" s="12">
        <f t="shared" si="24"/>
        <v>255805.88</v>
      </c>
      <c r="AI85" s="12"/>
      <c r="AJ85" s="12">
        <f t="shared" si="28"/>
        <v>269325.57</v>
      </c>
      <c r="AK85" s="12"/>
      <c r="AL85" s="12">
        <f t="shared" si="25"/>
        <v>-13519.690000000002</v>
      </c>
      <c r="AM85" s="12"/>
      <c r="AN85" s="13">
        <f t="shared" si="31"/>
        <v>0.94980168425894351</v>
      </c>
      <c r="AO85" s="13"/>
      <c r="AP85" s="14">
        <f t="shared" si="30"/>
        <v>-5.0198315741056487E-2</v>
      </c>
    </row>
    <row r="86" spans="1:42" s="9" customFormat="1" ht="24.95" customHeight="1" x14ac:dyDescent="0.2">
      <c r="A86" s="9" t="s">
        <v>563</v>
      </c>
      <c r="B86" s="12">
        <f>CNT!S107</f>
        <v>7114.28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7114.28</v>
      </c>
      <c r="Q86" s="9" t="s">
        <v>563</v>
      </c>
      <c r="R86" s="54">
        <v>4771.0600000000004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4771.0600000000004</v>
      </c>
      <c r="AG86" s="9" t="s">
        <v>563</v>
      </c>
      <c r="AH86" s="12">
        <f t="shared" si="24"/>
        <v>7114.28</v>
      </c>
      <c r="AI86" s="12"/>
      <c r="AJ86" s="12">
        <f t="shared" si="28"/>
        <v>4771.0600000000004</v>
      </c>
      <c r="AK86" s="12"/>
      <c r="AL86" s="12">
        <f t="shared" si="25"/>
        <v>2343.2199999999993</v>
      </c>
      <c r="AM86" s="12"/>
      <c r="AN86" s="13">
        <f t="shared" si="31"/>
        <v>1.4911319497134807</v>
      </c>
      <c r="AO86" s="13"/>
      <c r="AP86" s="14">
        <f t="shared" si="30"/>
        <v>0.49113194971348073</v>
      </c>
    </row>
    <row r="87" spans="1:42" s="9" customFormat="1" ht="24.95" customHeight="1" x14ac:dyDescent="0.2">
      <c r="A87" s="9" t="s">
        <v>298</v>
      </c>
      <c r="B87" s="12">
        <f>CNT!S108</f>
        <v>218386.24</v>
      </c>
      <c r="C87" s="12"/>
      <c r="D87" s="12">
        <v>0</v>
      </c>
      <c r="E87" s="12"/>
      <c r="F87" s="12">
        <f>DEP!S44</f>
        <v>0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218386.24</v>
      </c>
      <c r="Q87" s="9" t="s">
        <v>298</v>
      </c>
      <c r="R87" s="54">
        <v>139527.76</v>
      </c>
      <c r="S87" s="12"/>
      <c r="T87" s="54">
        <v>0</v>
      </c>
      <c r="U87" s="12"/>
      <c r="V87" s="54">
        <v>0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139527.76</v>
      </c>
      <c r="AG87" s="9" t="s">
        <v>298</v>
      </c>
      <c r="AH87" s="12">
        <f t="shared" si="24"/>
        <v>218386.24</v>
      </c>
      <c r="AI87" s="12"/>
      <c r="AJ87" s="12">
        <f t="shared" si="28"/>
        <v>139527.76</v>
      </c>
      <c r="AK87" s="12"/>
      <c r="AL87" s="12">
        <f t="shared" si="25"/>
        <v>78858.479999999981</v>
      </c>
      <c r="AM87" s="12"/>
      <c r="AN87" s="13">
        <f t="shared" si="31"/>
        <v>1.565181294389016</v>
      </c>
      <c r="AO87" s="13"/>
      <c r="AP87" s="14">
        <f t="shared" si="30"/>
        <v>0.56518129438901599</v>
      </c>
    </row>
    <row r="88" spans="1:42" s="9" customFormat="1" ht="24.95" customHeight="1" x14ac:dyDescent="0.2">
      <c r="A88" s="9" t="s">
        <v>616</v>
      </c>
      <c r="B88" s="12">
        <f>CNT!S110</f>
        <v>0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BSC!F63</f>
        <v>0</v>
      </c>
      <c r="L88" s="12">
        <v>0</v>
      </c>
      <c r="N88" s="12">
        <v>0</v>
      </c>
      <c r="P88" s="12">
        <f t="shared" si="26"/>
        <v>0</v>
      </c>
      <c r="Q88" s="9" t="s">
        <v>616</v>
      </c>
      <c r="R88" s="54">
        <v>0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7"/>
        <v>0</v>
      </c>
      <c r="AG88" s="9" t="s">
        <v>616</v>
      </c>
      <c r="AH88" s="12">
        <f t="shared" si="24"/>
        <v>0</v>
      </c>
      <c r="AI88" s="12"/>
      <c r="AJ88" s="12">
        <f t="shared" si="28"/>
        <v>0</v>
      </c>
      <c r="AK88" s="12"/>
      <c r="AL88" s="12">
        <f t="shared" si="25"/>
        <v>0</v>
      </c>
      <c r="AM88" s="12"/>
      <c r="AN88" s="13" t="e">
        <f t="shared" si="31"/>
        <v>#DIV/0!</v>
      </c>
      <c r="AO88" s="13"/>
      <c r="AP88" s="14" t="e">
        <f t="shared" si="30"/>
        <v>#DIV/0!</v>
      </c>
    </row>
    <row r="89" spans="1:42" s="9" customFormat="1" ht="24.95" customHeight="1" x14ac:dyDescent="0.2">
      <c r="A89" s="9" t="s">
        <v>299</v>
      </c>
      <c r="B89" s="12">
        <f>CNT!S109+CNT!S101</f>
        <v>59928.84</v>
      </c>
      <c r="C89" s="12"/>
      <c r="D89" s="12">
        <f>BPM!S43</f>
        <v>0</v>
      </c>
      <c r="E89" s="12"/>
      <c r="F89" s="12">
        <f>DEP!S45</f>
        <v>17326.990000000002</v>
      </c>
      <c r="G89" s="12"/>
      <c r="H89" s="12">
        <v>0</v>
      </c>
      <c r="J89" s="12">
        <f>BSC!F66</f>
        <v>2749.91</v>
      </c>
      <c r="L89" s="12">
        <v>0</v>
      </c>
      <c r="N89" s="12">
        <v>0</v>
      </c>
      <c r="P89" s="12">
        <f t="shared" si="26"/>
        <v>80005.740000000005</v>
      </c>
      <c r="Q89" s="9" t="s">
        <v>299</v>
      </c>
      <c r="R89" s="54">
        <v>150109.03</v>
      </c>
      <c r="S89" s="12"/>
      <c r="T89" s="54">
        <v>33026.480000000003</v>
      </c>
      <c r="U89" s="12"/>
      <c r="V89" s="54">
        <v>44500.87</v>
      </c>
      <c r="W89" s="12"/>
      <c r="X89" s="54">
        <v>0</v>
      </c>
      <c r="Y89" s="12"/>
      <c r="Z89" s="54">
        <v>22621.34</v>
      </c>
      <c r="AA89" s="12"/>
      <c r="AB89" s="54">
        <v>0</v>
      </c>
      <c r="AC89" s="12"/>
      <c r="AD89" s="54">
        <v>0</v>
      </c>
      <c r="AE89" s="12"/>
      <c r="AF89" s="122">
        <f t="shared" si="27"/>
        <v>250257.72</v>
      </c>
      <c r="AG89" s="9" t="s">
        <v>299</v>
      </c>
      <c r="AH89" s="12">
        <f t="shared" si="24"/>
        <v>80005.740000000005</v>
      </c>
      <c r="AI89" s="12"/>
      <c r="AJ89" s="12">
        <f t="shared" si="28"/>
        <v>250257.72</v>
      </c>
      <c r="AK89" s="12"/>
      <c r="AL89" s="12">
        <f t="shared" si="25"/>
        <v>-170251.97999999998</v>
      </c>
      <c r="AM89" s="12"/>
      <c r="AN89" s="13">
        <f>AH89/AJ89</f>
        <v>0.3196933944735052</v>
      </c>
      <c r="AO89" s="13"/>
      <c r="AP89" s="14">
        <f t="shared" si="30"/>
        <v>-0.6803066055264948</v>
      </c>
    </row>
    <row r="90" spans="1:42" s="9" customFormat="1" ht="24.95" customHeight="1" x14ac:dyDescent="0.2">
      <c r="A90" s="9" t="s">
        <v>564</v>
      </c>
      <c r="B90" s="12">
        <f>CNT!S115</f>
        <v>50000</v>
      </c>
      <c r="C90" s="12"/>
      <c r="D90" s="12">
        <v>0</v>
      </c>
      <c r="E90" s="12"/>
      <c r="F90" s="12">
        <f>DEP!S43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50000</v>
      </c>
      <c r="AI90" s="12"/>
      <c r="AJ90" s="12">
        <f t="shared" si="28"/>
        <v>36537</v>
      </c>
      <c r="AK90" s="12"/>
      <c r="AL90" s="12">
        <f t="shared" si="25"/>
        <v>13463</v>
      </c>
      <c r="AM90" s="12"/>
      <c r="AN90" s="13">
        <f>AH90/AJ90</f>
        <v>1.3684757916632455</v>
      </c>
      <c r="AO90" s="13"/>
      <c r="AP90" s="14">
        <f t="shared" si="30"/>
        <v>0.36847579166324551</v>
      </c>
    </row>
    <row r="91" spans="1:42" s="9" customFormat="1" ht="24.95" customHeight="1" x14ac:dyDescent="0.2">
      <c r="A91" s="9" t="s">
        <v>300</v>
      </c>
      <c r="B91" s="12">
        <f>CNT!S111</f>
        <v>178031.5</v>
      </c>
      <c r="C91" s="12"/>
      <c r="D91" s="12">
        <f>BPM!S44+BPM!S45</f>
        <v>0</v>
      </c>
      <c r="E91" s="12"/>
      <c r="F91" s="12">
        <f>DEP!S46</f>
        <v>5854.39</v>
      </c>
      <c r="G91" s="12"/>
      <c r="H91" s="12">
        <v>0</v>
      </c>
      <c r="J91" s="12">
        <f>BSC!F67</f>
        <v>0</v>
      </c>
      <c r="L91" s="12">
        <v>0</v>
      </c>
      <c r="N91" s="12">
        <v>0</v>
      </c>
      <c r="P91" s="12">
        <f t="shared" si="26"/>
        <v>183885.89</v>
      </c>
      <c r="Q91" s="9" t="s">
        <v>300</v>
      </c>
      <c r="R91" s="54">
        <v>81087.66</v>
      </c>
      <c r="S91" s="12"/>
      <c r="T91" s="54">
        <v>22166.29</v>
      </c>
      <c r="U91" s="12"/>
      <c r="V91" s="54">
        <v>5436.09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108690.04000000001</v>
      </c>
      <c r="AG91" s="9" t="s">
        <v>300</v>
      </c>
      <c r="AH91" s="12">
        <f t="shared" si="24"/>
        <v>183885.89</v>
      </c>
      <c r="AI91" s="12"/>
      <c r="AJ91" s="12">
        <f t="shared" si="28"/>
        <v>108690.04000000001</v>
      </c>
      <c r="AK91" s="12"/>
      <c r="AL91" s="12">
        <f t="shared" si="25"/>
        <v>75195.850000000006</v>
      </c>
      <c r="AM91" s="12"/>
      <c r="AN91" s="13">
        <f t="shared" si="31"/>
        <v>1.6918375409559145</v>
      </c>
      <c r="AO91" s="13"/>
      <c r="AP91" s="14">
        <f t="shared" si="30"/>
        <v>0.69183754095591454</v>
      </c>
    </row>
    <row r="92" spans="1:42" s="9" customFormat="1" ht="24.95" customHeight="1" x14ac:dyDescent="0.2">
      <c r="A92" s="9" t="s">
        <v>717</v>
      </c>
      <c r="B92" s="12">
        <f>CNT!S113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CNT!S114</f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0</v>
      </c>
      <c r="Q93" s="9" t="s">
        <v>302</v>
      </c>
      <c r="R93" s="54">
        <v>0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0</v>
      </c>
      <c r="AG93" s="9" t="s">
        <v>302</v>
      </c>
      <c r="AH93" s="12">
        <f t="shared" si="24"/>
        <v>0</v>
      </c>
      <c r="AI93" s="12"/>
      <c r="AJ93" s="12">
        <f t="shared" si="28"/>
        <v>0</v>
      </c>
      <c r="AK93" s="12"/>
      <c r="AL93" s="12">
        <f t="shared" si="25"/>
        <v>0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CNT!S116</f>
        <v>0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0</v>
      </c>
      <c r="Q94" s="9" t="s">
        <v>303</v>
      </c>
      <c r="R94" s="54">
        <v>0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0</v>
      </c>
      <c r="AG94" s="9" t="s">
        <v>303</v>
      </c>
      <c r="AH94" s="12">
        <f t="shared" si="24"/>
        <v>0</v>
      </c>
      <c r="AI94" s="12"/>
      <c r="AJ94" s="12">
        <f t="shared" si="28"/>
        <v>0</v>
      </c>
      <c r="AK94" s="12"/>
      <c r="AL94" s="12">
        <f t="shared" si="25"/>
        <v>0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DEP!S42</f>
        <v>43709.65</v>
      </c>
      <c r="G95" s="12"/>
      <c r="H95" s="12">
        <v>0</v>
      </c>
      <c r="J95" s="12">
        <f>BSC!F65</f>
        <v>2900</v>
      </c>
      <c r="L95" s="12">
        <v>0</v>
      </c>
      <c r="N95" s="12">
        <f>'722 Bedford St'!E54</f>
        <v>0</v>
      </c>
      <c r="P95" s="12">
        <f t="shared" si="26"/>
        <v>46609.65</v>
      </c>
      <c r="Q95" s="9" t="s">
        <v>565</v>
      </c>
      <c r="R95" s="54">
        <v>0</v>
      </c>
      <c r="S95" s="12"/>
      <c r="T95" s="54">
        <v>0</v>
      </c>
      <c r="U95" s="12"/>
      <c r="V95" s="54">
        <v>43000</v>
      </c>
      <c r="W95" s="12"/>
      <c r="X95" s="54">
        <v>0</v>
      </c>
      <c r="Y95" s="12"/>
      <c r="Z95" s="54">
        <v>3000</v>
      </c>
      <c r="AA95" s="12"/>
      <c r="AB95" s="54">
        <v>0</v>
      </c>
      <c r="AC95" s="12"/>
      <c r="AD95" s="54">
        <v>0</v>
      </c>
      <c r="AE95" s="12"/>
      <c r="AF95" s="122">
        <f t="shared" si="27"/>
        <v>46000</v>
      </c>
      <c r="AG95" s="9" t="s">
        <v>565</v>
      </c>
      <c r="AH95" s="12">
        <f t="shared" si="24"/>
        <v>46609.65</v>
      </c>
      <c r="AI95" s="12"/>
      <c r="AJ95" s="12">
        <f t="shared" si="28"/>
        <v>46000</v>
      </c>
      <c r="AK95" s="12"/>
      <c r="AL95" s="12">
        <f t="shared" si="25"/>
        <v>609.65000000000146</v>
      </c>
      <c r="AM95" s="12"/>
      <c r="AN95" s="13">
        <f>AH95/AJ95</f>
        <v>1.0132532608695652</v>
      </c>
      <c r="AO95" s="13"/>
      <c r="AP95" s="14">
        <f t="shared" si="30"/>
        <v>1.3253260869565242E-2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St'!E50+'722 Bedford St'!E51+'722 Bedford St'!E52+'722 Bedford St'!E53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7"/>
        <v>0</v>
      </c>
      <c r="AG96" s="9" t="s">
        <v>611</v>
      </c>
      <c r="AH96" s="12">
        <f t="shared" si="24"/>
        <v>0</v>
      </c>
      <c r="AI96" s="12"/>
      <c r="AJ96" s="12">
        <f t="shared" si="28"/>
        <v>0</v>
      </c>
      <c r="AK96" s="12"/>
      <c r="AL96" s="12">
        <f t="shared" si="25"/>
        <v>0</v>
      </c>
      <c r="AM96" s="12"/>
      <c r="AN96" s="13" t="e">
        <f>AH96/AJ96</f>
        <v>#DIV/0!</v>
      </c>
      <c r="AO96" s="13"/>
      <c r="AP96" s="14" t="e">
        <f t="shared" si="30"/>
        <v>#DIV/0!</v>
      </c>
    </row>
    <row r="97" spans="1:42" s="9" customFormat="1" ht="24.95" customHeight="1" x14ac:dyDescent="0.2">
      <c r="A97" s="9" t="s">
        <v>685</v>
      </c>
      <c r="B97" s="12">
        <f>CNT!S112</f>
        <v>0</v>
      </c>
      <c r="C97" s="12"/>
      <c r="D97" s="12">
        <v>0</v>
      </c>
      <c r="E97" s="12"/>
      <c r="F97" s="12">
        <f>DEP!S47</f>
        <v>0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0</v>
      </c>
      <c r="Q97" s="9" t="s">
        <v>685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685</v>
      </c>
      <c r="AH97" s="12">
        <f t="shared" si="24"/>
        <v>0</v>
      </c>
      <c r="AI97" s="12"/>
      <c r="AJ97" s="12">
        <f t="shared" si="28"/>
        <v>0</v>
      </c>
      <c r="AK97" s="12"/>
      <c r="AL97" s="12">
        <f t="shared" si="25"/>
        <v>0</v>
      </c>
      <c r="AM97" s="12"/>
      <c r="AN97" s="13" t="e">
        <f>AH97/AJ97</f>
        <v>#DIV/0!</v>
      </c>
      <c r="AO97" s="13"/>
      <c r="AP97" s="14" t="e">
        <f t="shared" si="30"/>
        <v>#DIV/0!</v>
      </c>
    </row>
    <row r="98" spans="1:42" s="9" customFormat="1" ht="24.95" customHeight="1" x14ac:dyDescent="0.2">
      <c r="A98" s="9" t="s">
        <v>735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398.86</v>
      </c>
      <c r="J98" s="12">
        <v>0</v>
      </c>
      <c r="L98" s="12">
        <v>0</v>
      </c>
      <c r="N98" s="12">
        <v>0</v>
      </c>
      <c r="P98" s="12">
        <f t="shared" si="26"/>
        <v>398.86</v>
      </c>
      <c r="Q98" s="9" t="s">
        <v>735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735</v>
      </c>
      <c r="AH98" s="12">
        <f t="shared" si="24"/>
        <v>398.86</v>
      </c>
      <c r="AI98" s="12"/>
      <c r="AJ98" s="12">
        <f t="shared" si="28"/>
        <v>0</v>
      </c>
      <c r="AK98" s="12"/>
      <c r="AL98" s="12">
        <f t="shared" si="25"/>
        <v>398.86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CNT!S117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304</v>
      </c>
      <c r="R99" s="54">
        <v>0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0</v>
      </c>
      <c r="AG99" s="9" t="s">
        <v>304</v>
      </c>
      <c r="AH99" s="12">
        <f t="shared" si="24"/>
        <v>0</v>
      </c>
      <c r="AI99" s="12"/>
      <c r="AJ99" s="12">
        <f t="shared" si="28"/>
        <v>0</v>
      </c>
      <c r="AK99" s="12"/>
      <c r="AL99" s="12">
        <f t="shared" si="25"/>
        <v>0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CNT!S118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CNT!S119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1037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1037</v>
      </c>
      <c r="AG102" s="9" t="s">
        <v>307</v>
      </c>
      <c r="AH102" s="12">
        <f t="shared" si="24"/>
        <v>0</v>
      </c>
      <c r="AI102" s="12"/>
      <c r="AJ102" s="12">
        <f t="shared" si="28"/>
        <v>1037</v>
      </c>
      <c r="AK102" s="12"/>
      <c r="AL102" s="12">
        <f t="shared" si="25"/>
        <v>-1037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CNT!S120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5132276.25</v>
      </c>
      <c r="AI103" s="12"/>
      <c r="AJ103" s="12">
        <f t="shared" si="28"/>
        <v>119284.99</v>
      </c>
      <c r="AK103" s="12"/>
      <c r="AL103" s="12">
        <f t="shared" si="25"/>
        <v>5012991.26</v>
      </c>
      <c r="AM103" s="12"/>
      <c r="AN103" s="13">
        <f>AH103/AJ103</f>
        <v>43.025331602911649</v>
      </c>
      <c r="AO103" s="13"/>
      <c r="AP103" s="14">
        <f t="shared" si="30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BSC!F68</f>
        <v>1072174.52</v>
      </c>
      <c r="L104" s="12">
        <f>'Oliari Co'!F63</f>
        <v>112781.83</v>
      </c>
      <c r="N104" s="12">
        <v>0</v>
      </c>
      <c r="P104" s="12">
        <f t="shared" si="26"/>
        <v>1184956.3500000001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999470</v>
      </c>
      <c r="AA104" s="12"/>
      <c r="AB104" s="54">
        <v>102450.67</v>
      </c>
      <c r="AC104" s="12"/>
      <c r="AD104" s="54">
        <v>0</v>
      </c>
      <c r="AE104" s="12"/>
      <c r="AF104" s="122">
        <f t="shared" si="27"/>
        <v>1101920.67</v>
      </c>
      <c r="AG104" s="9" t="s">
        <v>389</v>
      </c>
      <c r="AH104" s="12">
        <f t="shared" si="24"/>
        <v>1184956.3500000001</v>
      </c>
      <c r="AI104" s="12"/>
      <c r="AJ104" s="12">
        <f t="shared" si="28"/>
        <v>1101920.67</v>
      </c>
      <c r="AK104" s="12"/>
      <c r="AL104" s="12">
        <f t="shared" si="25"/>
        <v>83035.680000000168</v>
      </c>
      <c r="AM104" s="12"/>
      <c r="AN104" s="13">
        <f>AH104/AJ104</f>
        <v>1.0753554064831183</v>
      </c>
      <c r="AO104" s="13"/>
      <c r="AP104" s="14">
        <f t="shared" si="30"/>
        <v>7.5355406483118337E-2</v>
      </c>
    </row>
    <row r="105" spans="1:42" s="9" customFormat="1" ht="24.95" customHeight="1" x14ac:dyDescent="0.2">
      <c r="A105" s="9" t="s">
        <v>309</v>
      </c>
      <c r="B105" s="12">
        <f>CNT!S121+CNT!S122</f>
        <v>8900000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9150000</v>
      </c>
      <c r="Q105" s="9" t="s">
        <v>309</v>
      </c>
      <c r="R105" s="54">
        <v>5980000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6230000</v>
      </c>
      <c r="AG105" s="9" t="s">
        <v>309</v>
      </c>
      <c r="AH105" s="12">
        <f t="shared" si="24"/>
        <v>9150000</v>
      </c>
      <c r="AI105" s="12"/>
      <c r="AJ105" s="12">
        <f t="shared" si="28"/>
        <v>6230000</v>
      </c>
      <c r="AK105" s="12"/>
      <c r="AL105" s="12">
        <f t="shared" si="25"/>
        <v>2920000</v>
      </c>
      <c r="AM105" s="12"/>
      <c r="AN105" s="13">
        <f>AH105/AJ105</f>
        <v>1.4686998394863564</v>
      </c>
      <c r="AO105" s="13"/>
      <c r="AP105" s="14">
        <f t="shared" si="30"/>
        <v>0.46869983948635641</v>
      </c>
    </row>
    <row r="106" spans="1:42" s="9" customFormat="1" ht="24.95" customHeight="1" x14ac:dyDescent="0.2">
      <c r="A106" s="9" t="s">
        <v>310</v>
      </c>
      <c r="B106" s="12">
        <f>CNT!S124+CNT!S123+CNT!S138+CNT!S139+CNT!S125</f>
        <v>2950000</v>
      </c>
      <c r="C106" s="12"/>
      <c r="D106" s="12">
        <f>BPM!S48+BPM!S49</f>
        <v>1561.95</v>
      </c>
      <c r="E106" s="12"/>
      <c r="F106" s="12">
        <f>DEP!S48+DEP!S54</f>
        <v>69048.7</v>
      </c>
      <c r="G106" s="12"/>
      <c r="H106" s="12">
        <f>Lending!F35+Lending!F36+Lending!F34</f>
        <v>317318.53000000003</v>
      </c>
      <c r="J106" s="12">
        <f>BSC!F70+BSC!F77+BSC!F71+BSC!F72</f>
        <v>1093347.3</v>
      </c>
      <c r="L106" s="12">
        <f>'Oliari Co'!F61</f>
        <v>0</v>
      </c>
      <c r="N106" s="12">
        <f>'722 Bedford St'!E55+'722 Bedford St'!E56+'722 Bedford St'!E57-250000</f>
        <v>-249969.23</v>
      </c>
      <c r="P106" s="12">
        <f t="shared" si="26"/>
        <v>4181307.2500000005</v>
      </c>
      <c r="Q106" s="9" t="s">
        <v>310</v>
      </c>
      <c r="R106" s="54">
        <v>1500000</v>
      </c>
      <c r="S106" s="12"/>
      <c r="T106" s="54">
        <v>113282.83</v>
      </c>
      <c r="U106" s="12"/>
      <c r="V106" s="54">
        <v>175552.64000000001</v>
      </c>
      <c r="W106" s="12"/>
      <c r="X106" s="54">
        <v>587117.64</v>
      </c>
      <c r="Y106" s="12"/>
      <c r="Z106" s="54">
        <v>1097675.6499999999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3223628.7600000002</v>
      </c>
      <c r="AG106" s="9" t="s">
        <v>310</v>
      </c>
      <c r="AH106" s="12">
        <f t="shared" si="24"/>
        <v>4181307.2500000005</v>
      </c>
      <c r="AI106" s="12"/>
      <c r="AJ106" s="12">
        <f t="shared" si="28"/>
        <v>3223628.7600000002</v>
      </c>
      <c r="AK106" s="12"/>
      <c r="AL106" s="12">
        <f t="shared" si="25"/>
        <v>957678.49000000022</v>
      </c>
      <c r="AM106" s="12"/>
      <c r="AN106" s="13">
        <f>AH106/AJ106</f>
        <v>1.2970808865720631</v>
      </c>
      <c r="AO106" s="13"/>
      <c r="AP106" s="14">
        <f t="shared" si="30"/>
        <v>0.29708088657206311</v>
      </c>
    </row>
    <row r="107" spans="1:42" s="9" customFormat="1" ht="24.95" customHeight="1" x14ac:dyDescent="0.2">
      <c r="A107" s="9" t="s">
        <v>311</v>
      </c>
      <c r="B107" s="12">
        <f>CNT!S129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CNT!S131</f>
        <v>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0</v>
      </c>
      <c r="Q108" s="9" t="s">
        <v>591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0</v>
      </c>
      <c r="AG108" s="9" t="s">
        <v>591</v>
      </c>
      <c r="AH108" s="12">
        <f t="shared" si="24"/>
        <v>0</v>
      </c>
      <c r="AI108" s="12"/>
      <c r="AJ108" s="12">
        <f t="shared" si="28"/>
        <v>0</v>
      </c>
      <c r="AK108" s="12"/>
      <c r="AL108" s="12">
        <f t="shared" si="25"/>
        <v>0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CNT!S132</f>
        <v>385545.66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385545.66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0</v>
      </c>
      <c r="AG109" s="9" t="s">
        <v>732</v>
      </c>
      <c r="AH109" s="12">
        <f t="shared" si="24"/>
        <v>385545.66</v>
      </c>
      <c r="AI109" s="12"/>
      <c r="AJ109" s="12">
        <f t="shared" si="28"/>
        <v>0</v>
      </c>
      <c r="AK109" s="12"/>
      <c r="AL109" s="12">
        <f t="shared" si="25"/>
        <v>385545.66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CNT!S133</f>
        <v>2035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2035</v>
      </c>
      <c r="Q110" s="9" t="s">
        <v>636</v>
      </c>
      <c r="R110" s="54">
        <v>4822.5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4822.5</v>
      </c>
      <c r="AG110" s="9" t="s">
        <v>636</v>
      </c>
      <c r="AH110" s="12">
        <f t="shared" si="24"/>
        <v>2035</v>
      </c>
      <c r="AI110" s="12"/>
      <c r="AJ110" s="12">
        <f t="shared" si="28"/>
        <v>4822.5</v>
      </c>
      <c r="AK110" s="12"/>
      <c r="AL110" s="12">
        <f t="shared" si="25"/>
        <v>-2787.5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CNT!S134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CNT!S130</f>
        <v>0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0</v>
      </c>
      <c r="Q112" s="9" t="s">
        <v>312</v>
      </c>
      <c r="R112" s="55">
        <v>0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7"/>
        <v>0</v>
      </c>
      <c r="AG112" s="9" t="s">
        <v>312</v>
      </c>
      <c r="AH112" s="16">
        <f t="shared" si="24"/>
        <v>0</v>
      </c>
      <c r="AI112" s="16"/>
      <c r="AJ112" s="16">
        <f t="shared" si="28"/>
        <v>0</v>
      </c>
      <c r="AK112" s="16"/>
      <c r="AL112" s="16">
        <f t="shared" si="25"/>
        <v>0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116627955.78999999</v>
      </c>
      <c r="C113" s="12"/>
      <c r="D113" s="12">
        <f>SUM(D74:D112)</f>
        <v>11293.95</v>
      </c>
      <c r="E113" s="12"/>
      <c r="F113" s="12">
        <f>SUM(F74:F112)</f>
        <v>463504.10000000003</v>
      </c>
      <c r="G113" s="12"/>
      <c r="H113" s="12">
        <f>SUM(H74:H112)</f>
        <v>330503.90000000002</v>
      </c>
      <c r="I113" s="12"/>
      <c r="J113" s="12">
        <f>SUM(J74:J112)</f>
        <v>2221441.1500000004</v>
      </c>
      <c r="K113" s="12"/>
      <c r="L113" s="12">
        <f>SUM(L74:L112)</f>
        <v>115781.83</v>
      </c>
      <c r="M113" s="12"/>
      <c r="N113" s="12">
        <f>SUM(N74:N112)</f>
        <v>30.769999999989523</v>
      </c>
      <c r="O113" s="12"/>
      <c r="P113" s="12">
        <f>SUM(P74:P112)</f>
        <v>119770511.48999998</v>
      </c>
      <c r="Q113" s="20" t="s">
        <v>382</v>
      </c>
      <c r="R113" s="54">
        <f>SUM(R73:R112)</f>
        <v>78070737.510000005</v>
      </c>
      <c r="S113" s="12"/>
      <c r="T113" s="54">
        <f>SUM(T73:T112)</f>
        <v>439722.98</v>
      </c>
      <c r="U113" s="12"/>
      <c r="V113" s="54">
        <f>SUM(V73:V112)</f>
        <v>605798.80000000005</v>
      </c>
      <c r="W113" s="12"/>
      <c r="X113" s="54">
        <f>SUM(X73:X112)</f>
        <v>603213.97</v>
      </c>
      <c r="Y113" s="12"/>
      <c r="Z113" s="54">
        <f>SUM(Z73:Z112)</f>
        <v>2227420.2799999998</v>
      </c>
      <c r="AA113" s="12"/>
      <c r="AB113" s="54">
        <f>SUM(AB73:AB112)</f>
        <v>107425.67</v>
      </c>
      <c r="AC113" s="12"/>
      <c r="AD113" s="54">
        <f>SUM(AD73:AD112)</f>
        <v>0</v>
      </c>
      <c r="AE113" s="12"/>
      <c r="AF113" s="12">
        <f>SUM(AF73:AF112)</f>
        <v>82054319.210000008</v>
      </c>
      <c r="AG113" s="20" t="s">
        <v>382</v>
      </c>
      <c r="AH113" s="22">
        <f>SUM(AH73:AH112)</f>
        <v>119770511.48999998</v>
      </c>
      <c r="AI113" s="22">
        <f>SUM(AI73:AI112)</f>
        <v>0</v>
      </c>
      <c r="AJ113" s="22">
        <f>SUM(AJ73:AJ112)</f>
        <v>82054319.210000008</v>
      </c>
      <c r="AK113" s="22">
        <f>SUM(AK73:AK112)</f>
        <v>0</v>
      </c>
      <c r="AL113" s="22">
        <f>SUM(AL73:AL112)</f>
        <v>37716192.279999994</v>
      </c>
      <c r="AM113" s="22"/>
      <c r="AN113" s="13">
        <f>AH113/AJ113</f>
        <v>1.4596490793308963</v>
      </c>
      <c r="AO113" s="13"/>
      <c r="AP113" s="14">
        <f t="shared" si="30"/>
        <v>0.45964907933089627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CNT!S140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BSC!F76</f>
        <v>1038675.03</v>
      </c>
      <c r="L117" s="12">
        <f>'Oliari Co'!F68</f>
        <v>247750</v>
      </c>
      <c r="N117" s="12">
        <f>'722 Bedford St'!E64</f>
        <v>2879355.33</v>
      </c>
      <c r="P117" s="12">
        <f t="shared" si="32"/>
        <v>4165780.3600000003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0</v>
      </c>
      <c r="AE117" s="12"/>
      <c r="AF117" s="122">
        <f t="shared" ref="AF117:AF121" si="38">SUM(R117:AD117)</f>
        <v>1286425.03</v>
      </c>
      <c r="AG117" s="9" t="s">
        <v>315</v>
      </c>
      <c r="AH117" s="12">
        <f t="shared" si="33"/>
        <v>4165780.3600000003</v>
      </c>
      <c r="AI117" s="12"/>
      <c r="AJ117" s="12">
        <f t="shared" si="34"/>
        <v>1286425.03</v>
      </c>
      <c r="AK117" s="12"/>
      <c r="AL117" s="12">
        <f t="shared" si="35"/>
        <v>2879355.33</v>
      </c>
      <c r="AM117" s="12"/>
      <c r="AN117" s="13">
        <f t="shared" si="36"/>
        <v>3.2382612766792951</v>
      </c>
      <c r="AO117" s="13"/>
      <c r="AP117" s="14">
        <f t="shared" si="37"/>
        <v>2.2382612766792951</v>
      </c>
    </row>
    <row r="118" spans="1:42" s="9" customFormat="1" ht="24.95" customHeight="1" x14ac:dyDescent="0.2">
      <c r="A118" s="9" t="s">
        <v>733</v>
      </c>
      <c r="B118" s="12">
        <f>CNT!S144</f>
        <v>2014019.8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2014019.8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3"/>
        <v>2014019.8</v>
      </c>
      <c r="AI118" s="12"/>
      <c r="AJ118" s="12">
        <f t="shared" si="34"/>
        <v>0</v>
      </c>
      <c r="AK118" s="12"/>
      <c r="AL118" s="12">
        <f t="shared" si="35"/>
        <v>2014019.8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CNT!S141</f>
        <v>17211.310000000001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St'!E61</f>
        <v>0</v>
      </c>
      <c r="P119" s="12">
        <f t="shared" si="32"/>
        <v>17211.310000000001</v>
      </c>
      <c r="Q119" s="9" t="s">
        <v>316</v>
      </c>
      <c r="R119" s="54">
        <v>16694.919999999998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0</v>
      </c>
      <c r="AE119" s="12"/>
      <c r="AF119" s="122">
        <f t="shared" si="38"/>
        <v>16694.919999999998</v>
      </c>
      <c r="AG119" s="9" t="s">
        <v>316</v>
      </c>
      <c r="AH119" s="12">
        <f t="shared" si="33"/>
        <v>17211.310000000001</v>
      </c>
      <c r="AI119" s="12"/>
      <c r="AJ119" s="12">
        <f t="shared" si="34"/>
        <v>16694.919999999998</v>
      </c>
      <c r="AK119" s="12"/>
      <c r="AL119" s="12">
        <f t="shared" si="35"/>
        <v>516.39000000000306</v>
      </c>
      <c r="AM119" s="12"/>
      <c r="AN119" s="13">
        <f t="shared" si="36"/>
        <v>1.0309309658267307</v>
      </c>
      <c r="AO119" s="13"/>
      <c r="AP119" s="14">
        <f t="shared" si="37"/>
        <v>3.0930965826730716E-2</v>
      </c>
    </row>
    <row r="120" spans="1:42" s="9" customFormat="1" ht="24.95" customHeight="1" x14ac:dyDescent="0.2">
      <c r="A120" s="9" t="s">
        <v>317</v>
      </c>
      <c r="B120" s="12">
        <f>CNT!S142</f>
        <v>4463.8500000000004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St'!E62</f>
        <v>0</v>
      </c>
      <c r="P120" s="12">
        <f t="shared" si="32"/>
        <v>4463.8500000000004</v>
      </c>
      <c r="Q120" s="9" t="s">
        <v>317</v>
      </c>
      <c r="R120" s="54">
        <v>4329.95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0</v>
      </c>
      <c r="AE120" s="12"/>
      <c r="AF120" s="122">
        <f t="shared" si="38"/>
        <v>4329.95</v>
      </c>
      <c r="AG120" s="9" t="s">
        <v>317</v>
      </c>
      <c r="AH120" s="12">
        <f t="shared" si="33"/>
        <v>4463.8500000000004</v>
      </c>
      <c r="AI120" s="12"/>
      <c r="AJ120" s="12">
        <f t="shared" si="34"/>
        <v>4329.95</v>
      </c>
      <c r="AK120" s="12"/>
      <c r="AL120" s="12">
        <f t="shared" si="35"/>
        <v>133.90000000000055</v>
      </c>
      <c r="AM120" s="12"/>
      <c r="AN120" s="13">
        <f t="shared" si="36"/>
        <v>1.0309241446206077</v>
      </c>
      <c r="AO120" s="13"/>
      <c r="AP120" s="14">
        <f t="shared" si="37"/>
        <v>3.0924144620607663E-2</v>
      </c>
    </row>
    <row r="121" spans="1:42" s="9" customFormat="1" ht="24.95" customHeight="1" x14ac:dyDescent="0.2">
      <c r="A121" s="9" t="s">
        <v>318</v>
      </c>
      <c r="B121" s="16">
        <f>CNT!S143</f>
        <v>20362.78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St'!E63</f>
        <v>0</v>
      </c>
      <c r="O121" s="17"/>
      <c r="P121" s="16">
        <f t="shared" si="32"/>
        <v>20362.78</v>
      </c>
      <c r="Q121" s="9" t="s">
        <v>318</v>
      </c>
      <c r="R121" s="55">
        <v>19751.849999999999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0</v>
      </c>
      <c r="AE121" s="16"/>
      <c r="AF121" s="16">
        <f t="shared" si="38"/>
        <v>19751.849999999999</v>
      </c>
      <c r="AG121" s="9" t="s">
        <v>318</v>
      </c>
      <c r="AH121" s="16">
        <f t="shared" si="33"/>
        <v>20362.78</v>
      </c>
      <c r="AI121" s="16"/>
      <c r="AJ121" s="16">
        <f t="shared" si="34"/>
        <v>19751.849999999999</v>
      </c>
      <c r="AK121" s="16"/>
      <c r="AL121" s="16">
        <f t="shared" si="35"/>
        <v>610.93000000000029</v>
      </c>
      <c r="AM121" s="12"/>
      <c r="AN121" s="13">
        <f t="shared" si="36"/>
        <v>1.0309302672914182</v>
      </c>
      <c r="AO121" s="13"/>
      <c r="AP121" s="14">
        <f t="shared" si="37"/>
        <v>3.0930267291418234E-2</v>
      </c>
    </row>
    <row r="122" spans="1:42" s="9" customFormat="1" ht="24.95" customHeight="1" x14ac:dyDescent="0.2">
      <c r="A122" s="20" t="s">
        <v>319</v>
      </c>
      <c r="B122" s="12">
        <f>SUM(B116:B121)</f>
        <v>2056057.7400000002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2879355.33</v>
      </c>
      <c r="O122" s="12"/>
      <c r="P122" s="12">
        <f>SUM(P116:P121)</f>
        <v>6221838.0999999996</v>
      </c>
      <c r="Q122" s="20" t="s">
        <v>319</v>
      </c>
      <c r="R122" s="54">
        <f>SUM(R116:R121)</f>
        <v>40776.720000000001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0</v>
      </c>
      <c r="AE122" s="12"/>
      <c r="AF122" s="12">
        <f>SUM(AF116:AF121)</f>
        <v>1327201.75</v>
      </c>
      <c r="AG122" s="20" t="s">
        <v>319</v>
      </c>
      <c r="AH122" s="12">
        <f>SUM(AH116:AH121)</f>
        <v>6221838.0999999996</v>
      </c>
      <c r="AI122" s="12"/>
      <c r="AJ122" s="12">
        <f>SUM(AJ116:AJ121)</f>
        <v>1327201.75</v>
      </c>
      <c r="AK122" s="12"/>
      <c r="AL122" s="12">
        <f>SUM(AL116:AL121)</f>
        <v>4894636.3499999996</v>
      </c>
      <c r="AM122" s="12"/>
      <c r="AN122" s="13">
        <f t="shared" si="36"/>
        <v>4.6879369319698379</v>
      </c>
      <c r="AO122" s="13"/>
      <c r="AP122" s="14">
        <f t="shared" si="37"/>
        <v>3.6879369319698379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118684013.52999999</v>
      </c>
      <c r="C124" s="21"/>
      <c r="D124" s="21">
        <f>D122+D113</f>
        <v>11293.95</v>
      </c>
      <c r="E124" s="21"/>
      <c r="F124" s="21">
        <f>F122+F113</f>
        <v>463504.10000000003</v>
      </c>
      <c r="G124" s="21"/>
      <c r="H124" s="21">
        <f>H122+H113</f>
        <v>330503.90000000002</v>
      </c>
      <c r="I124" s="21"/>
      <c r="J124" s="21">
        <f>J122+J113</f>
        <v>3260116.1800000006</v>
      </c>
      <c r="K124" s="21"/>
      <c r="L124" s="21">
        <f>L122+L113</f>
        <v>363531.83</v>
      </c>
      <c r="M124" s="21"/>
      <c r="N124" s="21">
        <f>N122+N113</f>
        <v>2879386.1</v>
      </c>
      <c r="O124" s="21"/>
      <c r="P124" s="21">
        <f>P122+P113</f>
        <v>125992349.58999997</v>
      </c>
      <c r="Q124" s="27" t="s">
        <v>320</v>
      </c>
      <c r="R124" s="56">
        <f>R122+R113</f>
        <v>78111514.230000004</v>
      </c>
      <c r="S124" s="21"/>
      <c r="T124" s="56">
        <f>T122+T113</f>
        <v>439722.98</v>
      </c>
      <c r="U124" s="21"/>
      <c r="V124" s="56">
        <f>V122+V113</f>
        <v>605798.80000000005</v>
      </c>
      <c r="W124" s="21"/>
      <c r="X124" s="56">
        <f>X122+X113</f>
        <v>603213.97</v>
      </c>
      <c r="Y124" s="21"/>
      <c r="Z124" s="56">
        <f>Z122+Z113</f>
        <v>3266095.3099999996</v>
      </c>
      <c r="AA124" s="21"/>
      <c r="AB124" s="56">
        <f>AB122+AB113</f>
        <v>355175.67</v>
      </c>
      <c r="AC124" s="21"/>
      <c r="AD124" s="56">
        <f>AD122+AD113</f>
        <v>0</v>
      </c>
      <c r="AE124" s="21"/>
      <c r="AF124" s="21">
        <f>AF122+AF113</f>
        <v>83381520.960000008</v>
      </c>
      <c r="AG124" s="27" t="s">
        <v>320</v>
      </c>
      <c r="AH124" s="21">
        <f>AH113+AH122</f>
        <v>125992349.58999997</v>
      </c>
      <c r="AI124" s="21"/>
      <c r="AJ124" s="21">
        <f>AJ113+AJ122</f>
        <v>83381520.960000008</v>
      </c>
      <c r="AK124" s="21"/>
      <c r="AL124" s="21">
        <f>AL113+AL122</f>
        <v>42610828.629999995</v>
      </c>
      <c r="AM124" s="12"/>
      <c r="AN124" s="13">
        <f>AH124/AJ124</f>
        <v>1.5110344371199627</v>
      </c>
      <c r="AO124" s="13"/>
      <c r="AP124" s="14">
        <f>AN124-1</f>
        <v>0.51103443711996266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CNT!S151</f>
        <v>152325</v>
      </c>
      <c r="C127" s="12"/>
      <c r="D127" s="12">
        <v>0</v>
      </c>
      <c r="E127" s="12"/>
      <c r="F127" s="12">
        <f>DEP!S58</f>
        <v>1000</v>
      </c>
      <c r="G127" s="12"/>
      <c r="H127" s="12">
        <v>0</v>
      </c>
      <c r="I127" s="12"/>
      <c r="J127" s="12">
        <f>BSC!F81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CNT!S152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CNT!S153</f>
        <v>31766017.690000001</v>
      </c>
      <c r="C129" s="12"/>
      <c r="D129" s="12">
        <f>BPM!S57</f>
        <v>-35842.15</v>
      </c>
      <c r="E129" s="12"/>
      <c r="F129" s="12">
        <f>DEP!S59</f>
        <v>3486939.73</v>
      </c>
      <c r="G129" s="12"/>
      <c r="H129" s="12">
        <f>Lending!F43</f>
        <v>44728.79</v>
      </c>
      <c r="I129" s="12"/>
      <c r="J129" s="12">
        <f>BSC!F83</f>
        <v>-131217.76</v>
      </c>
      <c r="K129" s="12"/>
      <c r="L129" s="12">
        <f>'Oliari Co'!F91</f>
        <v>164184.82</v>
      </c>
      <c r="M129" s="12"/>
      <c r="N129" s="12">
        <f>'722 Bedford St'!E79</f>
        <v>217603.85</v>
      </c>
      <c r="O129" s="12"/>
      <c r="P129" s="12">
        <f t="shared" si="43"/>
        <v>35512414.970000006</v>
      </c>
      <c r="Q129" s="9" t="s">
        <v>323</v>
      </c>
      <c r="R129" s="54">
        <v>641222.82999999996</v>
      </c>
      <c r="S129" s="12"/>
      <c r="T129" s="54">
        <v>-368678.2</v>
      </c>
      <c r="U129" s="12"/>
      <c r="V129" s="54">
        <v>1649319.46</v>
      </c>
      <c r="W129" s="12"/>
      <c r="X129" s="54">
        <v>35464.51</v>
      </c>
      <c r="Y129" s="12"/>
      <c r="Z129" s="54">
        <v>4730.78</v>
      </c>
      <c r="AA129" s="12"/>
      <c r="AB129" s="54">
        <v>193632.94</v>
      </c>
      <c r="AC129" s="12"/>
      <c r="AD129" s="54">
        <v>909659.87</v>
      </c>
      <c r="AE129" s="12"/>
      <c r="AF129" s="122">
        <f t="shared" si="44"/>
        <v>3065352.19</v>
      </c>
      <c r="AG129" s="9" t="s">
        <v>323</v>
      </c>
      <c r="AH129" s="12">
        <f t="shared" si="39"/>
        <v>35512414.970000006</v>
      </c>
      <c r="AI129" s="12"/>
      <c r="AJ129" s="12">
        <f t="shared" si="45"/>
        <v>3065352.19</v>
      </c>
      <c r="AK129" s="12"/>
      <c r="AL129" s="12">
        <f t="shared" si="40"/>
        <v>32447062.780000005</v>
      </c>
      <c r="AM129" s="12"/>
      <c r="AN129" s="13">
        <f t="shared" si="41"/>
        <v>11.585101080995202</v>
      </c>
      <c r="AO129" s="13"/>
      <c r="AP129" s="13">
        <f t="shared" si="42"/>
        <v>10.585101080995202</v>
      </c>
    </row>
    <row r="130" spans="1:42" s="9" customFormat="1" ht="24.95" customHeight="1" x14ac:dyDescent="0.2">
      <c r="A130" s="9" t="s">
        <v>324</v>
      </c>
      <c r="B130" s="12">
        <f>CNT!S154</f>
        <v>-51086.91</v>
      </c>
      <c r="C130" s="12"/>
      <c r="D130" s="12">
        <f>BPM!S58</f>
        <v>380876.75</v>
      </c>
      <c r="E130" s="12"/>
      <c r="F130" s="12">
        <f>DEP!S60</f>
        <v>0</v>
      </c>
      <c r="G130" s="12"/>
      <c r="H130" s="12">
        <f>Lending!F42</f>
        <v>425392.02</v>
      </c>
      <c r="I130" s="12"/>
      <c r="J130" s="12">
        <f>BSC!F82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St'!E74+'722 Bedford St'!E75+'722 Bedford St'!E76+'722 Bedford St'!E77+'722 Bedford St'!E78</f>
        <v>2152258.9300000002</v>
      </c>
      <c r="O130" s="12"/>
      <c r="P130" s="12">
        <f t="shared" si="43"/>
        <v>6747852.6799999997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7368726.290000001</v>
      </c>
      <c r="AE130" s="12"/>
      <c r="AF130" s="122">
        <f t="shared" si="44"/>
        <v>23128206.119999997</v>
      </c>
      <c r="AG130" s="9" t="s">
        <v>324</v>
      </c>
      <c r="AH130" s="12">
        <f t="shared" si="39"/>
        <v>6747852.6799999997</v>
      </c>
      <c r="AI130" s="12"/>
      <c r="AJ130" s="12">
        <f t="shared" si="45"/>
        <v>23128206.119999997</v>
      </c>
      <c r="AK130" s="12"/>
      <c r="AL130" s="12">
        <f t="shared" si="40"/>
        <v>-16380353.439999998</v>
      </c>
      <c r="AM130" s="12"/>
      <c r="AN130" s="13">
        <f t="shared" si="41"/>
        <v>0.2917585845174922</v>
      </c>
      <c r="AO130" s="13"/>
      <c r="AP130" s="14">
        <f t="shared" si="42"/>
        <v>-0.70824141548250785</v>
      </c>
    </row>
    <row r="131" spans="1:42" s="9" customFormat="1" ht="24.95" customHeight="1" x14ac:dyDescent="0.2">
      <c r="A131" s="9" t="s">
        <v>548</v>
      </c>
      <c r="B131" s="12">
        <f>CNT!S155</f>
        <v>4064923</v>
      </c>
      <c r="C131" s="12"/>
      <c r="D131" s="12">
        <v>0</v>
      </c>
      <c r="E131" s="12"/>
      <c r="F131" s="12">
        <f>DEP!S61+DEP!S62+DEP!S63+DEP!S64+DEP!S65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St'!E68+'722 Bedford St'!E69+'722 Bedford St'!E70+'722 Bedford St'!E71+'722 Bedford St'!E72+'722 Bedford St'!E73</f>
        <v>6126127.2300000004</v>
      </c>
      <c r="O131" s="12"/>
      <c r="P131" s="12">
        <f t="shared" si="43"/>
        <v>16837194.100000001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16837194.100000001</v>
      </c>
      <c r="AI131" s="12"/>
      <c r="AJ131" s="12">
        <f>AF131</f>
        <v>4996824.41</v>
      </c>
      <c r="AK131" s="12"/>
      <c r="AL131" s="12">
        <f t="shared" si="40"/>
        <v>11840369.690000001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CNT!S156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-23966.94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-23966.94</v>
      </c>
      <c r="AG132" s="9" t="s">
        <v>325</v>
      </c>
      <c r="AH132" s="12">
        <f t="shared" si="39"/>
        <v>-5000000</v>
      </c>
      <c r="AI132" s="12"/>
      <c r="AJ132" s="12">
        <f t="shared" si="45"/>
        <v>-23966.94</v>
      </c>
      <c r="AK132" s="12"/>
      <c r="AL132" s="12">
        <f t="shared" si="40"/>
        <v>-4976033.0599999996</v>
      </c>
      <c r="AM132" s="12"/>
      <c r="AN132" s="13">
        <f t="shared" si="41"/>
        <v>208.62070835909799</v>
      </c>
      <c r="AO132" s="13"/>
      <c r="AP132" s="14">
        <f t="shared" si="42"/>
        <v>207.62070835909799</v>
      </c>
    </row>
    <row r="133" spans="1:42" s="9" customFormat="1" ht="24.95" customHeight="1" x14ac:dyDescent="0.2">
      <c r="A133" s="9" t="s">
        <v>326</v>
      </c>
      <c r="B133" s="12">
        <f>CNT!S160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-133016.51999999999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-133016.51999999999</v>
      </c>
      <c r="AG133" s="9" t="s">
        <v>326</v>
      </c>
      <c r="AH133" s="12">
        <f t="shared" si="39"/>
        <v>0</v>
      </c>
      <c r="AI133" s="12"/>
      <c r="AJ133" s="12">
        <f t="shared" si="45"/>
        <v>-133016.51999999999</v>
      </c>
      <c r="AK133" s="12"/>
      <c r="AL133" s="12">
        <f t="shared" si="40"/>
        <v>133016.51999999999</v>
      </c>
      <c r="AM133" s="12"/>
      <c r="AN133" s="13">
        <f t="shared" si="41"/>
        <v>0</v>
      </c>
      <c r="AO133" s="13"/>
      <c r="AP133" s="14">
        <f t="shared" si="42"/>
        <v>-1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-7674.23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-7674.23</v>
      </c>
      <c r="AG134" s="9" t="s">
        <v>327</v>
      </c>
      <c r="AH134" s="12">
        <f t="shared" si="39"/>
        <v>0</v>
      </c>
      <c r="AI134" s="12"/>
      <c r="AJ134" s="12">
        <f t="shared" si="45"/>
        <v>-7674.23</v>
      </c>
      <c r="AK134" s="12"/>
      <c r="AL134" s="12">
        <f t="shared" si="40"/>
        <v>7674.23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-7674.23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-7674.23</v>
      </c>
      <c r="AG135" s="9" t="s">
        <v>332</v>
      </c>
      <c r="AH135" s="12">
        <f t="shared" si="39"/>
        <v>0</v>
      </c>
      <c r="AI135" s="12"/>
      <c r="AJ135" s="12">
        <f t="shared" si="45"/>
        <v>-7674.23</v>
      </c>
      <c r="AK135" s="12"/>
      <c r="AL135" s="12">
        <f t="shared" si="40"/>
        <v>7674.23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CNT!S157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-78500</v>
      </c>
      <c r="S136" s="12"/>
      <c r="T136" s="54">
        <v>-506500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-585000</v>
      </c>
      <c r="AG136" s="9" t="s">
        <v>328</v>
      </c>
      <c r="AH136" s="12">
        <f t="shared" si="39"/>
        <v>-6000</v>
      </c>
      <c r="AI136" s="12"/>
      <c r="AJ136" s="12">
        <f t="shared" si="45"/>
        <v>-585000</v>
      </c>
      <c r="AK136" s="12"/>
      <c r="AL136" s="12">
        <f t="shared" si="40"/>
        <v>579000</v>
      </c>
      <c r="AM136" s="12"/>
      <c r="AN136" s="13">
        <f t="shared" si="41"/>
        <v>1.0256410256410256E-2</v>
      </c>
      <c r="AO136" s="13"/>
      <c r="AP136" s="14">
        <f t="shared" si="42"/>
        <v>-0.98974358974358978</v>
      </c>
    </row>
    <row r="137" spans="1:42" s="9" customFormat="1" ht="24.95" customHeight="1" x14ac:dyDescent="0.2">
      <c r="A137" s="9" t="s">
        <v>329</v>
      </c>
      <c r="B137" s="12">
        <f>CNT!S158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-78500</v>
      </c>
      <c r="S137" s="12"/>
      <c r="T137" s="54">
        <v>-506500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-585000</v>
      </c>
      <c r="AG137" s="9" t="s">
        <v>329</v>
      </c>
      <c r="AH137" s="12">
        <f t="shared" si="39"/>
        <v>-6000</v>
      </c>
      <c r="AI137" s="12"/>
      <c r="AJ137" s="12">
        <f t="shared" si="45"/>
        <v>-585000</v>
      </c>
      <c r="AK137" s="12"/>
      <c r="AL137" s="12">
        <f t="shared" si="40"/>
        <v>579000</v>
      </c>
      <c r="AM137" s="12"/>
      <c r="AN137" s="13">
        <f t="shared" si="41"/>
        <v>1.0256410256410256E-2</v>
      </c>
      <c r="AO137" s="13"/>
      <c r="AP137" s="14">
        <f t="shared" si="42"/>
        <v>-0.98974358974358978</v>
      </c>
    </row>
    <row r="138" spans="1:42" s="9" customFormat="1" ht="24.95" customHeight="1" x14ac:dyDescent="0.2">
      <c r="A138" s="9" t="s">
        <v>330</v>
      </c>
      <c r="B138" s="16">
        <f>CNT!S159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-78500</v>
      </c>
      <c r="S138" s="16"/>
      <c r="T138" s="55">
        <v>-506500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-585000</v>
      </c>
      <c r="AG138" s="9" t="s">
        <v>330</v>
      </c>
      <c r="AH138" s="16">
        <f t="shared" si="39"/>
        <v>-6000</v>
      </c>
      <c r="AI138" s="16"/>
      <c r="AJ138" s="16">
        <f t="shared" si="45"/>
        <v>-585000</v>
      </c>
      <c r="AK138" s="16"/>
      <c r="AL138" s="16">
        <f t="shared" si="40"/>
        <v>579000</v>
      </c>
      <c r="AM138" s="12"/>
      <c r="AN138" s="13">
        <f t="shared" si="41"/>
        <v>1.0256410256410256E-2</v>
      </c>
      <c r="AO138" s="13"/>
      <c r="AP138" s="14">
        <f t="shared" si="42"/>
        <v>-0.98974358974358978</v>
      </c>
    </row>
    <row r="139" spans="1:42" s="9" customFormat="1" ht="24.95" customHeight="1" x14ac:dyDescent="0.2">
      <c r="A139" s="27" t="s">
        <v>331</v>
      </c>
      <c r="B139" s="12">
        <f>SUM(B127:B138)</f>
        <v>32623936.780000001</v>
      </c>
      <c r="C139" s="12"/>
      <c r="D139" s="12">
        <f>SUM(D127:D138)</f>
        <v>345034.6</v>
      </c>
      <c r="E139" s="12"/>
      <c r="F139" s="12">
        <f>SUM(F127:F138)</f>
        <v>10134083.6</v>
      </c>
      <c r="G139" s="12"/>
      <c r="H139" s="12">
        <f>SUM(H127:H138)</f>
        <v>470120.81</v>
      </c>
      <c r="I139" s="12"/>
      <c r="J139" s="12">
        <f>SUM(J127:J138)</f>
        <v>-1295662.53</v>
      </c>
      <c r="K139" s="12"/>
      <c r="L139" s="12">
        <f>SUM(L127:L138)</f>
        <v>5193969.07</v>
      </c>
      <c r="M139" s="12"/>
      <c r="N139" s="12">
        <f>SUM(N127:N138)</f>
        <v>8495990.0100000016</v>
      </c>
      <c r="O139" s="12"/>
      <c r="P139" s="12">
        <f>SUM(P127:P138)</f>
        <v>55967472.340000011</v>
      </c>
      <c r="Q139" s="27" t="s">
        <v>331</v>
      </c>
      <c r="R139" s="54">
        <f>SUM(R127:R138)</f>
        <v>11554927.41</v>
      </c>
      <c r="S139" s="12"/>
      <c r="T139" s="54">
        <f>SUM(T127:T138)</f>
        <v>381790.51</v>
      </c>
      <c r="U139" s="12"/>
      <c r="V139" s="54">
        <f>SUM(V127:V138)</f>
        <v>6647143.8700000001</v>
      </c>
      <c r="W139" s="12"/>
      <c r="X139" s="54">
        <f>SUM(X127:X138)</f>
        <v>426462.02</v>
      </c>
      <c r="Y139" s="12"/>
      <c r="Z139" s="54">
        <f>SUM(Z127:Z138)</f>
        <v>-1164372.3299999998</v>
      </c>
      <c r="AA139" s="12"/>
      <c r="AB139" s="54">
        <f>SUM(AB127:AB138)</f>
        <v>5026796.1900000004</v>
      </c>
      <c r="AC139" s="12"/>
      <c r="AD139" s="54">
        <f>SUM(AD127:AD138)</f>
        <v>8278386.1600000011</v>
      </c>
      <c r="AE139" s="12"/>
      <c r="AF139" s="12">
        <f>SUM(AF127:AF138)</f>
        <v>31151133.829999994</v>
      </c>
      <c r="AG139" s="27" t="s">
        <v>331</v>
      </c>
      <c r="AH139" s="22">
        <f>SUM(AH127:AH138)</f>
        <v>55967472.340000011</v>
      </c>
      <c r="AI139" s="22"/>
      <c r="AJ139" s="22">
        <f>SUM(AJ127:AJ138)</f>
        <v>31151133.829999994</v>
      </c>
      <c r="AK139" s="22"/>
      <c r="AL139" s="22">
        <f>SUM(AL127:AL138)</f>
        <v>24816338.510000009</v>
      </c>
      <c r="AM139" s="22"/>
      <c r="AN139" s="13">
        <f t="shared" si="41"/>
        <v>1.7966431862618344</v>
      </c>
      <c r="AO139" s="13"/>
      <c r="AP139" s="14">
        <f t="shared" si="42"/>
        <v>0.79664318626183439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151307950.31</v>
      </c>
      <c r="C141" s="23"/>
      <c r="D141" s="23">
        <f>SUM(D139,D122,D113)</f>
        <v>356328.55</v>
      </c>
      <c r="E141" s="23"/>
      <c r="F141" s="23">
        <f>SUM(F139,F122,F113)</f>
        <v>10597587.699999999</v>
      </c>
      <c r="G141" s="23"/>
      <c r="H141" s="23">
        <f>SUM(H139,H122,H113)</f>
        <v>800624.71</v>
      </c>
      <c r="I141" s="23"/>
      <c r="J141" s="23">
        <f>SUM(J139,J122,J113)</f>
        <v>1964453.6500000004</v>
      </c>
      <c r="K141" s="23"/>
      <c r="L141" s="23">
        <f>SUM(L139,L122,L113)</f>
        <v>5557500.9000000004</v>
      </c>
      <c r="M141" s="23"/>
      <c r="N141" s="23">
        <f>SUM(N139,N122,N113)</f>
        <v>11375376.110000001</v>
      </c>
      <c r="O141" s="23"/>
      <c r="P141" s="23">
        <f>SUM(P139,P122,P113)</f>
        <v>181959821.93000001</v>
      </c>
      <c r="Q141" s="8" t="s">
        <v>333</v>
      </c>
      <c r="R141" s="57">
        <f>SUM(R139,R122,R113)</f>
        <v>89666441.640000001</v>
      </c>
      <c r="S141" s="23"/>
      <c r="T141" s="57">
        <f>SUM(T139,T122,T113)</f>
        <v>821513.49</v>
      </c>
      <c r="U141" s="23"/>
      <c r="V141" s="57">
        <f>SUM(V139,V122,V113)</f>
        <v>7252942.6699999999</v>
      </c>
      <c r="W141" s="23"/>
      <c r="X141" s="57">
        <f>SUM(X139,X122,X113)</f>
        <v>1029675.99</v>
      </c>
      <c r="Y141" s="24"/>
      <c r="Z141" s="66">
        <f>SUM(Z139,Z122,Z113)</f>
        <v>2101722.98</v>
      </c>
      <c r="AA141" s="24"/>
      <c r="AB141" s="66">
        <f>SUM(AB139,AB122,AB113)</f>
        <v>5381971.8600000003</v>
      </c>
      <c r="AC141" s="24"/>
      <c r="AD141" s="66">
        <f>SUM(AD139,AD122,AD113)</f>
        <v>8278386.1600000011</v>
      </c>
      <c r="AE141" s="24"/>
      <c r="AF141" s="23">
        <f>SUM(AF139,AF122,AF113)</f>
        <v>114532654.79000001</v>
      </c>
      <c r="AG141" s="8" t="s">
        <v>333</v>
      </c>
      <c r="AH141" s="23">
        <f>SUM(AH139,AH122,AH113)</f>
        <v>181959821.93000001</v>
      </c>
      <c r="AI141" s="23"/>
      <c r="AJ141" s="23">
        <f>SUM(AJ139,AJ122,AJ113)</f>
        <v>114532654.79000001</v>
      </c>
      <c r="AK141" s="23"/>
      <c r="AL141" s="23">
        <f>SUM(AL139,AL122,AL113)</f>
        <v>67427167.140000001</v>
      </c>
      <c r="AM141" s="25"/>
      <c r="AN141" s="13">
        <f t="shared" si="41"/>
        <v>1.5887156572388048</v>
      </c>
      <c r="AO141" s="13"/>
      <c r="AP141" s="14">
        <f t="shared" si="42"/>
        <v>0.58871565723880481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1351985.5799999833</v>
      </c>
      <c r="AI142" s="3"/>
      <c r="AJ142" s="3">
        <f>AJ141-AJ69</f>
        <v>0</v>
      </c>
      <c r="AK142" s="3"/>
      <c r="AL142" s="3">
        <f>AL141-AL69</f>
        <v>1351985.5800000131</v>
      </c>
      <c r="AM142" s="3"/>
      <c r="AN142" s="4">
        <f>AN141-AN69</f>
        <v>1.1804367780340774E-2</v>
      </c>
      <c r="AO142" s="3"/>
      <c r="AP142" s="3">
        <f>AP141-AP69</f>
        <v>1.1804367780340774E-2</v>
      </c>
    </row>
    <row r="143" spans="1:42" x14ac:dyDescent="0.2">
      <c r="B143" s="3">
        <f>B141-CNT!U163</f>
        <v>0</v>
      </c>
      <c r="C143" s="3"/>
      <c r="D143" s="3">
        <f>D141-BPM!U69</f>
        <v>0</v>
      </c>
      <c r="E143" s="3"/>
      <c r="F143" s="3">
        <f>F141-DEP!U68</f>
        <v>0</v>
      </c>
      <c r="G143" s="3"/>
      <c r="H143" s="38">
        <f>H141-Lending!F45</f>
        <v>0</v>
      </c>
      <c r="J143" s="38">
        <f>J141-BSC!F85</f>
        <v>0</v>
      </c>
      <c r="L143" s="38">
        <f>L141-'Oliari Co'!F93</f>
        <v>0</v>
      </c>
      <c r="N143" s="38">
        <f>N141-'722 Bedford St'!E81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395251.47000000003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8600030.7699999996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0</v>
      </c>
      <c r="K149" s="38">
        <f t="shared" si="46"/>
        <v>0</v>
      </c>
      <c r="L149" s="38">
        <f t="shared" si="46"/>
        <v>2136025.0099999998</v>
      </c>
      <c r="M149" s="38">
        <f t="shared" si="46"/>
        <v>0</v>
      </c>
      <c r="N149" s="38">
        <f t="shared" si="46"/>
        <v>1900000</v>
      </c>
      <c r="P149" s="7">
        <f>SUM(B149:N149)</f>
        <v>13331307.25</v>
      </c>
    </row>
    <row r="150" spans="1:30" x14ac:dyDescent="0.2">
      <c r="A150" s="2" t="s">
        <v>535</v>
      </c>
      <c r="B150" s="38">
        <f>B106+B105</f>
        <v>11850000</v>
      </c>
      <c r="C150" s="38">
        <f t="shared" ref="C150:M150" si="47">C106+C105</f>
        <v>0</v>
      </c>
      <c r="D150" s="38">
        <f>D106+D105</f>
        <v>1561.95</v>
      </c>
      <c r="E150" s="38">
        <f t="shared" si="47"/>
        <v>0</v>
      </c>
      <c r="F150" s="38">
        <f>F106+F105</f>
        <v>69048.7</v>
      </c>
      <c r="G150" s="38">
        <f t="shared" si="47"/>
        <v>0</v>
      </c>
      <c r="H150" s="38">
        <f>H106+H105</f>
        <v>317318.53000000003</v>
      </c>
      <c r="I150" s="38">
        <f t="shared" si="47"/>
        <v>0</v>
      </c>
      <c r="J150" s="38">
        <f>J106+J105+J81</f>
        <v>1093347.3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30.769999999989523</v>
      </c>
      <c r="P150" s="7">
        <f>SUM(B150:N150)</f>
        <v>13331307.249999998</v>
      </c>
    </row>
    <row r="151" spans="1:30" x14ac:dyDescent="0.2">
      <c r="A151" s="2" t="s">
        <v>536</v>
      </c>
      <c r="H151" s="38"/>
      <c r="P151" s="68">
        <f>P149-P150</f>
        <v>0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-8332551.0700000003</v>
      </c>
      <c r="C154" s="48"/>
      <c r="D154" s="63">
        <f>D64</f>
        <v>-22782.57</v>
      </c>
      <c r="E154" s="48"/>
      <c r="F154" s="63">
        <f>F64</f>
        <v>-970633.91</v>
      </c>
      <c r="G154" s="48"/>
      <c r="H154" s="63">
        <f>H64</f>
        <v>0</v>
      </c>
      <c r="I154" s="48"/>
      <c r="J154" s="63">
        <f>J64</f>
        <v>-2648939.4500000002</v>
      </c>
      <c r="K154" s="48"/>
      <c r="L154" s="63">
        <f>L64</f>
        <v>-1668016.27</v>
      </c>
      <c r="M154" s="48"/>
      <c r="N154" s="63">
        <f>N64</f>
        <v>-1445750.5499999998</v>
      </c>
      <c r="O154" s="48"/>
      <c r="P154" s="49">
        <f>SUM(B154:N154)</f>
        <v>-15088673.82</v>
      </c>
    </row>
    <row r="155" spans="1:30" x14ac:dyDescent="0.2">
      <c r="A155" s="2" t="s">
        <v>540</v>
      </c>
      <c r="B155" s="38">
        <f>B153-B154</f>
        <v>-714166.19999999925</v>
      </c>
      <c r="D155" s="38">
        <f>D153-D154</f>
        <v>5019.4799999999996</v>
      </c>
      <c r="F155" s="38">
        <f>F153-F154</f>
        <v>172857.59999999998</v>
      </c>
      <c r="H155" s="38">
        <f>H153-H154</f>
        <v>0</v>
      </c>
      <c r="J155" s="38">
        <f>J153-J154</f>
        <v>103003.59000000032</v>
      </c>
      <c r="L155" s="38">
        <f>L153-L154</f>
        <v>110529.14999999991</v>
      </c>
      <c r="N155" s="38">
        <f>N153-N154</f>
        <v>179829.14999999991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'[1]Comp YTD 2020-2019 '!$B$65</f>
        <v>1286833.67</v>
      </c>
      <c r="D157" s="38">
        <f>'[1]Comp YTD 2020-2019 '!$C$65</f>
        <v>5019.4800000000005</v>
      </c>
      <c r="F157" s="38">
        <f>'[1]Comp YTD 2020-2019 '!$D$65</f>
        <v>172857.59999999998</v>
      </c>
      <c r="H157" s="38">
        <f>'[2]Comp YTD 2020-2019 '!$E$65</f>
        <v>0</v>
      </c>
      <c r="J157" s="38">
        <f>'[1]Comp YTD 2020-2019 '!$F$65</f>
        <v>103003.59</v>
      </c>
      <c r="L157" s="38">
        <f>'[1]Comp YTD 2020-2019 '!$G$65</f>
        <v>111017.21</v>
      </c>
      <c r="N157" s="38">
        <f>'[1]Comp YTD 2020-2019 '!$H$65</f>
        <v>179829.15000000002</v>
      </c>
      <c r="P157" s="7">
        <f>SUM(B157:N157)</f>
        <v>1858560.7000000002</v>
      </c>
    </row>
    <row r="158" spans="1:30" x14ac:dyDescent="0.2">
      <c r="A158" s="2" t="s">
        <v>536</v>
      </c>
      <c r="B158" s="71">
        <f>B155-B157</f>
        <v>-2000999.8699999992</v>
      </c>
      <c r="C158" s="70"/>
      <c r="D158" s="71">
        <f>D155-D157</f>
        <v>0</v>
      </c>
      <c r="E158" s="70"/>
      <c r="F158" s="71">
        <f>F155-F157</f>
        <v>0</v>
      </c>
      <c r="G158" s="70"/>
      <c r="H158" s="71">
        <f>H155-H157</f>
        <v>0</v>
      </c>
      <c r="I158" s="70"/>
      <c r="J158" s="71">
        <f>J155-J157</f>
        <v>3.2014213502407074E-10</v>
      </c>
      <c r="K158" s="70"/>
      <c r="L158" s="71">
        <f>L155-L157</f>
        <v>-488.06000000009954</v>
      </c>
      <c r="M158" s="70"/>
      <c r="N158" s="71">
        <f>N155-N157</f>
        <v>0</v>
      </c>
    </row>
    <row r="160" spans="1:30" x14ac:dyDescent="0.2">
      <c r="A160" s="2" t="s">
        <v>558</v>
      </c>
      <c r="B160" s="69">
        <f>B129-'[1]Comp YTD 2020-2019 '!$B$178</f>
        <v>2.7865171432495117E-6</v>
      </c>
      <c r="C160" s="70" t="s">
        <v>536</v>
      </c>
      <c r="D160" s="69">
        <f>D129-'[1]Comp YTD 2020-2019 '!$C$178</f>
        <v>6.0390448197722435E-10</v>
      </c>
      <c r="E160" s="70"/>
      <c r="F160" s="69">
        <f>F129-'[1]Comp YTD 2020-2019 '!$D$178</f>
        <v>0</v>
      </c>
      <c r="G160" s="70"/>
      <c r="H160" s="69">
        <f>H129-'[1]Comp YTD 2020-2019 '!$E$178</f>
        <v>0</v>
      </c>
      <c r="I160" s="70"/>
      <c r="J160" s="69">
        <f>J129-'[1]Comp YTD 2020-2019 '!$F$178</f>
        <v>0</v>
      </c>
      <c r="K160" s="70"/>
      <c r="L160" s="69">
        <f>L129-'[1]Comp YTD 2020-2019 '!$G$178</f>
        <v>0</v>
      </c>
      <c r="M160" s="70"/>
      <c r="N160" s="69">
        <f>N129-'[1]Comp YTD 2020-2019 '!$H$178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2" t="s">
        <v>742</v>
      </c>
      <c r="B163" s="3">
        <f>-'[3]Year End Tie Out'!$J$23</f>
        <v>2001982.9236623936</v>
      </c>
    </row>
    <row r="164" spans="1:2" x14ac:dyDescent="0.2">
      <c r="A164" s="152" t="s">
        <v>743</v>
      </c>
      <c r="B164" s="3">
        <v>-2901.19</v>
      </c>
    </row>
    <row r="165" spans="1:2" x14ac:dyDescent="0.2">
      <c r="A165" s="152" t="s">
        <v>744</v>
      </c>
      <c r="B165" s="48">
        <v>490.14</v>
      </c>
    </row>
    <row r="166" spans="1:2" x14ac:dyDescent="0.2">
      <c r="B166" s="38">
        <f>B158+B163+B164+B165</f>
        <v>-1427.9963376055939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69"/>
  <sheetViews>
    <sheetView showGridLines="0" topLeftCell="A121" workbookViewId="0">
      <selection activeCell="Y170" sqref="Y170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5" ht="12" customHeight="1" x14ac:dyDescent="0.2"/>
    <row r="3" spans="1:25" ht="12" customHeight="1" x14ac:dyDescent="0.2">
      <c r="A3" s="173" t="s">
        <v>747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5" ht="12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5" ht="12" customHeight="1" x14ac:dyDescent="0.2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25" ht="12" customHeight="1" x14ac:dyDescent="0.2"/>
    <row r="7" spans="1:25" ht="12" customHeight="1" x14ac:dyDescent="0.2">
      <c r="B7" s="164" t="s">
        <v>3</v>
      </c>
      <c r="C7" s="164"/>
      <c r="D7" s="164"/>
      <c r="E7" s="164"/>
      <c r="F7" s="164"/>
      <c r="G7" s="164"/>
      <c r="H7" s="164"/>
      <c r="I7" s="164"/>
      <c r="J7" s="164"/>
      <c r="K7" s="164"/>
    </row>
    <row r="8" spans="1:25" ht="12" customHeight="1" x14ac:dyDescent="0.2"/>
    <row r="9" spans="1:25" ht="12" customHeight="1" x14ac:dyDescent="0.2">
      <c r="C9" s="166">
        <v>1120</v>
      </c>
      <c r="D9" s="166"/>
      <c r="E9" s="166"/>
      <c r="F9" s="166"/>
      <c r="H9" s="76" t="s">
        <v>217</v>
      </c>
      <c r="S9" s="147"/>
    </row>
    <row r="10" spans="1:25" ht="12" customHeight="1" x14ac:dyDescent="0.2">
      <c r="C10" s="166" t="s">
        <v>4</v>
      </c>
      <c r="D10" s="166"/>
      <c r="E10" s="166"/>
      <c r="F10" s="166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7">
        <v>500</v>
      </c>
    </row>
    <row r="11" spans="1:25" ht="12" customHeight="1" x14ac:dyDescent="0.2">
      <c r="C11" s="166">
        <v>1135</v>
      </c>
      <c r="D11" s="166"/>
      <c r="E11" s="166"/>
      <c r="F11" s="166"/>
      <c r="H11" s="76" t="s">
        <v>739</v>
      </c>
      <c r="I11" s="76"/>
      <c r="J11" s="76"/>
      <c r="K11" s="76"/>
      <c r="L11" s="76"/>
      <c r="M11" s="76"/>
      <c r="N11" s="76"/>
      <c r="O11" s="76"/>
      <c r="P11" s="76"/>
      <c r="Q11" s="76"/>
      <c r="S11" s="151"/>
    </row>
    <row r="12" spans="1:25" ht="12" customHeight="1" x14ac:dyDescent="0.2">
      <c r="C12" s="166" t="s">
        <v>6</v>
      </c>
      <c r="D12" s="166"/>
      <c r="E12" s="166"/>
      <c r="F12" s="166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7">
        <v>-185660.85</v>
      </c>
    </row>
    <row r="13" spans="1:25" ht="12" customHeight="1" x14ac:dyDescent="0.2">
      <c r="C13" s="166" t="s">
        <v>8</v>
      </c>
      <c r="D13" s="166"/>
      <c r="E13" s="166"/>
      <c r="F13" s="166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7">
        <v>229480</v>
      </c>
    </row>
    <row r="14" spans="1:25" ht="12" hidden="1" customHeight="1" x14ac:dyDescent="0.2">
      <c r="C14" s="166" t="s">
        <v>10</v>
      </c>
      <c r="D14" s="166"/>
      <c r="E14" s="166"/>
      <c r="F14" s="166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7"/>
      <c r="Y14" s="76"/>
    </row>
    <row r="15" spans="1:25" ht="12" customHeight="1" x14ac:dyDescent="0.2">
      <c r="C15" s="166" t="s">
        <v>12</v>
      </c>
      <c r="D15" s="166"/>
      <c r="E15" s="166"/>
      <c r="F15" s="166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7">
        <v>23553.599999999999</v>
      </c>
    </row>
    <row r="16" spans="1:25" ht="12" customHeight="1" x14ac:dyDescent="0.2">
      <c r="C16" s="166" t="s">
        <v>14</v>
      </c>
      <c r="D16" s="166"/>
      <c r="E16" s="166"/>
      <c r="F16" s="166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7">
        <v>133614.98000000001</v>
      </c>
    </row>
    <row r="17" spans="3:34" ht="12" customHeight="1" x14ac:dyDescent="0.2">
      <c r="C17" s="166" t="s">
        <v>16</v>
      </c>
      <c r="D17" s="166"/>
      <c r="E17" s="166"/>
      <c r="F17" s="166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7">
        <v>2733836.45</v>
      </c>
    </row>
    <row r="18" spans="3:34" ht="12" customHeight="1" x14ac:dyDescent="0.2">
      <c r="C18" s="166">
        <v>1220</v>
      </c>
      <c r="D18" s="166"/>
      <c r="E18" s="166"/>
      <c r="F18" s="166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7"/>
    </row>
    <row r="19" spans="3:34" ht="12" customHeight="1" x14ac:dyDescent="0.2">
      <c r="C19" s="166" t="s">
        <v>18</v>
      </c>
      <c r="D19" s="166"/>
      <c r="E19" s="166"/>
      <c r="F19" s="166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7">
        <v>107132372.11</v>
      </c>
      <c r="AG19" s="76"/>
    </row>
    <row r="20" spans="3:34" ht="12" customHeight="1" x14ac:dyDescent="0.2">
      <c r="C20" s="166" t="s">
        <v>20</v>
      </c>
      <c r="D20" s="166"/>
      <c r="E20" s="166"/>
      <c r="F20" s="166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7">
        <v>155909759.55000001</v>
      </c>
    </row>
    <row r="21" spans="3:34" ht="12" customHeight="1" x14ac:dyDescent="0.2">
      <c r="C21" s="166" t="s">
        <v>22</v>
      </c>
      <c r="D21" s="166"/>
      <c r="E21" s="166"/>
      <c r="F21" s="166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7">
        <v>964487.53</v>
      </c>
    </row>
    <row r="22" spans="3:34" ht="12" customHeight="1" x14ac:dyDescent="0.2">
      <c r="C22" s="166" t="s">
        <v>24</v>
      </c>
      <c r="D22" s="166"/>
      <c r="E22" s="166"/>
      <c r="F22" s="166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7">
        <v>2010170.13</v>
      </c>
      <c r="AH22" s="76"/>
    </row>
    <row r="23" spans="3:34" ht="12" customHeight="1" x14ac:dyDescent="0.2">
      <c r="C23" s="166" t="s">
        <v>26</v>
      </c>
      <c r="D23" s="166"/>
      <c r="E23" s="166"/>
      <c r="F23" s="166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7"/>
      <c r="AH23" s="76"/>
    </row>
    <row r="24" spans="3:34" ht="12" customHeight="1" x14ac:dyDescent="0.2">
      <c r="C24" s="166" t="s">
        <v>28</v>
      </c>
      <c r="D24" s="166"/>
      <c r="E24" s="166"/>
      <c r="F24" s="166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7"/>
    </row>
    <row r="25" spans="3:34" ht="12" customHeight="1" x14ac:dyDescent="0.2">
      <c r="C25" s="166" t="s">
        <v>30</v>
      </c>
      <c r="D25" s="166"/>
      <c r="E25" s="166"/>
      <c r="F25" s="166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7">
        <v>276637.46000000002</v>
      </c>
    </row>
    <row r="26" spans="3:34" ht="12" customHeight="1" x14ac:dyDescent="0.2">
      <c r="C26" s="166" t="s">
        <v>32</v>
      </c>
      <c r="D26" s="166"/>
      <c r="E26" s="166"/>
      <c r="F26" s="166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7">
        <v>-46620573.82</v>
      </c>
    </row>
    <row r="27" spans="3:34" ht="12" customHeight="1" x14ac:dyDescent="0.2">
      <c r="C27" s="166" t="s">
        <v>34</v>
      </c>
      <c r="D27" s="166"/>
      <c r="E27" s="166"/>
      <c r="F27" s="166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7">
        <v>-64225375.469999999</v>
      </c>
    </row>
    <row r="28" spans="3:34" ht="12" customHeight="1" x14ac:dyDescent="0.2">
      <c r="C28" s="166" t="s">
        <v>36</v>
      </c>
      <c r="D28" s="166"/>
      <c r="E28" s="166"/>
      <c r="F28" s="166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7">
        <v>-30081777.469999999</v>
      </c>
    </row>
    <row r="29" spans="3:34" ht="12" customHeight="1" x14ac:dyDescent="0.2">
      <c r="C29" s="166" t="s">
        <v>38</v>
      </c>
      <c r="D29" s="166"/>
      <c r="E29" s="166"/>
      <c r="F29" s="166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7"/>
    </row>
    <row r="30" spans="3:34" ht="12" customHeight="1" x14ac:dyDescent="0.2">
      <c r="C30" s="166" t="s">
        <v>40</v>
      </c>
      <c r="D30" s="166"/>
      <c r="E30" s="166"/>
      <c r="F30" s="166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7">
        <v>69048.7</v>
      </c>
    </row>
    <row r="31" spans="3:34" ht="12" customHeight="1" x14ac:dyDescent="0.2">
      <c r="C31" s="166" t="s">
        <v>42</v>
      </c>
      <c r="D31" s="166"/>
      <c r="E31" s="166"/>
      <c r="F31" s="166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7">
        <v>7322.29</v>
      </c>
    </row>
    <row r="32" spans="3:34" ht="12" customHeight="1" x14ac:dyDescent="0.2">
      <c r="C32" s="166">
        <v>1238</v>
      </c>
      <c r="D32" s="166"/>
      <c r="E32" s="166"/>
      <c r="F32" s="166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7"/>
    </row>
    <row r="33" spans="3:19" ht="12" customHeight="1" x14ac:dyDescent="0.2">
      <c r="C33" s="166" t="s">
        <v>44</v>
      </c>
      <c r="D33" s="166"/>
      <c r="E33" s="166"/>
      <c r="F33" s="166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7"/>
    </row>
    <row r="34" spans="3:19" ht="12" customHeight="1" x14ac:dyDescent="0.2">
      <c r="C34" s="166" t="s">
        <v>46</v>
      </c>
      <c r="D34" s="166"/>
      <c r="E34" s="166"/>
      <c r="F34" s="166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7"/>
    </row>
    <row r="35" spans="3:19" ht="12" customHeight="1" x14ac:dyDescent="0.2">
      <c r="C35" s="166" t="s">
        <v>48</v>
      </c>
      <c r="D35" s="166"/>
      <c r="E35" s="166"/>
      <c r="F35" s="166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7">
        <v>137645.54</v>
      </c>
    </row>
    <row r="36" spans="3:19" ht="12" customHeight="1" x14ac:dyDescent="0.2">
      <c r="C36" s="166" t="s">
        <v>50</v>
      </c>
      <c r="D36" s="166"/>
      <c r="E36" s="166"/>
      <c r="F36" s="166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7">
        <v>798023.46</v>
      </c>
    </row>
    <row r="37" spans="3:19" ht="12" customHeight="1" x14ac:dyDescent="0.2">
      <c r="C37" s="166" t="s">
        <v>52</v>
      </c>
      <c r="D37" s="166"/>
      <c r="E37" s="166"/>
      <c r="F37" s="166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7">
        <v>74347.070000000007</v>
      </c>
    </row>
    <row r="38" spans="3:19" ht="12" customHeight="1" x14ac:dyDescent="0.2">
      <c r="C38" s="166" t="s">
        <v>54</v>
      </c>
      <c r="D38" s="166"/>
      <c r="E38" s="166"/>
      <c r="F38" s="166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7">
        <v>180669</v>
      </c>
    </row>
    <row r="39" spans="3:19" ht="12" customHeight="1" x14ac:dyDescent="0.2">
      <c r="C39" s="166">
        <v>1247</v>
      </c>
      <c r="D39" s="166"/>
      <c r="E39" s="166"/>
      <c r="F39" s="166"/>
      <c r="H39" s="76" t="s">
        <v>740</v>
      </c>
      <c r="I39" s="76"/>
      <c r="J39" s="76"/>
      <c r="K39" s="76"/>
      <c r="L39" s="76"/>
      <c r="M39" s="76"/>
      <c r="N39" s="76"/>
      <c r="O39" s="76"/>
      <c r="P39" s="76"/>
      <c r="Q39" s="76"/>
      <c r="S39" s="151">
        <v>1351985.58</v>
      </c>
    </row>
    <row r="40" spans="3:19" ht="12" customHeight="1" x14ac:dyDescent="0.2">
      <c r="C40" s="166">
        <v>1248</v>
      </c>
      <c r="D40" s="166"/>
      <c r="E40" s="166"/>
      <c r="F40" s="166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7"/>
    </row>
    <row r="41" spans="3:19" ht="12" customHeight="1" x14ac:dyDescent="0.2">
      <c r="C41" s="166">
        <v>1249</v>
      </c>
      <c r="D41" s="166"/>
      <c r="E41" s="166"/>
      <c r="F41" s="166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7">
        <v>8600.1299999999992</v>
      </c>
    </row>
    <row r="42" spans="3:19" ht="12" customHeight="1" x14ac:dyDescent="0.2">
      <c r="C42" s="166" t="s">
        <v>58</v>
      </c>
      <c r="D42" s="166"/>
      <c r="E42" s="166"/>
      <c r="F42" s="166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7"/>
    </row>
    <row r="43" spans="3:19" ht="12" customHeight="1" x14ac:dyDescent="0.2">
      <c r="C43" s="166">
        <v>1252</v>
      </c>
      <c r="D43" s="166"/>
      <c r="E43" s="166"/>
      <c r="F43" s="166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7">
        <v>4511.25</v>
      </c>
    </row>
    <row r="44" spans="3:19" ht="12" customHeight="1" x14ac:dyDescent="0.2">
      <c r="C44" s="166">
        <v>1253</v>
      </c>
      <c r="D44" s="166"/>
      <c r="E44" s="166"/>
      <c r="F44" s="166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7"/>
    </row>
    <row r="45" spans="3:19" ht="12" customHeight="1" x14ac:dyDescent="0.2">
      <c r="C45" s="166">
        <v>1255</v>
      </c>
      <c r="D45" s="166"/>
      <c r="E45" s="166"/>
      <c r="F45" s="166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54">
        <v>317318.53000000003</v>
      </c>
    </row>
    <row r="46" spans="3:19" ht="12" customHeight="1" x14ac:dyDescent="0.2">
      <c r="C46" s="166" t="s">
        <v>60</v>
      </c>
      <c r="D46" s="166"/>
      <c r="E46" s="166"/>
      <c r="F46" s="166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7"/>
    </row>
    <row r="47" spans="3:19" ht="12" customHeight="1" x14ac:dyDescent="0.2">
      <c r="C47" s="166" t="s">
        <v>62</v>
      </c>
      <c r="D47" s="166"/>
      <c r="E47" s="166"/>
      <c r="F47" s="166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7">
        <v>1561.95</v>
      </c>
    </row>
    <row r="48" spans="3:19" ht="12" customHeight="1" x14ac:dyDescent="0.2">
      <c r="C48" s="172">
        <v>1258</v>
      </c>
      <c r="D48" s="172"/>
      <c r="E48" s="172"/>
      <c r="F48" s="172"/>
      <c r="H48" s="76" t="s">
        <v>745</v>
      </c>
      <c r="I48" s="76"/>
      <c r="J48" s="76"/>
      <c r="K48" s="76"/>
      <c r="L48" s="76"/>
      <c r="M48" s="76"/>
      <c r="N48" s="76"/>
      <c r="O48" s="76"/>
      <c r="P48" s="76"/>
      <c r="Q48" s="76"/>
      <c r="S48" s="154"/>
    </row>
    <row r="49" spans="3:27" ht="12" customHeight="1" x14ac:dyDescent="0.2">
      <c r="C49" s="166" t="s">
        <v>64</v>
      </c>
      <c r="D49" s="166"/>
      <c r="E49" s="166"/>
      <c r="F49" s="166"/>
      <c r="H49" s="76" t="s">
        <v>65</v>
      </c>
      <c r="I49" s="76"/>
      <c r="J49" s="76"/>
      <c r="K49" s="76"/>
      <c r="L49" s="76"/>
      <c r="M49" s="76"/>
      <c r="N49" s="76"/>
      <c r="O49" s="76"/>
      <c r="P49" s="76"/>
      <c r="Q49" s="76"/>
      <c r="S49" s="147">
        <v>859152.51</v>
      </c>
    </row>
    <row r="50" spans="3:27" ht="12" customHeight="1" x14ac:dyDescent="0.2">
      <c r="C50" s="172">
        <v>1262</v>
      </c>
      <c r="D50" s="172"/>
      <c r="E50" s="172"/>
      <c r="F50" s="172"/>
      <c r="H50" s="76" t="s">
        <v>746</v>
      </c>
      <c r="I50" s="76"/>
      <c r="J50" s="76"/>
      <c r="K50" s="76"/>
      <c r="L50" s="76"/>
      <c r="M50" s="76"/>
      <c r="N50" s="76"/>
      <c r="O50" s="76"/>
      <c r="P50" s="76"/>
      <c r="Q50" s="76"/>
      <c r="S50" s="154">
        <v>3091646.98</v>
      </c>
    </row>
    <row r="51" spans="3:27" ht="12" customHeight="1" x14ac:dyDescent="0.2">
      <c r="C51" s="166" t="s">
        <v>66</v>
      </c>
      <c r="D51" s="166"/>
      <c r="E51" s="166"/>
      <c r="F51" s="166"/>
      <c r="H51" s="76" t="s">
        <v>67</v>
      </c>
      <c r="I51" s="76"/>
      <c r="J51" s="76"/>
      <c r="K51" s="76"/>
      <c r="L51" s="76"/>
      <c r="M51" s="76"/>
      <c r="N51" s="76"/>
      <c r="O51" s="76"/>
      <c r="P51" s="76"/>
      <c r="Q51" s="76"/>
      <c r="S51" s="147">
        <v>846031.16</v>
      </c>
    </row>
    <row r="52" spans="3:27" ht="12" customHeight="1" x14ac:dyDescent="0.2">
      <c r="C52" s="166" t="s">
        <v>68</v>
      </c>
      <c r="D52" s="166"/>
      <c r="E52" s="166"/>
      <c r="F52" s="166"/>
      <c r="H52" s="76" t="s">
        <v>69</v>
      </c>
      <c r="I52" s="76"/>
      <c r="J52" s="76"/>
      <c r="K52" s="76"/>
      <c r="L52" s="76"/>
      <c r="M52" s="76"/>
      <c r="N52" s="76"/>
      <c r="O52" s="76"/>
      <c r="P52" s="76"/>
      <c r="Q52" s="76"/>
      <c r="S52" s="147">
        <v>6409236.4500000002</v>
      </c>
    </row>
    <row r="53" spans="3:27" ht="12" customHeight="1" x14ac:dyDescent="0.2">
      <c r="C53" s="166" t="s">
        <v>70</v>
      </c>
      <c r="D53" s="166"/>
      <c r="E53" s="166"/>
      <c r="F53" s="166"/>
      <c r="H53" s="76" t="s">
        <v>397</v>
      </c>
      <c r="I53" s="76"/>
      <c r="J53" s="76"/>
      <c r="K53" s="76"/>
      <c r="L53" s="76"/>
      <c r="M53" s="76"/>
      <c r="N53" s="76"/>
      <c r="O53" s="76"/>
      <c r="P53" s="76"/>
      <c r="Q53" s="76"/>
      <c r="S53" s="147">
        <v>105248.16</v>
      </c>
    </row>
    <row r="54" spans="3:27" ht="12" customHeight="1" x14ac:dyDescent="0.2">
      <c r="C54" s="166" t="s">
        <v>71</v>
      </c>
      <c r="D54" s="166"/>
      <c r="E54" s="166"/>
      <c r="F54" s="166"/>
      <c r="H54" s="76" t="s">
        <v>398</v>
      </c>
      <c r="I54" s="76"/>
      <c r="J54" s="76"/>
      <c r="K54" s="76"/>
      <c r="L54" s="76"/>
      <c r="M54" s="76"/>
      <c r="N54" s="76"/>
      <c r="O54" s="76"/>
      <c r="P54" s="76"/>
      <c r="Q54" s="76"/>
      <c r="S54" s="147">
        <v>83548.09</v>
      </c>
    </row>
    <row r="55" spans="3:27" ht="12" customHeight="1" x14ac:dyDescent="0.2">
      <c r="C55" s="166" t="s">
        <v>72</v>
      </c>
      <c r="D55" s="166"/>
      <c r="E55" s="166"/>
      <c r="F55" s="166"/>
      <c r="H55" s="76" t="s">
        <v>399</v>
      </c>
      <c r="I55" s="76"/>
      <c r="J55" s="76"/>
      <c r="K55" s="76"/>
      <c r="L55" s="76"/>
      <c r="M55" s="76"/>
      <c r="N55" s="76"/>
      <c r="O55" s="76"/>
      <c r="P55" s="76"/>
      <c r="Q55" s="76"/>
      <c r="S55" s="147">
        <v>79370.3</v>
      </c>
    </row>
    <row r="56" spans="3:27" ht="12" customHeight="1" x14ac:dyDescent="0.2">
      <c r="C56" s="166" t="s">
        <v>619</v>
      </c>
      <c r="D56" s="166"/>
      <c r="E56" s="166"/>
      <c r="F56" s="166"/>
      <c r="H56" s="76" t="s">
        <v>620</v>
      </c>
      <c r="I56" s="76"/>
      <c r="J56" s="76"/>
      <c r="K56" s="76"/>
      <c r="L56" s="76"/>
      <c r="M56" s="76"/>
      <c r="N56" s="76"/>
      <c r="O56" s="76"/>
      <c r="P56" s="76"/>
      <c r="Q56" s="76"/>
      <c r="S56" s="147"/>
    </row>
    <row r="57" spans="3:27" ht="12" customHeight="1" x14ac:dyDescent="0.2">
      <c r="C57" s="166" t="s">
        <v>628</v>
      </c>
      <c r="D57" s="166"/>
      <c r="E57" s="166"/>
      <c r="F57" s="166"/>
      <c r="H57" s="76" t="s">
        <v>713</v>
      </c>
      <c r="I57" s="76"/>
      <c r="J57" s="76"/>
      <c r="K57" s="76"/>
      <c r="L57" s="76"/>
      <c r="M57" s="76"/>
      <c r="N57" s="76"/>
      <c r="O57" s="76"/>
      <c r="P57" s="76"/>
      <c r="Q57" s="76"/>
      <c r="S57" s="147"/>
    </row>
    <row r="58" spans="3:27" ht="12" customHeight="1" x14ac:dyDescent="0.2">
      <c r="C58" s="166" t="s">
        <v>618</v>
      </c>
      <c r="D58" s="166"/>
      <c r="E58" s="166"/>
      <c r="F58" s="166"/>
      <c r="H58" s="76" t="s">
        <v>617</v>
      </c>
      <c r="I58" s="76"/>
      <c r="J58" s="76"/>
      <c r="K58" s="76"/>
      <c r="L58" s="76"/>
      <c r="M58" s="76"/>
      <c r="N58" s="76"/>
      <c r="O58" s="76"/>
      <c r="P58" s="76"/>
      <c r="Q58" s="76"/>
      <c r="S58" s="147">
        <v>6.78</v>
      </c>
    </row>
    <row r="59" spans="3:27" ht="12" customHeight="1" x14ac:dyDescent="0.2">
      <c r="C59" s="145" t="s">
        <v>552</v>
      </c>
      <c r="D59" s="145"/>
      <c r="E59" s="145"/>
      <c r="F59" s="145"/>
      <c r="H59" s="76" t="s">
        <v>553</v>
      </c>
      <c r="I59" s="76"/>
      <c r="J59" s="76"/>
      <c r="K59" s="76"/>
      <c r="L59" s="76"/>
      <c r="M59" s="76"/>
      <c r="N59" s="76"/>
      <c r="O59" s="76"/>
      <c r="P59" s="76"/>
      <c r="Q59" s="76"/>
      <c r="S59" s="156">
        <v>908.27</v>
      </c>
    </row>
    <row r="60" spans="3:27" ht="12" customHeight="1" x14ac:dyDescent="0.2">
      <c r="C60" s="145" t="s">
        <v>598</v>
      </c>
      <c r="D60" s="145"/>
      <c r="E60" s="145"/>
      <c r="F60" s="145"/>
      <c r="H60" s="76" t="s">
        <v>599</v>
      </c>
      <c r="I60" s="76"/>
      <c r="J60" s="76"/>
      <c r="K60" s="76"/>
      <c r="L60" s="76"/>
      <c r="M60" s="76"/>
      <c r="N60" s="76"/>
      <c r="O60" s="76"/>
      <c r="P60" s="76"/>
      <c r="Q60" s="76"/>
      <c r="S60" s="147">
        <v>6.93</v>
      </c>
    </row>
    <row r="61" spans="3:27" ht="12" customHeight="1" x14ac:dyDescent="0.2">
      <c r="C61" s="166" t="s">
        <v>401</v>
      </c>
      <c r="D61" s="166"/>
      <c r="E61" s="166"/>
      <c r="F61" s="166"/>
      <c r="H61" s="76" t="s">
        <v>400</v>
      </c>
      <c r="I61" s="76"/>
      <c r="J61" s="76"/>
      <c r="K61" s="76"/>
      <c r="L61" s="76"/>
      <c r="M61" s="76"/>
      <c r="N61" s="76"/>
      <c r="O61" s="76"/>
      <c r="P61" s="76"/>
      <c r="Q61" s="76"/>
      <c r="S61" s="147">
        <v>66642.73</v>
      </c>
    </row>
    <row r="62" spans="3:27" ht="12" customHeight="1" x14ac:dyDescent="0.2">
      <c r="C62" s="166"/>
      <c r="D62" s="166"/>
      <c r="E62" s="166"/>
      <c r="F62" s="166"/>
      <c r="H62" s="76"/>
      <c r="I62" s="76"/>
      <c r="J62" s="76"/>
      <c r="K62" s="76"/>
      <c r="L62" s="76"/>
      <c r="M62" s="76"/>
      <c r="N62" s="76"/>
      <c r="O62" s="76"/>
      <c r="P62" s="76"/>
      <c r="Q62" s="76"/>
      <c r="S62" s="147"/>
    </row>
    <row r="63" spans="3:27" ht="12" customHeight="1" x14ac:dyDescent="0.2">
      <c r="H63" s="164" t="s">
        <v>73</v>
      </c>
      <c r="I63" s="164"/>
      <c r="J63" s="164"/>
      <c r="K63" s="164"/>
      <c r="L63" s="164"/>
      <c r="M63" s="164"/>
      <c r="N63" s="164"/>
      <c r="O63" s="164"/>
      <c r="P63" s="164"/>
      <c r="U63" s="165">
        <f>SUM(S9:S61)</f>
        <v>142793856.06000006</v>
      </c>
      <c r="V63" s="165"/>
      <c r="W63" s="165"/>
      <c r="Y63" s="77"/>
      <c r="AA63" s="77"/>
    </row>
    <row r="64" spans="3:27" ht="12" customHeight="1" x14ac:dyDescent="0.2"/>
    <row r="65" spans="2:19" ht="12" customHeight="1" x14ac:dyDescent="0.2">
      <c r="B65" s="164" t="s">
        <v>74</v>
      </c>
      <c r="C65" s="164"/>
      <c r="D65" s="164"/>
      <c r="E65" s="164"/>
      <c r="F65" s="164"/>
      <c r="G65" s="164"/>
      <c r="H65" s="164"/>
      <c r="I65" s="164"/>
      <c r="J65" s="164"/>
      <c r="K65" s="164"/>
    </row>
    <row r="66" spans="2:19" ht="12" customHeight="1" x14ac:dyDescent="0.2"/>
    <row r="67" spans="2:19" ht="12" customHeight="1" x14ac:dyDescent="0.2">
      <c r="C67" s="166" t="s">
        <v>75</v>
      </c>
      <c r="D67" s="166"/>
      <c r="E67" s="166"/>
      <c r="F67" s="166"/>
      <c r="H67" s="166" t="s">
        <v>76</v>
      </c>
      <c r="I67" s="166"/>
      <c r="J67" s="166"/>
      <c r="K67" s="166"/>
      <c r="L67" s="166"/>
      <c r="M67" s="166"/>
      <c r="N67" s="166"/>
      <c r="O67" s="166"/>
      <c r="P67" s="166"/>
      <c r="Q67" s="166"/>
      <c r="S67" s="147">
        <v>575636.36</v>
      </c>
    </row>
    <row r="68" spans="2:19" ht="12" customHeight="1" x14ac:dyDescent="0.2">
      <c r="C68" s="166" t="s">
        <v>77</v>
      </c>
      <c r="D68" s="166"/>
      <c r="E68" s="166"/>
      <c r="F68" s="166"/>
      <c r="H68" s="166" t="s">
        <v>78</v>
      </c>
      <c r="I68" s="166"/>
      <c r="J68" s="166"/>
      <c r="K68" s="166"/>
      <c r="L68" s="166"/>
      <c r="M68" s="166"/>
      <c r="N68" s="166"/>
      <c r="O68" s="166"/>
      <c r="P68" s="166"/>
      <c r="Q68" s="166"/>
      <c r="S68" s="147">
        <v>45071.88</v>
      </c>
    </row>
    <row r="69" spans="2:19" ht="12" customHeight="1" x14ac:dyDescent="0.2">
      <c r="C69" s="166" t="s">
        <v>79</v>
      </c>
      <c r="D69" s="166"/>
      <c r="E69" s="166"/>
      <c r="F69" s="166"/>
      <c r="H69" s="166" t="s">
        <v>80</v>
      </c>
      <c r="I69" s="166"/>
      <c r="J69" s="166"/>
      <c r="K69" s="166"/>
      <c r="L69" s="166"/>
      <c r="M69" s="166"/>
      <c r="N69" s="166"/>
      <c r="O69" s="166"/>
      <c r="P69" s="166"/>
      <c r="Q69" s="166"/>
      <c r="S69" s="147">
        <v>503235.29</v>
      </c>
    </row>
    <row r="70" spans="2:19" ht="12" customHeight="1" x14ac:dyDescent="0.2">
      <c r="C70" s="166" t="s">
        <v>81</v>
      </c>
      <c r="D70" s="166"/>
      <c r="E70" s="166"/>
      <c r="F70" s="166"/>
      <c r="H70" s="166" t="s">
        <v>82</v>
      </c>
      <c r="I70" s="166"/>
      <c r="J70" s="166"/>
      <c r="K70" s="166"/>
      <c r="L70" s="166"/>
      <c r="M70" s="166"/>
      <c r="N70" s="166"/>
      <c r="O70" s="166"/>
      <c r="P70" s="166"/>
      <c r="Q70" s="166"/>
      <c r="S70" s="147">
        <v>4227135.5199999996</v>
      </c>
    </row>
    <row r="71" spans="2:19" ht="12" customHeight="1" x14ac:dyDescent="0.2">
      <c r="C71" s="166" t="s">
        <v>83</v>
      </c>
      <c r="D71" s="166"/>
      <c r="E71" s="166"/>
      <c r="F71" s="166"/>
      <c r="H71" s="166" t="s">
        <v>84</v>
      </c>
      <c r="I71" s="166"/>
      <c r="J71" s="166"/>
      <c r="K71" s="166"/>
      <c r="L71" s="166"/>
      <c r="M71" s="166"/>
      <c r="N71" s="166"/>
      <c r="O71" s="166"/>
      <c r="P71" s="166"/>
      <c r="Q71" s="166"/>
      <c r="S71" s="147">
        <v>201938.14</v>
      </c>
    </row>
    <row r="72" spans="2:19" ht="14.25" customHeight="1" x14ac:dyDescent="0.2">
      <c r="C72" s="166" t="s">
        <v>85</v>
      </c>
      <c r="D72" s="166"/>
      <c r="E72" s="166"/>
      <c r="F72" s="166"/>
      <c r="H72" s="166" t="s">
        <v>86</v>
      </c>
      <c r="I72" s="166"/>
      <c r="J72" s="166"/>
      <c r="K72" s="166"/>
      <c r="L72" s="166"/>
      <c r="M72" s="166"/>
      <c r="N72" s="166"/>
      <c r="O72" s="166"/>
      <c r="P72" s="166"/>
      <c r="Q72" s="166"/>
      <c r="S72" s="147"/>
    </row>
    <row r="73" spans="2:19" ht="12" customHeight="1" x14ac:dyDescent="0.2">
      <c r="C73" s="166" t="s">
        <v>87</v>
      </c>
      <c r="D73" s="166"/>
      <c r="E73" s="166"/>
      <c r="F73" s="166"/>
      <c r="H73" s="166" t="s">
        <v>88</v>
      </c>
      <c r="I73" s="166"/>
      <c r="J73" s="166"/>
      <c r="K73" s="166"/>
      <c r="L73" s="166"/>
      <c r="M73" s="166"/>
      <c r="N73" s="166"/>
      <c r="O73" s="166"/>
      <c r="P73" s="166"/>
      <c r="Q73" s="166"/>
      <c r="S73" s="150">
        <v>2528112.9900000002</v>
      </c>
    </row>
    <row r="74" spans="2:19" ht="12.75" customHeight="1" x14ac:dyDescent="0.2">
      <c r="C74" s="166" t="s">
        <v>89</v>
      </c>
      <c r="D74" s="166"/>
      <c r="E74" s="166"/>
      <c r="F74" s="166"/>
      <c r="H74" s="166" t="s">
        <v>90</v>
      </c>
      <c r="I74" s="166"/>
      <c r="J74" s="166"/>
      <c r="K74" s="166"/>
      <c r="L74" s="166"/>
      <c r="M74" s="166"/>
      <c r="N74" s="166"/>
      <c r="O74" s="166"/>
      <c r="P74" s="166"/>
      <c r="Q74" s="166"/>
      <c r="S74" s="150">
        <v>11428.88</v>
      </c>
    </row>
    <row r="75" spans="2:19" ht="12" customHeight="1" x14ac:dyDescent="0.2">
      <c r="C75" s="166" t="s">
        <v>91</v>
      </c>
      <c r="D75" s="166"/>
      <c r="E75" s="166"/>
      <c r="F75" s="166"/>
      <c r="H75" s="166" t="s">
        <v>92</v>
      </c>
      <c r="I75" s="166"/>
      <c r="J75" s="166"/>
      <c r="K75" s="166"/>
      <c r="L75" s="166"/>
      <c r="M75" s="166"/>
      <c r="N75" s="166"/>
      <c r="O75" s="166"/>
      <c r="P75" s="166"/>
      <c r="Q75" s="166"/>
      <c r="S75" s="150">
        <v>296886.84999999998</v>
      </c>
    </row>
    <row r="76" spans="2:19" ht="12" customHeight="1" x14ac:dyDescent="0.2">
      <c r="C76" s="166" t="s">
        <v>93</v>
      </c>
      <c r="D76" s="166"/>
      <c r="E76" s="166"/>
      <c r="F76" s="166"/>
      <c r="H76" s="166" t="s">
        <v>94</v>
      </c>
      <c r="I76" s="166"/>
      <c r="J76" s="166"/>
      <c r="K76" s="166"/>
      <c r="L76" s="166"/>
      <c r="M76" s="166"/>
      <c r="N76" s="166"/>
      <c r="O76" s="166"/>
      <c r="P76" s="166"/>
      <c r="Q76" s="166"/>
      <c r="S76" s="147">
        <v>2027573.66</v>
      </c>
    </row>
    <row r="77" spans="2:19" ht="12" customHeight="1" x14ac:dyDescent="0.2">
      <c r="C77" s="166" t="s">
        <v>95</v>
      </c>
      <c r="D77" s="166"/>
      <c r="E77" s="166"/>
      <c r="F77" s="166"/>
      <c r="H77" s="166" t="s">
        <v>96</v>
      </c>
      <c r="I77" s="166"/>
      <c r="J77" s="166"/>
      <c r="K77" s="166"/>
      <c r="L77" s="166"/>
      <c r="M77" s="166"/>
      <c r="N77" s="166"/>
      <c r="O77" s="166"/>
      <c r="P77" s="166"/>
      <c r="Q77" s="166"/>
      <c r="S77" s="147">
        <v>6190508.7599999998</v>
      </c>
    </row>
    <row r="78" spans="2:19" ht="12" customHeight="1" x14ac:dyDescent="0.2">
      <c r="C78" s="166">
        <v>1327</v>
      </c>
      <c r="D78" s="166"/>
      <c r="E78" s="166"/>
      <c r="F78" s="166"/>
      <c r="H78" s="145" t="s">
        <v>663</v>
      </c>
      <c r="I78" s="145"/>
      <c r="J78" s="145"/>
      <c r="K78" s="145"/>
      <c r="L78" s="145"/>
      <c r="M78" s="145"/>
      <c r="N78" s="145"/>
      <c r="O78" s="145"/>
      <c r="P78" s="145"/>
      <c r="Q78" s="145"/>
      <c r="S78" s="147"/>
    </row>
    <row r="79" spans="2:19" ht="12" customHeight="1" x14ac:dyDescent="0.2">
      <c r="C79" s="166" t="s">
        <v>97</v>
      </c>
      <c r="D79" s="166"/>
      <c r="E79" s="166"/>
      <c r="F79" s="166"/>
      <c r="H79" s="166" t="s">
        <v>98</v>
      </c>
      <c r="I79" s="166"/>
      <c r="J79" s="166"/>
      <c r="K79" s="166"/>
      <c r="L79" s="166"/>
      <c r="M79" s="166"/>
      <c r="N79" s="166"/>
      <c r="O79" s="166"/>
      <c r="P79" s="166"/>
      <c r="Q79" s="166"/>
      <c r="S79" s="154">
        <v>63477.05</v>
      </c>
    </row>
    <row r="80" spans="2:19" ht="12" customHeight="1" x14ac:dyDescent="0.2">
      <c r="C80" s="166">
        <v>1336</v>
      </c>
      <c r="D80" s="166"/>
      <c r="E80" s="166"/>
      <c r="F80" s="166"/>
      <c r="H80" s="166" t="s">
        <v>672</v>
      </c>
      <c r="I80" s="166"/>
      <c r="J80" s="166"/>
      <c r="K80" s="166"/>
      <c r="L80" s="166"/>
      <c r="M80" s="166"/>
      <c r="N80" s="166"/>
      <c r="O80" s="166"/>
      <c r="P80" s="166"/>
      <c r="Q80" s="166"/>
      <c r="S80" s="147"/>
    </row>
    <row r="81" spans="1:23" ht="12" customHeight="1" x14ac:dyDescent="0.2">
      <c r="C81" s="166">
        <v>1340</v>
      </c>
      <c r="D81" s="166"/>
      <c r="E81" s="166"/>
      <c r="F81" s="166"/>
      <c r="H81" s="166" t="s">
        <v>727</v>
      </c>
      <c r="I81" s="166"/>
      <c r="J81" s="166"/>
      <c r="K81" s="166"/>
      <c r="L81" s="166"/>
      <c r="M81" s="166"/>
      <c r="N81" s="166"/>
      <c r="O81" s="166"/>
      <c r="P81" s="166"/>
      <c r="Q81" s="166"/>
      <c r="S81" s="147">
        <v>102755.5</v>
      </c>
    </row>
    <row r="82" spans="1:23" ht="12" customHeight="1" x14ac:dyDescent="0.2">
      <c r="C82" s="166">
        <v>1350</v>
      </c>
      <c r="D82" s="166"/>
      <c r="E82" s="166"/>
      <c r="F82" s="166"/>
      <c r="H82" s="166" t="s">
        <v>720</v>
      </c>
      <c r="I82" s="166"/>
      <c r="J82" s="166"/>
      <c r="K82" s="166"/>
      <c r="L82" s="166"/>
      <c r="M82" s="166"/>
      <c r="N82" s="166"/>
      <c r="O82" s="166"/>
      <c r="P82" s="166"/>
      <c r="Q82" s="166"/>
      <c r="S82" s="147">
        <v>72884.44</v>
      </c>
    </row>
    <row r="83" spans="1:23" ht="12" customHeight="1" x14ac:dyDescent="0.2">
      <c r="C83" s="166" t="s">
        <v>99</v>
      </c>
      <c r="D83" s="166"/>
      <c r="E83" s="166"/>
      <c r="F83" s="166"/>
      <c r="H83" s="166" t="s">
        <v>100</v>
      </c>
      <c r="I83" s="166"/>
      <c r="J83" s="166"/>
      <c r="K83" s="166"/>
      <c r="L83" s="166"/>
      <c r="M83" s="166"/>
      <c r="N83" s="166"/>
      <c r="O83" s="166"/>
      <c r="P83" s="166"/>
      <c r="Q83" s="166"/>
      <c r="S83" s="147">
        <v>-8332551.0700000003</v>
      </c>
    </row>
    <row r="84" spans="1:23" ht="12" customHeight="1" x14ac:dyDescent="0.2">
      <c r="C84" s="166" t="s">
        <v>101</v>
      </c>
      <c r="D84" s="166"/>
      <c r="E84" s="166"/>
      <c r="F84" s="166"/>
      <c r="H84" s="166" t="s">
        <v>102</v>
      </c>
      <c r="I84" s="166"/>
      <c r="J84" s="166"/>
      <c r="K84" s="166"/>
      <c r="L84" s="166"/>
      <c r="M84" s="166"/>
      <c r="N84" s="166"/>
      <c r="O84" s="166"/>
      <c r="P84" s="166"/>
      <c r="Q84" s="166"/>
      <c r="S84" s="147"/>
    </row>
    <row r="85" spans="1:23" ht="12" customHeight="1" x14ac:dyDescent="0.2">
      <c r="H85" s="164" t="s">
        <v>103</v>
      </c>
      <c r="I85" s="164"/>
      <c r="J85" s="164"/>
      <c r="K85" s="164"/>
      <c r="L85" s="164"/>
      <c r="M85" s="164"/>
      <c r="N85" s="164"/>
      <c r="O85" s="164"/>
      <c r="P85" s="164"/>
      <c r="U85" s="168">
        <f>SUM(S67:S84)</f>
        <v>8514094.25</v>
      </c>
      <c r="V85" s="168"/>
      <c r="W85" s="168"/>
    </row>
    <row r="86" spans="1:23" ht="12" customHeight="1" x14ac:dyDescent="0.2">
      <c r="H86" s="146"/>
      <c r="I86" s="146"/>
      <c r="J86" s="146"/>
      <c r="K86" s="146"/>
      <c r="L86" s="146"/>
      <c r="M86" s="146"/>
      <c r="N86" s="146"/>
      <c r="O86" s="146"/>
      <c r="P86" s="146"/>
      <c r="U86" s="78"/>
      <c r="V86" s="78"/>
      <c r="W86" s="78"/>
    </row>
    <row r="87" spans="1:23" ht="12" customHeight="1" x14ac:dyDescent="0.2">
      <c r="D87" s="166" t="s">
        <v>101</v>
      </c>
      <c r="E87" s="166"/>
      <c r="F87" s="166"/>
      <c r="G87" s="166"/>
      <c r="H87" s="166" t="s">
        <v>673</v>
      </c>
      <c r="I87" s="166"/>
      <c r="J87" s="166"/>
      <c r="K87" s="166"/>
      <c r="L87" s="166"/>
      <c r="M87" s="166"/>
      <c r="N87" s="166"/>
      <c r="O87" s="166"/>
      <c r="P87" s="166"/>
      <c r="Q87" s="166"/>
      <c r="S87" s="147">
        <v>0</v>
      </c>
      <c r="U87" s="78"/>
      <c r="V87" s="78"/>
      <c r="W87" s="78"/>
    </row>
    <row r="88" spans="1:23" ht="12" customHeight="1" x14ac:dyDescent="0.2">
      <c r="D88" s="166">
        <v>1421</v>
      </c>
      <c r="E88" s="166"/>
      <c r="F88" s="166"/>
      <c r="G88" s="166"/>
      <c r="H88" s="175" t="s">
        <v>749</v>
      </c>
      <c r="I88" s="175"/>
      <c r="J88" s="175"/>
      <c r="K88" s="175"/>
      <c r="L88" s="175"/>
      <c r="M88" s="175"/>
      <c r="N88" s="175"/>
      <c r="O88" s="175"/>
      <c r="P88" s="175"/>
      <c r="Q88" s="175"/>
      <c r="S88" s="156">
        <v>0</v>
      </c>
      <c r="U88" s="78"/>
      <c r="V88" s="78"/>
      <c r="W88" s="78"/>
    </row>
    <row r="89" spans="1:23" ht="12" customHeight="1" thickBot="1" x14ac:dyDescent="0.25">
      <c r="I89" s="164" t="s">
        <v>104</v>
      </c>
      <c r="J89" s="164"/>
      <c r="K89" s="164"/>
      <c r="L89" s="164"/>
      <c r="M89" s="164"/>
      <c r="N89" s="164"/>
      <c r="O89" s="164"/>
      <c r="P89" s="164"/>
      <c r="U89" s="171">
        <f>U63+U85+S87+S88</f>
        <v>151307950.31000006</v>
      </c>
      <c r="V89" s="171"/>
      <c r="W89" s="171"/>
    </row>
    <row r="90" spans="1:23" ht="12" customHeight="1" x14ac:dyDescent="0.2"/>
    <row r="91" spans="1:23" ht="12" customHeight="1" x14ac:dyDescent="0.2">
      <c r="A91" s="164" t="s">
        <v>105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</row>
    <row r="92" spans="1:23" ht="12" customHeight="1" x14ac:dyDescent="0.2"/>
    <row r="93" spans="1:23" ht="12" customHeight="1" x14ac:dyDescent="0.2">
      <c r="B93" s="164" t="s">
        <v>106</v>
      </c>
      <c r="C93" s="164"/>
      <c r="D93" s="164"/>
      <c r="E93" s="164"/>
      <c r="F93" s="164"/>
      <c r="G93" s="164"/>
      <c r="H93" s="164"/>
      <c r="I93" s="164"/>
      <c r="J93" s="164"/>
      <c r="K93" s="164"/>
    </row>
    <row r="94" spans="1:23" ht="12" customHeight="1" x14ac:dyDescent="0.2">
      <c r="C94" s="166" t="s">
        <v>107</v>
      </c>
      <c r="D94" s="166"/>
      <c r="E94" s="166"/>
      <c r="F94" s="166"/>
      <c r="H94" s="76" t="s">
        <v>108</v>
      </c>
      <c r="I94" s="76"/>
      <c r="J94" s="76"/>
      <c r="K94" s="76"/>
      <c r="L94" s="76"/>
      <c r="M94" s="76"/>
      <c r="N94" s="76"/>
      <c r="O94" s="76"/>
      <c r="P94" s="76"/>
      <c r="Q94" s="76"/>
      <c r="S94" s="147">
        <v>84375465.400000006</v>
      </c>
    </row>
    <row r="95" spans="1:23" ht="12" customHeight="1" x14ac:dyDescent="0.2">
      <c r="C95" s="166" t="s">
        <v>109</v>
      </c>
      <c r="D95" s="166"/>
      <c r="E95" s="166"/>
      <c r="F95" s="166"/>
      <c r="H95" s="76" t="s">
        <v>110</v>
      </c>
      <c r="I95" s="76"/>
      <c r="J95" s="76"/>
      <c r="K95" s="76"/>
      <c r="L95" s="76"/>
      <c r="M95" s="76"/>
      <c r="N95" s="76"/>
      <c r="O95" s="76"/>
      <c r="P95" s="76"/>
      <c r="Q95" s="76"/>
      <c r="S95" s="147">
        <v>3155961.68</v>
      </c>
    </row>
    <row r="96" spans="1:23" ht="12" customHeight="1" x14ac:dyDescent="0.2">
      <c r="C96" s="166" t="s">
        <v>111</v>
      </c>
      <c r="D96" s="166"/>
      <c r="E96" s="166"/>
      <c r="F96" s="166"/>
      <c r="H96" s="76" t="s">
        <v>112</v>
      </c>
      <c r="I96" s="76"/>
      <c r="J96" s="76"/>
      <c r="K96" s="76"/>
      <c r="L96" s="76"/>
      <c r="M96" s="76"/>
      <c r="N96" s="76"/>
      <c r="O96" s="76"/>
      <c r="P96" s="76"/>
      <c r="Q96" s="76"/>
      <c r="S96" s="147">
        <v>155.9</v>
      </c>
    </row>
    <row r="97" spans="3:19" ht="12" customHeight="1" x14ac:dyDescent="0.2">
      <c r="C97" s="166">
        <v>2125</v>
      </c>
      <c r="D97" s="166"/>
      <c r="E97" s="166"/>
      <c r="F97" s="166"/>
      <c r="H97" s="76" t="s">
        <v>680</v>
      </c>
      <c r="I97" s="76"/>
      <c r="J97" s="76"/>
      <c r="K97" s="76"/>
      <c r="L97" s="76"/>
      <c r="M97" s="76"/>
      <c r="N97" s="76"/>
      <c r="O97" s="76"/>
      <c r="P97" s="76"/>
      <c r="Q97" s="76"/>
      <c r="S97" s="147"/>
    </row>
    <row r="98" spans="3:19" ht="12" customHeight="1" x14ac:dyDescent="0.2">
      <c r="C98" s="166" t="s">
        <v>113</v>
      </c>
      <c r="D98" s="166"/>
      <c r="E98" s="166"/>
      <c r="F98" s="166"/>
      <c r="H98" s="76" t="s">
        <v>114</v>
      </c>
      <c r="I98" s="76"/>
      <c r="J98" s="76"/>
      <c r="K98" s="76"/>
      <c r="L98" s="76"/>
      <c r="M98" s="76"/>
      <c r="N98" s="76"/>
      <c r="O98" s="76"/>
      <c r="P98" s="76"/>
      <c r="Q98" s="76"/>
      <c r="S98" s="147">
        <v>3189.63</v>
      </c>
    </row>
    <row r="99" spans="3:19" ht="12" customHeight="1" x14ac:dyDescent="0.2">
      <c r="C99" s="166">
        <v>2127</v>
      </c>
      <c r="D99" s="166"/>
      <c r="E99" s="166"/>
      <c r="F99" s="166"/>
      <c r="H99" s="76" t="s">
        <v>714</v>
      </c>
      <c r="I99" s="76"/>
      <c r="J99" s="76"/>
      <c r="K99" s="76"/>
      <c r="L99" s="76"/>
      <c r="M99" s="76"/>
      <c r="N99" s="76"/>
      <c r="O99" s="76"/>
      <c r="P99" s="76"/>
      <c r="Q99" s="76"/>
      <c r="S99" s="147"/>
    </row>
    <row r="100" spans="3:19" ht="12" customHeight="1" x14ac:dyDescent="0.2">
      <c r="C100" s="166">
        <v>2150</v>
      </c>
      <c r="D100" s="166"/>
      <c r="E100" s="166"/>
      <c r="F100" s="166"/>
      <c r="H100" s="76" t="s">
        <v>189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7">
        <v>980.3</v>
      </c>
    </row>
    <row r="101" spans="3:19" ht="12" customHeight="1" x14ac:dyDescent="0.2">
      <c r="C101" s="166">
        <v>2155</v>
      </c>
      <c r="D101" s="166"/>
      <c r="E101" s="166"/>
      <c r="F101" s="166"/>
      <c r="H101" s="76" t="s">
        <v>681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7"/>
    </row>
    <row r="102" spans="3:19" ht="12" customHeight="1" x14ac:dyDescent="0.2">
      <c r="C102" s="166" t="s">
        <v>115</v>
      </c>
      <c r="D102" s="166"/>
      <c r="E102" s="166"/>
      <c r="F102" s="166"/>
      <c r="H102" s="76" t="s">
        <v>116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7"/>
    </row>
    <row r="103" spans="3:19" ht="12" customHeight="1" x14ac:dyDescent="0.2">
      <c r="C103" s="148" t="s">
        <v>600</v>
      </c>
      <c r="D103" s="145"/>
      <c r="E103" s="145"/>
      <c r="F103" s="145"/>
      <c r="H103" s="76" t="s">
        <v>601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7"/>
    </row>
    <row r="104" spans="3:19" ht="12" customHeight="1" x14ac:dyDescent="0.2">
      <c r="C104" s="166" t="s">
        <v>117</v>
      </c>
      <c r="D104" s="166"/>
      <c r="E104" s="166"/>
      <c r="F104" s="166"/>
      <c r="H104" s="76" t="s">
        <v>118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7">
        <v>10922671.41</v>
      </c>
    </row>
    <row r="105" spans="3:19" ht="12" customHeight="1" x14ac:dyDescent="0.2">
      <c r="C105" s="166" t="s">
        <v>119</v>
      </c>
      <c r="D105" s="166"/>
      <c r="E105" s="166"/>
      <c r="F105" s="166"/>
      <c r="H105" s="76" t="s">
        <v>120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7">
        <v>43139.82</v>
      </c>
    </row>
    <row r="106" spans="3:19" ht="12" customHeight="1" x14ac:dyDescent="0.2">
      <c r="C106" s="166" t="s">
        <v>121</v>
      </c>
      <c r="D106" s="166"/>
      <c r="E106" s="166"/>
      <c r="F106" s="166"/>
      <c r="H106" s="76" t="s">
        <v>122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7">
        <v>243073.88</v>
      </c>
    </row>
    <row r="107" spans="3:19" ht="12" customHeight="1" x14ac:dyDescent="0.2">
      <c r="C107" s="166" t="s">
        <v>123</v>
      </c>
      <c r="D107" s="166"/>
      <c r="E107" s="166"/>
      <c r="F107" s="166"/>
      <c r="H107" s="76" t="s">
        <v>124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7">
        <v>7114.28</v>
      </c>
    </row>
    <row r="108" spans="3:19" ht="12" customHeight="1" x14ac:dyDescent="0.2">
      <c r="C108" s="166" t="s">
        <v>125</v>
      </c>
      <c r="D108" s="166"/>
      <c r="E108" s="166"/>
      <c r="F108" s="166"/>
      <c r="H108" s="76" t="s">
        <v>126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7">
        <v>218386.24</v>
      </c>
    </row>
    <row r="109" spans="3:19" ht="12" customHeight="1" x14ac:dyDescent="0.2">
      <c r="C109" s="166" t="s">
        <v>127</v>
      </c>
      <c r="D109" s="166"/>
      <c r="E109" s="166"/>
      <c r="F109" s="166"/>
      <c r="H109" s="76" t="s">
        <v>128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7">
        <v>59928.84</v>
      </c>
    </row>
    <row r="110" spans="3:19" ht="12" customHeight="1" x14ac:dyDescent="0.2">
      <c r="C110" s="166">
        <v>2231</v>
      </c>
      <c r="D110" s="166"/>
      <c r="E110" s="166"/>
      <c r="F110" s="166"/>
      <c r="H110" s="76" t="s">
        <v>686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7"/>
    </row>
    <row r="111" spans="3:19" ht="12" customHeight="1" x14ac:dyDescent="0.2">
      <c r="C111" s="166" t="s">
        <v>129</v>
      </c>
      <c r="D111" s="166"/>
      <c r="E111" s="166"/>
      <c r="F111" s="166"/>
      <c r="H111" s="76" t="s">
        <v>130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7">
        <v>178031.5</v>
      </c>
    </row>
    <row r="112" spans="3:19" ht="12" customHeight="1" x14ac:dyDescent="0.2">
      <c r="C112" s="166">
        <v>2241</v>
      </c>
      <c r="D112" s="166"/>
      <c r="E112" s="166"/>
      <c r="F112" s="166"/>
      <c r="H112" s="76" t="s">
        <v>684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7"/>
    </row>
    <row r="113" spans="3:19" ht="12" customHeight="1" x14ac:dyDescent="0.2">
      <c r="C113" s="166" t="s">
        <v>131</v>
      </c>
      <c r="D113" s="166"/>
      <c r="E113" s="166"/>
      <c r="F113" s="166"/>
      <c r="H113" s="76" t="s">
        <v>716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7"/>
    </row>
    <row r="114" spans="3:19" ht="12" customHeight="1" x14ac:dyDescent="0.2">
      <c r="C114" s="166" t="s">
        <v>132</v>
      </c>
      <c r="D114" s="166"/>
      <c r="E114" s="166"/>
      <c r="F114" s="166"/>
      <c r="H114" s="76" t="s">
        <v>133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7"/>
    </row>
    <row r="115" spans="3:19" ht="12" customHeight="1" x14ac:dyDescent="0.2">
      <c r="C115" s="166">
        <v>2245</v>
      </c>
      <c r="D115" s="166"/>
      <c r="E115" s="166"/>
      <c r="F115" s="166"/>
      <c r="H115" s="76" t="s">
        <v>633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7">
        <v>50000</v>
      </c>
    </row>
    <row r="116" spans="3:19" ht="12" customHeight="1" x14ac:dyDescent="0.2">
      <c r="C116" s="166" t="s">
        <v>134</v>
      </c>
      <c r="D116" s="166"/>
      <c r="E116" s="166"/>
      <c r="F116" s="166"/>
      <c r="H116" s="76" t="s">
        <v>135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7"/>
    </row>
    <row r="117" spans="3:19" ht="12" customHeight="1" x14ac:dyDescent="0.2">
      <c r="C117" s="166" t="s">
        <v>136</v>
      </c>
      <c r="D117" s="166"/>
      <c r="E117" s="166"/>
      <c r="F117" s="166"/>
      <c r="H117" s="76" t="s">
        <v>137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7"/>
    </row>
    <row r="118" spans="3:19" ht="12" customHeight="1" x14ac:dyDescent="0.2">
      <c r="C118" s="166" t="s">
        <v>138</v>
      </c>
      <c r="D118" s="166"/>
      <c r="E118" s="166"/>
      <c r="F118" s="166"/>
      <c r="H118" s="76" t="s">
        <v>139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7"/>
    </row>
    <row r="119" spans="3:19" ht="12" customHeight="1" x14ac:dyDescent="0.2">
      <c r="C119" s="166" t="s">
        <v>140</v>
      </c>
      <c r="D119" s="166"/>
      <c r="E119" s="166"/>
      <c r="F119" s="166"/>
      <c r="H119" s="76" t="s">
        <v>141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7"/>
    </row>
    <row r="120" spans="3:19" ht="12" customHeight="1" x14ac:dyDescent="0.2">
      <c r="C120" s="166" t="s">
        <v>142</v>
      </c>
      <c r="D120" s="166"/>
      <c r="E120" s="166"/>
      <c r="F120" s="166"/>
      <c r="H120" s="76" t="s">
        <v>143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7">
        <v>5132276.25</v>
      </c>
    </row>
    <row r="121" spans="3:19" ht="12" customHeight="1" x14ac:dyDescent="0.2">
      <c r="C121" s="166" t="s">
        <v>144</v>
      </c>
      <c r="D121" s="166"/>
      <c r="E121" s="166"/>
      <c r="F121" s="166"/>
      <c r="H121" s="76" t="s">
        <v>402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7">
        <v>8600000</v>
      </c>
    </row>
    <row r="122" spans="3:19" ht="12" customHeight="1" x14ac:dyDescent="0.2">
      <c r="C122" s="166">
        <v>2301</v>
      </c>
      <c r="D122" s="166"/>
      <c r="E122" s="166"/>
      <c r="F122" s="166"/>
      <c r="H122" s="76" t="s">
        <v>403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7">
        <v>300000</v>
      </c>
    </row>
    <row r="123" spans="3:19" ht="12" customHeight="1" x14ac:dyDescent="0.2">
      <c r="C123" s="170" t="s">
        <v>236</v>
      </c>
      <c r="D123" s="170"/>
      <c r="E123" s="170"/>
      <c r="F123" s="170"/>
      <c r="H123" s="170" t="s">
        <v>574</v>
      </c>
      <c r="I123" s="170"/>
      <c r="J123" s="170"/>
      <c r="K123" s="170"/>
      <c r="L123" s="170"/>
      <c r="M123" s="170"/>
      <c r="N123" s="170"/>
      <c r="O123" s="170"/>
      <c r="P123" s="170"/>
      <c r="Q123" s="170"/>
      <c r="S123" s="147">
        <v>1900000</v>
      </c>
    </row>
    <row r="124" spans="3:19" ht="12" customHeight="1" x14ac:dyDescent="0.2">
      <c r="C124" s="170" t="s">
        <v>236</v>
      </c>
      <c r="D124" s="170"/>
      <c r="E124" s="170"/>
      <c r="F124" s="170"/>
      <c r="H124" s="170" t="s">
        <v>568</v>
      </c>
      <c r="I124" s="170"/>
      <c r="J124" s="170"/>
      <c r="K124" s="170"/>
      <c r="L124" s="170"/>
      <c r="M124" s="170"/>
      <c r="N124" s="170"/>
      <c r="O124" s="170"/>
      <c r="P124" s="170"/>
      <c r="Q124" s="170"/>
      <c r="S124" s="147">
        <v>1050000</v>
      </c>
    </row>
    <row r="125" spans="3:19" ht="12" customHeight="1" x14ac:dyDescent="0.2">
      <c r="C125" s="170">
        <v>2406</v>
      </c>
      <c r="D125" s="170"/>
      <c r="E125" s="170"/>
      <c r="F125" s="170"/>
      <c r="H125" s="166" t="s">
        <v>751</v>
      </c>
      <c r="I125" s="170"/>
      <c r="J125" s="170"/>
      <c r="K125" s="170"/>
      <c r="L125" s="170"/>
      <c r="M125" s="170"/>
      <c r="N125" s="170"/>
      <c r="O125" s="170"/>
      <c r="P125" s="170"/>
      <c r="Q125" s="170"/>
      <c r="S125" s="159"/>
    </row>
    <row r="126" spans="3:19" ht="12" customHeight="1" x14ac:dyDescent="0.2">
      <c r="C126" s="167" t="s">
        <v>541</v>
      </c>
      <c r="D126" s="166"/>
      <c r="E126" s="166"/>
      <c r="F126" s="166"/>
      <c r="H126" s="166" t="s">
        <v>545</v>
      </c>
      <c r="I126" s="166"/>
      <c r="J126" s="166"/>
      <c r="K126" s="166"/>
      <c r="L126" s="166"/>
      <c r="M126" s="166"/>
      <c r="N126" s="166"/>
      <c r="O126" s="166"/>
      <c r="P126" s="166"/>
      <c r="Q126" s="166"/>
      <c r="S126" s="147"/>
    </row>
    <row r="127" spans="3:19" ht="12" customHeight="1" x14ac:dyDescent="0.2">
      <c r="C127" s="167" t="s">
        <v>542</v>
      </c>
      <c r="D127" s="166"/>
      <c r="E127" s="166"/>
      <c r="F127" s="166"/>
      <c r="H127" s="166" t="s">
        <v>543</v>
      </c>
      <c r="I127" s="166"/>
      <c r="J127" s="166"/>
      <c r="K127" s="166"/>
      <c r="L127" s="166"/>
      <c r="M127" s="166"/>
      <c r="N127" s="166"/>
      <c r="O127" s="166"/>
      <c r="P127" s="166"/>
      <c r="Q127" s="166"/>
      <c r="S127" s="147"/>
    </row>
    <row r="128" spans="3:19" ht="12" customHeight="1" x14ac:dyDescent="0.2">
      <c r="C128" s="167">
        <v>2433</v>
      </c>
      <c r="D128" s="166"/>
      <c r="E128" s="166"/>
      <c r="F128" s="166"/>
      <c r="H128" s="166" t="s">
        <v>544</v>
      </c>
      <c r="I128" s="166"/>
      <c r="J128" s="166"/>
      <c r="K128" s="166"/>
      <c r="L128" s="166"/>
      <c r="M128" s="166"/>
      <c r="N128" s="166"/>
      <c r="O128" s="166"/>
      <c r="P128" s="166"/>
      <c r="Q128" s="166"/>
      <c r="S128" s="147"/>
    </row>
    <row r="129" spans="2:25" ht="12" customHeight="1" x14ac:dyDescent="0.2">
      <c r="C129" s="166" t="s">
        <v>146</v>
      </c>
      <c r="D129" s="166"/>
      <c r="E129" s="166"/>
      <c r="F129" s="166"/>
      <c r="H129" s="76" t="s">
        <v>404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7"/>
    </row>
    <row r="130" spans="2:25" ht="12" customHeight="1" x14ac:dyDescent="0.2">
      <c r="C130" s="166" t="s">
        <v>147</v>
      </c>
      <c r="D130" s="166"/>
      <c r="E130" s="166"/>
      <c r="F130" s="166"/>
      <c r="H130" s="76" t="s">
        <v>556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7"/>
    </row>
    <row r="131" spans="2:25" ht="12" customHeight="1" x14ac:dyDescent="0.2">
      <c r="C131" s="166" t="s">
        <v>587</v>
      </c>
      <c r="D131" s="166"/>
      <c r="E131" s="166"/>
      <c r="F131" s="166"/>
      <c r="H131" s="76" t="s">
        <v>588</v>
      </c>
      <c r="I131" s="76"/>
      <c r="J131" s="76"/>
      <c r="K131" s="76"/>
      <c r="L131" s="76"/>
      <c r="M131" s="76"/>
      <c r="N131" s="76"/>
      <c r="O131" s="76"/>
      <c r="P131" s="76"/>
      <c r="Q131" s="76"/>
      <c r="S131" s="147"/>
    </row>
    <row r="132" spans="2:25" ht="12" customHeight="1" x14ac:dyDescent="0.2">
      <c r="C132" s="166" t="s">
        <v>728</v>
      </c>
      <c r="D132" s="166"/>
      <c r="E132" s="166"/>
      <c r="F132" s="166"/>
      <c r="H132" s="76" t="s">
        <v>729</v>
      </c>
      <c r="I132" s="76"/>
      <c r="J132" s="76"/>
      <c r="K132" s="76"/>
      <c r="L132" s="76"/>
      <c r="M132" s="76"/>
      <c r="N132" s="76"/>
      <c r="O132" s="76"/>
      <c r="P132" s="76"/>
      <c r="Q132" s="76"/>
      <c r="S132" s="147">
        <v>385545.66</v>
      </c>
    </row>
    <row r="133" spans="2:25" ht="12" customHeight="1" x14ac:dyDescent="0.2">
      <c r="C133" s="166" t="s">
        <v>634</v>
      </c>
      <c r="D133" s="166"/>
      <c r="E133" s="166"/>
      <c r="F133" s="166"/>
      <c r="H133" s="76" t="s">
        <v>635</v>
      </c>
      <c r="I133" s="76"/>
      <c r="J133" s="76"/>
      <c r="K133" s="76"/>
      <c r="L133" s="76"/>
      <c r="M133" s="76"/>
      <c r="N133" s="76"/>
      <c r="O133" s="76"/>
      <c r="P133" s="76"/>
      <c r="Q133" s="76"/>
      <c r="S133" s="147">
        <v>2035</v>
      </c>
    </row>
    <row r="134" spans="2:25" ht="12" customHeight="1" x14ac:dyDescent="0.2">
      <c r="C134" s="166" t="s">
        <v>621</v>
      </c>
      <c r="D134" s="166"/>
      <c r="E134" s="166"/>
      <c r="F134" s="166"/>
      <c r="H134" s="76" t="s">
        <v>622</v>
      </c>
      <c r="I134" s="76"/>
      <c r="J134" s="76"/>
      <c r="K134" s="76"/>
      <c r="L134" s="76"/>
      <c r="M134" s="76"/>
      <c r="N134" s="76"/>
      <c r="O134" s="76"/>
      <c r="P134" s="76"/>
      <c r="Q134" s="76"/>
      <c r="S134" s="147"/>
    </row>
    <row r="135" spans="2:25" ht="12" customHeight="1" x14ac:dyDescent="0.2">
      <c r="H135" s="164" t="s">
        <v>148</v>
      </c>
      <c r="I135" s="164"/>
      <c r="J135" s="164"/>
      <c r="K135" s="164"/>
      <c r="L135" s="164"/>
      <c r="M135" s="164"/>
      <c r="N135" s="164"/>
      <c r="O135" s="164"/>
      <c r="P135" s="164"/>
      <c r="U135" s="165">
        <f>SUM(S94:S134)</f>
        <v>116627955.78999999</v>
      </c>
      <c r="V135" s="165"/>
      <c r="W135" s="165"/>
      <c r="Y135" s="77"/>
    </row>
    <row r="136" spans="2:25" ht="12" customHeight="1" x14ac:dyDescent="0.2"/>
    <row r="137" spans="2:25" ht="12" customHeight="1" x14ac:dyDescent="0.2">
      <c r="B137" s="164" t="s">
        <v>149</v>
      </c>
      <c r="C137" s="164"/>
      <c r="D137" s="164"/>
      <c r="E137" s="164"/>
      <c r="F137" s="164"/>
      <c r="G137" s="164"/>
      <c r="H137" s="164"/>
      <c r="I137" s="164"/>
      <c r="J137" s="164"/>
      <c r="K137" s="164"/>
    </row>
    <row r="138" spans="2:25" ht="12" customHeight="1" x14ac:dyDescent="0.2">
      <c r="B138" s="146"/>
      <c r="C138" s="166">
        <v>2403</v>
      </c>
      <c r="D138" s="166"/>
      <c r="E138" s="166"/>
      <c r="F138" s="166"/>
      <c r="G138" s="146"/>
      <c r="H138" s="166" t="s">
        <v>664</v>
      </c>
      <c r="I138" s="166"/>
      <c r="J138" s="166"/>
      <c r="K138" s="166"/>
      <c r="L138" s="166"/>
      <c r="M138" s="166"/>
      <c r="N138" s="166"/>
      <c r="O138" s="166"/>
      <c r="P138" s="166"/>
      <c r="Q138" s="166"/>
      <c r="S138" s="147"/>
    </row>
    <row r="139" spans="2:25" ht="12" customHeight="1" x14ac:dyDescent="0.2">
      <c r="B139" s="146"/>
      <c r="C139" s="166">
        <v>2404</v>
      </c>
      <c r="D139" s="166"/>
      <c r="E139" s="166"/>
      <c r="F139" s="166"/>
      <c r="G139" s="146"/>
      <c r="H139" s="166" t="s">
        <v>665</v>
      </c>
      <c r="I139" s="166"/>
      <c r="J139" s="166"/>
      <c r="K139" s="166"/>
      <c r="L139" s="166"/>
      <c r="M139" s="166"/>
      <c r="N139" s="166"/>
      <c r="O139" s="166"/>
      <c r="P139" s="166"/>
      <c r="Q139" s="166"/>
      <c r="S139" s="147"/>
    </row>
    <row r="140" spans="2:25" ht="12" customHeight="1" x14ac:dyDescent="0.2">
      <c r="C140" s="166" t="s">
        <v>150</v>
      </c>
      <c r="D140" s="166"/>
      <c r="E140" s="166"/>
      <c r="F140" s="166"/>
      <c r="H140" s="166" t="s">
        <v>151</v>
      </c>
      <c r="I140" s="166"/>
      <c r="J140" s="166"/>
      <c r="K140" s="166"/>
      <c r="L140" s="166"/>
      <c r="M140" s="166"/>
      <c r="N140" s="166"/>
      <c r="O140" s="166"/>
      <c r="P140" s="166"/>
      <c r="Q140" s="166"/>
      <c r="S140" s="147"/>
    </row>
    <row r="141" spans="2:25" ht="12" customHeight="1" x14ac:dyDescent="0.2">
      <c r="C141" s="166" t="s">
        <v>152</v>
      </c>
      <c r="D141" s="166"/>
      <c r="E141" s="166"/>
      <c r="F141" s="166"/>
      <c r="H141" s="166" t="s">
        <v>153</v>
      </c>
      <c r="I141" s="166"/>
      <c r="J141" s="166"/>
      <c r="K141" s="166"/>
      <c r="L141" s="166"/>
      <c r="M141" s="166"/>
      <c r="N141" s="166"/>
      <c r="O141" s="166"/>
      <c r="P141" s="166"/>
      <c r="Q141" s="166"/>
      <c r="S141" s="147">
        <v>17211.310000000001</v>
      </c>
    </row>
    <row r="142" spans="2:25" ht="12" customHeight="1" x14ac:dyDescent="0.2">
      <c r="C142" s="166" t="s">
        <v>154</v>
      </c>
      <c r="D142" s="166"/>
      <c r="E142" s="166"/>
      <c r="F142" s="166"/>
      <c r="H142" s="166" t="s">
        <v>155</v>
      </c>
      <c r="I142" s="166"/>
      <c r="J142" s="166"/>
      <c r="K142" s="166"/>
      <c r="L142" s="166"/>
      <c r="M142" s="166"/>
      <c r="N142" s="166"/>
      <c r="O142" s="166"/>
      <c r="P142" s="166"/>
      <c r="Q142" s="166"/>
      <c r="S142" s="147">
        <v>4463.8500000000004</v>
      </c>
    </row>
    <row r="143" spans="2:25" ht="12" customHeight="1" x14ac:dyDescent="0.2">
      <c r="C143" s="166" t="s">
        <v>156</v>
      </c>
      <c r="D143" s="166"/>
      <c r="E143" s="166"/>
      <c r="F143" s="166"/>
      <c r="H143" s="166" t="s">
        <v>157</v>
      </c>
      <c r="I143" s="166"/>
      <c r="J143" s="166"/>
      <c r="K143" s="166"/>
      <c r="L143" s="166"/>
      <c r="M143" s="166"/>
      <c r="N143" s="166"/>
      <c r="O143" s="166"/>
      <c r="P143" s="166"/>
      <c r="Q143" s="166"/>
      <c r="S143" s="147">
        <v>20362.78</v>
      </c>
    </row>
    <row r="144" spans="2:25" ht="12" customHeight="1" x14ac:dyDescent="0.2">
      <c r="C144" s="166">
        <v>2434</v>
      </c>
      <c r="D144" s="166"/>
      <c r="E144" s="166"/>
      <c r="F144" s="166"/>
      <c r="H144" s="166" t="s">
        <v>730</v>
      </c>
      <c r="I144" s="166"/>
      <c r="J144" s="166"/>
      <c r="K144" s="166"/>
      <c r="L144" s="166"/>
      <c r="M144" s="166"/>
      <c r="N144" s="166"/>
      <c r="O144" s="166"/>
      <c r="P144" s="166"/>
      <c r="Q144" s="166"/>
      <c r="S144" s="147">
        <v>2014019.8</v>
      </c>
    </row>
    <row r="145" spans="1:23" ht="12" customHeight="1" x14ac:dyDescent="0.2">
      <c r="C145" s="145"/>
      <c r="D145" s="145"/>
      <c r="E145" s="145"/>
      <c r="F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S145" s="147"/>
    </row>
    <row r="146" spans="1:23" ht="12" customHeight="1" x14ac:dyDescent="0.2">
      <c r="H146" s="164" t="s">
        <v>158</v>
      </c>
      <c r="I146" s="164"/>
      <c r="J146" s="164"/>
      <c r="K146" s="164"/>
      <c r="L146" s="164"/>
      <c r="M146" s="164"/>
      <c r="N146" s="164"/>
      <c r="O146" s="164"/>
      <c r="P146" s="164"/>
      <c r="U146" s="168">
        <f>SUM(S138:S144)</f>
        <v>2056057.74</v>
      </c>
      <c r="V146" s="168"/>
      <c r="W146" s="168"/>
    </row>
    <row r="147" spans="1:23" ht="12" customHeight="1" x14ac:dyDescent="0.2"/>
    <row r="148" spans="1:23" ht="12" customHeight="1" x14ac:dyDescent="0.2">
      <c r="I148" s="164" t="s">
        <v>159</v>
      </c>
      <c r="J148" s="164"/>
      <c r="K148" s="164"/>
      <c r="L148" s="164"/>
      <c r="M148" s="164"/>
      <c r="N148" s="164"/>
      <c r="O148" s="164"/>
      <c r="P148" s="164"/>
      <c r="U148" s="165">
        <f>U135+U146</f>
        <v>118684013.52999999</v>
      </c>
      <c r="V148" s="165"/>
      <c r="W148" s="165"/>
    </row>
    <row r="149" spans="1:23" ht="12" customHeight="1" x14ac:dyDescent="0.2"/>
    <row r="150" spans="1:23" ht="12" customHeight="1" x14ac:dyDescent="0.2">
      <c r="A150" s="164" t="s">
        <v>160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</row>
    <row r="151" spans="1:23" ht="12" customHeight="1" x14ac:dyDescent="0.2">
      <c r="C151" s="166" t="s">
        <v>161</v>
      </c>
      <c r="D151" s="166"/>
      <c r="E151" s="166"/>
      <c r="F151" s="166"/>
      <c r="H151" s="166" t="s">
        <v>162</v>
      </c>
      <c r="I151" s="166"/>
      <c r="J151" s="166"/>
      <c r="K151" s="166"/>
      <c r="L151" s="166"/>
      <c r="M151" s="166"/>
      <c r="N151" s="166"/>
      <c r="O151" s="166"/>
      <c r="P151" s="166"/>
      <c r="Q151" s="166"/>
      <c r="S151" s="147">
        <v>152325</v>
      </c>
    </row>
    <row r="152" spans="1:23" ht="12" customHeight="1" x14ac:dyDescent="0.2">
      <c r="C152" s="166" t="s">
        <v>163</v>
      </c>
      <c r="D152" s="166"/>
      <c r="E152" s="166"/>
      <c r="F152" s="166"/>
      <c r="H152" s="166" t="s">
        <v>164</v>
      </c>
      <c r="I152" s="166"/>
      <c r="J152" s="166"/>
      <c r="K152" s="166"/>
      <c r="L152" s="166"/>
      <c r="M152" s="166"/>
      <c r="N152" s="166"/>
      <c r="O152" s="166"/>
      <c r="P152" s="166"/>
      <c r="Q152" s="166"/>
      <c r="S152" s="147">
        <v>1709758</v>
      </c>
    </row>
    <row r="153" spans="1:23" ht="12" customHeight="1" x14ac:dyDescent="0.2">
      <c r="C153" s="166" t="s">
        <v>165</v>
      </c>
      <c r="D153" s="166"/>
      <c r="E153" s="166"/>
      <c r="F153" s="166"/>
      <c r="H153" s="166" t="s">
        <v>166</v>
      </c>
      <c r="I153" s="166"/>
      <c r="J153" s="166"/>
      <c r="K153" s="166"/>
      <c r="L153" s="166"/>
      <c r="M153" s="166"/>
      <c r="N153" s="166"/>
      <c r="O153" s="166"/>
      <c r="P153" s="166"/>
      <c r="Q153" s="166"/>
      <c r="S153" s="147">
        <v>31766017.690000001</v>
      </c>
    </row>
    <row r="154" spans="1:23" ht="11.25" customHeight="1" x14ac:dyDescent="0.2">
      <c r="C154" s="166" t="s">
        <v>165</v>
      </c>
      <c r="D154" s="166"/>
      <c r="E154" s="166"/>
      <c r="F154" s="166"/>
      <c r="H154" s="166" t="s">
        <v>167</v>
      </c>
      <c r="I154" s="166"/>
      <c r="J154" s="166"/>
      <c r="K154" s="166"/>
      <c r="L154" s="166"/>
      <c r="M154" s="166"/>
      <c r="N154" s="166"/>
      <c r="O154" s="166"/>
      <c r="P154" s="166"/>
      <c r="Q154" s="166"/>
      <c r="S154" s="147">
        <v>-51086.91</v>
      </c>
    </row>
    <row r="155" spans="1:23" ht="11.25" customHeight="1" x14ac:dyDescent="0.2">
      <c r="C155" s="167" t="s">
        <v>546</v>
      </c>
      <c r="D155" s="166"/>
      <c r="E155" s="166"/>
      <c r="F155" s="166"/>
      <c r="H155" s="166" t="s">
        <v>547</v>
      </c>
      <c r="I155" s="166"/>
      <c r="J155" s="166"/>
      <c r="K155" s="166"/>
      <c r="L155" s="166"/>
      <c r="M155" s="166"/>
      <c r="N155" s="166"/>
      <c r="O155" s="166"/>
      <c r="P155" s="166"/>
      <c r="Q155" s="166"/>
      <c r="S155" s="147">
        <v>4064923</v>
      </c>
    </row>
    <row r="156" spans="1:23" ht="12" customHeight="1" x14ac:dyDescent="0.2">
      <c r="C156" s="166" t="s">
        <v>168</v>
      </c>
      <c r="D156" s="166"/>
      <c r="E156" s="166"/>
      <c r="F156" s="166"/>
      <c r="H156" s="166" t="s">
        <v>169</v>
      </c>
      <c r="I156" s="166"/>
      <c r="J156" s="166"/>
      <c r="K156" s="166"/>
      <c r="L156" s="166"/>
      <c r="M156" s="166"/>
      <c r="N156" s="166"/>
      <c r="O156" s="166"/>
      <c r="P156" s="166"/>
      <c r="Q156" s="166"/>
      <c r="S156" s="147">
        <v>-5000000</v>
      </c>
    </row>
    <row r="157" spans="1:23" ht="12" customHeight="1" x14ac:dyDescent="0.2">
      <c r="C157" s="166" t="s">
        <v>170</v>
      </c>
      <c r="D157" s="166"/>
      <c r="E157" s="166"/>
      <c r="F157" s="166"/>
      <c r="H157" s="166" t="s">
        <v>171</v>
      </c>
      <c r="I157" s="166"/>
      <c r="J157" s="166"/>
      <c r="K157" s="166"/>
      <c r="L157" s="166"/>
      <c r="M157" s="166"/>
      <c r="N157" s="166"/>
      <c r="O157" s="166"/>
      <c r="P157" s="166"/>
      <c r="Q157" s="166"/>
      <c r="S157" s="147">
        <v>-6000</v>
      </c>
    </row>
    <row r="158" spans="1:23" ht="12" customHeight="1" x14ac:dyDescent="0.2">
      <c r="C158" s="166" t="s">
        <v>172</v>
      </c>
      <c r="D158" s="166"/>
      <c r="E158" s="166"/>
      <c r="F158" s="166"/>
      <c r="H158" s="166" t="s">
        <v>173</v>
      </c>
      <c r="I158" s="166"/>
      <c r="J158" s="166"/>
      <c r="K158" s="166"/>
      <c r="L158" s="166"/>
      <c r="M158" s="166"/>
      <c r="N158" s="166"/>
      <c r="O158" s="166"/>
      <c r="P158" s="166"/>
      <c r="Q158" s="166"/>
      <c r="S158" s="147">
        <v>-6000</v>
      </c>
    </row>
    <row r="159" spans="1:23" ht="12" customHeight="1" x14ac:dyDescent="0.2">
      <c r="C159" s="166" t="s">
        <v>174</v>
      </c>
      <c r="D159" s="166"/>
      <c r="E159" s="166"/>
      <c r="F159" s="166"/>
      <c r="H159" s="166" t="s">
        <v>175</v>
      </c>
      <c r="I159" s="166"/>
      <c r="J159" s="166"/>
      <c r="K159" s="166"/>
      <c r="L159" s="166"/>
      <c r="M159" s="166"/>
      <c r="N159" s="166"/>
      <c r="O159" s="166"/>
      <c r="P159" s="166"/>
      <c r="Q159" s="166"/>
      <c r="S159" s="78">
        <v>-6000</v>
      </c>
    </row>
    <row r="160" spans="1:23" ht="12" customHeight="1" x14ac:dyDescent="0.2">
      <c r="C160" s="166">
        <v>3554</v>
      </c>
      <c r="D160" s="166"/>
      <c r="E160" s="166"/>
      <c r="F160" s="166"/>
      <c r="H160" s="166" t="s">
        <v>232</v>
      </c>
      <c r="I160" s="166"/>
      <c r="J160" s="166"/>
      <c r="K160" s="166"/>
      <c r="L160" s="166"/>
      <c r="M160" s="166"/>
      <c r="N160" s="166"/>
      <c r="O160" s="166"/>
      <c r="P160" s="166"/>
      <c r="Q160" s="166"/>
      <c r="S160" s="149">
        <v>0</v>
      </c>
    </row>
    <row r="161" spans="9:23" ht="12" customHeight="1" x14ac:dyDescent="0.2">
      <c r="I161" s="164" t="s">
        <v>176</v>
      </c>
      <c r="J161" s="164"/>
      <c r="K161" s="164"/>
      <c r="L161" s="164"/>
      <c r="M161" s="164"/>
      <c r="N161" s="164"/>
      <c r="O161" s="164"/>
      <c r="P161" s="164"/>
      <c r="U161" s="165">
        <f>SUM(S151:S160)</f>
        <v>32623936.780000001</v>
      </c>
      <c r="V161" s="165"/>
      <c r="W161" s="165"/>
    </row>
    <row r="162" spans="9:23" ht="12" customHeight="1" x14ac:dyDescent="0.2">
      <c r="I162" s="164" t="s">
        <v>177</v>
      </c>
      <c r="J162" s="164"/>
      <c r="K162" s="164"/>
      <c r="L162" s="164"/>
      <c r="M162" s="164"/>
      <c r="N162" s="164"/>
      <c r="O162" s="164"/>
      <c r="P162" s="164"/>
    </row>
    <row r="163" spans="9:23" ht="12" customHeight="1" thickBot="1" x14ac:dyDescent="0.25">
      <c r="I163" s="164"/>
      <c r="J163" s="164"/>
      <c r="K163" s="164"/>
      <c r="L163" s="164"/>
      <c r="M163" s="164"/>
      <c r="N163" s="164"/>
      <c r="O163" s="164"/>
      <c r="P163" s="164"/>
      <c r="U163" s="169">
        <f>U148+U161</f>
        <v>151307950.31</v>
      </c>
      <c r="V163" s="169"/>
      <c r="W163" s="169"/>
    </row>
    <row r="164" spans="9:23" ht="12" customHeight="1" thickTop="1" x14ac:dyDescent="0.2">
      <c r="U164" s="165"/>
      <c r="V164" s="165"/>
      <c r="W164" s="165"/>
    </row>
    <row r="165" spans="9:23" ht="12" customHeight="1" x14ac:dyDescent="0.2">
      <c r="U165" s="165"/>
      <c r="V165" s="165"/>
      <c r="W165" s="165"/>
    </row>
    <row r="166" spans="9:23" ht="12" customHeight="1" x14ac:dyDescent="0.2">
      <c r="S166" s="75" t="s">
        <v>405</v>
      </c>
      <c r="U166" s="165">
        <f>U89-U163</f>
        <v>0</v>
      </c>
      <c r="V166" s="165"/>
      <c r="W166" s="165"/>
    </row>
    <row r="167" spans="9:23" ht="12" customHeight="1" x14ac:dyDescent="0.2"/>
    <row r="168" spans="9:23" ht="12" customHeight="1" x14ac:dyDescent="0.2"/>
    <row r="169" spans="9:23" ht="12" customHeight="1" x14ac:dyDescent="0.2"/>
  </sheetData>
  <mergeCells count="200">
    <mergeCell ref="C39:F39"/>
    <mergeCell ref="C144:F144"/>
    <mergeCell ref="H144:Q144"/>
    <mergeCell ref="C22:F22"/>
    <mergeCell ref="C23:F23"/>
    <mergeCell ref="C24:F24"/>
    <mergeCell ref="C69:F69"/>
    <mergeCell ref="H69:Q69"/>
    <mergeCell ref="C70:F70"/>
    <mergeCell ref="H70:Q70"/>
    <mergeCell ref="C71:F71"/>
    <mergeCell ref="H71:Q71"/>
    <mergeCell ref="C28:F28"/>
    <mergeCell ref="H63:P63"/>
    <mergeCell ref="C67:F67"/>
    <mergeCell ref="H67:Q67"/>
    <mergeCell ref="C68:F68"/>
    <mergeCell ref="H68:Q68"/>
    <mergeCell ref="C40:F40"/>
    <mergeCell ref="C57:F57"/>
    <mergeCell ref="C44:F44"/>
    <mergeCell ref="C77:F77"/>
    <mergeCell ref="H77:Q77"/>
    <mergeCell ref="C79:F79"/>
    <mergeCell ref="H79:Q79"/>
    <mergeCell ref="C83:F83"/>
    <mergeCell ref="H83:Q83"/>
    <mergeCell ref="C112:F112"/>
    <mergeCell ref="C84:F84"/>
    <mergeCell ref="C82:F82"/>
    <mergeCell ref="H82:Q82"/>
    <mergeCell ref="C78:F78"/>
    <mergeCell ref="C81:F81"/>
    <mergeCell ref="H81:Q81"/>
    <mergeCell ref="H84:Q84"/>
    <mergeCell ref="H85:P85"/>
    <mergeCell ref="C80:F80"/>
    <mergeCell ref="H80:Q80"/>
    <mergeCell ref="C102:F102"/>
    <mergeCell ref="C104:F104"/>
    <mergeCell ref="C105:F105"/>
    <mergeCell ref="C101:F101"/>
    <mergeCell ref="C99:F99"/>
    <mergeCell ref="C100:F100"/>
    <mergeCell ref="D88:G88"/>
    <mergeCell ref="H88:Q88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18:F18"/>
    <mergeCell ref="C9:F9"/>
    <mergeCell ref="C38:F38"/>
    <mergeCell ref="C42:F42"/>
    <mergeCell ref="C45:F45"/>
    <mergeCell ref="C54:F54"/>
    <mergeCell ref="C55:F55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U63:W63"/>
    <mergeCell ref="C51:F51"/>
    <mergeCell ref="C52:F52"/>
    <mergeCell ref="C53:F53"/>
    <mergeCell ref="C61:F61"/>
    <mergeCell ref="B65:K65"/>
    <mergeCell ref="C62:F62"/>
    <mergeCell ref="C46:F46"/>
    <mergeCell ref="C47:F47"/>
    <mergeCell ref="C49:F49"/>
    <mergeCell ref="C58:F58"/>
    <mergeCell ref="C56:F56"/>
    <mergeCell ref="C48:F48"/>
    <mergeCell ref="C50:F50"/>
    <mergeCell ref="C121:F121"/>
    <mergeCell ref="C114:F114"/>
    <mergeCell ref="C116:F116"/>
    <mergeCell ref="C117:F117"/>
    <mergeCell ref="C109:F109"/>
    <mergeCell ref="C111:F111"/>
    <mergeCell ref="C113:F113"/>
    <mergeCell ref="C106:F106"/>
    <mergeCell ref="C107:F107"/>
    <mergeCell ref="C108:F108"/>
    <mergeCell ref="C118:F118"/>
    <mergeCell ref="C119:F119"/>
    <mergeCell ref="C120:F120"/>
    <mergeCell ref="C110:F110"/>
    <mergeCell ref="U85:W85"/>
    <mergeCell ref="C95:F95"/>
    <mergeCell ref="C96:F96"/>
    <mergeCell ref="C98:F98"/>
    <mergeCell ref="I89:P89"/>
    <mergeCell ref="U89:W89"/>
    <mergeCell ref="A91:M91"/>
    <mergeCell ref="B93:K93"/>
    <mergeCell ref="C94:F94"/>
    <mergeCell ref="D87:G87"/>
    <mergeCell ref="H87:Q87"/>
    <mergeCell ref="C97:F97"/>
    <mergeCell ref="C123:F123"/>
    <mergeCell ref="H126:Q126"/>
    <mergeCell ref="H127:Q127"/>
    <mergeCell ref="H128:Q128"/>
    <mergeCell ref="H141:Q141"/>
    <mergeCell ref="H142:Q142"/>
    <mergeCell ref="C124:F124"/>
    <mergeCell ref="H124:Q124"/>
    <mergeCell ref="H135:P135"/>
    <mergeCell ref="C129:F129"/>
    <mergeCell ref="C130:F130"/>
    <mergeCell ref="C139:F139"/>
    <mergeCell ref="C138:F138"/>
    <mergeCell ref="H139:Q139"/>
    <mergeCell ref="H138:Q138"/>
    <mergeCell ref="H123:Q123"/>
    <mergeCell ref="C132:F132"/>
    <mergeCell ref="C125:F125"/>
    <mergeCell ref="H125:Q125"/>
    <mergeCell ref="C122:F122"/>
    <mergeCell ref="C126:F126"/>
    <mergeCell ref="C127:F127"/>
    <mergeCell ref="C128:F128"/>
    <mergeCell ref="C131:F131"/>
    <mergeCell ref="C134:F134"/>
    <mergeCell ref="C115:F115"/>
    <mergeCell ref="C133:F133"/>
    <mergeCell ref="U166:W166"/>
    <mergeCell ref="I161:P161"/>
    <mergeCell ref="U161:W161"/>
    <mergeCell ref="I162:P163"/>
    <mergeCell ref="U163:W163"/>
    <mergeCell ref="U164:W164"/>
    <mergeCell ref="H157:Q157"/>
    <mergeCell ref="C158:F158"/>
    <mergeCell ref="H158:Q158"/>
    <mergeCell ref="C159:F159"/>
    <mergeCell ref="H159:Q159"/>
    <mergeCell ref="C160:F160"/>
    <mergeCell ref="H160:Q160"/>
    <mergeCell ref="C156:F156"/>
    <mergeCell ref="C157:F157"/>
    <mergeCell ref="H156:Q156"/>
    <mergeCell ref="I148:P148"/>
    <mergeCell ref="U148:W148"/>
    <mergeCell ref="A150:M150"/>
    <mergeCell ref="U165:W165"/>
    <mergeCell ref="C151:F151"/>
    <mergeCell ref="H151:Q151"/>
    <mergeCell ref="C152:F152"/>
    <mergeCell ref="U135:W135"/>
    <mergeCell ref="B137:K137"/>
    <mergeCell ref="C140:F140"/>
    <mergeCell ref="H140:Q140"/>
    <mergeCell ref="C142:F142"/>
    <mergeCell ref="C141:F141"/>
    <mergeCell ref="H152:Q152"/>
    <mergeCell ref="C155:F155"/>
    <mergeCell ref="H155:Q155"/>
    <mergeCell ref="H146:P146"/>
    <mergeCell ref="C153:F153"/>
    <mergeCell ref="H153:Q153"/>
    <mergeCell ref="C154:F154"/>
    <mergeCell ref="H154:Q154"/>
    <mergeCell ref="U146:W146"/>
    <mergeCell ref="C143:F143"/>
    <mergeCell ref="H143:Q143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71"/>
  <sheetViews>
    <sheetView showGridLines="0" topLeftCell="A25" workbookViewId="0">
      <selection activeCell="AC62" sqref="AC62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9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12" customHeight="1" x14ac:dyDescent="0.2">
      <c r="A2" s="173" t="s">
        <v>753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4" ht="12" customHeight="1" x14ac:dyDescent="0.2">
      <c r="A3" s="174" t="s">
        <v>194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4" ht="12" customHeight="1" x14ac:dyDescent="0.2"/>
    <row r="5" spans="1:24" ht="12" customHeight="1" x14ac:dyDescent="0.2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24" ht="12" customHeight="1" x14ac:dyDescent="0.2">
      <c r="B6" s="164" t="s">
        <v>3</v>
      </c>
      <c r="C6" s="164"/>
      <c r="D6" s="164"/>
      <c r="E6" s="164"/>
      <c r="F6" s="164"/>
      <c r="G6" s="164"/>
      <c r="H6" s="164"/>
      <c r="I6" s="164"/>
      <c r="J6" s="164"/>
      <c r="K6" s="164"/>
    </row>
    <row r="7" spans="1:24" ht="12" customHeight="1" x14ac:dyDescent="0.2">
      <c r="C7" s="166" t="s">
        <v>6</v>
      </c>
      <c r="D7" s="166"/>
      <c r="E7" s="166"/>
      <c r="F7" s="166"/>
      <c r="H7" s="166" t="s">
        <v>195</v>
      </c>
      <c r="I7" s="166"/>
      <c r="J7" s="166"/>
      <c r="K7" s="166"/>
      <c r="L7" s="166"/>
      <c r="M7" s="166"/>
      <c r="N7" s="166"/>
      <c r="O7" s="166"/>
      <c r="P7" s="166"/>
      <c r="Q7" s="166"/>
      <c r="S7" s="125">
        <v>723825.09</v>
      </c>
    </row>
    <row r="8" spans="1:24" ht="12" customHeight="1" x14ac:dyDescent="0.2">
      <c r="C8" s="166" t="s">
        <v>16</v>
      </c>
      <c r="D8" s="166"/>
      <c r="E8" s="166"/>
      <c r="F8" s="166"/>
      <c r="H8" s="166" t="s">
        <v>17</v>
      </c>
      <c r="I8" s="166"/>
      <c r="J8" s="166"/>
      <c r="K8" s="166"/>
      <c r="L8" s="166"/>
      <c r="M8" s="166"/>
      <c r="N8" s="166"/>
      <c r="O8" s="166"/>
      <c r="P8" s="166"/>
      <c r="Q8" s="166"/>
      <c r="S8" s="125">
        <v>7290.97</v>
      </c>
    </row>
    <row r="9" spans="1:24" ht="12" customHeight="1" x14ac:dyDescent="0.2">
      <c r="A9" s="75">
        <v>1235</v>
      </c>
      <c r="C9" s="166" t="s">
        <v>182</v>
      </c>
      <c r="D9" s="166"/>
      <c r="E9" s="166"/>
      <c r="F9" s="166"/>
      <c r="H9" s="166" t="s">
        <v>61</v>
      </c>
      <c r="I9" s="166"/>
      <c r="J9" s="166"/>
      <c r="K9" s="166"/>
      <c r="L9" s="166"/>
      <c r="M9" s="166"/>
      <c r="N9" s="166"/>
      <c r="O9" s="166"/>
      <c r="P9" s="166"/>
      <c r="Q9" s="166"/>
      <c r="S9" s="125"/>
    </row>
    <row r="10" spans="1:24" ht="12" customHeight="1" x14ac:dyDescent="0.2">
      <c r="C10" s="166" t="s">
        <v>182</v>
      </c>
      <c r="D10" s="166"/>
      <c r="E10" s="166"/>
      <c r="F10" s="166"/>
      <c r="H10" s="166" t="s">
        <v>183</v>
      </c>
      <c r="I10" s="166"/>
      <c r="J10" s="166"/>
      <c r="K10" s="166"/>
      <c r="L10" s="166"/>
      <c r="M10" s="166"/>
      <c r="N10" s="166"/>
      <c r="O10" s="166"/>
      <c r="P10" s="166"/>
      <c r="Q10" s="166"/>
      <c r="S10" s="144">
        <v>8600000</v>
      </c>
    </row>
    <row r="11" spans="1:24" ht="12" customHeight="1" x14ac:dyDescent="0.2">
      <c r="C11" s="166">
        <v>1239</v>
      </c>
      <c r="D11" s="166"/>
      <c r="E11" s="166"/>
      <c r="F11" s="166"/>
      <c r="H11" s="166" t="s">
        <v>45</v>
      </c>
      <c r="I11" s="166"/>
      <c r="J11" s="166"/>
      <c r="K11" s="166"/>
      <c r="L11" s="166"/>
      <c r="M11" s="166"/>
      <c r="N11" s="166"/>
      <c r="O11" s="166"/>
      <c r="P11" s="166"/>
      <c r="Q11" s="166"/>
      <c r="S11" s="125">
        <v>30.77</v>
      </c>
    </row>
    <row r="12" spans="1:24" ht="12" customHeight="1" x14ac:dyDescent="0.2">
      <c r="C12" s="166" t="s">
        <v>46</v>
      </c>
      <c r="D12" s="166"/>
      <c r="E12" s="166"/>
      <c r="F12" s="166"/>
      <c r="H12" s="166" t="s">
        <v>196</v>
      </c>
      <c r="I12" s="166"/>
      <c r="J12" s="166"/>
      <c r="K12" s="166"/>
      <c r="L12" s="166"/>
      <c r="M12" s="166"/>
      <c r="N12" s="166"/>
      <c r="O12" s="166"/>
      <c r="P12" s="166"/>
      <c r="Q12" s="166"/>
      <c r="S12" s="125">
        <v>1638</v>
      </c>
    </row>
    <row r="13" spans="1:24" ht="12" customHeight="1" x14ac:dyDescent="0.2">
      <c r="C13" s="166" t="s">
        <v>48</v>
      </c>
      <c r="D13" s="166"/>
      <c r="E13" s="166"/>
      <c r="F13" s="166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114093.28</v>
      </c>
    </row>
    <row r="14" spans="1:24" ht="12" customHeight="1" x14ac:dyDescent="0.2">
      <c r="C14" s="166">
        <v>1243</v>
      </c>
      <c r="D14" s="166"/>
      <c r="E14" s="166"/>
      <c r="F14" s="166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6" t="s">
        <v>197</v>
      </c>
      <c r="D15" s="166"/>
      <c r="E15" s="166"/>
      <c r="F15" s="166"/>
      <c r="H15" s="166" t="s">
        <v>198</v>
      </c>
      <c r="I15" s="166"/>
      <c r="J15" s="166"/>
      <c r="K15" s="166"/>
      <c r="L15" s="166"/>
      <c r="M15" s="166"/>
      <c r="N15" s="166"/>
      <c r="O15" s="166"/>
      <c r="P15" s="166"/>
      <c r="Q15" s="166"/>
      <c r="S15" s="125">
        <v>21498.32</v>
      </c>
    </row>
    <row r="16" spans="1:24" ht="12" customHeight="1" x14ac:dyDescent="0.2">
      <c r="C16" s="166">
        <v>1251</v>
      </c>
      <c r="D16" s="166"/>
      <c r="E16" s="166"/>
      <c r="F16" s="166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218728.01</v>
      </c>
    </row>
    <row r="17" spans="2:23" ht="12" customHeight="1" x14ac:dyDescent="0.2">
      <c r="C17" s="166">
        <v>1252</v>
      </c>
      <c r="D17" s="166"/>
      <c r="E17" s="166"/>
      <c r="F17" s="166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8000</v>
      </c>
    </row>
    <row r="18" spans="2:23" ht="12" customHeight="1" x14ac:dyDescent="0.2">
      <c r="C18" s="166">
        <v>1253</v>
      </c>
      <c r="D18" s="166"/>
      <c r="E18" s="166"/>
      <c r="F18" s="166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103094.19</v>
      </c>
    </row>
    <row r="19" spans="2:23" ht="12" customHeight="1" x14ac:dyDescent="0.2">
      <c r="H19" s="164" t="s">
        <v>73</v>
      </c>
      <c r="I19" s="164"/>
      <c r="J19" s="164"/>
      <c r="K19" s="164"/>
      <c r="L19" s="164"/>
      <c r="M19" s="164"/>
      <c r="N19" s="164"/>
      <c r="O19" s="164"/>
      <c r="P19" s="164"/>
      <c r="U19" s="165">
        <f>SUM(S7:S18)</f>
        <v>9798198.629999999</v>
      </c>
      <c r="V19" s="165"/>
      <c r="W19" s="165"/>
    </row>
    <row r="20" spans="2:23" ht="12" customHeight="1" x14ac:dyDescent="0.2"/>
    <row r="21" spans="2:23" ht="12" customHeight="1" x14ac:dyDescent="0.2">
      <c r="B21" s="164" t="s">
        <v>74</v>
      </c>
      <c r="C21" s="164"/>
      <c r="D21" s="164"/>
      <c r="E21" s="164"/>
      <c r="F21" s="164"/>
      <c r="G21" s="164"/>
      <c r="H21" s="164"/>
      <c r="I21" s="164"/>
      <c r="J21" s="164"/>
      <c r="K21" s="164"/>
    </row>
    <row r="22" spans="2:23" ht="12" customHeight="1" x14ac:dyDescent="0.2">
      <c r="C22" s="166" t="s">
        <v>75</v>
      </c>
      <c r="D22" s="166"/>
      <c r="E22" s="166"/>
      <c r="F22" s="166"/>
      <c r="H22" s="166" t="s">
        <v>186</v>
      </c>
      <c r="I22" s="166"/>
      <c r="J22" s="166"/>
      <c r="K22" s="166"/>
      <c r="L22" s="166"/>
      <c r="M22" s="166"/>
      <c r="N22" s="166"/>
      <c r="O22" s="166"/>
      <c r="P22" s="166"/>
      <c r="Q22" s="166"/>
      <c r="S22" s="125">
        <v>138413.75</v>
      </c>
    </row>
    <row r="23" spans="2:23" ht="12" customHeight="1" x14ac:dyDescent="0.2">
      <c r="C23" s="166" t="s">
        <v>81</v>
      </c>
      <c r="D23" s="166"/>
      <c r="E23" s="166"/>
      <c r="F23" s="166"/>
      <c r="H23" s="166" t="s">
        <v>201</v>
      </c>
      <c r="I23" s="166"/>
      <c r="J23" s="166"/>
      <c r="K23" s="166"/>
      <c r="L23" s="166"/>
      <c r="M23" s="166"/>
      <c r="N23" s="166"/>
      <c r="O23" s="166"/>
      <c r="P23" s="166"/>
      <c r="Q23" s="166"/>
      <c r="S23" s="125">
        <v>193555.25</v>
      </c>
    </row>
    <row r="24" spans="2:23" ht="12" customHeight="1" x14ac:dyDescent="0.2">
      <c r="C24" s="166" t="s">
        <v>87</v>
      </c>
      <c r="D24" s="166"/>
      <c r="E24" s="166"/>
      <c r="F24" s="166"/>
      <c r="H24" s="166" t="s">
        <v>88</v>
      </c>
      <c r="I24" s="166"/>
      <c r="J24" s="166"/>
      <c r="K24" s="166"/>
      <c r="L24" s="166"/>
      <c r="M24" s="166"/>
      <c r="N24" s="166"/>
      <c r="O24" s="166"/>
      <c r="P24" s="166"/>
      <c r="Q24" s="166"/>
      <c r="S24" s="125">
        <v>857144.13</v>
      </c>
    </row>
    <row r="25" spans="2:23" ht="12" customHeight="1" x14ac:dyDescent="0.2">
      <c r="C25" s="166">
        <v>1335</v>
      </c>
      <c r="D25" s="166"/>
      <c r="E25" s="166"/>
      <c r="F25" s="166"/>
      <c r="H25" s="166" t="s">
        <v>720</v>
      </c>
      <c r="I25" s="166"/>
      <c r="J25" s="166"/>
      <c r="K25" s="166"/>
      <c r="L25" s="166"/>
      <c r="M25" s="166"/>
      <c r="N25" s="166"/>
      <c r="O25" s="166"/>
      <c r="P25" s="166"/>
      <c r="Q25" s="166"/>
      <c r="S25" s="144">
        <v>22262</v>
      </c>
    </row>
    <row r="26" spans="2:23" ht="12" customHeight="1" x14ac:dyDescent="0.2">
      <c r="C26" s="166">
        <v>1335</v>
      </c>
      <c r="D26" s="166"/>
      <c r="E26" s="166"/>
      <c r="F26" s="166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66" t="s">
        <v>99</v>
      </c>
      <c r="D27" s="166"/>
      <c r="E27" s="166"/>
      <c r="F27" s="166"/>
      <c r="H27" s="166" t="s">
        <v>187</v>
      </c>
      <c r="I27" s="166"/>
      <c r="J27" s="166"/>
      <c r="K27" s="166"/>
      <c r="L27" s="166"/>
      <c r="M27" s="166"/>
      <c r="N27" s="166"/>
      <c r="O27" s="166"/>
      <c r="P27" s="166"/>
      <c r="Q27" s="166"/>
      <c r="S27" s="126">
        <v>-970633.91</v>
      </c>
    </row>
    <row r="28" spans="2:23" ht="12" customHeight="1" x14ac:dyDescent="0.2">
      <c r="H28" s="164" t="s">
        <v>103</v>
      </c>
      <c r="I28" s="164"/>
      <c r="J28" s="164"/>
      <c r="K28" s="164"/>
      <c r="L28" s="164"/>
      <c r="M28" s="164"/>
      <c r="N28" s="164"/>
      <c r="O28" s="164"/>
      <c r="P28" s="164"/>
      <c r="U28" s="168">
        <f>SUM(S22:S27)</f>
        <v>798490.21999999986</v>
      </c>
      <c r="V28" s="168"/>
      <c r="W28" s="168"/>
    </row>
    <row r="29" spans="2:23" ht="12" customHeight="1" x14ac:dyDescent="0.2"/>
    <row r="30" spans="2:23" ht="12" customHeight="1" x14ac:dyDescent="0.2">
      <c r="B30" s="164" t="s">
        <v>218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66">
        <v>1420</v>
      </c>
      <c r="D31" s="166"/>
      <c r="E31" s="166"/>
      <c r="F31" s="166"/>
      <c r="H31" s="166" t="s">
        <v>697</v>
      </c>
      <c r="I31" s="166"/>
      <c r="J31" s="166"/>
      <c r="K31" s="166"/>
      <c r="L31" s="166"/>
      <c r="M31" s="166"/>
      <c r="N31" s="166"/>
      <c r="O31" s="166"/>
      <c r="P31" s="166"/>
      <c r="Q31" s="166"/>
      <c r="S31" s="141">
        <v>898.85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4" t="s">
        <v>104</v>
      </c>
      <c r="J33" s="164"/>
      <c r="K33" s="164"/>
      <c r="L33" s="164"/>
      <c r="M33" s="164"/>
      <c r="N33" s="164"/>
      <c r="O33" s="164"/>
      <c r="P33" s="164"/>
      <c r="U33" s="171">
        <f>U19+U28+S31</f>
        <v>10597587.699999999</v>
      </c>
      <c r="V33" s="171"/>
      <c r="W33" s="171"/>
    </row>
    <row r="34" spans="1:23" ht="12" customHeight="1" thickTop="1" x14ac:dyDescent="0.2"/>
    <row r="35" spans="1:23" ht="12" customHeight="1" x14ac:dyDescent="0.2">
      <c r="A35" s="164" t="s">
        <v>105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23" ht="12" customHeight="1" x14ac:dyDescent="0.2">
      <c r="B36" s="164" t="s">
        <v>106</v>
      </c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23" ht="12" customHeight="1" x14ac:dyDescent="0.2">
      <c r="C37" s="166" t="s">
        <v>109</v>
      </c>
      <c r="D37" s="166"/>
      <c r="E37" s="166"/>
      <c r="F37" s="166"/>
      <c r="H37" s="166" t="s">
        <v>110</v>
      </c>
      <c r="I37" s="166"/>
      <c r="J37" s="166"/>
      <c r="K37" s="166"/>
      <c r="L37" s="166"/>
      <c r="M37" s="166"/>
      <c r="N37" s="166"/>
      <c r="O37" s="166"/>
      <c r="P37" s="166"/>
      <c r="Q37" s="166"/>
      <c r="S37" s="125">
        <v>1079.21</v>
      </c>
    </row>
    <row r="38" spans="1:23" ht="12" customHeight="1" x14ac:dyDescent="0.2">
      <c r="C38" s="166">
        <v>2124</v>
      </c>
      <c r="D38" s="166"/>
      <c r="E38" s="166"/>
      <c r="F38" s="166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/>
    </row>
    <row r="39" spans="1:23" ht="12" customHeight="1" x14ac:dyDescent="0.2">
      <c r="C39" s="166">
        <v>2125</v>
      </c>
      <c r="D39" s="166"/>
      <c r="E39" s="166"/>
      <c r="F39" s="166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66">
        <v>2150</v>
      </c>
      <c r="D40" s="166"/>
      <c r="E40" s="166"/>
      <c r="F40" s="166"/>
      <c r="H40" s="155" t="s">
        <v>189</v>
      </c>
      <c r="I40" s="155"/>
      <c r="J40" s="155"/>
      <c r="K40" s="155"/>
      <c r="L40" s="155"/>
      <c r="M40" s="155"/>
      <c r="N40" s="155"/>
      <c r="O40" s="155"/>
      <c r="P40" s="155"/>
      <c r="Q40" s="155"/>
      <c r="S40" s="156">
        <v>122.11</v>
      </c>
    </row>
    <row r="41" spans="1:23" ht="12" customHeight="1" x14ac:dyDescent="0.2">
      <c r="C41" s="166" t="s">
        <v>117</v>
      </c>
      <c r="D41" s="166"/>
      <c r="E41" s="166"/>
      <c r="F41" s="166"/>
      <c r="H41" s="166" t="s">
        <v>118</v>
      </c>
      <c r="I41" s="166"/>
      <c r="J41" s="166"/>
      <c r="K41" s="166"/>
      <c r="L41" s="166"/>
      <c r="M41" s="166"/>
      <c r="N41" s="166"/>
      <c r="O41" s="166"/>
      <c r="P41" s="166"/>
      <c r="Q41" s="166"/>
      <c r="S41" s="125">
        <v>326363.05</v>
      </c>
    </row>
    <row r="42" spans="1:23" ht="12" customHeight="1" x14ac:dyDescent="0.2">
      <c r="C42" s="166" t="s">
        <v>119</v>
      </c>
      <c r="D42" s="166"/>
      <c r="E42" s="166"/>
      <c r="F42" s="166"/>
      <c r="H42" s="166" t="s">
        <v>190</v>
      </c>
      <c r="I42" s="166"/>
      <c r="J42" s="166"/>
      <c r="K42" s="166"/>
      <c r="L42" s="166"/>
      <c r="M42" s="166"/>
      <c r="N42" s="166"/>
      <c r="O42" s="166"/>
      <c r="P42" s="166"/>
      <c r="Q42" s="166"/>
      <c r="S42" s="125">
        <v>43709.65</v>
      </c>
    </row>
    <row r="43" spans="1:23" ht="12" customHeight="1" x14ac:dyDescent="0.2">
      <c r="C43" s="166">
        <v>2215</v>
      </c>
      <c r="D43" s="166"/>
      <c r="E43" s="166"/>
      <c r="F43" s="166"/>
      <c r="H43" s="166" t="s">
        <v>637</v>
      </c>
      <c r="I43" s="166"/>
      <c r="J43" s="166"/>
      <c r="K43" s="166"/>
      <c r="L43" s="166"/>
      <c r="M43" s="166"/>
      <c r="N43" s="166"/>
      <c r="O43" s="166"/>
      <c r="P43" s="166"/>
      <c r="Q43" s="166"/>
      <c r="S43" s="125"/>
    </row>
    <row r="44" spans="1:23" ht="12" customHeight="1" x14ac:dyDescent="0.2">
      <c r="C44" s="166" t="s">
        <v>125</v>
      </c>
      <c r="D44" s="166"/>
      <c r="E44" s="166"/>
      <c r="F44" s="166"/>
      <c r="H44" s="166" t="s">
        <v>202</v>
      </c>
      <c r="I44" s="166"/>
      <c r="J44" s="166"/>
      <c r="K44" s="166"/>
      <c r="L44" s="166"/>
      <c r="M44" s="166"/>
      <c r="N44" s="166"/>
      <c r="O44" s="166"/>
      <c r="P44" s="166"/>
      <c r="Q44" s="166"/>
      <c r="S44" s="158"/>
    </row>
    <row r="45" spans="1:23" ht="12" customHeight="1" x14ac:dyDescent="0.2">
      <c r="C45" s="166" t="s">
        <v>127</v>
      </c>
      <c r="D45" s="166"/>
      <c r="E45" s="166"/>
      <c r="F45" s="166"/>
      <c r="H45" s="166" t="s">
        <v>203</v>
      </c>
      <c r="I45" s="166"/>
      <c r="J45" s="166"/>
      <c r="K45" s="166"/>
      <c r="L45" s="166"/>
      <c r="M45" s="166"/>
      <c r="N45" s="166"/>
      <c r="O45" s="166"/>
      <c r="P45" s="166"/>
      <c r="Q45" s="166"/>
      <c r="S45" s="125">
        <v>17326.990000000002</v>
      </c>
    </row>
    <row r="46" spans="1:23" ht="12" customHeight="1" x14ac:dyDescent="0.2">
      <c r="C46" s="166" t="s">
        <v>129</v>
      </c>
      <c r="D46" s="166"/>
      <c r="E46" s="166"/>
      <c r="F46" s="166"/>
      <c r="H46" s="166" t="s">
        <v>191</v>
      </c>
      <c r="I46" s="166"/>
      <c r="J46" s="166"/>
      <c r="K46" s="166"/>
      <c r="L46" s="166"/>
      <c r="M46" s="166"/>
      <c r="N46" s="166"/>
      <c r="O46" s="166"/>
      <c r="P46" s="166"/>
      <c r="Q46" s="166"/>
      <c r="S46" s="125">
        <v>5854.39</v>
      </c>
    </row>
    <row r="47" spans="1:23" ht="12" customHeight="1" x14ac:dyDescent="0.2">
      <c r="C47" s="166">
        <v>2241</v>
      </c>
      <c r="D47" s="166"/>
      <c r="E47" s="166"/>
      <c r="F47" s="166"/>
      <c r="H47" s="166" t="s">
        <v>684</v>
      </c>
      <c r="I47" s="166"/>
      <c r="J47" s="166"/>
      <c r="K47" s="166"/>
      <c r="L47" s="166"/>
      <c r="M47" s="166"/>
      <c r="N47" s="166"/>
      <c r="O47" s="166"/>
      <c r="P47" s="166"/>
      <c r="Q47" s="166"/>
      <c r="S47" s="125"/>
    </row>
    <row r="48" spans="1:23" ht="12" customHeight="1" x14ac:dyDescent="0.2">
      <c r="C48" s="166" t="s">
        <v>204</v>
      </c>
      <c r="D48" s="166"/>
      <c r="E48" s="166"/>
      <c r="F48" s="166"/>
      <c r="H48" s="166" t="s">
        <v>205</v>
      </c>
      <c r="I48" s="166"/>
      <c r="J48" s="166"/>
      <c r="K48" s="166"/>
      <c r="L48" s="166"/>
      <c r="M48" s="166"/>
      <c r="N48" s="166"/>
      <c r="O48" s="166"/>
      <c r="P48" s="166"/>
      <c r="Q48" s="166"/>
      <c r="S48" s="125">
        <v>69048.7</v>
      </c>
    </row>
    <row r="49" spans="1:23" ht="12" customHeight="1" x14ac:dyDescent="0.2">
      <c r="H49" s="164" t="s">
        <v>148</v>
      </c>
      <c r="I49" s="164"/>
      <c r="J49" s="164"/>
      <c r="K49" s="164"/>
      <c r="L49" s="164"/>
      <c r="M49" s="164"/>
      <c r="N49" s="164"/>
      <c r="O49" s="164"/>
      <c r="P49" s="164"/>
      <c r="U49" s="176">
        <f>SUM(S37:S48)</f>
        <v>463504.10000000003</v>
      </c>
      <c r="V49" s="176"/>
      <c r="W49" s="176"/>
    </row>
    <row r="50" spans="1:23" ht="12" customHeight="1" x14ac:dyDescent="0.2">
      <c r="I50" s="164" t="s">
        <v>159</v>
      </c>
      <c r="J50" s="164"/>
      <c r="K50" s="164"/>
      <c r="L50" s="164"/>
      <c r="M50" s="164"/>
      <c r="N50" s="164"/>
      <c r="O50" s="164"/>
      <c r="P50" s="164"/>
      <c r="U50" s="177">
        <f>U49</f>
        <v>463504.10000000003</v>
      </c>
      <c r="V50" s="177"/>
      <c r="W50" s="177"/>
    </row>
    <row r="51" spans="1:23" ht="12" customHeight="1" x14ac:dyDescent="0.2"/>
    <row r="52" spans="1:23" ht="12" customHeight="1" x14ac:dyDescent="0.2">
      <c r="A52" s="164" t="s">
        <v>105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</row>
    <row r="53" spans="1:23" ht="12" customHeight="1" x14ac:dyDescent="0.2">
      <c r="B53" s="164" t="s">
        <v>149</v>
      </c>
      <c r="C53" s="164"/>
      <c r="D53" s="164"/>
      <c r="E53" s="164"/>
      <c r="F53" s="164"/>
      <c r="G53" s="164"/>
      <c r="H53" s="164"/>
      <c r="I53" s="164"/>
      <c r="J53" s="164"/>
      <c r="K53" s="164"/>
    </row>
    <row r="54" spans="1:23" ht="12" customHeight="1" x14ac:dyDescent="0.2">
      <c r="C54" s="166">
        <v>2402</v>
      </c>
      <c r="D54" s="166"/>
      <c r="E54" s="166"/>
      <c r="F54" s="166"/>
      <c r="H54" s="166" t="s">
        <v>555</v>
      </c>
      <c r="I54" s="166"/>
      <c r="J54" s="166"/>
      <c r="K54" s="166"/>
      <c r="L54" s="166"/>
      <c r="M54" s="166"/>
      <c r="N54" s="166"/>
      <c r="O54" s="166"/>
      <c r="P54" s="166"/>
      <c r="Q54" s="166"/>
      <c r="S54" s="125">
        <v>0</v>
      </c>
    </row>
    <row r="55" spans="1:23" ht="12" customHeight="1" x14ac:dyDescent="0.2">
      <c r="H55" s="164" t="s">
        <v>148</v>
      </c>
      <c r="I55" s="164"/>
      <c r="J55" s="164"/>
      <c r="K55" s="164"/>
      <c r="L55" s="164"/>
      <c r="M55" s="164"/>
      <c r="N55" s="164"/>
      <c r="O55" s="164"/>
      <c r="P55" s="164"/>
      <c r="U55" s="176">
        <f>SUM(S54:S54)</f>
        <v>0</v>
      </c>
      <c r="V55" s="176"/>
      <c r="W55" s="176"/>
    </row>
    <row r="56" spans="1:23" ht="12" customHeight="1" x14ac:dyDescent="0.2">
      <c r="I56" s="164" t="s">
        <v>159</v>
      </c>
      <c r="J56" s="164"/>
      <c r="K56" s="164"/>
      <c r="L56" s="164"/>
      <c r="M56" s="164"/>
      <c r="N56" s="164"/>
      <c r="O56" s="164"/>
      <c r="P56" s="164"/>
      <c r="U56" s="177">
        <f>U55</f>
        <v>0</v>
      </c>
      <c r="V56" s="177"/>
      <c r="W56" s="177"/>
    </row>
    <row r="57" spans="1:23" ht="12" customHeight="1" x14ac:dyDescent="0.2">
      <c r="A57" s="164" t="s">
        <v>160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</row>
    <row r="58" spans="1:23" ht="12" customHeight="1" x14ac:dyDescent="0.2">
      <c r="C58" s="166" t="s">
        <v>161</v>
      </c>
      <c r="D58" s="166"/>
      <c r="E58" s="166"/>
      <c r="F58" s="166"/>
      <c r="H58" s="166" t="s">
        <v>162</v>
      </c>
      <c r="I58" s="166"/>
      <c r="J58" s="166"/>
      <c r="K58" s="166"/>
      <c r="L58" s="166"/>
      <c r="M58" s="166"/>
      <c r="N58" s="166"/>
      <c r="O58" s="166"/>
      <c r="P58" s="166"/>
      <c r="Q58" s="166"/>
      <c r="S58" s="125">
        <v>1000</v>
      </c>
    </row>
    <row r="59" spans="1:23" ht="12" customHeight="1" x14ac:dyDescent="0.2">
      <c r="C59" s="166" t="s">
        <v>165</v>
      </c>
      <c r="D59" s="166"/>
      <c r="E59" s="166"/>
      <c r="F59" s="166"/>
      <c r="H59" s="166" t="s">
        <v>166</v>
      </c>
      <c r="I59" s="166"/>
      <c r="J59" s="166"/>
      <c r="K59" s="166"/>
      <c r="L59" s="166"/>
      <c r="M59" s="166"/>
      <c r="N59" s="166"/>
      <c r="O59" s="166"/>
      <c r="P59" s="166"/>
      <c r="Q59" s="166"/>
      <c r="S59" s="142">
        <v>3486939.73</v>
      </c>
      <c r="W59" s="142"/>
    </row>
    <row r="60" spans="1:23" ht="12" customHeight="1" x14ac:dyDescent="0.2">
      <c r="C60" s="166" t="s">
        <v>165</v>
      </c>
      <c r="D60" s="166"/>
      <c r="E60" s="166"/>
      <c r="F60" s="166"/>
      <c r="H60" s="166" t="s">
        <v>193</v>
      </c>
      <c r="I60" s="166"/>
      <c r="J60" s="166"/>
      <c r="K60" s="166"/>
      <c r="L60" s="166"/>
      <c r="M60" s="166"/>
      <c r="N60" s="166"/>
      <c r="O60" s="166"/>
      <c r="P60" s="166"/>
      <c r="Q60" s="166"/>
      <c r="S60" s="142">
        <v>0</v>
      </c>
    </row>
    <row r="61" spans="1:23" ht="12" customHeight="1" x14ac:dyDescent="0.2">
      <c r="C61" s="166" t="s">
        <v>206</v>
      </c>
      <c r="D61" s="166"/>
      <c r="E61" s="166"/>
      <c r="F61" s="166"/>
      <c r="H61" s="166" t="s">
        <v>207</v>
      </c>
      <c r="I61" s="166"/>
      <c r="J61" s="166"/>
      <c r="K61" s="166"/>
      <c r="L61" s="166"/>
      <c r="M61" s="166"/>
      <c r="N61" s="166"/>
      <c r="O61" s="166"/>
      <c r="P61" s="166"/>
      <c r="Q61" s="166"/>
      <c r="S61" s="125">
        <v>33230.769999999997</v>
      </c>
    </row>
    <row r="62" spans="1:23" ht="12" customHeight="1" x14ac:dyDescent="0.2">
      <c r="C62" s="166" t="s">
        <v>208</v>
      </c>
      <c r="D62" s="166"/>
      <c r="E62" s="166"/>
      <c r="F62" s="166"/>
      <c r="H62" s="166" t="s">
        <v>209</v>
      </c>
      <c r="I62" s="166"/>
      <c r="J62" s="166"/>
      <c r="K62" s="166"/>
      <c r="L62" s="166"/>
      <c r="M62" s="166"/>
      <c r="N62" s="166"/>
      <c r="O62" s="166"/>
      <c r="P62" s="166"/>
      <c r="Q62" s="166"/>
      <c r="S62" s="125">
        <v>2193227.4500000002</v>
      </c>
    </row>
    <row r="63" spans="1:23" ht="12" customHeight="1" x14ac:dyDescent="0.2">
      <c r="C63" s="166" t="s">
        <v>210</v>
      </c>
      <c r="D63" s="166"/>
      <c r="E63" s="166"/>
      <c r="F63" s="166"/>
      <c r="H63" s="166" t="s">
        <v>211</v>
      </c>
      <c r="I63" s="166"/>
      <c r="J63" s="166"/>
      <c r="K63" s="166"/>
      <c r="L63" s="166"/>
      <c r="M63" s="166"/>
      <c r="N63" s="166"/>
      <c r="O63" s="166"/>
      <c r="P63" s="166"/>
      <c r="Q63" s="166"/>
      <c r="S63" s="125">
        <v>2193227.4500000002</v>
      </c>
    </row>
    <row r="64" spans="1:23" ht="12" customHeight="1" x14ac:dyDescent="0.2">
      <c r="C64" s="166" t="s">
        <v>212</v>
      </c>
      <c r="D64" s="166"/>
      <c r="E64" s="166"/>
      <c r="F64" s="166"/>
      <c r="H64" s="166" t="s">
        <v>213</v>
      </c>
      <c r="I64" s="166"/>
      <c r="J64" s="166"/>
      <c r="K64" s="166"/>
      <c r="L64" s="166"/>
      <c r="M64" s="166"/>
      <c r="N64" s="166"/>
      <c r="O64" s="166"/>
      <c r="P64" s="166"/>
      <c r="Q64" s="166"/>
      <c r="S64" s="125">
        <v>2193227.4500000002</v>
      </c>
    </row>
    <row r="65" spans="3:23" ht="12" customHeight="1" x14ac:dyDescent="0.2">
      <c r="C65" s="166" t="s">
        <v>214</v>
      </c>
      <c r="D65" s="166"/>
      <c r="E65" s="166"/>
      <c r="F65" s="166"/>
      <c r="H65" s="166" t="s">
        <v>215</v>
      </c>
      <c r="I65" s="166"/>
      <c r="J65" s="166"/>
      <c r="K65" s="166"/>
      <c r="L65" s="166"/>
      <c r="M65" s="166"/>
      <c r="N65" s="166"/>
      <c r="O65" s="166"/>
      <c r="P65" s="166"/>
      <c r="Q65" s="166"/>
      <c r="S65" s="127">
        <v>33230.75</v>
      </c>
    </row>
    <row r="66" spans="3:23" ht="12" customHeight="1" x14ac:dyDescent="0.2">
      <c r="I66" s="164" t="s">
        <v>176</v>
      </c>
      <c r="J66" s="164"/>
      <c r="K66" s="164"/>
      <c r="L66" s="164"/>
      <c r="M66" s="164"/>
      <c r="N66" s="164"/>
      <c r="O66" s="164"/>
      <c r="P66" s="164"/>
      <c r="U66" s="176">
        <f>SUM(S58:S65)</f>
        <v>10134083.600000001</v>
      </c>
      <c r="V66" s="176"/>
      <c r="W66" s="176"/>
    </row>
    <row r="67" spans="3:23" ht="12" customHeight="1" x14ac:dyDescent="0.2">
      <c r="I67" s="164" t="s">
        <v>177</v>
      </c>
      <c r="J67" s="164"/>
      <c r="K67" s="164"/>
      <c r="L67" s="164"/>
      <c r="M67" s="164"/>
      <c r="N67" s="164"/>
      <c r="O67" s="164"/>
      <c r="P67" s="164"/>
    </row>
    <row r="68" spans="3:23" ht="12" customHeight="1" thickBot="1" x14ac:dyDescent="0.25">
      <c r="I68" s="164"/>
      <c r="J68" s="164"/>
      <c r="K68" s="164"/>
      <c r="L68" s="164"/>
      <c r="M68" s="164"/>
      <c r="N68" s="164"/>
      <c r="O68" s="164"/>
      <c r="P68" s="164"/>
      <c r="U68" s="171">
        <f>U50+U56+U66</f>
        <v>10597587.700000001</v>
      </c>
      <c r="V68" s="171"/>
      <c r="W68" s="171"/>
    </row>
    <row r="69" spans="3:23" ht="6" customHeight="1" thickTop="1" x14ac:dyDescent="0.2"/>
    <row r="70" spans="3:23" ht="12.75" customHeight="1" thickBot="1" x14ac:dyDescent="0.25">
      <c r="U70" s="171">
        <f>U68-U33</f>
        <v>0</v>
      </c>
      <c r="V70" s="171"/>
    </row>
    <row r="71" spans="3:23" ht="12.75" customHeight="1" thickTop="1" x14ac:dyDescent="0.2"/>
  </sheetData>
  <mergeCells count="102">
    <mergeCell ref="U56:W56"/>
    <mergeCell ref="U50:W50"/>
    <mergeCell ref="U49:W49"/>
    <mergeCell ref="B30:K30"/>
    <mergeCell ref="C31:F31"/>
    <mergeCell ref="H31:Q31"/>
    <mergeCell ref="C47:F47"/>
    <mergeCell ref="H47:Q47"/>
    <mergeCell ref="U55:W55"/>
    <mergeCell ref="I33:P33"/>
    <mergeCell ref="U33:W33"/>
    <mergeCell ref="A35:M35"/>
    <mergeCell ref="B36:K36"/>
    <mergeCell ref="C37:F37"/>
    <mergeCell ref="H37:Q37"/>
    <mergeCell ref="C41:F41"/>
    <mergeCell ref="C40:F40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C12:F12"/>
    <mergeCell ref="H12:Q12"/>
    <mergeCell ref="C43:F43"/>
    <mergeCell ref="H43:Q43"/>
    <mergeCell ref="U19:W19"/>
    <mergeCell ref="C16:F16"/>
    <mergeCell ref="C17:F17"/>
    <mergeCell ref="C18:F18"/>
    <mergeCell ref="H42:Q42"/>
    <mergeCell ref="C39:F39"/>
    <mergeCell ref="C24:F24"/>
    <mergeCell ref="H24:Q24"/>
    <mergeCell ref="C27:F27"/>
    <mergeCell ref="H27:Q27"/>
    <mergeCell ref="H28:P28"/>
    <mergeCell ref="U28:W28"/>
    <mergeCell ref="H41:Q41"/>
    <mergeCell ref="C42:F42"/>
    <mergeCell ref="C14:F14"/>
    <mergeCell ref="B21:K21"/>
    <mergeCell ref="C22:F22"/>
    <mergeCell ref="H22:Q22"/>
    <mergeCell ref="C23:F23"/>
    <mergeCell ref="H23:Q23"/>
    <mergeCell ref="C15:F15"/>
    <mergeCell ref="H15:Q15"/>
    <mergeCell ref="H19:P19"/>
    <mergeCell ref="C25:F25"/>
    <mergeCell ref="H25:Q25"/>
    <mergeCell ref="C48:F48"/>
    <mergeCell ref="H48:Q48"/>
    <mergeCell ref="H49:P49"/>
    <mergeCell ref="I50:P50"/>
    <mergeCell ref="A57:M57"/>
    <mergeCell ref="C44:F44"/>
    <mergeCell ref="H44:Q44"/>
    <mergeCell ref="C45:F45"/>
    <mergeCell ref="H45:Q45"/>
    <mergeCell ref="C46:F46"/>
    <mergeCell ref="H46:Q46"/>
    <mergeCell ref="C62:F62"/>
    <mergeCell ref="H62:Q62"/>
    <mergeCell ref="C58:F58"/>
    <mergeCell ref="H58:Q58"/>
    <mergeCell ref="A52:M52"/>
    <mergeCell ref="B53:K53"/>
    <mergeCell ref="C54:F54"/>
    <mergeCell ref="H54:Q54"/>
    <mergeCell ref="H55:P55"/>
    <mergeCell ref="I56:P56"/>
    <mergeCell ref="C11:F11"/>
    <mergeCell ref="H11:Q11"/>
    <mergeCell ref="C9:F9"/>
    <mergeCell ref="H9:Q9"/>
    <mergeCell ref="U70:V70"/>
    <mergeCell ref="C13:F13"/>
    <mergeCell ref="C26:F26"/>
    <mergeCell ref="C38:F38"/>
    <mergeCell ref="I66:P66"/>
    <mergeCell ref="U66:W66"/>
    <mergeCell ref="I67:P68"/>
    <mergeCell ref="U68:W68"/>
    <mergeCell ref="C63:F63"/>
    <mergeCell ref="H63:Q63"/>
    <mergeCell ref="C59:F59"/>
    <mergeCell ref="H59:Q59"/>
    <mergeCell ref="C64:F64"/>
    <mergeCell ref="H64:Q64"/>
    <mergeCell ref="C65:F65"/>
    <mergeCell ref="H65:Q65"/>
    <mergeCell ref="C60:F60"/>
    <mergeCell ref="H60:Q60"/>
    <mergeCell ref="C61:F61"/>
    <mergeCell ref="H61:Q61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topLeftCell="A19" workbookViewId="0">
      <selection activeCell="AC59" sqref="AC59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9.9499999999999993" customHeight="1" x14ac:dyDescent="0.2"/>
    <row r="3" spans="1:24" ht="12.75" customHeight="1" x14ac:dyDescent="0.2">
      <c r="A3" s="173" t="s">
        <v>753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4" ht="16.5" customHeight="1" x14ac:dyDescent="0.2">
      <c r="A4" s="174" t="s">
        <v>178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4" t="s">
        <v>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24" ht="9.9499999999999993" customHeight="1" x14ac:dyDescent="0.2"/>
    <row r="9" spans="1:24" ht="9.9499999999999993" customHeight="1" x14ac:dyDescent="0.2">
      <c r="B9" s="164" t="s">
        <v>3</v>
      </c>
      <c r="C9" s="164"/>
      <c r="D9" s="164"/>
      <c r="E9" s="164"/>
      <c r="F9" s="164"/>
      <c r="G9" s="164"/>
      <c r="H9" s="164"/>
      <c r="I9" s="164"/>
      <c r="J9" s="164"/>
      <c r="K9" s="164"/>
    </row>
    <row r="10" spans="1:24" ht="9.9499999999999993" customHeight="1" x14ac:dyDescent="0.2"/>
    <row r="11" spans="1:24" ht="9.9499999999999993" customHeight="1" x14ac:dyDescent="0.2">
      <c r="C11" s="166" t="s">
        <v>8</v>
      </c>
      <c r="D11" s="166"/>
      <c r="E11" s="166"/>
      <c r="F11" s="166"/>
      <c r="H11" s="166" t="s">
        <v>179</v>
      </c>
      <c r="I11" s="166"/>
      <c r="J11" s="166"/>
      <c r="K11" s="166"/>
      <c r="L11" s="166"/>
      <c r="M11" s="166"/>
      <c r="N11" s="166"/>
      <c r="O11" s="166"/>
      <c r="P11" s="166"/>
      <c r="Q11" s="166"/>
      <c r="S11" s="89">
        <v>46627.16</v>
      </c>
    </row>
    <row r="12" spans="1:24" ht="9.9499999999999993" customHeight="1" x14ac:dyDescent="0.2">
      <c r="C12" s="166" t="s">
        <v>16</v>
      </c>
      <c r="D12" s="166"/>
      <c r="E12" s="166"/>
      <c r="F12" s="166"/>
      <c r="H12" s="166" t="s">
        <v>17</v>
      </c>
      <c r="I12" s="166"/>
      <c r="J12" s="166"/>
      <c r="K12" s="166"/>
      <c r="L12" s="166"/>
      <c r="M12" s="166"/>
      <c r="N12" s="166"/>
      <c r="O12" s="166"/>
      <c r="P12" s="166"/>
      <c r="Q12" s="166"/>
      <c r="S12" s="89"/>
    </row>
    <row r="13" spans="1:24" ht="9.9499999999999993" customHeight="1" x14ac:dyDescent="0.2">
      <c r="C13" s="166" t="s">
        <v>180</v>
      </c>
      <c r="D13" s="166"/>
      <c r="E13" s="166"/>
      <c r="F13" s="166"/>
      <c r="H13" s="166" t="s">
        <v>181</v>
      </c>
      <c r="I13" s="166"/>
      <c r="J13" s="166"/>
      <c r="K13" s="166"/>
      <c r="L13" s="166"/>
      <c r="M13" s="166"/>
      <c r="N13" s="166"/>
      <c r="O13" s="166"/>
      <c r="P13" s="166"/>
      <c r="Q13" s="166"/>
      <c r="S13" s="89"/>
    </row>
    <row r="14" spans="1:24" ht="9.9499999999999993" customHeight="1" x14ac:dyDescent="0.2">
      <c r="C14" s="166" t="s">
        <v>18</v>
      </c>
      <c r="D14" s="166"/>
      <c r="E14" s="166"/>
      <c r="F14" s="166"/>
      <c r="H14" s="166" t="s">
        <v>19</v>
      </c>
      <c r="I14" s="166"/>
      <c r="J14" s="166"/>
      <c r="K14" s="166"/>
      <c r="L14" s="166"/>
      <c r="M14" s="166"/>
      <c r="N14" s="166"/>
      <c r="O14" s="166"/>
      <c r="P14" s="166"/>
      <c r="Q14" s="166"/>
      <c r="S14" s="89"/>
    </row>
    <row r="15" spans="1:24" ht="9.9499999999999993" customHeight="1" x14ac:dyDescent="0.2">
      <c r="C15" s="166" t="s">
        <v>20</v>
      </c>
      <c r="D15" s="166"/>
      <c r="E15" s="166"/>
      <c r="F15" s="166"/>
      <c r="H15" s="166" t="s">
        <v>21</v>
      </c>
      <c r="I15" s="166"/>
      <c r="J15" s="166"/>
      <c r="K15" s="166"/>
      <c r="L15" s="166"/>
      <c r="M15" s="166"/>
      <c r="N15" s="166"/>
      <c r="O15" s="166"/>
      <c r="P15" s="166"/>
      <c r="Q15" s="166"/>
      <c r="S15" s="89"/>
    </row>
    <row r="16" spans="1:24" ht="9.9499999999999993" customHeight="1" x14ac:dyDescent="0.2">
      <c r="C16" s="166" t="s">
        <v>22</v>
      </c>
      <c r="D16" s="166"/>
      <c r="E16" s="166"/>
      <c r="F16" s="166"/>
      <c r="H16" s="166" t="s">
        <v>23</v>
      </c>
      <c r="I16" s="166"/>
      <c r="J16" s="166"/>
      <c r="K16" s="166"/>
      <c r="L16" s="166"/>
      <c r="M16" s="166"/>
      <c r="N16" s="166"/>
      <c r="O16" s="166"/>
      <c r="P16" s="166"/>
      <c r="Q16" s="166"/>
      <c r="S16" s="89"/>
    </row>
    <row r="17" spans="2:23" ht="9.9499999999999993" customHeight="1" x14ac:dyDescent="0.2">
      <c r="C17" s="166">
        <v>1226</v>
      </c>
      <c r="D17" s="166"/>
      <c r="E17" s="166"/>
      <c r="F17" s="166"/>
      <c r="H17" s="166" t="s">
        <v>234</v>
      </c>
      <c r="I17" s="166"/>
      <c r="J17" s="166"/>
      <c r="K17" s="166"/>
      <c r="L17" s="166"/>
      <c r="M17" s="166"/>
      <c r="N17" s="166"/>
      <c r="O17" s="166"/>
      <c r="P17" s="166"/>
      <c r="Q17" s="166"/>
      <c r="S17" s="89"/>
    </row>
    <row r="18" spans="2:23" ht="9.9499999999999993" customHeight="1" x14ac:dyDescent="0.2">
      <c r="C18" s="166" t="s">
        <v>182</v>
      </c>
      <c r="D18" s="166"/>
      <c r="E18" s="166"/>
      <c r="F18" s="166"/>
      <c r="H18" s="166" t="s">
        <v>183</v>
      </c>
      <c r="I18" s="166"/>
      <c r="J18" s="166"/>
      <c r="K18" s="166"/>
      <c r="L18" s="166"/>
      <c r="M18" s="166"/>
      <c r="N18" s="166"/>
      <c r="O18" s="166"/>
      <c r="P18" s="166"/>
      <c r="Q18" s="166"/>
      <c r="S18" s="89">
        <v>300000</v>
      </c>
    </row>
    <row r="19" spans="2:23" ht="9.9499999999999993" customHeight="1" x14ac:dyDescent="0.2">
      <c r="C19" s="166" t="s">
        <v>54</v>
      </c>
      <c r="D19" s="166"/>
      <c r="E19" s="166"/>
      <c r="F19" s="166"/>
      <c r="H19" s="166" t="s">
        <v>184</v>
      </c>
      <c r="I19" s="166"/>
      <c r="J19" s="166"/>
      <c r="K19" s="166"/>
      <c r="L19" s="166"/>
      <c r="M19" s="166"/>
      <c r="N19" s="166"/>
      <c r="O19" s="166"/>
      <c r="P19" s="166"/>
      <c r="Q19" s="166"/>
      <c r="S19" s="89">
        <v>3669</v>
      </c>
    </row>
    <row r="20" spans="2:23" ht="9.9499999999999993" customHeight="1" x14ac:dyDescent="0.2">
      <c r="C20" s="166" t="s">
        <v>56</v>
      </c>
      <c r="D20" s="166"/>
      <c r="E20" s="166"/>
      <c r="F20" s="166"/>
      <c r="H20" s="166" t="s">
        <v>185</v>
      </c>
      <c r="I20" s="166"/>
      <c r="J20" s="166"/>
      <c r="K20" s="166"/>
      <c r="L20" s="166"/>
      <c r="M20" s="166"/>
      <c r="N20" s="166"/>
      <c r="O20" s="166"/>
      <c r="P20" s="166"/>
      <c r="Q20" s="166"/>
      <c r="S20" s="89"/>
    </row>
    <row r="21" spans="2:23" ht="9.9499999999999993" customHeight="1" x14ac:dyDescent="0.2">
      <c r="C21" s="166">
        <v>1250</v>
      </c>
      <c r="D21" s="166"/>
      <c r="E21" s="166"/>
      <c r="F21" s="166"/>
      <c r="H21" s="166" t="s">
        <v>59</v>
      </c>
      <c r="I21" s="166"/>
      <c r="J21" s="166"/>
      <c r="K21" s="166"/>
      <c r="L21" s="166"/>
      <c r="M21" s="166"/>
      <c r="N21" s="166"/>
      <c r="O21" s="166"/>
      <c r="P21" s="166"/>
      <c r="Q21" s="166"/>
      <c r="S21" s="91"/>
    </row>
    <row r="22" spans="2:23" ht="9.9499999999999993" customHeight="1" x14ac:dyDescent="0.2"/>
    <row r="23" spans="2:23" ht="9.9499999999999993" customHeight="1" x14ac:dyDescent="0.2">
      <c r="H23" s="164" t="s">
        <v>73</v>
      </c>
      <c r="I23" s="164"/>
      <c r="J23" s="164"/>
      <c r="K23" s="164"/>
      <c r="L23" s="164"/>
      <c r="M23" s="164"/>
      <c r="N23" s="164"/>
      <c r="O23" s="164"/>
      <c r="P23" s="164"/>
      <c r="U23" s="165">
        <f>SUM(S11:S21)</f>
        <v>350296.16000000003</v>
      </c>
      <c r="V23" s="165"/>
      <c r="W23" s="165"/>
    </row>
    <row r="24" spans="2:23" ht="9.9499999999999993" customHeight="1" x14ac:dyDescent="0.2"/>
    <row r="25" spans="2:23" ht="9.9499999999999993" customHeight="1" x14ac:dyDescent="0.2">
      <c r="B25" s="164" t="s">
        <v>74</v>
      </c>
      <c r="C25" s="164"/>
      <c r="D25" s="164"/>
      <c r="E25" s="164"/>
      <c r="F25" s="164"/>
      <c r="G25" s="164"/>
      <c r="H25" s="164"/>
      <c r="I25" s="164"/>
      <c r="J25" s="164"/>
      <c r="K25" s="164"/>
    </row>
    <row r="26" spans="2:23" ht="9.9499999999999993" customHeight="1" x14ac:dyDescent="0.2"/>
    <row r="27" spans="2:23" ht="9.9499999999999993" customHeight="1" x14ac:dyDescent="0.2">
      <c r="C27" s="166" t="s">
        <v>75</v>
      </c>
      <c r="D27" s="166"/>
      <c r="E27" s="166"/>
      <c r="F27" s="166"/>
      <c r="H27" s="166" t="s">
        <v>186</v>
      </c>
      <c r="I27" s="166"/>
      <c r="J27" s="166"/>
      <c r="K27" s="166"/>
      <c r="L27" s="166"/>
      <c r="M27" s="166"/>
      <c r="N27" s="166"/>
      <c r="O27" s="166"/>
      <c r="P27" s="166"/>
      <c r="Q27" s="166"/>
      <c r="S27" s="89">
        <v>8577.17</v>
      </c>
    </row>
    <row r="28" spans="2:23" ht="9.9499999999999993" customHeight="1" x14ac:dyDescent="0.2">
      <c r="C28" s="166" t="s">
        <v>87</v>
      </c>
      <c r="D28" s="166"/>
      <c r="E28" s="166"/>
      <c r="F28" s="166"/>
      <c r="H28" s="166" t="s">
        <v>88</v>
      </c>
      <c r="I28" s="166"/>
      <c r="J28" s="166"/>
      <c r="K28" s="166"/>
      <c r="L28" s="166"/>
      <c r="M28" s="166"/>
      <c r="N28" s="166"/>
      <c r="O28" s="166"/>
      <c r="P28" s="166"/>
      <c r="Q28" s="166"/>
      <c r="S28" s="89">
        <v>20237.79</v>
      </c>
    </row>
    <row r="29" spans="2:23" ht="9.9499999999999993" customHeight="1" x14ac:dyDescent="0.2">
      <c r="C29" s="166" t="s">
        <v>99</v>
      </c>
      <c r="D29" s="166"/>
      <c r="E29" s="166"/>
      <c r="F29" s="166"/>
      <c r="H29" s="166" t="s">
        <v>187</v>
      </c>
      <c r="I29" s="166"/>
      <c r="J29" s="166"/>
      <c r="K29" s="166"/>
      <c r="L29" s="166"/>
      <c r="M29" s="166"/>
      <c r="N29" s="166"/>
      <c r="O29" s="166"/>
      <c r="P29" s="166"/>
      <c r="Q29" s="166"/>
      <c r="S29" s="91">
        <v>-22782.57</v>
      </c>
    </row>
    <row r="30" spans="2:23" ht="9.9499999999999993" customHeight="1" x14ac:dyDescent="0.2"/>
    <row r="31" spans="2:23" ht="9.9499999999999993" customHeight="1" x14ac:dyDescent="0.2">
      <c r="H31" s="164" t="s">
        <v>103</v>
      </c>
      <c r="I31" s="164"/>
      <c r="J31" s="164"/>
      <c r="K31" s="164"/>
      <c r="L31" s="164"/>
      <c r="M31" s="164"/>
      <c r="N31" s="164"/>
      <c r="O31" s="164"/>
      <c r="P31" s="164"/>
      <c r="U31" s="168">
        <f>SUM(S27:S29)</f>
        <v>6032.3899999999994</v>
      </c>
      <c r="V31" s="168"/>
      <c r="W31" s="168"/>
    </row>
    <row r="32" spans="2:23" ht="9.9499999999999993" customHeight="1" x14ac:dyDescent="0.2"/>
    <row r="33" spans="1:23" ht="9.9499999999999993" customHeight="1" thickBot="1" x14ac:dyDescent="0.25">
      <c r="I33" s="164" t="s">
        <v>104</v>
      </c>
      <c r="J33" s="164"/>
      <c r="K33" s="164"/>
      <c r="L33" s="164"/>
      <c r="M33" s="164"/>
      <c r="N33" s="164"/>
      <c r="O33" s="164"/>
      <c r="P33" s="164"/>
      <c r="U33" s="171">
        <f>U23+U31</f>
        <v>356328.55000000005</v>
      </c>
      <c r="V33" s="171"/>
      <c r="W33" s="171"/>
    </row>
    <row r="34" spans="1:23" ht="9.9499999999999993" customHeight="1" thickTop="1" x14ac:dyDescent="0.2"/>
    <row r="35" spans="1:23" ht="9.9499999999999993" customHeight="1" x14ac:dyDescent="0.2">
      <c r="A35" s="164" t="s">
        <v>105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23" ht="9.9499999999999993" customHeight="1" x14ac:dyDescent="0.2"/>
    <row r="37" spans="1:23" ht="9.9499999999999993" customHeight="1" x14ac:dyDescent="0.2">
      <c r="B37" s="164" t="s">
        <v>106</v>
      </c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23" ht="9.9499999999999993" customHeight="1" x14ac:dyDescent="0.2"/>
    <row r="39" spans="1:23" ht="9.9499999999999993" customHeight="1" x14ac:dyDescent="0.2">
      <c r="C39" s="166" t="s">
        <v>109</v>
      </c>
      <c r="D39" s="166"/>
      <c r="E39" s="166"/>
      <c r="F39" s="166"/>
      <c r="H39" s="166" t="s">
        <v>110</v>
      </c>
      <c r="I39" s="166"/>
      <c r="J39" s="166"/>
      <c r="K39" s="166"/>
      <c r="L39" s="166"/>
      <c r="M39" s="166"/>
      <c r="N39" s="166"/>
      <c r="O39" s="166"/>
      <c r="P39" s="166"/>
      <c r="Q39" s="166"/>
      <c r="S39" s="89"/>
    </row>
    <row r="40" spans="1:23" ht="9.9499999999999993" customHeight="1" x14ac:dyDescent="0.2">
      <c r="C40" s="166" t="s">
        <v>188</v>
      </c>
      <c r="D40" s="166"/>
      <c r="E40" s="166"/>
      <c r="F40" s="166"/>
      <c r="H40" s="166" t="s">
        <v>189</v>
      </c>
      <c r="I40" s="166"/>
      <c r="J40" s="166"/>
      <c r="K40" s="166"/>
      <c r="L40" s="166"/>
      <c r="M40" s="166"/>
      <c r="N40" s="166"/>
      <c r="O40" s="166"/>
      <c r="P40" s="166"/>
      <c r="Q40" s="166"/>
      <c r="S40" s="89"/>
    </row>
    <row r="41" spans="1:23" ht="9.9499999999999993" customHeight="1" x14ac:dyDescent="0.2">
      <c r="C41" s="166">
        <v>2175</v>
      </c>
      <c r="D41" s="166"/>
      <c r="E41" s="166"/>
      <c r="F41" s="166"/>
      <c r="H41" s="166" t="s">
        <v>118</v>
      </c>
      <c r="I41" s="166"/>
      <c r="J41" s="166"/>
      <c r="K41" s="166"/>
      <c r="L41" s="166"/>
      <c r="M41" s="166"/>
      <c r="N41" s="166"/>
      <c r="O41" s="166"/>
      <c r="P41" s="166"/>
      <c r="Q41" s="166"/>
      <c r="S41" s="89"/>
    </row>
    <row r="42" spans="1:23" ht="9.9499999999999993" customHeight="1" x14ac:dyDescent="0.2">
      <c r="C42" s="166" t="s">
        <v>121</v>
      </c>
      <c r="D42" s="166"/>
      <c r="E42" s="166"/>
      <c r="F42" s="166"/>
      <c r="H42" s="166" t="s">
        <v>190</v>
      </c>
      <c r="I42" s="166"/>
      <c r="J42" s="166"/>
      <c r="K42" s="166"/>
      <c r="L42" s="166"/>
      <c r="M42" s="166"/>
      <c r="N42" s="166"/>
      <c r="O42" s="166"/>
      <c r="P42" s="166"/>
      <c r="Q42" s="166"/>
      <c r="S42" s="89">
        <v>9732</v>
      </c>
    </row>
    <row r="43" spans="1:23" ht="9.9499999999999993" customHeight="1" x14ac:dyDescent="0.2">
      <c r="C43" s="166">
        <v>2230</v>
      </c>
      <c r="D43" s="166"/>
      <c r="E43" s="166"/>
      <c r="F43" s="166"/>
      <c r="H43" s="166" t="s">
        <v>597</v>
      </c>
      <c r="I43" s="166"/>
      <c r="J43" s="166"/>
      <c r="K43" s="166"/>
      <c r="L43" s="166"/>
      <c r="M43" s="166"/>
      <c r="N43" s="166"/>
      <c r="O43" s="166"/>
      <c r="P43" s="166"/>
      <c r="Q43" s="166"/>
      <c r="S43" s="89">
        <v>0</v>
      </c>
    </row>
    <row r="44" spans="1:23" ht="9.9499999999999993" customHeight="1" x14ac:dyDescent="0.2">
      <c r="C44" s="166" t="s">
        <v>129</v>
      </c>
      <c r="D44" s="166"/>
      <c r="E44" s="166"/>
      <c r="F44" s="166"/>
      <c r="H44" s="166" t="s">
        <v>191</v>
      </c>
      <c r="I44" s="166"/>
      <c r="J44" s="166"/>
      <c r="K44" s="166"/>
      <c r="L44" s="166"/>
      <c r="M44" s="166"/>
      <c r="N44" s="166"/>
      <c r="O44" s="166"/>
      <c r="P44" s="166"/>
      <c r="Q44" s="166"/>
      <c r="S44" s="89"/>
    </row>
    <row r="45" spans="1:23" ht="9.9499999999999993" customHeight="1" x14ac:dyDescent="0.2">
      <c r="C45" s="166">
        <v>2241</v>
      </c>
      <c r="D45" s="166"/>
      <c r="E45" s="166"/>
      <c r="F45" s="166"/>
      <c r="H45" s="166" t="s">
        <v>584</v>
      </c>
      <c r="I45" s="166"/>
      <c r="J45" s="166"/>
      <c r="K45" s="166"/>
      <c r="L45" s="166"/>
      <c r="M45" s="166"/>
      <c r="N45" s="166"/>
      <c r="O45" s="166"/>
      <c r="P45" s="166"/>
      <c r="Q45" s="166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6" t="s">
        <v>131</v>
      </c>
      <c r="D47" s="166"/>
      <c r="E47" s="166"/>
      <c r="F47" s="166"/>
      <c r="H47" s="166" t="s">
        <v>192</v>
      </c>
      <c r="I47" s="166"/>
      <c r="J47" s="166"/>
      <c r="K47" s="166"/>
      <c r="L47" s="166"/>
      <c r="M47" s="166"/>
      <c r="N47" s="166"/>
      <c r="O47" s="166"/>
      <c r="P47" s="166"/>
      <c r="Q47" s="166"/>
      <c r="S47" s="89"/>
    </row>
    <row r="48" spans="1:23" ht="9.9499999999999993" customHeight="1" x14ac:dyDescent="0.2">
      <c r="C48" s="166">
        <v>2400</v>
      </c>
      <c r="D48" s="166"/>
      <c r="E48" s="166"/>
      <c r="F48" s="166"/>
      <c r="H48" s="166" t="s">
        <v>205</v>
      </c>
      <c r="I48" s="166"/>
      <c r="J48" s="166"/>
      <c r="K48" s="166"/>
      <c r="L48" s="166"/>
      <c r="M48" s="166"/>
      <c r="N48" s="166"/>
      <c r="O48" s="166"/>
      <c r="P48" s="166"/>
      <c r="Q48" s="166"/>
      <c r="S48" s="89">
        <v>1561.95</v>
      </c>
    </row>
    <row r="49" spans="1:23" ht="9.9499999999999993" customHeight="1" x14ac:dyDescent="0.2">
      <c r="C49" s="166">
        <v>2401</v>
      </c>
      <c r="D49" s="166"/>
      <c r="E49" s="166"/>
      <c r="F49" s="166"/>
      <c r="H49" s="166" t="s">
        <v>575</v>
      </c>
      <c r="I49" s="166"/>
      <c r="J49" s="166"/>
      <c r="K49" s="166"/>
      <c r="L49" s="166"/>
      <c r="M49" s="166"/>
      <c r="N49" s="166"/>
      <c r="O49" s="166"/>
      <c r="P49" s="166"/>
      <c r="Q49" s="166"/>
      <c r="S49" s="79"/>
    </row>
    <row r="50" spans="1:23" ht="9.9499999999999993" customHeight="1" x14ac:dyDescent="0.2"/>
    <row r="51" spans="1:23" ht="9.9499999999999993" customHeight="1" x14ac:dyDescent="0.2">
      <c r="H51" s="164" t="s">
        <v>148</v>
      </c>
      <c r="I51" s="164"/>
      <c r="J51" s="164"/>
      <c r="K51" s="164"/>
      <c r="L51" s="164"/>
      <c r="M51" s="164"/>
      <c r="N51" s="164"/>
      <c r="O51" s="164"/>
      <c r="P51" s="164"/>
      <c r="U51" s="165">
        <f>SUM(S39:S49)</f>
        <v>11293.95</v>
      </c>
      <c r="V51" s="165"/>
      <c r="W51" s="165"/>
    </row>
    <row r="52" spans="1:23" ht="9.9499999999999993" customHeight="1" x14ac:dyDescent="0.2"/>
    <row r="53" spans="1:23" ht="9.9499999999999993" customHeight="1" x14ac:dyDescent="0.2">
      <c r="I53" s="164" t="s">
        <v>159</v>
      </c>
      <c r="J53" s="164"/>
      <c r="K53" s="164"/>
      <c r="L53" s="164"/>
      <c r="M53" s="164"/>
      <c r="N53" s="164"/>
      <c r="O53" s="164"/>
      <c r="P53" s="164"/>
      <c r="U53" s="165">
        <f>U51</f>
        <v>11293.95</v>
      </c>
      <c r="V53" s="165"/>
      <c r="W53" s="165"/>
    </row>
    <row r="54" spans="1:23" ht="9.9499999999999993" customHeight="1" x14ac:dyDescent="0.2"/>
    <row r="55" spans="1:23" ht="9.9499999999999993" customHeight="1" x14ac:dyDescent="0.2">
      <c r="A55" s="164" t="s">
        <v>160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</row>
    <row r="56" spans="1:23" ht="9.9499999999999993" customHeight="1" x14ac:dyDescent="0.2"/>
    <row r="57" spans="1:23" ht="9.9499999999999993" customHeight="1" x14ac:dyDescent="0.2">
      <c r="C57" s="166" t="s">
        <v>165</v>
      </c>
      <c r="D57" s="166"/>
      <c r="E57" s="166"/>
      <c r="F57" s="166"/>
      <c r="H57" s="166" t="s">
        <v>166</v>
      </c>
      <c r="I57" s="166"/>
      <c r="J57" s="166"/>
      <c r="K57" s="166"/>
      <c r="L57" s="166"/>
      <c r="M57" s="166"/>
      <c r="N57" s="166"/>
      <c r="O57" s="166"/>
      <c r="P57" s="166"/>
      <c r="Q57" s="166"/>
      <c r="S57" s="89">
        <v>-35842.15</v>
      </c>
    </row>
    <row r="58" spans="1:23" ht="9.9499999999999993" customHeight="1" x14ac:dyDescent="0.2">
      <c r="C58" s="166" t="s">
        <v>165</v>
      </c>
      <c r="D58" s="166"/>
      <c r="E58" s="166"/>
      <c r="F58" s="166"/>
      <c r="H58" s="166" t="s">
        <v>193</v>
      </c>
      <c r="I58" s="166"/>
      <c r="J58" s="166"/>
      <c r="K58" s="166"/>
      <c r="L58" s="166"/>
      <c r="M58" s="166"/>
      <c r="N58" s="166"/>
      <c r="O58" s="166"/>
      <c r="P58" s="166"/>
      <c r="Q58" s="166"/>
      <c r="S58" s="153">
        <v>380876.75</v>
      </c>
    </row>
    <row r="59" spans="1:23" ht="9.9499999999999993" customHeight="1" x14ac:dyDescent="0.2">
      <c r="C59" s="166">
        <v>3550</v>
      </c>
      <c r="D59" s="166"/>
      <c r="E59" s="166"/>
      <c r="F59" s="166"/>
      <c r="H59" s="166" t="s">
        <v>646</v>
      </c>
      <c r="I59" s="166"/>
      <c r="J59" s="166"/>
      <c r="K59" s="166"/>
      <c r="L59" s="166"/>
      <c r="M59" s="166"/>
      <c r="N59" s="166"/>
      <c r="O59" s="166"/>
      <c r="P59" s="166"/>
      <c r="Q59" s="166"/>
      <c r="S59" s="78"/>
    </row>
    <row r="60" spans="1:23" ht="9.9499999999999993" customHeight="1" x14ac:dyDescent="0.2">
      <c r="C60" s="166">
        <v>3551</v>
      </c>
      <c r="D60" s="166"/>
      <c r="E60" s="166"/>
      <c r="F60" s="166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6">
        <v>3552</v>
      </c>
      <c r="D61" s="166"/>
      <c r="E61" s="166"/>
      <c r="F61" s="166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6">
        <v>3553</v>
      </c>
      <c r="D62" s="166"/>
      <c r="E62" s="166"/>
      <c r="F62" s="166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6">
        <v>3554</v>
      </c>
      <c r="D63" s="166"/>
      <c r="E63" s="166"/>
      <c r="F63" s="166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4" t="s">
        <v>176</v>
      </c>
      <c r="J66" s="164"/>
      <c r="K66" s="164"/>
      <c r="L66" s="164"/>
      <c r="M66" s="164"/>
      <c r="N66" s="164"/>
      <c r="O66" s="164"/>
      <c r="P66" s="164"/>
      <c r="U66" s="165">
        <f>SUM(S57:S65)</f>
        <v>345034.6</v>
      </c>
      <c r="V66" s="165"/>
      <c r="W66" s="165"/>
    </row>
    <row r="67" spans="1:23" ht="9.9499999999999993" customHeight="1" x14ac:dyDescent="0.2"/>
    <row r="68" spans="1:23" ht="9.9499999999999993" customHeight="1" x14ac:dyDescent="0.2">
      <c r="I68" s="164" t="s">
        <v>177</v>
      </c>
      <c r="J68" s="164"/>
      <c r="K68" s="164"/>
      <c r="L68" s="164"/>
      <c r="M68" s="164"/>
      <c r="N68" s="164"/>
      <c r="O68" s="164"/>
      <c r="P68" s="164"/>
      <c r="U68" s="165"/>
      <c r="V68" s="165"/>
      <c r="W68" s="165"/>
    </row>
    <row r="69" spans="1:23" ht="9.9499999999999993" customHeight="1" x14ac:dyDescent="0.2">
      <c r="I69" s="164"/>
      <c r="J69" s="164"/>
      <c r="K69" s="164"/>
      <c r="L69" s="164"/>
      <c r="M69" s="164"/>
      <c r="N69" s="164"/>
      <c r="O69" s="164"/>
      <c r="P69" s="164"/>
      <c r="U69" s="165">
        <f>U53+U66</f>
        <v>356328.55</v>
      </c>
      <c r="V69" s="165"/>
      <c r="W69" s="165"/>
    </row>
    <row r="70" spans="1:23" ht="9.9499999999999993" customHeight="1" x14ac:dyDescent="0.2">
      <c r="U70" s="165"/>
      <c r="V70" s="165"/>
      <c r="W70" s="165"/>
    </row>
    <row r="71" spans="1:23" ht="6" customHeight="1" x14ac:dyDescent="0.2"/>
    <row r="72" spans="1:23" ht="12" customHeight="1" x14ac:dyDescent="0.2">
      <c r="A72" s="178"/>
      <c r="B72" s="178"/>
      <c r="C72" s="178"/>
      <c r="D72" s="178"/>
      <c r="F72" s="180"/>
      <c r="G72" s="180"/>
      <c r="H72" s="180"/>
      <c r="I72" s="180"/>
      <c r="J72" s="180"/>
      <c r="V72" s="92">
        <f>U33-U69</f>
        <v>0</v>
      </c>
      <c r="W72" s="93"/>
    </row>
    <row r="73" spans="1:23" ht="12" customHeight="1" x14ac:dyDescent="0.2">
      <c r="A73" s="178"/>
      <c r="B73" s="178"/>
      <c r="C73" s="178"/>
      <c r="D73" s="178"/>
      <c r="F73" s="179"/>
      <c r="G73" s="179"/>
      <c r="H73" s="179"/>
      <c r="I73" s="179"/>
    </row>
  </sheetData>
  <mergeCells count="87">
    <mergeCell ref="H59:Q59"/>
    <mergeCell ref="C59:F59"/>
    <mergeCell ref="C60:F60"/>
    <mergeCell ref="C61:F61"/>
    <mergeCell ref="C62:F62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A1:X1"/>
    <mergeCell ref="A3:X3"/>
    <mergeCell ref="A4:X4"/>
    <mergeCell ref="A7:M7"/>
    <mergeCell ref="B9:K9"/>
    <mergeCell ref="H19:Q19"/>
    <mergeCell ref="C17:F17"/>
    <mergeCell ref="H17:Q17"/>
    <mergeCell ref="C20:F20"/>
    <mergeCell ref="H20:Q20"/>
    <mergeCell ref="H23:P23"/>
    <mergeCell ref="U23:W23"/>
    <mergeCell ref="B25:K25"/>
    <mergeCell ref="C21:F21"/>
    <mergeCell ref="H21:Q21"/>
    <mergeCell ref="C27:F27"/>
    <mergeCell ref="H27:Q27"/>
    <mergeCell ref="C28:F28"/>
    <mergeCell ref="H28:Q28"/>
    <mergeCell ref="C29:F29"/>
    <mergeCell ref="H29:Q29"/>
    <mergeCell ref="H31:P31"/>
    <mergeCell ref="U31:W31"/>
    <mergeCell ref="I33:P33"/>
    <mergeCell ref="U33:W33"/>
    <mergeCell ref="A35:M35"/>
    <mergeCell ref="B37:K37"/>
    <mergeCell ref="C39:F39"/>
    <mergeCell ref="H39:Q39"/>
    <mergeCell ref="C40:F40"/>
    <mergeCell ref="H40:Q40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7"/>
  <sheetViews>
    <sheetView workbookViewId="0">
      <selection activeCell="F12" sqref="F12"/>
    </sheetView>
  </sheetViews>
  <sheetFormatPr defaultColWidth="9.140625"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81" t="s">
        <v>756</v>
      </c>
      <c r="B2" s="182"/>
      <c r="C2" s="182"/>
      <c r="D2" s="182"/>
      <c r="E2" s="182"/>
      <c r="F2" s="183"/>
    </row>
    <row r="3" spans="1:19" x14ac:dyDescent="0.2">
      <c r="A3" s="184"/>
      <c r="B3" s="185"/>
      <c r="C3" s="185"/>
      <c r="D3" s="185"/>
      <c r="E3" s="185"/>
      <c r="F3" s="186"/>
    </row>
    <row r="4" spans="1:19" x14ac:dyDescent="0.2">
      <c r="A4" s="184"/>
      <c r="B4" s="185"/>
      <c r="C4" s="185"/>
      <c r="D4" s="185"/>
      <c r="E4" s="185"/>
      <c r="F4" s="186"/>
    </row>
    <row r="5" spans="1:19" x14ac:dyDescent="0.2">
      <c r="A5" s="187"/>
      <c r="B5" s="188"/>
      <c r="C5" s="188"/>
      <c r="D5" s="188"/>
      <c r="E5" s="188"/>
      <c r="F5" s="189"/>
    </row>
    <row r="8" spans="1:19" ht="13.5" thickBot="1" x14ac:dyDescent="0.25">
      <c r="A8" s="87"/>
      <c r="B8" s="87"/>
      <c r="C8" s="87"/>
      <c r="D8" s="87"/>
      <c r="E8" s="87"/>
      <c r="F8" s="113" t="s">
        <v>757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770.46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770.46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798626.25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798626.25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1228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800624.71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800624.71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734</v>
      </c>
      <c r="F33" s="114">
        <v>398.86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317318.53000000003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0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12786.51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330503.90000000002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330503.90000000002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330503.90000000002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44728.79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470120.81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800624.71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7"/>
  <sheetViews>
    <sheetView topLeftCell="A16" zoomScaleNormal="100" workbookViewId="0">
      <selection activeCell="K85" sqref="K85"/>
    </sheetView>
  </sheetViews>
  <sheetFormatPr defaultColWidth="9.140625"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752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90"/>
      <c r="I4" s="190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90"/>
      <c r="I5" s="190"/>
    </row>
    <row r="6" spans="1:9" x14ac:dyDescent="0.2">
      <c r="A6" s="81"/>
      <c r="B6" s="81"/>
      <c r="C6" s="81"/>
      <c r="D6" s="81" t="s">
        <v>338</v>
      </c>
      <c r="E6" s="81"/>
      <c r="F6" s="103">
        <v>81665.39</v>
      </c>
      <c r="H6" s="190"/>
      <c r="I6" s="190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7588.59</v>
      </c>
      <c r="H7" s="190"/>
      <c r="I7" s="190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89488.98</v>
      </c>
      <c r="H8" s="190"/>
      <c r="I8" s="190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89488.98</v>
      </c>
      <c r="H9" s="190"/>
      <c r="I9" s="190"/>
    </row>
    <row r="10" spans="1:9" x14ac:dyDescent="0.2">
      <c r="A10" s="81"/>
      <c r="B10" s="81" t="s">
        <v>409</v>
      </c>
      <c r="C10" s="81"/>
      <c r="D10" s="81"/>
      <c r="E10" s="81"/>
      <c r="F10" s="103"/>
      <c r="H10" s="190"/>
      <c r="I10" s="190"/>
    </row>
    <row r="11" spans="1:9" x14ac:dyDescent="0.2">
      <c r="A11" s="81"/>
      <c r="B11" s="81"/>
      <c r="C11" s="81"/>
      <c r="D11" s="81" t="s">
        <v>660</v>
      </c>
      <c r="E11" s="81"/>
      <c r="F11" s="103"/>
      <c r="H11" s="190"/>
      <c r="I11" s="190"/>
    </row>
    <row r="12" spans="1:9" x14ac:dyDescent="0.2">
      <c r="A12" s="81"/>
      <c r="B12" s="81"/>
      <c r="C12" s="81"/>
      <c r="D12" s="81" t="s">
        <v>708</v>
      </c>
      <c r="E12" s="81"/>
      <c r="F12" s="103"/>
      <c r="H12" s="190"/>
      <c r="I12" s="190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0</v>
      </c>
      <c r="H13" s="190"/>
      <c r="I13" s="190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0</v>
      </c>
      <c r="H14" s="190"/>
      <c r="I14" s="190"/>
    </row>
    <row r="15" spans="1:9" x14ac:dyDescent="0.2">
      <c r="A15" s="81"/>
      <c r="B15" s="81" t="s">
        <v>341</v>
      </c>
      <c r="C15" s="81"/>
      <c r="D15" s="81"/>
      <c r="E15" s="81"/>
      <c r="F15" s="103"/>
      <c r="H15" s="190"/>
      <c r="I15" s="190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758</v>
      </c>
      <c r="D42" s="81"/>
      <c r="E42" s="157"/>
      <c r="F42" s="103">
        <v>65674.710000000006</v>
      </c>
    </row>
    <row r="43" spans="1:6" x14ac:dyDescent="0.2">
      <c r="A43" s="81"/>
      <c r="B43" s="81"/>
      <c r="C43" s="81" t="s">
        <v>759</v>
      </c>
      <c r="D43" s="81"/>
      <c r="E43" s="157"/>
      <c r="F43" s="103">
        <v>85015.86</v>
      </c>
    </row>
    <row r="44" spans="1:6" x14ac:dyDescent="0.2">
      <c r="A44" s="81"/>
      <c r="B44" s="81"/>
      <c r="C44" s="81" t="s">
        <v>760</v>
      </c>
      <c r="D44" s="81"/>
      <c r="E44" s="157"/>
      <c r="F44" s="103">
        <v>35407</v>
      </c>
    </row>
    <row r="45" spans="1:6" x14ac:dyDescent="0.2">
      <c r="A45" s="81"/>
      <c r="B45" s="81"/>
      <c r="C45" s="81" t="s">
        <v>761</v>
      </c>
      <c r="D45" s="81"/>
      <c r="E45" s="157"/>
      <c r="F45" s="103">
        <v>52973.599999999999</v>
      </c>
    </row>
    <row r="46" spans="1:6" x14ac:dyDescent="0.2">
      <c r="A46" s="81"/>
      <c r="B46" s="81"/>
      <c r="C46" s="81" t="s">
        <v>762</v>
      </c>
      <c r="D46" s="81"/>
      <c r="E46" s="157"/>
      <c r="F46" s="103">
        <v>30526.15</v>
      </c>
    </row>
    <row r="47" spans="1:6" x14ac:dyDescent="0.2">
      <c r="A47" s="81"/>
      <c r="B47" s="81"/>
      <c r="C47" s="81" t="s">
        <v>763</v>
      </c>
      <c r="D47" s="81"/>
      <c r="E47" s="157"/>
      <c r="F47" s="103">
        <v>35500</v>
      </c>
    </row>
    <row r="48" spans="1:6" ht="13.5" thickBot="1" x14ac:dyDescent="0.25">
      <c r="A48" s="81"/>
      <c r="B48" s="81"/>
      <c r="C48" s="81" t="s">
        <v>365</v>
      </c>
      <c r="D48" s="81"/>
      <c r="E48" s="81"/>
      <c r="F48" s="109">
        <v>-2648939.4500000002</v>
      </c>
    </row>
    <row r="49" spans="1:7" x14ac:dyDescent="0.2">
      <c r="A49" s="81"/>
      <c r="B49" s="81" t="s">
        <v>366</v>
      </c>
      <c r="C49" s="81"/>
      <c r="D49" s="81"/>
      <c r="E49" s="81"/>
      <c r="F49" s="103">
        <f>ROUND(SUM(F15:F48),5)</f>
        <v>1862975.5</v>
      </c>
    </row>
    <row r="50" spans="1:7" x14ac:dyDescent="0.2">
      <c r="A50" s="81"/>
      <c r="B50" s="81" t="s">
        <v>218</v>
      </c>
      <c r="C50" s="81"/>
      <c r="D50" s="81"/>
      <c r="E50" s="81"/>
      <c r="F50" s="103"/>
    </row>
    <row r="51" spans="1:7" x14ac:dyDescent="0.2">
      <c r="A51" s="81"/>
      <c r="B51" s="81"/>
      <c r="C51" s="81" t="s">
        <v>396</v>
      </c>
      <c r="D51" s="81"/>
      <c r="E51" s="81"/>
      <c r="F51" s="103">
        <v>0</v>
      </c>
    </row>
    <row r="52" spans="1:7" ht="13.5" thickBot="1" x14ac:dyDescent="0.25">
      <c r="A52" s="81"/>
      <c r="B52" s="81"/>
      <c r="C52" s="81" t="s">
        <v>367</v>
      </c>
      <c r="D52" s="81"/>
      <c r="E52" s="81"/>
      <c r="F52" s="103">
        <v>11989.17</v>
      </c>
    </row>
    <row r="53" spans="1:7" ht="13.5" thickBot="1" x14ac:dyDescent="0.25">
      <c r="A53" s="81"/>
      <c r="B53" s="81" t="s">
        <v>368</v>
      </c>
      <c r="C53" s="81"/>
      <c r="D53" s="81"/>
      <c r="E53" s="81"/>
      <c r="F53" s="105">
        <f>ROUND(SUM(F50:F52),5)</f>
        <v>11989.17</v>
      </c>
    </row>
    <row r="54" spans="1:7" ht="13.5" thickBot="1" x14ac:dyDescent="0.25">
      <c r="A54" s="83" t="s">
        <v>369</v>
      </c>
      <c r="B54" s="83"/>
      <c r="C54" s="83"/>
      <c r="D54" s="83"/>
      <c r="E54" s="83"/>
      <c r="F54" s="106">
        <f>ROUND(F2+F9+F49+F53+F14,5)</f>
        <v>1964453.65</v>
      </c>
      <c r="G54" s="100"/>
    </row>
    <row r="55" spans="1:7" ht="13.5" thickTop="1" x14ac:dyDescent="0.2">
      <c r="A55" s="81" t="s">
        <v>370</v>
      </c>
      <c r="B55" s="81"/>
      <c r="C55" s="81"/>
      <c r="D55" s="81"/>
      <c r="E55" s="81"/>
      <c r="F55" s="103"/>
    </row>
    <row r="56" spans="1:7" x14ac:dyDescent="0.2">
      <c r="A56" s="81"/>
      <c r="B56" s="81" t="s">
        <v>105</v>
      </c>
      <c r="C56" s="81"/>
      <c r="D56" s="81"/>
      <c r="E56" s="81"/>
      <c r="F56" s="103"/>
    </row>
    <row r="57" spans="1:7" x14ac:dyDescent="0.2">
      <c r="A57" s="81"/>
      <c r="B57" s="81"/>
      <c r="C57" s="81" t="s">
        <v>106</v>
      </c>
      <c r="D57" s="81"/>
      <c r="E57" s="81"/>
      <c r="F57" s="103"/>
    </row>
    <row r="58" spans="1:7" x14ac:dyDescent="0.2">
      <c r="A58" s="81"/>
      <c r="B58" s="81"/>
      <c r="C58" s="81"/>
      <c r="D58" s="81" t="s">
        <v>371</v>
      </c>
      <c r="E58" s="81"/>
      <c r="F58" s="103"/>
    </row>
    <row r="59" spans="1:7" x14ac:dyDescent="0.2">
      <c r="A59" s="81"/>
      <c r="B59" s="81"/>
      <c r="C59" s="81"/>
      <c r="D59" s="81"/>
      <c r="E59" s="81" t="s">
        <v>613</v>
      </c>
      <c r="F59" s="103">
        <v>50269.42</v>
      </c>
    </row>
    <row r="60" spans="1:7" x14ac:dyDescent="0.2">
      <c r="A60" s="81"/>
      <c r="B60" s="81"/>
      <c r="C60" s="81"/>
      <c r="D60" s="81"/>
      <c r="E60" s="81" t="s">
        <v>372</v>
      </c>
      <c r="F60" s="103"/>
    </row>
    <row r="61" spans="1:7" x14ac:dyDescent="0.2">
      <c r="A61" s="81"/>
      <c r="B61" s="81"/>
      <c r="C61" s="81"/>
      <c r="D61" s="81"/>
      <c r="E61" s="81" t="s">
        <v>373</v>
      </c>
      <c r="F61" s="103">
        <v>0</v>
      </c>
    </row>
    <row r="62" spans="1:7" x14ac:dyDescent="0.2">
      <c r="A62" s="81"/>
      <c r="B62" s="81"/>
      <c r="C62" s="81"/>
      <c r="D62" s="81"/>
      <c r="E62" s="81" t="s">
        <v>374</v>
      </c>
      <c r="F62" s="103"/>
    </row>
    <row r="63" spans="1:7" x14ac:dyDescent="0.2">
      <c r="A63" s="81"/>
      <c r="B63" s="81"/>
      <c r="C63" s="81"/>
      <c r="D63" s="81"/>
      <c r="E63" s="81" t="s">
        <v>592</v>
      </c>
      <c r="F63" s="103">
        <v>0</v>
      </c>
    </row>
    <row r="64" spans="1:7" x14ac:dyDescent="0.2">
      <c r="A64" s="81"/>
      <c r="B64" s="81"/>
      <c r="C64" s="81"/>
      <c r="D64" s="81"/>
      <c r="E64" s="81" t="s">
        <v>375</v>
      </c>
      <c r="F64" s="103">
        <v>0</v>
      </c>
    </row>
    <row r="65" spans="1:6" x14ac:dyDescent="0.2">
      <c r="A65" s="81"/>
      <c r="B65" s="81"/>
      <c r="C65" s="81"/>
      <c r="D65" s="81"/>
      <c r="E65" s="81" t="s">
        <v>376</v>
      </c>
      <c r="F65" s="103">
        <v>2900</v>
      </c>
    </row>
    <row r="66" spans="1:6" x14ac:dyDescent="0.2">
      <c r="A66" s="81"/>
      <c r="B66" s="81"/>
      <c r="C66" s="81"/>
      <c r="D66" s="81"/>
      <c r="E66" s="81" t="s">
        <v>530</v>
      </c>
      <c r="F66" s="103">
        <v>2749.91</v>
      </c>
    </row>
    <row r="67" spans="1:6" x14ac:dyDescent="0.2">
      <c r="A67" s="81"/>
      <c r="B67" s="81"/>
      <c r="C67" s="81"/>
      <c r="D67" s="81"/>
      <c r="E67" s="81" t="s">
        <v>377</v>
      </c>
      <c r="F67" s="103"/>
    </row>
    <row r="68" spans="1:6" x14ac:dyDescent="0.2">
      <c r="A68" s="81"/>
      <c r="B68" s="81"/>
      <c r="C68" s="81"/>
      <c r="D68" s="81"/>
      <c r="E68" s="81" t="s">
        <v>378</v>
      </c>
      <c r="F68" s="103">
        <v>1072174.52</v>
      </c>
    </row>
    <row r="69" spans="1:6" x14ac:dyDescent="0.2">
      <c r="A69" s="81"/>
      <c r="B69" s="81"/>
      <c r="C69" s="81"/>
      <c r="D69" s="81"/>
      <c r="E69" s="81" t="s">
        <v>379</v>
      </c>
      <c r="F69" s="103">
        <v>0</v>
      </c>
    </row>
    <row r="70" spans="1:6" x14ac:dyDescent="0.2">
      <c r="A70" s="81"/>
      <c r="B70" s="81"/>
      <c r="C70" s="81"/>
      <c r="D70" s="81"/>
      <c r="E70" s="81" t="s">
        <v>380</v>
      </c>
      <c r="F70" s="103">
        <v>7322.29</v>
      </c>
    </row>
    <row r="71" spans="1:6" x14ac:dyDescent="0.2">
      <c r="A71" s="81"/>
      <c r="B71" s="81"/>
      <c r="C71" s="81"/>
      <c r="D71" s="81"/>
      <c r="E71" s="81" t="s">
        <v>615</v>
      </c>
      <c r="F71" s="103"/>
    </row>
    <row r="72" spans="1:6" ht="13.5" thickBot="1" x14ac:dyDescent="0.25">
      <c r="A72" s="81"/>
      <c r="B72" s="81"/>
      <c r="C72" s="81"/>
      <c r="D72" s="81"/>
      <c r="E72" s="157" t="s">
        <v>748</v>
      </c>
      <c r="F72" s="103">
        <v>0</v>
      </c>
    </row>
    <row r="73" spans="1:6" ht="13.5" thickBot="1" x14ac:dyDescent="0.25">
      <c r="A73" s="81"/>
      <c r="B73" s="81"/>
      <c r="C73" s="81"/>
      <c r="D73" s="81" t="s">
        <v>381</v>
      </c>
      <c r="E73" s="81"/>
      <c r="F73" s="104">
        <f>ROUND(SUM(F58:F72),5)</f>
        <v>1135416.1399999999</v>
      </c>
    </row>
    <row r="74" spans="1:6" x14ac:dyDescent="0.2">
      <c r="A74" s="81"/>
      <c r="B74" s="81"/>
      <c r="C74" s="81" t="s">
        <v>382</v>
      </c>
      <c r="D74" s="81"/>
      <c r="E74" s="81"/>
      <c r="F74" s="103">
        <f>ROUND(F57+F73,5)</f>
        <v>1135416.1399999999</v>
      </c>
    </row>
    <row r="75" spans="1:6" x14ac:dyDescent="0.2">
      <c r="A75" s="81"/>
      <c r="B75" s="81"/>
      <c r="C75" s="81" t="s">
        <v>149</v>
      </c>
      <c r="D75" s="81"/>
      <c r="E75" s="81"/>
      <c r="F75" s="103"/>
    </row>
    <row r="76" spans="1:6" x14ac:dyDescent="0.2">
      <c r="A76" s="81"/>
      <c r="B76" s="81"/>
      <c r="C76" s="81"/>
      <c r="D76" s="81" t="s">
        <v>383</v>
      </c>
      <c r="E76" s="81"/>
      <c r="F76" s="103">
        <v>1038675.03</v>
      </c>
    </row>
    <row r="77" spans="1:6" ht="13.5" thickBot="1" x14ac:dyDescent="0.25">
      <c r="A77" s="81"/>
      <c r="B77" s="81"/>
      <c r="C77" s="81"/>
      <c r="D77" s="81" t="s">
        <v>384</v>
      </c>
      <c r="E77" s="81"/>
      <c r="F77" s="103">
        <v>1086025.01</v>
      </c>
    </row>
    <row r="78" spans="1:6" ht="13.5" thickBot="1" x14ac:dyDescent="0.25">
      <c r="A78" s="81"/>
      <c r="B78" s="81"/>
      <c r="C78" s="81" t="s">
        <v>319</v>
      </c>
      <c r="D78" s="81"/>
      <c r="E78" s="81"/>
      <c r="F78" s="104">
        <f>ROUND(SUM(F75:F77),5)</f>
        <v>2124700.04</v>
      </c>
    </row>
    <row r="79" spans="1:6" x14ac:dyDescent="0.2">
      <c r="A79" s="81"/>
      <c r="B79" s="81" t="s">
        <v>320</v>
      </c>
      <c r="C79" s="81"/>
      <c r="D79" s="81"/>
      <c r="E79" s="81"/>
      <c r="F79" s="103">
        <f>ROUND(F56+F74+F78,5)</f>
        <v>3260116.18</v>
      </c>
    </row>
    <row r="80" spans="1:6" x14ac:dyDescent="0.2">
      <c r="A80" s="81"/>
      <c r="B80" s="81" t="s">
        <v>160</v>
      </c>
      <c r="C80" s="81"/>
      <c r="D80" s="81"/>
      <c r="E80" s="81"/>
      <c r="F80" s="103"/>
    </row>
    <row r="81" spans="1:7" x14ac:dyDescent="0.2">
      <c r="A81" s="81"/>
      <c r="B81" s="81"/>
      <c r="C81" s="81" t="s">
        <v>385</v>
      </c>
      <c r="D81" s="81"/>
      <c r="E81" s="81"/>
      <c r="F81" s="103">
        <v>24927.59</v>
      </c>
    </row>
    <row r="82" spans="1:7" x14ac:dyDescent="0.2">
      <c r="A82" s="81"/>
      <c r="B82" s="81"/>
      <c r="C82" s="81" t="s">
        <v>386</v>
      </c>
      <c r="D82" s="81"/>
      <c r="E82" s="81"/>
      <c r="F82" s="103">
        <v>-1189372.3600000001</v>
      </c>
    </row>
    <row r="83" spans="1:7" ht="13.5" thickBot="1" x14ac:dyDescent="0.25">
      <c r="A83" s="81"/>
      <c r="B83" s="81"/>
      <c r="C83" s="81" t="s">
        <v>387</v>
      </c>
      <c r="D83" s="81"/>
      <c r="E83" s="81"/>
      <c r="F83" s="103">
        <v>-131217.76</v>
      </c>
    </row>
    <row r="84" spans="1:7" ht="13.5" thickBot="1" x14ac:dyDescent="0.25">
      <c r="A84" s="81"/>
      <c r="B84" s="81" t="s">
        <v>331</v>
      </c>
      <c r="C84" s="81"/>
      <c r="D84" s="81"/>
      <c r="E84" s="81"/>
      <c r="F84" s="105">
        <f>ROUND(SUM(F80:F83),5)</f>
        <v>-1295662.53</v>
      </c>
    </row>
    <row r="85" spans="1:7" ht="13.5" thickBot="1" x14ac:dyDescent="0.25">
      <c r="A85" s="83" t="s">
        <v>388</v>
      </c>
      <c r="B85" s="83"/>
      <c r="C85" s="83"/>
      <c r="D85" s="83"/>
      <c r="E85" s="83"/>
      <c r="F85" s="106">
        <f>ROUND(F55+F79+F84,5)</f>
        <v>1964453.65</v>
      </c>
      <c r="G85" s="100"/>
    </row>
    <row r="86" spans="1:7" ht="13.5" thickTop="1" x14ac:dyDescent="0.2"/>
    <row r="87" spans="1:7" x14ac:dyDescent="0.2">
      <c r="E87" s="85" t="s">
        <v>392</v>
      </c>
      <c r="F87" s="108">
        <f>F54-F85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workbookViewId="0">
      <selection activeCell="L76" sqref="L76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1" t="s">
        <v>407</v>
      </c>
      <c r="C2" s="191"/>
      <c r="D2" s="191"/>
      <c r="E2" s="191"/>
      <c r="F2" s="191"/>
    </row>
    <row r="3" spans="1:19" x14ac:dyDescent="0.2">
      <c r="A3" s="100"/>
      <c r="B3" s="191"/>
      <c r="C3" s="191"/>
      <c r="D3" s="191"/>
      <c r="E3" s="191"/>
      <c r="F3" s="19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750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278849.59999999998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278849.59999999998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1086025.01</v>
      </c>
    </row>
    <row r="13" spans="1:19" x14ac:dyDescent="0.2">
      <c r="A13" s="83"/>
      <c r="B13" s="83"/>
      <c r="C13" s="83"/>
      <c r="D13" s="83" t="s">
        <v>569</v>
      </c>
      <c r="E13" s="83"/>
      <c r="F13" s="103">
        <v>1050000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2136025.0099999998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2414874.61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-1668016.27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60039.74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5557500.9000000004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3000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112781.83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115781.83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115781.83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363531.83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164184.82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5193969.07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5557500.9000000004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G83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7" x14ac:dyDescent="0.2">
      <c r="B2" s="191" t="s">
        <v>502</v>
      </c>
      <c r="C2" s="191"/>
      <c r="D2" s="191"/>
      <c r="E2" s="191"/>
    </row>
    <row r="3" spans="1:7" x14ac:dyDescent="0.2">
      <c r="B3" s="191"/>
      <c r="C3" s="191"/>
      <c r="D3" s="191"/>
      <c r="E3" s="191"/>
    </row>
    <row r="5" spans="1:7" ht="13.5" thickBot="1" x14ac:dyDescent="0.25">
      <c r="A5" s="101"/>
      <c r="B5" s="101"/>
      <c r="C5" s="101"/>
      <c r="D5" s="101"/>
      <c r="E5" s="102" t="s">
        <v>752</v>
      </c>
    </row>
    <row r="6" spans="1:7" ht="13.5" thickTop="1" x14ac:dyDescent="0.2">
      <c r="A6" s="83" t="s">
        <v>335</v>
      </c>
      <c r="B6" s="83"/>
      <c r="C6" s="83"/>
      <c r="D6" s="83"/>
      <c r="E6" s="103"/>
    </row>
    <row r="7" spans="1:7" x14ac:dyDescent="0.2">
      <c r="A7" s="83"/>
      <c r="B7" s="83" t="s">
        <v>3</v>
      </c>
      <c r="C7" s="83"/>
      <c r="D7" s="83"/>
      <c r="E7" s="103"/>
    </row>
    <row r="8" spans="1:7" x14ac:dyDescent="0.2">
      <c r="A8" s="83"/>
      <c r="B8" s="83"/>
      <c r="C8" s="83" t="s">
        <v>336</v>
      </c>
      <c r="D8" s="83"/>
      <c r="E8" s="103"/>
    </row>
    <row r="9" spans="1:7" ht="13.5" thickBot="1" x14ac:dyDescent="0.25">
      <c r="A9" s="83"/>
      <c r="B9" s="83"/>
      <c r="C9" s="83" t="s">
        <v>481</v>
      </c>
      <c r="E9" s="103">
        <v>222840.09</v>
      </c>
    </row>
    <row r="10" spans="1:7" ht="13.5" thickBot="1" x14ac:dyDescent="0.25">
      <c r="A10" s="83"/>
      <c r="B10" s="83"/>
      <c r="C10" s="83" t="s">
        <v>340</v>
      </c>
      <c r="D10" s="83"/>
      <c r="E10" s="104">
        <f>ROUND(SUM(E8:E9),5)</f>
        <v>222840.09</v>
      </c>
    </row>
    <row r="11" spans="1:7" x14ac:dyDescent="0.2">
      <c r="A11" s="83"/>
      <c r="B11" s="83"/>
      <c r="C11" s="83"/>
      <c r="D11" s="83"/>
      <c r="E11" s="103"/>
    </row>
    <row r="12" spans="1:7" x14ac:dyDescent="0.2">
      <c r="A12" s="83"/>
      <c r="B12" s="83"/>
      <c r="C12" s="83" t="s">
        <v>550</v>
      </c>
      <c r="D12" s="83"/>
      <c r="E12" s="103"/>
    </row>
    <row r="13" spans="1:7" x14ac:dyDescent="0.2">
      <c r="A13" s="83"/>
      <c r="B13" s="83"/>
      <c r="C13" s="83" t="s">
        <v>551</v>
      </c>
      <c r="E13" s="103">
        <v>0</v>
      </c>
    </row>
    <row r="14" spans="1:7" x14ac:dyDescent="0.2">
      <c r="A14" s="83"/>
      <c r="B14" s="83"/>
      <c r="C14" s="83" t="s">
        <v>571</v>
      </c>
      <c r="E14" s="103">
        <v>1900000</v>
      </c>
      <c r="G14" s="75" t="s">
        <v>572</v>
      </c>
    </row>
    <row r="15" spans="1:7" x14ac:dyDescent="0.2">
      <c r="A15" s="83"/>
      <c r="B15" s="83"/>
      <c r="C15" s="83" t="s">
        <v>652</v>
      </c>
      <c r="E15" s="103">
        <v>0</v>
      </c>
    </row>
    <row r="16" spans="1:7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1900000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2122840.09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-1121946.24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-123083.97</v>
      </c>
    </row>
    <row r="24" spans="1:5" x14ac:dyDescent="0.2">
      <c r="A24" s="83"/>
      <c r="B24" s="83"/>
      <c r="C24" s="83" t="s">
        <v>485</v>
      </c>
      <c r="D24" s="83"/>
      <c r="E24" s="103">
        <v>-186053.99</v>
      </c>
    </row>
    <row r="25" spans="1:5" x14ac:dyDescent="0.2">
      <c r="A25" s="83"/>
      <c r="B25" s="83"/>
      <c r="C25" s="83" t="s">
        <v>638</v>
      </c>
      <c r="D25" s="83"/>
      <c r="E25" s="103"/>
    </row>
    <row r="26" spans="1:5" x14ac:dyDescent="0.2">
      <c r="A26" s="83"/>
      <c r="B26" s="83"/>
      <c r="C26" s="83" t="s">
        <v>764</v>
      </c>
      <c r="D26" s="83"/>
      <c r="E26" s="103">
        <v>-5272.15</v>
      </c>
    </row>
    <row r="27" spans="1:5" x14ac:dyDescent="0.2">
      <c r="A27" s="83"/>
      <c r="B27" s="83"/>
      <c r="C27" s="83" t="s">
        <v>486</v>
      </c>
      <c r="D27" s="83"/>
      <c r="E27" s="103">
        <v>6396505.0499999998</v>
      </c>
    </row>
    <row r="28" spans="1:5" x14ac:dyDescent="0.2">
      <c r="A28" s="83"/>
      <c r="B28" s="83"/>
      <c r="C28" s="83" t="s">
        <v>504</v>
      </c>
      <c r="D28" s="83"/>
      <c r="E28" s="103">
        <v>0</v>
      </c>
    </row>
    <row r="29" spans="1:5" x14ac:dyDescent="0.2">
      <c r="A29" s="83"/>
      <c r="B29" s="83"/>
      <c r="C29" s="83" t="s">
        <v>487</v>
      </c>
      <c r="D29" s="83"/>
      <c r="E29" s="103">
        <v>9394.19</v>
      </c>
    </row>
    <row r="30" spans="1:5" x14ac:dyDescent="0.2">
      <c r="A30" s="83"/>
      <c r="B30" s="83"/>
      <c r="C30" s="83" t="s">
        <v>488</v>
      </c>
      <c r="D30" s="83"/>
      <c r="E30" s="103">
        <v>1898482.76</v>
      </c>
    </row>
    <row r="31" spans="1:5" x14ac:dyDescent="0.2">
      <c r="A31" s="83"/>
      <c r="B31" s="83"/>
      <c r="C31" s="83" t="s">
        <v>489</v>
      </c>
      <c r="D31" s="83"/>
      <c r="E31" s="103">
        <v>152311.53</v>
      </c>
    </row>
    <row r="32" spans="1:5" x14ac:dyDescent="0.2">
      <c r="A32" s="83"/>
      <c r="B32" s="83"/>
      <c r="C32" s="83" t="s">
        <v>490</v>
      </c>
      <c r="D32" s="83"/>
      <c r="E32" s="103">
        <v>230237.91</v>
      </c>
    </row>
    <row r="33" spans="1:5" x14ac:dyDescent="0.2">
      <c r="A33" s="83"/>
      <c r="B33" s="83"/>
      <c r="C33" s="83" t="s">
        <v>578</v>
      </c>
      <c r="D33" s="83"/>
      <c r="E33" s="103"/>
    </row>
    <row r="34" spans="1:5" x14ac:dyDescent="0.2">
      <c r="A34" s="83"/>
      <c r="B34" s="83"/>
      <c r="C34" s="83" t="s">
        <v>765</v>
      </c>
      <c r="D34" s="83"/>
      <c r="E34" s="103">
        <v>1322143.49</v>
      </c>
    </row>
    <row r="35" spans="1:5" x14ac:dyDescent="0.2">
      <c r="A35" s="83"/>
      <c r="B35" s="83"/>
      <c r="C35" s="83" t="s">
        <v>766</v>
      </c>
      <c r="D35" s="83"/>
      <c r="E35" s="103">
        <v>23343.8</v>
      </c>
    </row>
    <row r="36" spans="1:5" x14ac:dyDescent="0.2">
      <c r="A36" s="83"/>
      <c r="B36" s="83"/>
      <c r="C36" s="83" t="s">
        <v>767</v>
      </c>
      <c r="D36" s="83"/>
      <c r="E36" s="103">
        <v>37587.32</v>
      </c>
    </row>
    <row r="37" spans="1:5" x14ac:dyDescent="0.2">
      <c r="A37" s="83"/>
      <c r="B37" s="83"/>
      <c r="C37" s="83" t="s">
        <v>768</v>
      </c>
      <c r="D37" s="83"/>
      <c r="E37" s="103">
        <v>222128.94</v>
      </c>
    </row>
    <row r="38" spans="1:5" x14ac:dyDescent="0.2">
      <c r="A38" s="83"/>
      <c r="B38" s="83"/>
      <c r="C38" s="83" t="s">
        <v>769</v>
      </c>
      <c r="D38" s="83"/>
      <c r="E38" s="103">
        <v>63718.43</v>
      </c>
    </row>
    <row r="39" spans="1:5" x14ac:dyDescent="0.2">
      <c r="A39" s="83"/>
      <c r="B39" s="83"/>
      <c r="C39" s="83" t="s">
        <v>770</v>
      </c>
      <c r="D39" s="83"/>
      <c r="E39" s="103">
        <v>56359.05</v>
      </c>
    </row>
    <row r="40" spans="1:5" x14ac:dyDescent="0.2">
      <c r="A40" s="83"/>
      <c r="B40" s="83"/>
      <c r="C40" s="83" t="s">
        <v>771</v>
      </c>
      <c r="D40" s="83"/>
      <c r="E40" s="103">
        <v>104945.98</v>
      </c>
    </row>
    <row r="41" spans="1:5" x14ac:dyDescent="0.2">
      <c r="A41" s="83"/>
      <c r="B41" s="83"/>
      <c r="C41" s="83" t="s">
        <v>772</v>
      </c>
      <c r="D41" s="83"/>
      <c r="E41" s="103">
        <v>90589.28</v>
      </c>
    </row>
    <row r="42" spans="1:5" x14ac:dyDescent="0.2">
      <c r="A42" s="83"/>
      <c r="B42" s="83"/>
      <c r="C42" s="83" t="s">
        <v>773</v>
      </c>
      <c r="D42" s="83"/>
      <c r="E42" s="103">
        <v>56338.84</v>
      </c>
    </row>
    <row r="43" spans="1:5" ht="13.5" thickBot="1" x14ac:dyDescent="0.25">
      <c r="A43" s="83"/>
      <c r="B43" s="83"/>
      <c r="C43" s="83" t="s">
        <v>774</v>
      </c>
      <c r="D43" s="83"/>
      <c r="E43" s="103">
        <v>34200</v>
      </c>
    </row>
    <row r="44" spans="1:5" ht="13.5" thickBot="1" x14ac:dyDescent="0.25">
      <c r="A44" s="83"/>
      <c r="B44" s="83" t="s">
        <v>366</v>
      </c>
      <c r="C44" s="83"/>
      <c r="D44" s="83"/>
      <c r="E44" s="105">
        <f>ROUND(SUM(E20:E43),5)</f>
        <v>9252536.0199999996</v>
      </c>
    </row>
    <row r="45" spans="1:5" ht="13.5" thickBot="1" x14ac:dyDescent="0.25">
      <c r="A45" s="83" t="s">
        <v>369</v>
      </c>
      <c r="B45" s="83"/>
      <c r="C45" s="83"/>
      <c r="D45" s="83"/>
      <c r="E45" s="106">
        <f>ROUND(E6+E19+E44,5)</f>
        <v>11375376.109999999</v>
      </c>
    </row>
    <row r="46" spans="1:5" ht="13.5" thickTop="1" x14ac:dyDescent="0.2">
      <c r="A46" s="83" t="s">
        <v>370</v>
      </c>
      <c r="B46" s="83"/>
      <c r="C46" s="83"/>
      <c r="D46" s="83"/>
      <c r="E46" s="103"/>
    </row>
    <row r="47" spans="1:5" x14ac:dyDescent="0.2">
      <c r="A47" s="83"/>
      <c r="B47" s="83" t="s">
        <v>105</v>
      </c>
      <c r="C47" s="83"/>
      <c r="D47" s="83"/>
      <c r="E47" s="103"/>
    </row>
    <row r="48" spans="1:5" x14ac:dyDescent="0.2">
      <c r="A48" s="83"/>
      <c r="B48" s="83"/>
      <c r="C48" s="83" t="s">
        <v>106</v>
      </c>
      <c r="D48" s="83"/>
      <c r="E48" s="103"/>
    </row>
    <row r="49" spans="1:5" x14ac:dyDescent="0.2">
      <c r="A49" s="83"/>
      <c r="B49" s="83"/>
      <c r="C49" s="83" t="s">
        <v>371</v>
      </c>
      <c r="D49" s="83"/>
      <c r="E49" s="103"/>
    </row>
    <row r="50" spans="1:5" x14ac:dyDescent="0.2">
      <c r="A50" s="83"/>
      <c r="B50" s="83"/>
      <c r="C50" s="83" t="s">
        <v>639</v>
      </c>
      <c r="D50" s="83"/>
      <c r="E50" s="103">
        <v>0</v>
      </c>
    </row>
    <row r="51" spans="1:5" x14ac:dyDescent="0.2">
      <c r="A51" s="83"/>
      <c r="B51" s="83"/>
      <c r="C51" s="83" t="s">
        <v>640</v>
      </c>
      <c r="D51" s="83"/>
      <c r="E51" s="103">
        <v>0</v>
      </c>
    </row>
    <row r="52" spans="1:5" x14ac:dyDescent="0.2">
      <c r="A52" s="83"/>
      <c r="B52" s="83"/>
      <c r="C52" s="83" t="s">
        <v>641</v>
      </c>
      <c r="D52" s="83"/>
      <c r="E52" s="103">
        <v>0</v>
      </c>
    </row>
    <row r="53" spans="1:5" x14ac:dyDescent="0.2">
      <c r="A53" s="83"/>
      <c r="B53" s="83"/>
      <c r="C53" s="83" t="s">
        <v>642</v>
      </c>
      <c r="D53" s="83"/>
      <c r="E53" s="103">
        <v>0</v>
      </c>
    </row>
    <row r="54" spans="1:5" x14ac:dyDescent="0.2">
      <c r="A54" s="83"/>
      <c r="B54" s="83"/>
      <c r="C54" s="83" t="s">
        <v>626</v>
      </c>
      <c r="D54" s="83"/>
      <c r="E54" s="103">
        <v>0</v>
      </c>
    </row>
    <row r="55" spans="1:5" x14ac:dyDescent="0.2">
      <c r="A55" s="83"/>
      <c r="B55" s="83"/>
      <c r="C55" s="83" t="s">
        <v>491</v>
      </c>
      <c r="E55" s="103">
        <v>0</v>
      </c>
    </row>
    <row r="56" spans="1:5" x14ac:dyDescent="0.2">
      <c r="A56" s="83"/>
      <c r="B56" s="83"/>
      <c r="C56" s="83" t="s">
        <v>579</v>
      </c>
      <c r="E56" s="103">
        <v>30.77</v>
      </c>
    </row>
    <row r="57" spans="1:5" ht="13.5" thickBot="1" x14ac:dyDescent="0.25">
      <c r="A57" s="83"/>
      <c r="B57" s="83"/>
      <c r="C57" s="83" t="s">
        <v>492</v>
      </c>
      <c r="E57" s="103">
        <v>0</v>
      </c>
    </row>
    <row r="58" spans="1:5" ht="13.5" thickBot="1" x14ac:dyDescent="0.25">
      <c r="A58" s="83"/>
      <c r="B58" s="83"/>
      <c r="C58" s="83" t="s">
        <v>381</v>
      </c>
      <c r="D58" s="83"/>
      <c r="E58" s="104">
        <f>ROUND(SUM(E49:E57),5)</f>
        <v>30.77</v>
      </c>
    </row>
    <row r="59" spans="1:5" x14ac:dyDescent="0.2">
      <c r="A59" s="83"/>
      <c r="B59" s="83"/>
      <c r="C59" s="83" t="s">
        <v>382</v>
      </c>
      <c r="D59" s="83"/>
      <c r="E59" s="103">
        <f>ROUND(E48+E58,5)</f>
        <v>30.77</v>
      </c>
    </row>
    <row r="60" spans="1:5" x14ac:dyDescent="0.2">
      <c r="A60" s="83"/>
      <c r="B60" s="83"/>
      <c r="C60" s="83" t="s">
        <v>149</v>
      </c>
      <c r="D60" s="83"/>
      <c r="E60" s="103"/>
    </row>
    <row r="61" spans="1:5" x14ac:dyDescent="0.2">
      <c r="A61" s="83"/>
      <c r="B61" s="83"/>
      <c r="C61" s="83" t="s">
        <v>493</v>
      </c>
      <c r="D61" s="83"/>
      <c r="E61" s="103">
        <v>0</v>
      </c>
    </row>
    <row r="62" spans="1:5" x14ac:dyDescent="0.2">
      <c r="A62" s="83"/>
      <c r="B62" s="83"/>
      <c r="C62" s="83" t="s">
        <v>494</v>
      </c>
      <c r="D62" s="83"/>
      <c r="E62" s="103">
        <v>0</v>
      </c>
    </row>
    <row r="63" spans="1:5" x14ac:dyDescent="0.2">
      <c r="A63" s="83"/>
      <c r="B63" s="83"/>
      <c r="C63" s="83" t="s">
        <v>495</v>
      </c>
      <c r="D63" s="83"/>
      <c r="E63" s="103">
        <v>0</v>
      </c>
    </row>
    <row r="64" spans="1:5" ht="13.5" thickBot="1" x14ac:dyDescent="0.25">
      <c r="A64" s="83"/>
      <c r="B64" s="83"/>
      <c r="C64" s="83" t="s">
        <v>496</v>
      </c>
      <c r="D64" s="83"/>
      <c r="E64" s="103">
        <v>2879355.33</v>
      </c>
    </row>
    <row r="65" spans="1:5" ht="13.5" thickBot="1" x14ac:dyDescent="0.25">
      <c r="A65" s="83"/>
      <c r="B65" s="83"/>
      <c r="C65" s="83" t="s">
        <v>319</v>
      </c>
      <c r="D65" s="83"/>
      <c r="E65" s="104">
        <f>ROUND(SUM(E60:E64),5)</f>
        <v>2879355.33</v>
      </c>
    </row>
    <row r="66" spans="1:5" x14ac:dyDescent="0.2">
      <c r="A66" s="83"/>
      <c r="B66" s="83" t="s">
        <v>320</v>
      </c>
      <c r="C66" s="83"/>
      <c r="D66" s="83"/>
      <c r="E66" s="103">
        <f>ROUND(E47+E59+E65,5)</f>
        <v>2879386.1</v>
      </c>
    </row>
    <row r="67" spans="1:5" x14ac:dyDescent="0.2">
      <c r="A67" s="83"/>
      <c r="B67" s="83" t="s">
        <v>160</v>
      </c>
      <c r="C67" s="83"/>
      <c r="D67" s="83"/>
      <c r="E67" s="103"/>
    </row>
    <row r="68" spans="1:5" x14ac:dyDescent="0.2">
      <c r="A68" s="83"/>
      <c r="B68" s="83"/>
      <c r="C68" s="83" t="s">
        <v>505</v>
      </c>
      <c r="D68" s="83"/>
      <c r="E68" s="103">
        <v>200125.23</v>
      </c>
    </row>
    <row r="69" spans="1:5" x14ac:dyDescent="0.2">
      <c r="A69" s="83"/>
      <c r="B69" s="83"/>
      <c r="C69" s="83" t="s">
        <v>722</v>
      </c>
      <c r="D69" s="83"/>
      <c r="E69" s="103">
        <v>819710</v>
      </c>
    </row>
    <row r="70" spans="1:5" x14ac:dyDescent="0.2">
      <c r="A70" s="83"/>
      <c r="B70" s="83"/>
      <c r="C70" s="83" t="s">
        <v>723</v>
      </c>
      <c r="D70" s="83"/>
      <c r="E70" s="103">
        <v>1781746</v>
      </c>
    </row>
    <row r="71" spans="1:5" x14ac:dyDescent="0.2">
      <c r="A71" s="83"/>
      <c r="B71" s="83"/>
      <c r="C71" s="83" t="s">
        <v>724</v>
      </c>
      <c r="D71" s="83"/>
      <c r="E71" s="103">
        <v>1781746</v>
      </c>
    </row>
    <row r="72" spans="1:5" x14ac:dyDescent="0.2">
      <c r="A72" s="83"/>
      <c r="B72" s="83"/>
      <c r="C72" s="83" t="s">
        <v>725</v>
      </c>
      <c r="D72" s="83"/>
      <c r="E72" s="103">
        <v>855953</v>
      </c>
    </row>
    <row r="73" spans="1:5" x14ac:dyDescent="0.2">
      <c r="A73" s="83"/>
      <c r="B73" s="83"/>
      <c r="C73" s="83" t="s">
        <v>726</v>
      </c>
      <c r="D73" s="83"/>
      <c r="E73" s="103">
        <v>686847</v>
      </c>
    </row>
    <row r="74" spans="1:5" x14ac:dyDescent="0.2">
      <c r="A74" s="83"/>
      <c r="B74" s="83"/>
      <c r="C74" s="83" t="s">
        <v>497</v>
      </c>
      <c r="D74" s="83"/>
      <c r="E74" s="103">
        <v>691658.71</v>
      </c>
    </row>
    <row r="75" spans="1:5" x14ac:dyDescent="0.2">
      <c r="A75" s="83"/>
      <c r="B75" s="83"/>
      <c r="C75" s="83" t="s">
        <v>498</v>
      </c>
      <c r="D75" s="83"/>
      <c r="E75" s="103">
        <v>38643.300000000003</v>
      </c>
    </row>
    <row r="76" spans="1:5" x14ac:dyDescent="0.2">
      <c r="A76" s="83"/>
      <c r="B76" s="83"/>
      <c r="C76" s="83" t="s">
        <v>499</v>
      </c>
      <c r="D76" s="83"/>
      <c r="E76" s="103">
        <v>38642.300000000003</v>
      </c>
    </row>
    <row r="77" spans="1:5" x14ac:dyDescent="0.2">
      <c r="A77" s="83"/>
      <c r="B77" s="83"/>
      <c r="C77" s="83" t="s">
        <v>500</v>
      </c>
      <c r="D77" s="83"/>
      <c r="E77" s="103">
        <v>691659.03</v>
      </c>
    </row>
    <row r="78" spans="1:5" x14ac:dyDescent="0.2">
      <c r="A78" s="83"/>
      <c r="B78" s="83"/>
      <c r="C78" s="83" t="s">
        <v>501</v>
      </c>
      <c r="D78" s="83"/>
      <c r="E78" s="103">
        <v>691655.59</v>
      </c>
    </row>
    <row r="79" spans="1:5" ht="13.5" thickBot="1" x14ac:dyDescent="0.25">
      <c r="A79" s="83"/>
      <c r="B79" s="83"/>
      <c r="C79" s="83" t="s">
        <v>387</v>
      </c>
      <c r="D79" s="83"/>
      <c r="E79" s="103">
        <v>217603.85</v>
      </c>
    </row>
    <row r="80" spans="1:5" ht="13.5" thickBot="1" x14ac:dyDescent="0.25">
      <c r="A80" s="83"/>
      <c r="B80" s="83" t="s">
        <v>331</v>
      </c>
      <c r="C80" s="83"/>
      <c r="D80" s="83"/>
      <c r="E80" s="105">
        <f>SUM(E68:E79)</f>
        <v>8495990.0099999998</v>
      </c>
    </row>
    <row r="81" spans="1:5" ht="13.5" thickBot="1" x14ac:dyDescent="0.25">
      <c r="A81" s="83" t="s">
        <v>388</v>
      </c>
      <c r="B81" s="83"/>
      <c r="C81" s="83"/>
      <c r="D81" s="83"/>
      <c r="E81" s="106">
        <f>ROUND(E46+E66+E80,5)</f>
        <v>11375376.109999999</v>
      </c>
    </row>
    <row r="82" spans="1:5" ht="13.5" thickTop="1" x14ac:dyDescent="0.2"/>
    <row r="83" spans="1:5" x14ac:dyDescent="0.2">
      <c r="E83" s="108">
        <f>E45-E81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2021-01-19T18:37:44Z</cp:lastPrinted>
  <dcterms:created xsi:type="dcterms:W3CDTF">2018-05-14T12:52:26Z</dcterms:created>
  <dcterms:modified xsi:type="dcterms:W3CDTF">2021-01-19T18:37:53Z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